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tin/Desktop/Forestry/LBC Robieu/wetransfer_21-12-2021-hardanges-robieu-bioclimsol-rar_2022-05-25_0827/"/>
    </mc:Choice>
  </mc:AlternateContent>
  <xr:revisionPtr revIDLastSave="0" documentId="13_ncr:1_{CC61586F-3764-8044-A16B-2637F880BCD4}" xr6:coauthVersionLast="47" xr6:coauthVersionMax="47" xr10:uidLastSave="{00000000-0000-0000-0000-000000000000}"/>
  <bookViews>
    <workbookView xWindow="1920" yWindow="500" windowWidth="26880" windowHeight="1676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HI4" i="2" s="1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FQ4" i="2"/>
  <c r="GL4" i="2"/>
  <c r="EX4" i="2"/>
  <c r="BR4" i="2"/>
  <c r="BQ4" i="2"/>
  <c r="EA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HI5" i="2" s="1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C6" i="2" l="1"/>
  <c r="EA6" i="2"/>
  <c r="FR6" i="2"/>
  <c r="HI6" i="2"/>
  <c r="HH6" i="2"/>
  <c r="EV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FS7" i="2"/>
  <c r="EV7" i="2"/>
  <c r="EX7" i="2"/>
  <c r="EB7" i="2"/>
  <c r="EW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I8" i="2" l="1"/>
  <c r="EX8" i="2"/>
  <c r="FS8" i="2"/>
  <c r="EC8" i="2"/>
  <c r="HG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FS9" i="2"/>
  <c r="HG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I10" i="2" s="1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FS11" i="2"/>
  <c r="EW11" i="2"/>
  <c r="EX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EW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EC13" i="2"/>
  <c r="HG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EB14" i="2"/>
  <c r="EC14" i="2"/>
  <c r="HH14" i="2"/>
  <c r="EX14" i="2"/>
  <c r="HG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V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FS16" i="2" l="1"/>
  <c r="HI16" i="2"/>
  <c r="EX16" i="2"/>
  <c r="HH16" i="2"/>
  <c r="EC16" i="2"/>
  <c r="EA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HI17" i="2" s="1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EC17" i="2" l="1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W18" i="2"/>
  <c r="EC18" i="2"/>
  <c r="EV18" i="2"/>
  <c r="FS18" i="2"/>
  <c r="EA18" i="2"/>
  <c r="EX18" i="2"/>
  <c r="HG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HI20" i="2" s="1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HH22" i="2"/>
  <c r="EC22" i="2"/>
  <c r="HG22" i="2"/>
  <c r="EB22" i="2"/>
  <c r="EA22" i="2"/>
  <c r="EW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I24" i="2" l="1"/>
  <c r="HH24" i="2"/>
  <c r="FR24" i="2"/>
  <c r="EC24" i="2"/>
  <c r="EW24" i="2"/>
  <c r="HG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FS25" i="2" l="1"/>
  <c r="EC25" i="2"/>
  <c r="HI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C26" i="2"/>
  <c r="HH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EC27" i="2"/>
  <c r="FS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HI28" i="2"/>
  <c r="FS28" i="2"/>
  <c r="EB28" i="2"/>
  <c r="EC28" i="2"/>
  <c r="HG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C30" i="2"/>
  <c r="EB30" i="2"/>
  <c r="EX30" i="2"/>
  <c r="EV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EC31" i="2"/>
  <c r="DG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HI32" i="2"/>
  <c r="FS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W33" i="2"/>
  <c r="EV33" i="2"/>
  <c r="EB33" i="2"/>
  <c r="HG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W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FS35" i="2"/>
  <c r="EB35" i="2"/>
  <c r="EA35" i="2"/>
  <c r="HI35" i="2"/>
  <c r="HH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EA37" i="2"/>
  <c r="HG37" i="2"/>
  <c r="EB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X38" i="2"/>
  <c r="FS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FS39" i="2"/>
  <c r="HI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HI40" i="2"/>
  <c r="FS40" i="2"/>
  <c r="HH40" i="2"/>
  <c r="HG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FS43" i="2"/>
  <c r="HG43" i="2"/>
  <c r="DG43" i="2"/>
  <c r="EX43" i="2"/>
  <c r="EA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HG44" i="2"/>
  <c r="EW44" i="2"/>
  <c r="EC44" i="2"/>
  <c r="HH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C45" i="2"/>
  <c r="HI45" i="2"/>
  <c r="EB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HG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EC47" i="2"/>
  <c r="HG47" i="2"/>
  <c r="FS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X48" i="2"/>
  <c r="FS48" i="2"/>
  <c r="EC48" i="2"/>
  <c r="HH48" i="2"/>
  <c r="HG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FS50" i="2"/>
  <c r="EW50" i="2"/>
  <c r="HG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EA51" i="2"/>
  <c r="EB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X52" i="2" l="1"/>
  <c r="EV52" i="2"/>
  <c r="EB52" i="2"/>
  <c r="HI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HI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I56" i="2" l="1"/>
  <c r="FS56" i="2"/>
  <c r="EC56" i="2"/>
  <c r="HG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C57" i="2"/>
  <c r="EB57" i="2"/>
  <c r="HG57" i="2"/>
  <c r="HI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HI58" i="2" l="1"/>
  <c r="EX58" i="2"/>
  <c r="FS58" i="2"/>
  <c r="EC58" i="2"/>
  <c r="EA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V60" i="2"/>
  <c r="FS60" i="2"/>
  <c r="EW60" i="2"/>
  <c r="HH60" i="2"/>
  <c r="EC60" i="2"/>
  <c r="HG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X61" i="2"/>
  <c r="EA61" i="2"/>
  <c r="EV61" i="2"/>
  <c r="EW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B63" i="2"/>
  <c r="HI63" i="2"/>
  <c r="EC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I64" i="2"/>
  <c r="HH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FS65" i="2" l="1"/>
  <c r="EX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EV67" i="2"/>
  <c r="HH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EX68" i="2"/>
  <c r="HI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C69" i="2"/>
  <c r="FS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C70" i="2"/>
  <c r="EW70" i="2"/>
  <c r="EB70" i="2"/>
  <c r="HG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X71" i="2" l="1"/>
  <c r="FS71" i="2"/>
  <c r="EW71" i="2"/>
  <c r="HI71" i="2"/>
  <c r="EA71" i="2"/>
  <c r="HH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I72" i="2"/>
  <c r="HH72" i="2"/>
  <c r="EB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HI73" i="2"/>
  <c r="EW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W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I75" i="2" l="1"/>
  <c r="HH75" i="2"/>
  <c r="FS75" i="2"/>
  <c r="HG75" i="2"/>
  <c r="EB75" i="2"/>
  <c r="EX75" i="2"/>
  <c r="EA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FS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X77" i="2" l="1"/>
  <c r="FS77" i="2"/>
  <c r="EA77" i="2"/>
  <c r="EW77" i="2"/>
  <c r="HI77" i="2"/>
  <c r="EB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X79" i="2"/>
  <c r="EB79" i="2"/>
  <c r="HI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EC80" i="2"/>
  <c r="HG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C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C82" i="2" l="1"/>
  <c r="EV82" i="2"/>
  <c r="EX82" i="2"/>
  <c r="HH82" i="2"/>
  <c r="HG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HI83" i="2" l="1"/>
  <c r="EX83" i="2"/>
  <c r="EC83" i="2"/>
  <c r="EW83" i="2"/>
  <c r="EV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HI84" i="2" s="1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FS84" i="2"/>
  <c r="HG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C85" i="2"/>
  <c r="EV85" i="2"/>
  <c r="HI85" i="2"/>
  <c r="EW85" i="2"/>
  <c r="HG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HI86" i="2"/>
  <c r="EX86" i="2"/>
  <c r="EB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EX87" i="2"/>
  <c r="FS87" i="2"/>
  <c r="EA87" i="2"/>
  <c r="EB87" i="2"/>
  <c r="HG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EC88" i="2"/>
  <c r="HG88" i="2"/>
  <c r="FS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EC89" i="2" l="1"/>
  <c r="FS89" i="2"/>
  <c r="HG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I91" i="2" s="1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EA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EX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HI93" i="2"/>
  <c r="EC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FS94" i="2"/>
  <c r="EC94" i="2"/>
  <c r="EX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I95" i="2" l="1"/>
  <c r="EX95" i="2"/>
  <c r="HG95" i="2"/>
  <c r="FS95" i="2"/>
  <c r="EB95" i="2"/>
  <c r="FQ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FQ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C98" i="2"/>
  <c r="HI98" i="2"/>
  <c r="EW98" i="2"/>
  <c r="EX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I99" i="2" l="1"/>
  <c r="FS99" i="2"/>
  <c r="EX99" i="2"/>
  <c r="HH99" i="2"/>
  <c r="EB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HI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EC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HI103" i="2"/>
  <c r="EA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X104" i="2"/>
  <c r="EC104" i="2"/>
  <c r="EW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EX105" i="2" s="1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FS106" i="2"/>
  <c r="HI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HI107" i="2"/>
  <c r="EC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X108" i="2"/>
  <c r="EB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EB109" i="2"/>
  <c r="EX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HG110" i="2"/>
  <c r="EB110" i="2"/>
  <c r="HH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FS112" i="2"/>
  <c r="EB112" i="2"/>
  <c r="EC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C113" i="2"/>
  <c r="EW113" i="2"/>
  <c r="HI113" i="2"/>
  <c r="FS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EV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EX115" i="2"/>
  <c r="FS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HI116" i="2"/>
  <c r="EV116" i="2"/>
  <c r="EX116" i="2"/>
  <c r="HG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HG117" i="2"/>
  <c r="EC117" i="2"/>
  <c r="HI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R119" i="2"/>
  <c r="EX119" i="2"/>
  <c r="HG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FR120" i="2"/>
  <c r="EC120" i="2"/>
  <c r="FQ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I123" i="2" l="1"/>
  <c r="EC123" i="2"/>
  <c r="HH123" i="2"/>
  <c r="FS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FS124" i="2"/>
  <c r="EC124" i="2"/>
  <c r="HG124" i="2"/>
  <c r="HI124" i="2"/>
  <c r="EX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C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A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HG128" i="2"/>
  <c r="EX128" i="2"/>
  <c r="FS128" i="2"/>
  <c r="EV128" i="2"/>
  <c r="EB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HI129" i="2"/>
  <c r="EV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HI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C132" i="2"/>
  <c r="HG132" i="2"/>
  <c r="FS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HI133" i="2"/>
  <c r="EV133" i="2"/>
  <c r="EW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HG134" i="2"/>
  <c r="EV134" i="2"/>
  <c r="HI134" i="2"/>
  <c r="EW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EA135" i="2"/>
  <c r="EW135" i="2"/>
  <c r="EX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HI138" i="2"/>
  <c r="EB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X139" i="2"/>
  <c r="HH139" i="2"/>
  <c r="EA139" i="2"/>
  <c r="EB139" i="2"/>
  <c r="EW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HH140" i="2"/>
  <c r="HI140" i="2"/>
  <c r="EB140" i="2"/>
  <c r="FR140" i="2"/>
  <c r="EC140" i="2"/>
  <c r="HG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X141" i="2"/>
  <c r="FS141" i="2"/>
  <c r="EB141" i="2"/>
  <c r="EA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EW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HI143" i="2" l="1"/>
  <c r="EA143" i="2"/>
  <c r="EC143" i="2"/>
  <c r="FS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A144" i="2"/>
  <c r="FR144" i="2"/>
  <c r="EX144" i="2"/>
  <c r="EB144" i="2"/>
  <c r="HH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FR145" i="2"/>
  <c r="EX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EX146" i="2"/>
  <c r="FS146" i="2"/>
  <c r="HH146" i="2"/>
  <c r="FR146" i="2"/>
  <c r="HG146" i="2"/>
  <c r="HI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X147" i="2"/>
  <c r="EC147" i="2"/>
  <c r="EW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EX148" i="2" l="1"/>
  <c r="HI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HG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FS150" i="2"/>
  <c r="EC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X151" i="2"/>
  <c r="EC151" i="2"/>
  <c r="EV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V152" i="2"/>
  <c r="EB152" i="2"/>
  <c r="HI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FS153" i="2"/>
  <c r="HI153" i="2"/>
  <c r="EA153" i="2"/>
  <c r="EB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B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EW155" i="2"/>
  <c r="EA155" i="2"/>
  <c r="EC155" i="2"/>
  <c r="AC154" i="2"/>
  <c r="DI154" i="2"/>
  <c r="HH155" i="2"/>
  <c r="EX155" i="2"/>
  <c r="HG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HH156" i="2"/>
  <c r="HG156" i="2"/>
  <c r="FS156" i="2"/>
  <c r="EX156" i="2"/>
  <c r="EB156" i="2"/>
  <c r="DH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CN156" i="2"/>
  <c r="EC157" i="2"/>
  <c r="EB157" i="2"/>
  <c r="EA157" i="2"/>
  <c r="EX157" i="2"/>
  <c r="HH157" i="2"/>
  <c r="HG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H158" i="2"/>
  <c r="EC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X159" i="2"/>
  <c r="FS159" i="2"/>
  <c r="EC159" i="2"/>
  <c r="ED158" i="2"/>
  <c r="EA159" i="2"/>
  <c r="HH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DG160" i="2"/>
  <c r="EY159" i="2"/>
  <c r="FS160" i="2"/>
  <c r="HI160" i="2"/>
  <c r="ED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D160" i="2"/>
  <c r="EB161" i="2"/>
  <c r="EX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D161" i="2"/>
  <c r="FS162" i="2"/>
  <c r="EY161" i="2"/>
  <c r="DI161" i="2"/>
  <c r="EC162" i="2"/>
  <c r="HG162" i="2"/>
  <c r="EB162" i="2"/>
  <c r="EW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D162" i="2"/>
  <c r="EC163" i="2"/>
  <c r="HH163" i="2"/>
  <c r="EA163" i="2"/>
  <c r="EV163" i="2"/>
  <c r="HG163" i="2"/>
  <c r="FS163" i="2"/>
  <c r="HI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HI164" i="2"/>
  <c r="ED163" i="2"/>
  <c r="EC164" i="2"/>
  <c r="DH164" i="2"/>
  <c r="FR164" i="2"/>
  <c r="EV164" i="2"/>
  <c r="DI163" i="2"/>
  <c r="FS164" i="2"/>
  <c r="EA164" i="2"/>
  <c r="HH164" i="2"/>
  <c r="EX164" i="2"/>
  <c r="HG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X165" i="2"/>
  <c r="HG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X166" i="2"/>
  <c r="HI166" i="2"/>
  <c r="EC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DG167" i="2"/>
  <c r="FR167" i="2"/>
  <c r="EY166" i="2"/>
  <c r="EC167" i="2"/>
  <c r="HI167" i="2"/>
  <c r="HH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I168" i="2"/>
  <c r="HH168" i="2"/>
  <c r="EC168" i="2"/>
  <c r="EB168" i="2"/>
  <c r="EX168" i="2"/>
  <c r="EV168" i="2"/>
  <c r="FS168" i="2"/>
  <c r="EW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FS169" i="2"/>
  <c r="EX169" i="2"/>
  <c r="HI169" i="2"/>
  <c r="EA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CN169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HI171" i="2" l="1"/>
  <c r="EA171" i="2"/>
  <c r="EB171" i="2"/>
  <c r="FS171" i="2"/>
  <c r="EX171" i="2"/>
  <c r="EC171" i="2"/>
  <c r="ED171" i="2" s="1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B172" i="2"/>
  <c r="EW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HI173" i="2" s="1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HJ172" i="2"/>
  <c r="EW173" i="2"/>
  <c r="EX173" i="2"/>
  <c r="HH173" i="2"/>
  <c r="EC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G174" i="2"/>
  <c r="HH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A175" i="2"/>
  <c r="ED174" i="2"/>
  <c r="HI175" i="2"/>
  <c r="EB175" i="2"/>
  <c r="EX175" i="2"/>
  <c r="EC175" i="2"/>
  <c r="EW175" i="2"/>
  <c r="FS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EB176" i="2"/>
  <c r="EC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Q178" i="2"/>
  <c r="ED177" i="2"/>
  <c r="FS178" i="2"/>
  <c r="HG178" i="2"/>
  <c r="EX178" i="2"/>
  <c r="EB178" i="2"/>
  <c r="EA178" i="2"/>
  <c r="EW178" i="2"/>
  <c r="HI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X179" i="2" l="1"/>
  <c r="ED178" i="2"/>
  <c r="DF179" i="2"/>
  <c r="EB179" i="2"/>
  <c r="HH179" i="2"/>
  <c r="EV179" i="2"/>
  <c r="EA179" i="2"/>
  <c r="HG179" i="2"/>
  <c r="FS179" i="2"/>
  <c r="HI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I180" i="2"/>
  <c r="EX180" i="2"/>
  <c r="ED179" i="2"/>
  <c r="EC180" i="2"/>
  <c r="HG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V181" i="2" l="1"/>
  <c r="HG181" i="2"/>
  <c r="EW181" i="2"/>
  <c r="ED180" i="2"/>
  <c r="FS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DG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Y182" i="2"/>
  <c r="EX183" i="2"/>
  <c r="EA183" i="2"/>
  <c r="EB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Y183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G185" i="2" l="1"/>
  <c r="ED184" i="2"/>
  <c r="EW185" i="2"/>
  <c r="EB185" i="2"/>
  <c r="EY184" i="2"/>
  <c r="EA185" i="2"/>
  <c r="EV185" i="2"/>
  <c r="HH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D185" i="2"/>
  <c r="FR186" i="2"/>
  <c r="HH186" i="2"/>
  <c r="EA186" i="2"/>
  <c r="HG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HG187" i="2"/>
  <c r="EY186" i="2"/>
  <c r="EC187" i="2"/>
  <c r="EB187" i="2"/>
  <c r="EX187" i="2"/>
  <c r="HI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HH188" i="2"/>
  <c r="HG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HI189" i="2" l="1"/>
  <c r="FS189" i="2"/>
  <c r="HH189" i="2"/>
  <c r="EY188" i="2"/>
  <c r="EC189" i="2"/>
  <c r="EV189" i="2"/>
  <c r="AA189" i="2"/>
  <c r="EB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W190" i="2"/>
  <c r="EV190" i="2"/>
  <c r="HI190" i="2"/>
  <c r="HH190" i="2"/>
  <c r="EB190" i="2"/>
  <c r="HG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D190" i="2"/>
  <c r="HI191" i="2"/>
  <c r="HG191" i="2"/>
  <c r="EX191" i="2"/>
  <c r="EC191" i="2"/>
  <c r="EW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I192" i="2"/>
  <c r="EV192" i="2"/>
  <c r="EB192" i="2"/>
  <c r="EC192" i="2"/>
  <c r="HH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DI192" i="2"/>
  <c r="ED192" i="2"/>
  <c r="FQ193" i="2"/>
  <c r="EX193" i="2"/>
  <c r="EB193" i="2"/>
  <c r="HI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HG194" i="2"/>
  <c r="EB194" i="2"/>
  <c r="ED193" i="2"/>
  <c r="EA194" i="2"/>
  <c r="CN193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EY194" i="2"/>
  <c r="FQ195" i="2"/>
  <c r="ED194" i="2"/>
  <c r="DH195" i="2"/>
  <c r="EX195" i="2"/>
  <c r="HI195" i="2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EY195" i="2"/>
  <c r="HI196" i="2"/>
  <c r="FS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EW197" i="2"/>
  <c r="EY196" i="2"/>
  <c r="FS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W198" i="2"/>
  <c r="ED197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HI199" i="2" s="1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A199" i="2"/>
  <c r="EB199" i="2"/>
  <c r="HH199" i="2"/>
  <c r="EV199" i="2"/>
  <c r="FS199" i="2"/>
  <c r="EW199" i="2"/>
  <c r="HG199" i="2"/>
  <c r="HJ199" i="2" s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EW200" i="2"/>
  <c r="FS200" i="2"/>
  <c r="EC200" i="2"/>
  <c r="EX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HH201" i="2"/>
  <c r="HG201" i="2"/>
  <c r="ED200" i="2"/>
  <c r="EX201" i="2"/>
  <c r="HI201" i="2"/>
  <c r="EA201" i="2"/>
  <c r="EB201" i="2"/>
  <c r="FS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HG202" i="2"/>
  <c r="ED201" i="2"/>
  <c r="HH202" i="2"/>
  <c r="EW202" i="2"/>
  <c r="FZ6" i="2"/>
  <c r="FR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50" i="2" a="1"/>
  <c r="FY50" i="2" s="1"/>
  <c r="FY54" i="2" a="1"/>
  <c r="FY54" i="2" s="1"/>
  <c r="FY90" i="2" a="1"/>
  <c r="FY90" i="2" s="1"/>
  <c r="FY22" i="2" a="1"/>
  <c r="FY22" i="2" s="1"/>
  <c r="FY32" i="2" a="1"/>
  <c r="FY32" i="2" s="1"/>
  <c r="FY146" i="2" a="1"/>
  <c r="FY146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48" i="2" a="1"/>
  <c r="FD48" i="2" s="1"/>
  <c r="FD43" i="2" a="1"/>
  <c r="FD43" i="2" s="1"/>
  <c r="FD159" i="2" a="1"/>
  <c r="FD159" i="2" s="1"/>
  <c r="BC164" i="2" a="1"/>
  <c r="BC164" i="2" s="1"/>
  <c r="BC31" i="2" a="1"/>
  <c r="BC31" i="2" s="1"/>
  <c r="BC143" i="2" a="1"/>
  <c r="BC143" i="2" s="1"/>
  <c r="BC83" i="2" a="1"/>
  <c r="BC83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D187" i="2" l="1" a="1"/>
  <c r="FD187" i="2" s="1"/>
  <c r="FD194" i="2" a="1"/>
  <c r="FD194" i="2" s="1"/>
  <c r="FD144" i="2" a="1"/>
  <c r="FD144" i="2" s="1"/>
  <c r="FD44" i="2" a="1"/>
  <c r="FD44" i="2" s="1"/>
  <c r="FD107" i="2" a="1"/>
  <c r="FD107" i="2" s="1"/>
  <c r="FD167" i="2" a="1"/>
  <c r="FD167" i="2" s="1"/>
  <c r="FD188" i="2" a="1"/>
  <c r="FD188" i="2" s="1"/>
  <c r="FD131" i="2" a="1"/>
  <c r="FD131" i="2" s="1"/>
  <c r="FD60" i="2" a="1"/>
  <c r="FD60" i="2" s="1"/>
  <c r="FD59" i="2" a="1"/>
  <c r="FD59" i="2" s="1"/>
  <c r="FD64" i="2" a="1"/>
  <c r="FD64" i="2" s="1"/>
  <c r="FD21" i="2" a="1"/>
  <c r="FD21" i="2" s="1"/>
  <c r="FD19" i="2" a="1"/>
  <c r="FD19" i="2" s="1"/>
  <c r="FD160" i="2" a="1"/>
  <c r="FD160" i="2" s="1"/>
  <c r="FD189" i="2" a="1"/>
  <c r="FD189" i="2" s="1"/>
  <c r="FD137" i="2" a="1"/>
  <c r="FD137" i="2" s="1"/>
  <c r="FD14" i="2" a="1"/>
  <c r="FD14" i="2" s="1"/>
  <c r="FY57" i="2" a="1"/>
  <c r="FY57" i="2" s="1"/>
  <c r="FY165" i="2" a="1"/>
  <c r="FY165" i="2" s="1"/>
  <c r="FY109" i="2" a="1"/>
  <c r="FY109" i="2" s="1"/>
  <c r="HI203" i="2"/>
  <c r="CS116" i="2" a="1"/>
  <c r="CS116" i="2" s="1"/>
  <c r="CS66" i="2" a="1"/>
  <c r="CS66" i="2" s="1"/>
  <c r="CS105" i="2" a="1"/>
  <c r="CS105" i="2" s="1"/>
  <c r="CS77" i="2" a="1"/>
  <c r="CS77" i="2" s="1"/>
  <c r="CS56" i="2" a="1"/>
  <c r="CS56" i="2" s="1"/>
  <c r="CS161" i="2" a="1"/>
  <c r="CS161" i="2" s="1"/>
  <c r="CS134" i="2" a="1"/>
  <c r="CS134" i="2" s="1"/>
  <c r="CS185" i="2" a="1"/>
  <c r="CS185" i="2" s="1"/>
  <c r="CS120" i="2" a="1"/>
  <c r="CS120" i="2" s="1"/>
  <c r="CS129" i="2" a="1"/>
  <c r="CS129" i="2" s="1"/>
  <c r="CS24" i="2" a="1"/>
  <c r="CS24" i="2" s="1"/>
  <c r="CS52" i="2" a="1"/>
  <c r="CS52" i="2" s="1"/>
  <c r="CS137" i="2" a="1"/>
  <c r="CS137" i="2" s="1"/>
  <c r="HH203" i="2"/>
  <c r="EX203" i="2"/>
  <c r="BC151" i="2" a="1"/>
  <c r="BC151" i="2" s="1"/>
  <c r="BC192" i="2" a="1"/>
  <c r="BC192" i="2" s="1"/>
  <c r="BC47" i="2" a="1"/>
  <c r="BC47" i="2" s="1"/>
  <c r="BC7" i="2" a="1"/>
  <c r="BC7" i="2" s="1"/>
  <c r="BC55" i="2" a="1"/>
  <c r="BC55" i="2" s="1"/>
  <c r="BC68" i="2" a="1"/>
  <c r="BC68" i="2" s="1"/>
  <c r="HG203" i="2"/>
  <c r="BC185" i="2" a="1"/>
  <c r="BC185" i="2" s="1"/>
  <c r="BC130" i="2" a="1"/>
  <c r="BC130" i="2" s="1"/>
  <c r="BC117" i="2" a="1"/>
  <c r="BC117" i="2" s="1"/>
  <c r="BC58" i="2" a="1"/>
  <c r="BC58" i="2" s="1"/>
  <c r="BC181" i="2" a="1"/>
  <c r="BC181" i="2" s="1"/>
  <c r="BC34" i="2" a="1"/>
  <c r="BC34" i="2" s="1"/>
  <c r="BC65" i="2" a="1"/>
  <c r="BC65" i="2" s="1"/>
  <c r="EC203" i="2"/>
  <c r="FR203" i="2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CN203" i="2"/>
  <c r="DI203" i="2"/>
  <c r="ED203" i="2"/>
  <c r="FZ10" i="2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E11" i="2" s="1"/>
  <c r="GV68" i="2"/>
  <c r="GW68" i="2" s="1"/>
  <c r="GX68" i="2" s="1"/>
  <c r="GY68" i="2" s="1"/>
  <c r="AJ68" i="2"/>
  <c r="AK68" i="2" s="1"/>
  <c r="AL68" i="2" s="1"/>
  <c r="AM68" i="2" s="1"/>
  <c r="GE49" i="2" l="1"/>
  <c r="GE76" i="2"/>
  <c r="GE158" i="2"/>
  <c r="GE166" i="2"/>
  <c r="GE87" i="2"/>
  <c r="GE203" i="2"/>
  <c r="GE193" i="2"/>
  <c r="GE51" i="2"/>
  <c r="GE65" i="2"/>
  <c r="GE179" i="2"/>
  <c r="GE133" i="2"/>
  <c r="GE172" i="2"/>
  <c r="GE66" i="2"/>
  <c r="GE68" i="2"/>
  <c r="GE86" i="2"/>
  <c r="GE58" i="2"/>
  <c r="GE168" i="2"/>
  <c r="GE99" i="2"/>
  <c r="GE119" i="2"/>
  <c r="GE146" i="2"/>
  <c r="GE93" i="2"/>
  <c r="GE26" i="2"/>
  <c r="GE109" i="2"/>
  <c r="GE91" i="2"/>
  <c r="GE114" i="2"/>
  <c r="GE154" i="2"/>
  <c r="GE97" i="2"/>
  <c r="GE189" i="2"/>
  <c r="GE37" i="2"/>
  <c r="GE141" i="2"/>
  <c r="GE5" i="2"/>
  <c r="GE163" i="2"/>
  <c r="GE147" i="2"/>
  <c r="GE77" i="2"/>
  <c r="GE170" i="2"/>
  <c r="GE70" i="2"/>
  <c r="GE27" i="2"/>
  <c r="GE199" i="2"/>
  <c r="GE96" i="2"/>
  <c r="GE127" i="2"/>
  <c r="GE110" i="2"/>
  <c r="GE29" i="2"/>
  <c r="GE63" i="2"/>
  <c r="GE34" i="2"/>
  <c r="GE59" i="2"/>
  <c r="GE90" i="2"/>
  <c r="GE82" i="2"/>
  <c r="GE176" i="2"/>
  <c r="GE9" i="2"/>
  <c r="GE126" i="2"/>
  <c r="GE180" i="2"/>
  <c r="GE164" i="2"/>
  <c r="GE177" i="2"/>
  <c r="GE106" i="2"/>
  <c r="GE125" i="2"/>
  <c r="GE178" i="2"/>
  <c r="GE171" i="2"/>
  <c r="GE54" i="2"/>
  <c r="GE145" i="2"/>
  <c r="GE23" i="2"/>
  <c r="GE186" i="2"/>
  <c r="GE160" i="2"/>
  <c r="GE104" i="2"/>
  <c r="GE202" i="2"/>
  <c r="GE136" i="2"/>
  <c r="GE143" i="2"/>
  <c r="GE169" i="2"/>
  <c r="GE112" i="2"/>
  <c r="GE201" i="2"/>
  <c r="GE113" i="2"/>
  <c r="GE79" i="2"/>
  <c r="GE152" i="2"/>
  <c r="GE36" i="2"/>
  <c r="GE41" i="2"/>
  <c r="GE60" i="2"/>
  <c r="GE157" i="2"/>
  <c r="GE144" i="2"/>
  <c r="GE130" i="2"/>
  <c r="GE95" i="2"/>
  <c r="GE122" i="2"/>
  <c r="GE135" i="2"/>
  <c r="GE3" i="2"/>
  <c r="C14" i="4" s="1"/>
  <c r="E14" i="4" s="1"/>
  <c r="F14" i="4" s="1"/>
  <c r="G14" i="4" s="1"/>
  <c r="L14" i="4" s="1"/>
  <c r="GE16" i="2"/>
  <c r="GE101" i="2"/>
  <c r="GE24" i="2"/>
  <c r="GE32" i="2"/>
  <c r="GE155" i="2"/>
  <c r="GE67" i="2"/>
  <c r="GE20" i="2"/>
  <c r="GE131" i="2"/>
  <c r="GE197" i="2"/>
  <c r="GE98" i="2"/>
  <c r="GE15" i="2"/>
  <c r="GE17" i="2"/>
  <c r="GE18" i="2"/>
  <c r="GE92" i="2"/>
  <c r="GE184" i="2"/>
  <c r="GE117" i="2"/>
  <c r="GE52" i="2"/>
  <c r="GE83" i="2"/>
  <c r="GE128" i="2"/>
  <c r="GE6" i="2"/>
  <c r="GE121" i="2"/>
  <c r="GE35" i="2"/>
  <c r="GE80" i="2"/>
  <c r="GE46" i="2"/>
  <c r="GE118" i="2"/>
  <c r="GE44" i="2"/>
  <c r="GE25" i="2"/>
  <c r="GE4" i="2"/>
  <c r="GE188" i="2"/>
  <c r="GE162" i="2"/>
  <c r="GE14" i="2"/>
  <c r="GE19" i="2"/>
  <c r="GE85" i="2"/>
  <c r="GE200" i="2"/>
  <c r="GE69" i="2"/>
  <c r="GE94" i="2"/>
  <c r="GE61" i="2"/>
  <c r="GE100" i="2"/>
  <c r="GE28" i="2"/>
  <c r="GE10" i="2"/>
  <c r="GE138" i="2"/>
  <c r="GE55" i="2"/>
  <c r="GE103" i="2"/>
  <c r="GE21" i="2"/>
  <c r="GE57" i="2"/>
  <c r="GE50" i="2"/>
  <c r="GE194" i="2"/>
  <c r="GE30" i="2"/>
  <c r="GE198" i="2"/>
  <c r="GE71" i="2"/>
  <c r="GE196" i="2"/>
  <c r="GE84" i="2"/>
  <c r="GE22" i="2"/>
  <c r="GE43" i="2"/>
  <c r="GE156" i="2"/>
  <c r="GE64" i="2"/>
  <c r="GE182" i="2"/>
  <c r="GE108" i="2"/>
  <c r="GE40" i="2"/>
  <c r="GE140" i="2"/>
  <c r="GE153" i="2"/>
  <c r="GE123" i="2"/>
  <c r="GE74" i="2"/>
  <c r="GE88" i="2"/>
  <c r="GE139" i="2"/>
  <c r="GE192" i="2"/>
  <c r="GE185" i="2"/>
  <c r="GE102" i="2"/>
  <c r="GE173" i="2"/>
  <c r="GE183" i="2"/>
  <c r="GE174" i="2"/>
  <c r="GE42" i="2"/>
  <c r="GE89" i="2"/>
  <c r="GE45" i="2"/>
  <c r="GE13" i="2"/>
  <c r="GE81" i="2"/>
  <c r="GE165" i="2"/>
  <c r="GE38" i="2"/>
  <c r="GE111" i="2"/>
  <c r="GE115" i="2"/>
  <c r="GE190" i="2"/>
  <c r="GE56" i="2"/>
  <c r="GE105" i="2"/>
  <c r="GE7" i="2"/>
  <c r="GE150" i="2"/>
  <c r="GE132" i="2"/>
  <c r="GE39" i="2"/>
  <c r="GE12" i="2"/>
  <c r="GE148" i="2"/>
  <c r="GE73" i="2"/>
  <c r="GE120" i="2"/>
  <c r="GE116" i="2"/>
  <c r="GE78" i="2"/>
  <c r="GE53" i="2"/>
  <c r="GE181" i="2"/>
  <c r="GE161" i="2"/>
  <c r="GE134" i="2"/>
  <c r="GE149" i="2"/>
  <c r="GE142" i="2"/>
  <c r="GE75" i="2"/>
  <c r="GE62" i="2"/>
  <c r="GE137" i="2"/>
  <c r="GE31" i="2"/>
  <c r="GE191" i="2"/>
  <c r="GE159" i="2"/>
  <c r="GE195" i="2"/>
  <c r="GE187" i="2"/>
  <c r="GE175" i="2"/>
  <c r="GE151" i="2"/>
  <c r="GE47" i="2"/>
  <c r="GE8" i="2"/>
  <c r="GE129" i="2"/>
  <c r="GE124" i="2"/>
  <c r="GE72" i="2"/>
  <c r="GE107" i="2"/>
  <c r="GE33" i="2"/>
  <c r="GE48" i="2"/>
  <c r="GE167" i="2"/>
  <c r="FE70" i="2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13" i="2" l="1"/>
  <c r="FJ156" i="2"/>
  <c r="FJ5" i="2"/>
  <c r="FJ70" i="2"/>
  <c r="FJ196" i="2"/>
  <c r="FJ74" i="2"/>
  <c r="FJ18" i="2"/>
  <c r="FJ55" i="2"/>
  <c r="FJ191" i="2"/>
  <c r="FJ133" i="2"/>
  <c r="FJ203" i="2"/>
  <c r="FJ122" i="2"/>
  <c r="FJ80" i="2"/>
  <c r="FJ7" i="2"/>
  <c r="FJ58" i="2"/>
  <c r="FJ48" i="2"/>
  <c r="FJ79" i="2"/>
  <c r="FJ95" i="2"/>
  <c r="FJ183" i="2"/>
  <c r="FJ145" i="2"/>
  <c r="FJ38" i="2"/>
  <c r="FJ35" i="2"/>
  <c r="FJ76" i="2"/>
  <c r="FJ140" i="2"/>
  <c r="FJ151" i="2"/>
  <c r="FJ46" i="2"/>
  <c r="FJ167" i="2"/>
  <c r="FJ136" i="2"/>
  <c r="FJ182" i="2"/>
  <c r="FJ98" i="2"/>
  <c r="FJ56" i="2"/>
  <c r="FJ160" i="2"/>
  <c r="FJ3" i="2"/>
  <c r="C13" i="4" s="1"/>
  <c r="E13" i="4" s="1"/>
  <c r="F13" i="4" s="1"/>
  <c r="G13" i="4" s="1"/>
  <c r="L13" i="4" s="1"/>
  <c r="FJ6" i="2"/>
  <c r="FJ10" i="2"/>
  <c r="FJ123" i="2"/>
  <c r="FJ22" i="2"/>
  <c r="FJ4" i="2"/>
  <c r="FJ165" i="2"/>
  <c r="FJ111" i="2"/>
  <c r="FJ166" i="2"/>
  <c r="FJ67" i="2"/>
  <c r="FJ82" i="2"/>
  <c r="FJ49" i="2"/>
  <c r="FJ32" i="2"/>
  <c r="FJ101" i="2"/>
  <c r="FJ50" i="2"/>
  <c r="FJ121" i="2"/>
  <c r="FJ150" i="2"/>
  <c r="FJ143" i="2"/>
  <c r="FJ72" i="2"/>
  <c r="FJ116" i="2"/>
  <c r="FJ69" i="2"/>
  <c r="FJ135" i="2"/>
  <c r="FJ198" i="2"/>
  <c r="FJ139" i="2"/>
  <c r="FJ178" i="2"/>
  <c r="FJ172" i="2"/>
  <c r="FJ65" i="2"/>
  <c r="FJ11" i="2"/>
  <c r="FJ24" i="2"/>
  <c r="FJ29" i="2"/>
  <c r="FJ9" i="2"/>
  <c r="FJ53" i="2"/>
  <c r="FJ51" i="2"/>
  <c r="FJ129" i="2"/>
  <c r="FJ180" i="2"/>
  <c r="FJ142" i="2"/>
  <c r="FJ90" i="2"/>
  <c r="FJ163" i="2"/>
  <c r="FJ134" i="2"/>
  <c r="FJ141" i="2"/>
  <c r="FJ200" i="2"/>
  <c r="FJ81" i="2"/>
  <c r="FJ109" i="2"/>
  <c r="FJ60" i="2"/>
  <c r="FJ177" i="2"/>
  <c r="FJ37" i="2"/>
  <c r="FJ92" i="2"/>
  <c r="FJ54" i="2"/>
  <c r="FJ159" i="2"/>
  <c r="FJ94" i="2"/>
  <c r="FJ47" i="2"/>
  <c r="FJ36" i="2"/>
  <c r="FJ85" i="2"/>
  <c r="FJ75" i="2"/>
  <c r="FJ14" i="2"/>
  <c r="FJ40" i="2"/>
  <c r="FJ44" i="2"/>
  <c r="FJ197" i="2"/>
  <c r="FJ127" i="2"/>
  <c r="FJ173" i="2"/>
  <c r="FJ162" i="2"/>
  <c r="FJ126" i="2"/>
  <c r="FJ152" i="2"/>
  <c r="FJ184" i="2"/>
  <c r="FJ130" i="2"/>
  <c r="FJ97" i="2"/>
  <c r="FJ28" i="2"/>
  <c r="FJ195" i="2"/>
  <c r="FJ61" i="2"/>
  <c r="FJ63" i="2"/>
  <c r="FJ108" i="2"/>
  <c r="FJ157" i="2"/>
  <c r="FJ45" i="2"/>
  <c r="FJ19" i="2"/>
  <c r="FJ77" i="2"/>
  <c r="FJ52" i="2"/>
  <c r="FJ30" i="2"/>
  <c r="FJ128" i="2"/>
  <c r="FJ93" i="2"/>
  <c r="FJ27" i="2"/>
  <c r="FJ25" i="2"/>
  <c r="FJ66" i="2"/>
  <c r="FJ68" i="2"/>
  <c r="FJ102" i="2"/>
  <c r="FJ104" i="2"/>
  <c r="FJ87" i="2"/>
  <c r="FJ181" i="2"/>
  <c r="FJ170" i="2"/>
  <c r="FJ185" i="2"/>
  <c r="FJ119" i="2"/>
  <c r="FJ202" i="2"/>
  <c r="FJ64" i="2"/>
  <c r="FJ153" i="2"/>
  <c r="FJ155" i="2"/>
  <c r="FJ103" i="2"/>
  <c r="FJ171" i="2"/>
  <c r="FJ148" i="2"/>
  <c r="FJ120" i="2"/>
  <c r="FJ23" i="2"/>
  <c r="FJ33" i="2"/>
  <c r="FJ174" i="2"/>
  <c r="FJ12" i="2"/>
  <c r="FJ84" i="2"/>
  <c r="FJ193" i="2"/>
  <c r="FJ118" i="2"/>
  <c r="FJ34" i="2"/>
  <c r="FJ186" i="2"/>
  <c r="FJ125" i="2"/>
  <c r="FJ31" i="2"/>
  <c r="FJ154" i="2"/>
  <c r="FJ158" i="2"/>
  <c r="FJ41" i="2"/>
  <c r="FJ15" i="2"/>
  <c r="FJ17" i="2"/>
  <c r="FJ131" i="2"/>
  <c r="FJ169" i="2"/>
  <c r="FJ99" i="2"/>
  <c r="FJ42" i="2"/>
  <c r="FJ175" i="2"/>
  <c r="FJ21" i="2"/>
  <c r="FJ20" i="2"/>
  <c r="FJ161" i="2"/>
  <c r="FJ88" i="2"/>
  <c r="FJ43" i="2"/>
  <c r="FJ105" i="2"/>
  <c r="FJ137" i="2"/>
  <c r="FJ114" i="2"/>
  <c r="FJ73" i="2"/>
  <c r="FJ78" i="2"/>
  <c r="FJ71" i="2"/>
  <c r="FJ106" i="2"/>
  <c r="FJ110" i="2"/>
  <c r="FJ57" i="2"/>
  <c r="FJ149" i="2"/>
  <c r="FJ91" i="2"/>
  <c r="FJ96" i="2"/>
  <c r="FJ132" i="2"/>
  <c r="FJ26" i="2"/>
  <c r="FJ144" i="2"/>
  <c r="FJ192" i="2"/>
  <c r="FJ62" i="2"/>
  <c r="FJ124" i="2"/>
  <c r="FJ89" i="2"/>
  <c r="FJ179" i="2"/>
  <c r="FJ117" i="2"/>
  <c r="FJ146" i="2"/>
  <c r="FJ16" i="2"/>
  <c r="FJ188" i="2"/>
  <c r="FJ201" i="2"/>
  <c r="FJ39" i="2"/>
  <c r="FJ86" i="2"/>
  <c r="FJ168" i="2"/>
  <c r="FJ164" i="2"/>
  <c r="FJ187" i="2"/>
  <c r="FJ190" i="2"/>
  <c r="FJ189" i="2"/>
  <c r="FJ112" i="2"/>
  <c r="FJ138" i="2"/>
  <c r="FJ176" i="2"/>
  <c r="FJ147" i="2"/>
  <c r="FJ107" i="2"/>
  <c r="FJ115" i="2"/>
  <c r="FJ8" i="2"/>
  <c r="FJ83" i="2"/>
  <c r="FJ199" i="2"/>
  <c r="FJ194" i="2"/>
  <c r="FJ13" i="2"/>
  <c r="FJ59" i="2"/>
  <c r="FJ100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AN100" i="2" l="1"/>
  <c r="AN50" i="2"/>
  <c r="AN143" i="2"/>
  <c r="AN106" i="2"/>
  <c r="AN155" i="2"/>
  <c r="AN86" i="2"/>
  <c r="AN69" i="2"/>
  <c r="AN67" i="2"/>
  <c r="AN176" i="2"/>
  <c r="AN138" i="2"/>
  <c r="AN79" i="2"/>
  <c r="AN93" i="2"/>
  <c r="AN49" i="2"/>
  <c r="AN13" i="2"/>
  <c r="AN189" i="2"/>
  <c r="AN23" i="2"/>
  <c r="AN141" i="2"/>
  <c r="AN117" i="2"/>
  <c r="AN80" i="2"/>
  <c r="AN174" i="2"/>
  <c r="AN190" i="2"/>
  <c r="AN122" i="2"/>
  <c r="AN152" i="2"/>
  <c r="AN70" i="2"/>
  <c r="AN33" i="2"/>
  <c r="AN139" i="2"/>
  <c r="AN178" i="2"/>
  <c r="AN191" i="2"/>
  <c r="AN55" i="2"/>
  <c r="AN102" i="2"/>
  <c r="AN57" i="2"/>
  <c r="AN15" i="2"/>
  <c r="AN160" i="2"/>
  <c r="AN37" i="2"/>
  <c r="AN66" i="2"/>
  <c r="AN165" i="2"/>
  <c r="AN44" i="2"/>
  <c r="AN187" i="2"/>
  <c r="AN159" i="2"/>
  <c r="AN201" i="2"/>
  <c r="AN149" i="2"/>
  <c r="AN151" i="2"/>
  <c r="AN89" i="2"/>
  <c r="AN186" i="2"/>
  <c r="AN194" i="2"/>
  <c r="AN197" i="2"/>
  <c r="AN64" i="2"/>
  <c r="AN8" i="2"/>
  <c r="AN156" i="2"/>
  <c r="AN27" i="2"/>
  <c r="AN68" i="2"/>
  <c r="AN157" i="2"/>
  <c r="AN43" i="2"/>
  <c r="AN96" i="2"/>
  <c r="AN103" i="2"/>
  <c r="AN130" i="2"/>
  <c r="AN104" i="2"/>
  <c r="AN41" i="2"/>
  <c r="AN120" i="2"/>
  <c r="AN188" i="2"/>
  <c r="AN78" i="2"/>
  <c r="AN91" i="2"/>
  <c r="AN181" i="2"/>
  <c r="AN46" i="2"/>
  <c r="AN166" i="2"/>
  <c r="AN161" i="2"/>
  <c r="AN58" i="2"/>
  <c r="AN92" i="2"/>
  <c r="AN203" i="2"/>
  <c r="AN82" i="2"/>
  <c r="AN195" i="2"/>
  <c r="AN25" i="2"/>
  <c r="AN81" i="2"/>
  <c r="AN132" i="2"/>
  <c r="AN3" i="2"/>
  <c r="C7" i="4" s="1"/>
  <c r="E7" i="4" s="1"/>
  <c r="F7" i="4" s="1"/>
  <c r="G7" i="4" s="1"/>
  <c r="L7" i="4" s="1"/>
  <c r="AN94" i="2"/>
  <c r="AN169" i="2"/>
  <c r="AN7" i="2"/>
  <c r="AN185" i="2"/>
  <c r="AN125" i="2"/>
  <c r="AN126" i="2"/>
  <c r="AN48" i="2"/>
  <c r="AN31" i="2"/>
  <c r="AN16" i="2"/>
  <c r="AN114" i="2"/>
  <c r="AN39" i="2"/>
  <c r="AN162" i="2"/>
  <c r="AN73" i="2"/>
  <c r="AN88" i="2"/>
  <c r="AN115" i="2"/>
  <c r="AN51" i="2"/>
  <c r="AN34" i="2"/>
  <c r="AN135" i="2"/>
  <c r="AN14" i="2"/>
  <c r="AN21" i="2"/>
  <c r="AN9" i="2"/>
  <c r="AN62" i="2"/>
  <c r="AN54" i="2"/>
  <c r="AN22" i="2"/>
  <c r="AN123" i="2"/>
  <c r="AN72" i="2"/>
  <c r="AN112" i="2"/>
  <c r="AN77" i="2"/>
  <c r="AN168" i="2"/>
  <c r="AN4" i="2"/>
  <c r="AN158" i="2"/>
  <c r="AN12" i="2"/>
  <c r="AN74" i="2"/>
  <c r="AN133" i="2"/>
  <c r="AN140" i="2"/>
  <c r="AN147" i="2"/>
  <c r="AN28" i="2"/>
  <c r="AN107" i="2"/>
  <c r="AN182" i="2"/>
  <c r="AN45" i="2"/>
  <c r="AN131" i="2"/>
  <c r="AN113" i="2"/>
  <c r="AN111" i="2"/>
  <c r="AN85" i="2"/>
  <c r="AN98" i="2"/>
  <c r="AN84" i="2"/>
  <c r="AN110" i="2"/>
  <c r="AN65" i="2"/>
  <c r="AN153" i="2"/>
  <c r="AN173" i="2"/>
  <c r="AN76" i="2"/>
  <c r="AN154" i="2"/>
  <c r="AN198" i="2"/>
  <c r="AN172" i="2"/>
  <c r="AN101" i="2"/>
  <c r="AN38" i="2"/>
  <c r="AN71" i="2"/>
  <c r="AN24" i="2"/>
  <c r="AN150" i="2"/>
  <c r="AN10" i="2"/>
  <c r="AN32" i="2"/>
  <c r="AN95" i="2"/>
  <c r="AN97" i="2"/>
  <c r="AN116" i="2"/>
  <c r="AN196" i="2"/>
  <c r="AN87" i="2"/>
  <c r="AN75" i="2"/>
  <c r="AN193" i="2"/>
  <c r="AN53" i="2"/>
  <c r="AN184" i="2"/>
  <c r="AN5" i="2"/>
  <c r="AN128" i="2"/>
  <c r="AN90" i="2"/>
  <c r="AN105" i="2"/>
  <c r="AN163" i="2"/>
  <c r="AN26" i="2"/>
  <c r="AN63" i="2"/>
  <c r="AN19" i="2"/>
  <c r="AN137" i="2"/>
  <c r="AN60" i="2"/>
  <c r="AN144" i="2"/>
  <c r="AN136" i="2"/>
  <c r="AN118" i="2"/>
  <c r="AN121" i="2"/>
  <c r="AN202" i="2"/>
  <c r="AN124" i="2"/>
  <c r="AN20" i="2"/>
  <c r="AN145" i="2"/>
  <c r="AN99" i="2"/>
  <c r="AN30" i="2"/>
  <c r="AN146" i="2"/>
  <c r="AN171" i="2"/>
  <c r="AN40" i="2"/>
  <c r="AN61" i="2"/>
  <c r="AN83" i="2"/>
  <c r="AN47" i="2"/>
  <c r="AN167" i="2"/>
  <c r="AN175" i="2"/>
  <c r="AN199" i="2"/>
  <c r="AN35" i="2"/>
  <c r="AN11" i="2"/>
  <c r="AN164" i="2"/>
  <c r="AN192" i="2"/>
  <c r="AN134" i="2"/>
  <c r="AN148" i="2"/>
  <c r="AN179" i="2"/>
  <c r="AN129" i="2"/>
  <c r="AN180" i="2"/>
  <c r="AN36" i="2"/>
  <c r="AN109" i="2"/>
  <c r="AN52" i="2"/>
  <c r="AN17" i="2"/>
  <c r="AN119" i="2"/>
  <c r="AN29" i="2"/>
  <c r="AN177" i="2"/>
  <c r="AN200" i="2"/>
  <c r="AN142" i="2"/>
  <c r="AN59" i="2"/>
  <c r="AN42" i="2"/>
  <c r="AN18" i="2"/>
  <c r="AN183" i="2"/>
  <c r="AN170" i="2"/>
  <c r="AN127" i="2"/>
  <c r="AN108" i="2"/>
  <c r="AN56" i="2"/>
  <c r="AN6" i="2"/>
  <c r="FE175" i="2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83" i="2"/>
  <c r="BI152" i="2"/>
  <c r="BI58" i="2"/>
  <c r="BI45" i="2"/>
  <c r="BI181" i="2"/>
  <c r="BI90" i="2"/>
  <c r="BI146" i="2"/>
  <c r="BI196" i="2"/>
  <c r="BI173" i="2"/>
  <c r="BI73" i="2"/>
  <c r="BI145" i="2"/>
  <c r="BI28" i="2"/>
  <c r="BI65" i="2"/>
  <c r="BI135" i="2"/>
  <c r="BI32" i="2"/>
  <c r="BI121" i="2"/>
  <c r="BI116" i="2"/>
  <c r="BI172" i="2"/>
  <c r="BI71" i="2"/>
  <c r="BI169" i="2"/>
  <c r="BI192" i="2"/>
  <c r="BI61" i="2"/>
  <c r="BI40" i="2"/>
  <c r="BI133" i="2"/>
  <c r="BI202" i="2"/>
  <c r="BI120" i="2"/>
  <c r="BI78" i="2"/>
  <c r="BI69" i="2"/>
  <c r="BI56" i="2"/>
  <c r="BI143" i="2"/>
  <c r="BI16" i="2"/>
  <c r="BI85" i="2"/>
  <c r="BI97" i="2"/>
  <c r="BI60" i="2"/>
  <c r="BI106" i="2"/>
  <c r="BI64" i="2"/>
  <c r="BI182" i="2"/>
  <c r="BI150" i="2"/>
  <c r="BI144" i="2"/>
  <c r="BI59" i="2"/>
  <c r="BI34" i="2"/>
  <c r="BI31" i="2"/>
  <c r="BI44" i="2"/>
  <c r="BI11" i="2"/>
  <c r="BI53" i="2"/>
  <c r="BI111" i="2"/>
  <c r="BI38" i="2"/>
  <c r="BI9" i="2"/>
  <c r="BI54" i="2"/>
  <c r="BI151" i="2"/>
  <c r="BI23" i="2"/>
  <c r="BI115" i="2"/>
  <c r="BI13" i="2"/>
  <c r="BI183" i="2"/>
  <c r="BI108" i="2"/>
  <c r="BI107" i="2"/>
  <c r="BI86" i="2"/>
  <c r="BI197" i="2"/>
  <c r="BI95" i="2"/>
  <c r="BI126" i="2"/>
  <c r="BI35" i="2"/>
  <c r="BI92" i="2"/>
  <c r="BI57" i="2"/>
  <c r="BI21" i="2"/>
  <c r="BI170" i="2"/>
  <c r="BI82" i="2"/>
  <c r="BI154" i="2"/>
  <c r="BI22" i="2"/>
  <c r="BI39" i="2"/>
  <c r="BI187" i="2"/>
  <c r="BI190" i="2"/>
  <c r="BI5" i="2"/>
  <c r="BI167" i="2"/>
  <c r="BI99" i="2"/>
  <c r="BI179" i="2"/>
  <c r="BI102" i="2"/>
  <c r="BI124" i="2"/>
  <c r="BI147" i="2"/>
  <c r="BI98" i="2"/>
  <c r="BI188" i="2"/>
  <c r="BI189" i="2"/>
  <c r="BI157" i="2"/>
  <c r="BI163" i="2"/>
  <c r="BI29" i="2"/>
  <c r="BI113" i="2"/>
  <c r="BI184" i="2"/>
  <c r="BI55" i="2"/>
  <c r="BI80" i="2"/>
  <c r="BI134" i="2"/>
  <c r="BI155" i="2"/>
  <c r="BI123" i="2"/>
  <c r="BI164" i="2"/>
  <c r="BI70" i="2"/>
  <c r="BI8" i="2"/>
  <c r="BI136" i="2"/>
  <c r="BI119" i="2"/>
  <c r="BI138" i="2"/>
  <c r="BI52" i="2"/>
  <c r="BI195" i="2"/>
  <c r="BI176" i="2"/>
  <c r="BI198" i="2"/>
  <c r="BI109" i="2"/>
  <c r="BI19" i="2"/>
  <c r="BI160" i="2"/>
  <c r="BI185" i="2"/>
  <c r="BI166" i="2"/>
  <c r="BI194" i="2"/>
  <c r="BI84" i="2"/>
  <c r="BI91" i="2"/>
  <c r="BI17" i="2"/>
  <c r="BI140" i="2"/>
  <c r="BI94" i="2"/>
  <c r="BI203" i="2"/>
  <c r="BI49" i="2"/>
  <c r="BI125" i="2"/>
  <c r="BI89" i="2"/>
  <c r="BI168" i="2"/>
  <c r="BI62" i="2"/>
  <c r="BI142" i="2"/>
  <c r="BI27" i="2"/>
  <c r="BI15" i="2"/>
  <c r="BI37" i="2"/>
  <c r="BI201" i="2"/>
  <c r="BI79" i="2"/>
  <c r="BI46" i="2"/>
  <c r="BI175" i="2"/>
  <c r="BI100" i="2"/>
  <c r="BI3" i="2"/>
  <c r="C8" i="4" s="1"/>
  <c r="E8" i="4" s="1"/>
  <c r="F8" i="4" s="1"/>
  <c r="G8" i="4" s="1"/>
  <c r="L8" i="4" s="1"/>
  <c r="BI20" i="2"/>
  <c r="BI12" i="2"/>
  <c r="BI74" i="2"/>
  <c r="BI72" i="2"/>
  <c r="BI137" i="2"/>
  <c r="BI177" i="2"/>
  <c r="BI193" i="2"/>
  <c r="BI103" i="2"/>
  <c r="BI129" i="2"/>
  <c r="BI139" i="2"/>
  <c r="BI7" i="2"/>
  <c r="BI63" i="2"/>
  <c r="BI153" i="2"/>
  <c r="BI101" i="2"/>
  <c r="BI186" i="2"/>
  <c r="BI200" i="2"/>
  <c r="BI48" i="2"/>
  <c r="BI6" i="2"/>
  <c r="BI128" i="2"/>
  <c r="BI110" i="2"/>
  <c r="BI159" i="2"/>
  <c r="BI174" i="2"/>
  <c r="BI149" i="2"/>
  <c r="BI77" i="2"/>
  <c r="BI88" i="2"/>
  <c r="BI127" i="2"/>
  <c r="BI162" i="2"/>
  <c r="BI118" i="2"/>
  <c r="BI87" i="2"/>
  <c r="BI112" i="2"/>
  <c r="BI131" i="2"/>
  <c r="BI105" i="2"/>
  <c r="BI14" i="2"/>
  <c r="BI165" i="2"/>
  <c r="BI25" i="2"/>
  <c r="BI114" i="2"/>
  <c r="BI178" i="2"/>
  <c r="BI141" i="2"/>
  <c r="BI33" i="2"/>
  <c r="BI66" i="2"/>
  <c r="BI24" i="2"/>
  <c r="BI132" i="2"/>
  <c r="BI43" i="2"/>
  <c r="BI199" i="2"/>
  <c r="BI18" i="2"/>
  <c r="BI50" i="2"/>
  <c r="BI41" i="2"/>
  <c r="BI81" i="2"/>
  <c r="BI130" i="2"/>
  <c r="BI93" i="2"/>
  <c r="BI42" i="2"/>
  <c r="BI191" i="2"/>
  <c r="BI104" i="2"/>
  <c r="BI36" i="2"/>
  <c r="BI148" i="2"/>
  <c r="BI30" i="2"/>
  <c r="BI156" i="2"/>
  <c r="BI76" i="2"/>
  <c r="BI51" i="2"/>
  <c r="BI10" i="2"/>
  <c r="BI122" i="2"/>
  <c r="BI117" i="2"/>
  <c r="BI75" i="2"/>
  <c r="BI158" i="2"/>
  <c r="BI68" i="2"/>
  <c r="BI67" i="2"/>
  <c r="BI96" i="2"/>
  <c r="BI171" i="2"/>
  <c r="BI4" i="2"/>
  <c r="BI26" i="2"/>
  <c r="BI180" i="2"/>
  <c r="BI161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<sst xmlns="http://schemas.openxmlformats.org/spreadsheetml/2006/main" count="1174" uniqueCount="322">
  <si>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</si>
  <si>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</si>
  <si>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</si>
  <si>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</si>
  <si>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</si>
  <si>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</si>
  <si>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</si>
  <si>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</si>
  <si>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</si>
  <si>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</si>
  <si>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</si>
  <si>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</si>
  <si>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</si>
  <si>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</si>
  <si>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</si>
  <si>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</si>
  <si>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</si>
  <si>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</si>
  <si>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</si>
  <si>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</si>
  <si>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</si>
  <si>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</si>
  <si>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</si>
  <si>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</si>
  <si>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</si>
  <si>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</si>
  <si>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</si>
  <si>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</si>
  <si>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</si>
  <si>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</si>
  <si>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</si>
  <si>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</si>
  <si>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</si>
  <si>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</si>
  <si>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</si>
  <si>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</si>
  <si>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</si>
  <si>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</si>
  <si>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</si>
  <si>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</si>
  <si>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</si>
  <si>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</si>
  <si>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</si>
  <si>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</si>
  <si>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</si>
  <si>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</si>
  <si>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</si>
  <si>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</si>
  <si>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</si>
  <si>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</si>
  <si>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</si>
  <si>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</si>
  <si>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</si>
  <si>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</si>
  <si>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</si>
  <si>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</si>
  <si>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</si>
  <si>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</si>
  <si>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</si>
  <si>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</si>
  <si>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</si>
  <si>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</si>
  <si>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</si>
  <si>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</si>
  <si>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</si>
  <si>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</si>
  <si>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</si>
  <si>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</si>
  <si>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</si>
  <si>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</si>
  <si>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</si>
  <si>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</si>
  <si>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</si>
  <si>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</si>
  <si>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</si>
  <si>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</si>
  <si>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</si>
  <si>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</si>
  <si>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</si>
  <si>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</si>
  <si>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</si>
  <si>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</si>
  <si>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</si>
  <si>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</si>
  <si>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</si>
  <si>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</si>
  <si>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</si>
  <si>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</si>
  <si>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</si>
  <si>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</si>
  <si>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</si>
  <si>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</si>
  <si>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</si>
  <si>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</si>
  <si>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</si>
  <si>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</si>
  <si>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</si>
  <si>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</si>
  <si>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</si>
  <si>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</si>
  <si>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</si>
  <si>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</si>
  <si>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</si>
  <si>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</si>
  <si>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</si>
  <si>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</si>
  <si>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</si>
  <si>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</si>
  <si>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</si>
  <si>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</si>
  <si>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</si>
  <si>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</si>
  <si>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</si>
  <si>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</si>
  <si>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</si>
  <si>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</si>
  <si>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</si>
  <si>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</si>
  <si>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</si>
  <si>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</si>
  <si>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</si>
  <si>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</si>
  <si>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</si>
  <si>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</si>
  <si>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</si>
  <si>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</si>
  <si>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</si>
  <si>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</si>
  <si>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</si>
  <si>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</si>
  <si>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</si>
  <si>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</si>
  <si>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</si>
  <si>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</si>
  <si>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</si>
  <si>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</si>
  <si>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</si>
  <si>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</si>
  <si>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</si>
  <si>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</si>
  <si>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</si>
  <si>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</si>
  <si>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</si>
  <si>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</si>
  <si>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</si>
  <si>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</si>
  <si>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</si>
  <si>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</si>
  <si>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</si>
  <si>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</si>
  <si>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</si>
  <si>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</si>
  <si>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</si>
  <si>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</si>
  <si>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</si>
  <si>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</si>
  <si>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</si>
  <si>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</si>
  <si>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</si>
  <si>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</si>
  <si>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</si>
  <si>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</si>
  <si>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</si>
  <si>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</si>
  <si>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</si>
  <si>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</si>
  <si>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</si>
  <si>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</si>
  <si>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</si>
  <si>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</si>
  <si>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</si>
  <si>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</si>
  <si>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</si>
  <si>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</si>
  <si>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</si>
  <si>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</si>
  <si>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</si>
  <si>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</si>
  <si>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</si>
  <si>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</si>
  <si>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</si>
  <si>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</si>
  <si>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</si>
  <si>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</si>
  <si>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</si>
  <si>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</si>
  <si>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</si>
  <si>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</si>
  <si>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</si>
  <si>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</si>
  <si>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</si>
  <si>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</si>
  <si>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</si>
  <si>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</si>
  <si>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</si>
  <si>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</si>
  <si>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</si>
  <si>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</si>
  <si>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</si>
  <si>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</si>
  <si>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</si>
  <si>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</si>
  <si>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</si>
  <si>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</si>
  <si>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</si>
  <si>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</si>
  <si>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</si>
  <si>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</si>
  <si>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</si>
  <si>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</si>
  <si>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</si>
  <si>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</si>
  <si>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</si>
  <si>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</si>
  <si>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</si>
  <si>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</si>
  <si>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</si>
  <si>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</si>
  <si>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</si>
  <si>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</si>
  <si>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</si>
  <si>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</si>
  <si>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</si>
  <si>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</si>
  <si>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</si>
  <si>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</si>
  <si>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</si>
  <si>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</si>
  <si>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</si>
  <si>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</si>
  <si>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</si>
  <si>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</si>
  <si>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</si>
  <si>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</si>
  <si>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</si>
  <si>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</si>
  <si>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</si>
  <si>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</si>
  <si>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</si>
  <si>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</si>
  <si>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</si>
  <si>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</si>
  <si>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</si>
  <si>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</si>
  <si>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</si>
  <si>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</si>
  <si>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</si>
  <si>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</si>
  <si>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</si>
  <si>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</si>
  <si>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</si>
  <si>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</si>
  <si>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</si>
  <si>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</si>
  <si>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</si>
  <si>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</si>
  <si>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</si>
  <si>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</si>
  <si>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</si>
  <si>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</si>
  <si>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</si>
  <si>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</si>
  <si>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</si>
  <si>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</si>
  <si>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</si>
  <si>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</si>
  <si>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</si>
  <si>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</si>
  <si>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</si>
  <si>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</si>
  <si>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</si>
  <si>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</si>
  <si>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</si>
  <si>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</si>
  <si>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</si>
  <si>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</si>
  <si>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</si>
  <si>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</si>
  <si>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</si>
  <si>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</si>
  <si>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</si>
  <si>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</si>
  <si>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</si>
  <si>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</si>
  <si>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</si>
  <si>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</si>
  <si>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</si>
  <si>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</si>
  <si>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</si>
  <si>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</si>
  <si>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</si>
  <si>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</si>
  <si>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</si>
  <si>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</si>
  <si>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</si>
  <si>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</si>
  <si>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</si>
  <si>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</si>
  <si>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</si>
  <si>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</si>
  <si>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</si>
  <si>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</si>
  <si>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</si>
  <si>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</si>
  <si>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</si>
  <si>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</si>
  <si>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</si>
  <si>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</si>
  <si>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</si>
  <si>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</si>
  <si>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</si>
  <si>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</si>
  <si>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</si>
  <si>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</si>
  <si>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</si>
  <si>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</si>
  <si>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</si>
  <si>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</si>
  <si>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</si>
  <si>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</si>
  <si>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</si>
  <si>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NB : les 4 % restants du projet seront reboisés avec des feuillus divers (charme, alisier, poirier, tilleul) qui ne seront pas comptabilisés dans le chiffrage du gain carbone.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</si>
</sst>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 hidden="1"/>
    </xf>
    <xf numFmtId="168" fontId="32" fillId="21" borderId="10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1.764155111411178</c:v>
                </c:pt>
                <c:pt idx="2">
                  <c:v>2.1411841691996458</c:v>
                </c:pt>
                <c:pt idx="3">
                  <c:v>2.5991008589437397</c:v>
                </c:pt>
                <c:pt idx="4">
                  <c:v>3.1553217619555114</c:v>
                </c:pt>
                <c:pt idx="5">
                  <c:v>3.8310263037308534</c:v>
                </c:pt>
                <c:pt idx="6">
                  <c:v>4.6519722808687414</c:v>
                </c:pt>
                <c:pt idx="7">
                  <c:v>5.6494886536627176</c:v>
                </c:pt>
                <c:pt idx="8">
                  <c:v>6.861684238569917</c:v>
                </c:pt>
                <c:pt idx="9">
                  <c:v>8.3349193754887256</c:v>
                </c:pt>
                <c:pt idx="10">
                  <c:v>10.12559793371303</c:v>
                </c:pt>
                <c:pt idx="11">
                  <c:v>12.302349563083061</c:v>
                </c:pt>
                <c:pt idx="12">
                  <c:v>14.948687387855109</c:v>
                </c:pt>
                <c:pt idx="13">
                  <c:v>18.166244983552591</c:v>
                </c:pt>
                <c:pt idx="14">
                  <c:v>22.078719207629931</c:v>
                </c:pt>
                <c:pt idx="15">
                  <c:v>26.836673171201735</c:v>
                </c:pt>
                <c:pt idx="16">
                  <c:v>32.623387436999771</c:v>
                </c:pt>
                <c:pt idx="17">
                  <c:v>39.66198874491576</c:v>
                </c:pt>
                <c:pt idx="18">
                  <c:v>48.224135832093566</c:v>
                </c:pt>
                <c:pt idx="19">
                  <c:v>58.640603219888362</c:v>
                </c:pt>
                <c:pt idx="20">
                  <c:v>71.314178613898363</c:v>
                </c:pt>
                <c:pt idx="21">
                  <c:v>86.735380769636649</c:v>
                </c:pt>
                <c:pt idx="22">
                  <c:v>105.50161593242717</c:v>
                </c:pt>
                <c:pt idx="23">
                  <c:v>128.34052668035611</c:v>
                </c:pt>
                <c:pt idx="24">
                  <c:v>156.13845257158786</c:v>
                </c:pt>
                <c:pt idx="25">
                  <c:v>189.97512399838612</c:v>
                </c:pt>
                <c:pt idx="26">
                  <c:v>231.16595710684797</c:v>
                </c:pt>
                <c:pt idx="27">
                  <c:v>281.31361835193161</c:v>
                </c:pt>
                <c:pt idx="28">
                  <c:v>342.37089418257466</c:v>
                </c:pt>
                <c:pt idx="29">
                  <c:v>289.5804367740414</c:v>
                </c:pt>
                <c:pt idx="30">
                  <c:v>313.35190006172803</c:v>
                </c:pt>
                <c:pt idx="31">
                  <c:v>337.08338071755128</c:v>
                </c:pt>
                <c:pt idx="32">
                  <c:v>360.77808747233183</c:v>
                </c:pt>
                <c:pt idx="33">
                  <c:v>384.43877330198114</c:v>
                </c:pt>
                <c:pt idx="34">
                  <c:v>408.06782480829406</c:v>
                </c:pt>
                <c:pt idx="35">
                  <c:v>431.66732980483766</c:v>
                </c:pt>
                <c:pt idx="36">
                  <c:v>368.10109675197208</c:v>
                </c:pt>
                <c:pt idx="37">
                  <c:v>391.41168395580547</c:v>
                </c:pt>
                <c:pt idx="38">
                  <c:v>414.6921671769374</c:v>
                </c:pt>
                <c:pt idx="39">
                  <c:v>437.94447268119819</c:v>
                </c:pt>
                <c:pt idx="40">
                  <c:v>461.17030563777286</c:v>
                </c:pt>
                <c:pt idx="41">
                  <c:v>484.37118557987498</c:v>
                </c:pt>
                <c:pt idx="42">
                  <c:v>507.54847471808051</c:v>
                </c:pt>
                <c:pt idx="43">
                  <c:v>438.45334520685856</c:v>
                </c:pt>
                <c:pt idx="44">
                  <c:v>460.66198322185556</c:v>
                </c:pt>
                <c:pt idx="45">
                  <c:v>482.84777825479341</c:v>
                </c:pt>
                <c:pt idx="46">
                  <c:v>505.01192662355203</c:v>
                </c:pt>
                <c:pt idx="47">
                  <c:v>527.15551115917788</c:v>
                </c:pt>
                <c:pt idx="48">
                  <c:v>549.27951638276431</c:v>
                </c:pt>
                <c:pt idx="49">
                  <c:v>571.38484111103946</c:v>
                </c:pt>
                <c:pt idx="50">
                  <c:v>497.23149189337681</c:v>
                </c:pt>
                <c:pt idx="51">
                  <c:v>517.69200252251403</c:v>
                </c:pt>
                <c:pt idx="52">
                  <c:v>538.13546036834725</c:v>
                </c:pt>
                <c:pt idx="53">
                  <c:v>558.56260388366002</c:v>
                </c:pt>
                <c:pt idx="54">
                  <c:v>578.97411315040551</c:v>
                </c:pt>
                <c:pt idx="55">
                  <c:v>599.37061643041295</c:v>
                </c:pt>
                <c:pt idx="56">
                  <c:v>619.75269577860888</c:v>
                </c:pt>
                <c:pt idx="57">
                  <c:v>537.79768652493578</c:v>
                </c:pt>
                <c:pt idx="58">
                  <c:v>556.19994499698703</c:v>
                </c:pt>
                <c:pt idx="59">
                  <c:v>574.58945551907846</c:v>
                </c:pt>
                <c:pt idx="60">
                  <c:v>592.96668321961113</c:v>
                </c:pt>
                <c:pt idx="61">
                  <c:v>611.33206206789123</c:v>
                </c:pt>
                <c:pt idx="62">
                  <c:v>629.68599785389995</c:v>
                </c:pt>
                <c:pt idx="63">
                  <c:v>648.02887080282289</c:v>
                </c:pt>
                <c:pt idx="64">
                  <c:v>565.31190831763899</c:v>
                </c:pt>
                <c:pt idx="65">
                  <c:v>581.67201932756836</c:v>
                </c:pt>
                <c:pt idx="66">
                  <c:v>598.02253874306132</c:v>
                </c:pt>
                <c:pt idx="67">
                  <c:v>614.36376557442816</c:v>
                </c:pt>
                <c:pt idx="68">
                  <c:v>630.69598163909245</c:v>
                </c:pt>
                <c:pt idx="69">
                  <c:v>647.01945297892712</c:v>
                </c:pt>
                <c:pt idx="70">
                  <c:v>663.33443112721886</c:v>
                </c:pt>
                <c:pt idx="71">
                  <c:v>663.33443112721886</c:v>
                </c:pt>
                <c:pt idx="72">
                  <c:v>663.33443112721886</c:v>
                </c:pt>
                <c:pt idx="73">
                  <c:v>663.33443112721886</c:v>
                </c:pt>
                <c:pt idx="74">
                  <c:v>663.33443112721886</c:v>
                </c:pt>
                <c:pt idx="75">
                  <c:v>663.33443112721886</c:v>
                </c:pt>
                <c:pt idx="76">
                  <c:v>663.33443112721886</c:v>
                </c:pt>
                <c:pt idx="77">
                  <c:v>663.33443112721886</c:v>
                </c:pt>
                <c:pt idx="78">
                  <c:v>663.33443112721886</c:v>
                </c:pt>
                <c:pt idx="79">
                  <c:v>663.33443112721886</c:v>
                </c:pt>
                <c:pt idx="80">
                  <c:v>663.33443112721886</c:v>
                </c:pt>
                <c:pt idx="81">
                  <c:v>663.33443112721886</c:v>
                </c:pt>
                <c:pt idx="82">
                  <c:v>663.33443112721886</c:v>
                </c:pt>
                <c:pt idx="83">
                  <c:v>663.33443112721886</c:v>
                </c:pt>
                <c:pt idx="84">
                  <c:v>663.33443112721886</c:v>
                </c:pt>
                <c:pt idx="85">
                  <c:v>663.33443112721886</c:v>
                </c:pt>
                <c:pt idx="86">
                  <c:v>663.33443112721886</c:v>
                </c:pt>
                <c:pt idx="87">
                  <c:v>663.33443112721886</c:v>
                </c:pt>
                <c:pt idx="88">
                  <c:v>663.33443112721886</c:v>
                </c:pt>
                <c:pt idx="89">
                  <c:v>663.33443112721886</c:v>
                </c:pt>
                <c:pt idx="90">
                  <c:v>663.33443112721886</c:v>
                </c:pt>
                <c:pt idx="91">
                  <c:v>663.33443112721886</c:v>
                </c:pt>
                <c:pt idx="92">
                  <c:v>663.33443112721886</c:v>
                </c:pt>
                <c:pt idx="93">
                  <c:v>663.33443112721886</c:v>
                </c:pt>
                <c:pt idx="94">
                  <c:v>663.33443112721886</c:v>
                </c:pt>
                <c:pt idx="95">
                  <c:v>663.33443112721886</c:v>
                </c:pt>
                <c:pt idx="96">
                  <c:v>663.33443112721886</c:v>
                </c:pt>
                <c:pt idx="97">
                  <c:v>663.33443112721886</c:v>
                </c:pt>
                <c:pt idx="98">
                  <c:v>663.33443112721886</c:v>
                </c:pt>
                <c:pt idx="99">
                  <c:v>663.33443112721886</c:v>
                </c:pt>
                <c:pt idx="100">
                  <c:v>663.33443112721886</c:v>
                </c:pt>
                <c:pt idx="101">
                  <c:v>663.33443112721886</c:v>
                </c:pt>
                <c:pt idx="102">
                  <c:v>663.33443112721886</c:v>
                </c:pt>
                <c:pt idx="103">
                  <c:v>663.33443112721886</c:v>
                </c:pt>
                <c:pt idx="104">
                  <c:v>663.33443112721886</c:v>
                </c:pt>
                <c:pt idx="105">
                  <c:v>663.33443112721886</c:v>
                </c:pt>
                <c:pt idx="106">
                  <c:v>663.33443112721886</c:v>
                </c:pt>
                <c:pt idx="107">
                  <c:v>663.33443112721886</c:v>
                </c:pt>
                <c:pt idx="108">
                  <c:v>663.33443112721886</c:v>
                </c:pt>
                <c:pt idx="109">
                  <c:v>663.33443112721886</c:v>
                </c:pt>
                <c:pt idx="110">
                  <c:v>663.33443112721886</c:v>
                </c:pt>
                <c:pt idx="111">
                  <c:v>663.33443112721886</c:v>
                </c:pt>
                <c:pt idx="112">
                  <c:v>663.33443112721886</c:v>
                </c:pt>
                <c:pt idx="113">
                  <c:v>663.33443112721886</c:v>
                </c:pt>
                <c:pt idx="114">
                  <c:v>663.33443112721886</c:v>
                </c:pt>
                <c:pt idx="115">
                  <c:v>663.33443112721886</c:v>
                </c:pt>
                <c:pt idx="116">
                  <c:v>663.33443112721886</c:v>
                </c:pt>
                <c:pt idx="117">
                  <c:v>663.33443112721886</c:v>
                </c:pt>
                <c:pt idx="118">
                  <c:v>663.33443112721886</c:v>
                </c:pt>
                <c:pt idx="119">
                  <c:v>663.33443112721886</c:v>
                </c:pt>
                <c:pt idx="120">
                  <c:v>663.33443112721886</c:v>
                </c:pt>
                <c:pt idx="121">
                  <c:v>663.33443112721886</c:v>
                </c:pt>
                <c:pt idx="122">
                  <c:v>663.33443112721886</c:v>
                </c:pt>
                <c:pt idx="123">
                  <c:v>663.33443112721886</c:v>
                </c:pt>
                <c:pt idx="124">
                  <c:v>663.33443112721886</c:v>
                </c:pt>
                <c:pt idx="125">
                  <c:v>663.33443112721886</c:v>
                </c:pt>
                <c:pt idx="126">
                  <c:v>663.33443112721886</c:v>
                </c:pt>
                <c:pt idx="127">
                  <c:v>663.33443112721886</c:v>
                </c:pt>
                <c:pt idx="128">
                  <c:v>663.33443112721886</c:v>
                </c:pt>
                <c:pt idx="129">
                  <c:v>663.33443112721886</c:v>
                </c:pt>
                <c:pt idx="130">
                  <c:v>663.33443112721886</c:v>
                </c:pt>
                <c:pt idx="131">
                  <c:v>663.33443112721886</c:v>
                </c:pt>
                <c:pt idx="132">
                  <c:v>663.33443112721886</c:v>
                </c:pt>
                <c:pt idx="133">
                  <c:v>663.33443112721886</c:v>
                </c:pt>
                <c:pt idx="134">
                  <c:v>663.33443112721886</c:v>
                </c:pt>
                <c:pt idx="135">
                  <c:v>663.33443112721886</c:v>
                </c:pt>
                <c:pt idx="136">
                  <c:v>663.33443112721886</c:v>
                </c:pt>
                <c:pt idx="137">
                  <c:v>663.33443112721886</c:v>
                </c:pt>
                <c:pt idx="138">
                  <c:v>663.33443112721886</c:v>
                </c:pt>
                <c:pt idx="139">
                  <c:v>663.33443112721886</c:v>
                </c:pt>
                <c:pt idx="140">
                  <c:v>663.33443112721886</c:v>
                </c:pt>
                <c:pt idx="141">
                  <c:v>663.33443112721886</c:v>
                </c:pt>
                <c:pt idx="142">
                  <c:v>663.33443112721886</c:v>
                </c:pt>
                <c:pt idx="143">
                  <c:v>663.33443112721886</c:v>
                </c:pt>
                <c:pt idx="144">
                  <c:v>663.33443112721886</c:v>
                </c:pt>
                <c:pt idx="145">
                  <c:v>663.33443112721886</c:v>
                </c:pt>
                <c:pt idx="146">
                  <c:v>663.33443112721886</c:v>
                </c:pt>
                <c:pt idx="147">
                  <c:v>663.33443112721886</c:v>
                </c:pt>
                <c:pt idx="148">
                  <c:v>663.33443112721886</c:v>
                </c:pt>
                <c:pt idx="149">
                  <c:v>663.33443112721886</c:v>
                </c:pt>
                <c:pt idx="150">
                  <c:v>663.33443112721886</c:v>
                </c:pt>
                <c:pt idx="151">
                  <c:v>663.33443112721886</c:v>
                </c:pt>
                <c:pt idx="152">
                  <c:v>663.33443112721886</c:v>
                </c:pt>
                <c:pt idx="153">
                  <c:v>663.33443112721886</c:v>
                </c:pt>
                <c:pt idx="154">
                  <c:v>663.33443112721886</c:v>
                </c:pt>
                <c:pt idx="155">
                  <c:v>663.33443112721886</c:v>
                </c:pt>
                <c:pt idx="156">
                  <c:v>663.33443112721886</c:v>
                </c:pt>
                <c:pt idx="157">
                  <c:v>663.33443112721886</c:v>
                </c:pt>
                <c:pt idx="158">
                  <c:v>663.33443112721886</c:v>
                </c:pt>
                <c:pt idx="159">
                  <c:v>663.33443112721886</c:v>
                </c:pt>
                <c:pt idx="160">
                  <c:v>663.33443112721886</c:v>
                </c:pt>
                <c:pt idx="161">
                  <c:v>663.33443112721886</c:v>
                </c:pt>
                <c:pt idx="162">
                  <c:v>663.33443112721886</c:v>
                </c:pt>
                <c:pt idx="163">
                  <c:v>663.33443112721886</c:v>
                </c:pt>
                <c:pt idx="164">
                  <c:v>663.33443112721886</c:v>
                </c:pt>
                <c:pt idx="165">
                  <c:v>663.33443112721886</c:v>
                </c:pt>
                <c:pt idx="166">
                  <c:v>663.33443112721886</c:v>
                </c:pt>
                <c:pt idx="167">
                  <c:v>663.33443112721886</c:v>
                </c:pt>
                <c:pt idx="168">
                  <c:v>663.33443112721886</c:v>
                </c:pt>
                <c:pt idx="169">
                  <c:v>663.33443112721886</c:v>
                </c:pt>
                <c:pt idx="170">
                  <c:v>663.33443112721886</c:v>
                </c:pt>
                <c:pt idx="171">
                  <c:v>663.33443112721886</c:v>
                </c:pt>
                <c:pt idx="172">
                  <c:v>663.33443112721886</c:v>
                </c:pt>
                <c:pt idx="173">
                  <c:v>663.33443112721886</c:v>
                </c:pt>
                <c:pt idx="174">
                  <c:v>663.33443112721886</c:v>
                </c:pt>
                <c:pt idx="175">
                  <c:v>663.33443112721886</c:v>
                </c:pt>
                <c:pt idx="176">
                  <c:v>663.33443112721886</c:v>
                </c:pt>
                <c:pt idx="177">
                  <c:v>663.33443112721886</c:v>
                </c:pt>
                <c:pt idx="178">
                  <c:v>663.33443112721886</c:v>
                </c:pt>
                <c:pt idx="179">
                  <c:v>663.33443112721886</c:v>
                </c:pt>
                <c:pt idx="180">
                  <c:v>663.33443112721886</c:v>
                </c:pt>
                <c:pt idx="181">
                  <c:v>663.33443112721886</c:v>
                </c:pt>
                <c:pt idx="182">
                  <c:v>663.33443112721886</c:v>
                </c:pt>
                <c:pt idx="183">
                  <c:v>663.33443112721886</c:v>
                </c:pt>
                <c:pt idx="184">
                  <c:v>663.33443112721886</c:v>
                </c:pt>
                <c:pt idx="185">
                  <c:v>663.33443112721886</c:v>
                </c:pt>
                <c:pt idx="186">
                  <c:v>663.33443112721886</c:v>
                </c:pt>
                <c:pt idx="187">
                  <c:v>663.33443112721886</c:v>
                </c:pt>
                <c:pt idx="188">
                  <c:v>663.33443112721886</c:v>
                </c:pt>
                <c:pt idx="189">
                  <c:v>663.33443112721886</c:v>
                </c:pt>
                <c:pt idx="190">
                  <c:v>663.33443112721886</c:v>
                </c:pt>
                <c:pt idx="191">
                  <c:v>663.33443112721886</c:v>
                </c:pt>
                <c:pt idx="192">
                  <c:v>663.33443112721886</c:v>
                </c:pt>
                <c:pt idx="193">
                  <c:v>663.33443112721886</c:v>
                </c:pt>
                <c:pt idx="194">
                  <c:v>663.33443112721886</c:v>
                </c:pt>
                <c:pt idx="195">
                  <c:v>663.33443112721886</c:v>
                </c:pt>
                <c:pt idx="196">
                  <c:v>663.33443112721886</c:v>
                </c:pt>
                <c:pt idx="197">
                  <c:v>663.33443112721886</c:v>
                </c:pt>
                <c:pt idx="198">
                  <c:v>663.33443112721886</c:v>
                </c:pt>
                <c:pt idx="199">
                  <c:v>663.33443112721886</c:v>
                </c:pt>
                <c:pt idx="200">
                  <c:v>663.33443112721886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2.3643901118185595</c:v>
                </c:pt>
                <c:pt idx="2">
                  <c:v>2.4194483839266239</c:v>
                </c:pt>
                <c:pt idx="3">
                  <c:v>2.4757929157491945</c:v>
                </c:pt>
                <c:pt idx="4">
                  <c:v>2.5334538485726248</c:v>
                </c:pt>
                <c:pt idx="5">
                  <c:v>2.5924620320248426</c:v>
                </c:pt>
                <c:pt idx="6">
                  <c:v>2.6528490407666645</c:v>
                </c:pt>
                <c:pt idx="7">
                  <c:v>2.7146471915773964</c:v>
                </c:pt>
                <c:pt idx="8">
                  <c:v>2.777889560844061</c:v>
                </c:pt>
                <c:pt idx="9">
                  <c:v>2.8426100024638394</c:v>
                </c:pt>
                <c:pt idx="10">
                  <c:v>2.9088431661694578</c:v>
                </c:pt>
                <c:pt idx="11">
                  <c:v>2.9766245162875826</c:v>
                </c:pt>
                <c:pt idx="12">
                  <c:v>3.0459903509404529</c:v>
                </c:pt>
                <c:pt idx="13">
                  <c:v>3.1169778217012638</c:v>
                </c:pt>
                <c:pt idx="14">
                  <c:v>3.1896249537140275</c:v>
                </c:pt>
                <c:pt idx="15">
                  <c:v>3.2639706662889298</c:v>
                </c:pt>
                <c:pt idx="16">
                  <c:v>3.3400547939844469</c:v>
                </c:pt>
                <c:pt idx="17">
                  <c:v>3.4179181081877323</c:v>
                </c:pt>
                <c:pt idx="18">
                  <c:v>3.4976023392051037</c:v>
                </c:pt>
                <c:pt idx="19">
                  <c:v>3.579150198874697</c:v>
                </c:pt>
                <c:pt idx="20">
                  <c:v>3.6626054037136577</c:v>
                </c:pt>
                <c:pt idx="21">
                  <c:v>3.7480126986125533</c:v>
                </c:pt>
                <c:pt idx="22">
                  <c:v>3.835417881089942</c:v>
                </c:pt>
                <c:pt idx="23">
                  <c:v>3.9248678261204</c:v>
                </c:pt>
                <c:pt idx="24">
                  <c:v>4.0164105115495783</c:v>
                </c:pt>
                <c:pt idx="25">
                  <c:v>4.1100950441102029</c:v>
                </c:pt>
                <c:pt idx="26">
                  <c:v>4.205971686053263</c:v>
                </c:pt>
                <c:pt idx="27">
                  <c:v>4.3040918824089731</c:v>
                </c:pt>
                <c:pt idx="28">
                  <c:v>4.4045082888924094</c:v>
                </c:pt>
                <c:pt idx="29">
                  <c:v>4.5072748004691539</c:v>
                </c:pt>
                <c:pt idx="30">
                  <c:v>10.660980353446108</c:v>
                </c:pt>
                <c:pt idx="31">
                  <c:v>16.699479952745079</c:v>
                </c:pt>
                <c:pt idx="32">
                  <c:v>22.672645950902766</c:v>
                </c:pt>
                <c:pt idx="33">
                  <c:v>28.600497631340776</c:v>
                </c:pt>
                <c:pt idx="34">
                  <c:v>34.493863202403723</c:v>
                </c:pt>
                <c:pt idx="35">
                  <c:v>40.359510737691799</c:v>
                </c:pt>
                <c:pt idx="36">
                  <c:v>46.202059206712626</c:v>
                </c:pt>
                <c:pt idx="37">
                  <c:v>52.024854558642552</c:v>
                </c:pt>
                <c:pt idx="38">
                  <c:v>74.660965248336623</c:v>
                </c:pt>
                <c:pt idx="39">
                  <c:v>105.07231079673761</c:v>
                </c:pt>
                <c:pt idx="40">
                  <c:v>135.26410383799654</c:v>
                </c:pt>
                <c:pt idx="41">
                  <c:v>165.29274200194843</c:v>
                </c:pt>
                <c:pt idx="42">
                  <c:v>195.19217335833739</c:v>
                </c:pt>
                <c:pt idx="43">
                  <c:v>224.98501498915439</c:v>
                </c:pt>
                <c:pt idx="44">
                  <c:v>254.68737725287735</c:v>
                </c:pt>
                <c:pt idx="45">
                  <c:v>284.31129577048597</c:v>
                </c:pt>
                <c:pt idx="46">
                  <c:v>254.44424843793846</c:v>
                </c:pt>
                <c:pt idx="47">
                  <c:v>273.15019373627206</c:v>
                </c:pt>
                <c:pt idx="48">
                  <c:v>291.82734917408254</c:v>
                </c:pt>
                <c:pt idx="49">
                  <c:v>310.47781610568069</c:v>
                </c:pt>
                <c:pt idx="50">
                  <c:v>329.10342280563549</c:v>
                </c:pt>
                <c:pt idx="51">
                  <c:v>347.70577372743418</c:v>
                </c:pt>
                <c:pt idx="52">
                  <c:v>366.28628766255997</c:v>
                </c:pt>
                <c:pt idx="53">
                  <c:v>384.84622774857968</c:v>
                </c:pt>
                <c:pt idx="54">
                  <c:v>314.35006201176537</c:v>
                </c:pt>
                <c:pt idx="55">
                  <c:v>330.79548404889391</c:v>
                </c:pt>
                <c:pt idx="56">
                  <c:v>347.2228777949494</c:v>
                </c:pt>
                <c:pt idx="57">
                  <c:v>363.63321608721026</c:v>
                </c:pt>
                <c:pt idx="58">
                  <c:v>380.02737680126438</c:v>
                </c:pt>
                <c:pt idx="59">
                  <c:v>396.40615590256039</c:v>
                </c:pt>
                <c:pt idx="60">
                  <c:v>412.77027822799613</c:v>
                </c:pt>
                <c:pt idx="61">
                  <c:v>429.12040646848055</c:v>
                </c:pt>
                <c:pt idx="62">
                  <c:v>354.223437181012</c:v>
                </c:pt>
                <c:pt idx="63">
                  <c:v>369.9034369081246</c:v>
                </c:pt>
                <c:pt idx="64">
                  <c:v>385.56894185036396</c:v>
                </c:pt>
                <c:pt idx="65">
                  <c:v>401.22062373138323</c:v>
                </c:pt>
                <c:pt idx="66">
                  <c:v>416.8590975997692</c:v>
                </c:pt>
                <c:pt idx="67">
                  <c:v>432.48492860189475</c:v>
                </c:pt>
                <c:pt idx="68">
                  <c:v>448.09863772493946</c:v>
                </c:pt>
                <c:pt idx="69">
                  <c:v>463.70070669781398</c:v>
                </c:pt>
                <c:pt idx="70">
                  <c:v>395.92463969891566</c:v>
                </c:pt>
                <c:pt idx="71">
                  <c:v>410.8458259932824</c:v>
                </c:pt>
                <c:pt idx="72">
                  <c:v>425.75531709821058</c:v>
                </c:pt>
                <c:pt idx="73">
                  <c:v>440.65358016358783</c:v>
                </c:pt>
                <c:pt idx="74">
                  <c:v>455.54104818091383</c:v>
                </c:pt>
                <c:pt idx="75">
                  <c:v>470.41812353894551</c:v>
                </c:pt>
                <c:pt idx="76">
                  <c:v>485.28518110618751</c:v>
                </c:pt>
                <c:pt idx="77">
                  <c:v>500.14257091604276</c:v>
                </c:pt>
                <c:pt idx="78">
                  <c:v>496.54890971240934</c:v>
                </c:pt>
                <c:pt idx="79">
                  <c:v>500.62168434552069</c:v>
                </c:pt>
                <c:pt idx="80">
                  <c:v>504.69375764786105</c:v>
                </c:pt>
                <c:pt idx="81">
                  <c:v>508.7651360809777</c:v>
                </c:pt>
                <c:pt idx="82">
                  <c:v>512.83582599448357</c:v>
                </c:pt>
                <c:pt idx="83">
                  <c:v>516.90583362888981</c:v>
                </c:pt>
                <c:pt idx="84">
                  <c:v>520.97516511834272</c:v>
                </c:pt>
                <c:pt idx="85">
                  <c:v>525.04382649327351</c:v>
                </c:pt>
                <c:pt idx="86">
                  <c:v>460.10123848060107</c:v>
                </c:pt>
                <c:pt idx="87">
                  <c:v>473.7760638212348</c:v>
                </c:pt>
                <c:pt idx="88">
                  <c:v>487.44249082116932</c:v>
                </c:pt>
                <c:pt idx="89">
                  <c:v>501.10078806812868</c:v>
                </c:pt>
                <c:pt idx="90">
                  <c:v>514.75120831755794</c:v>
                </c:pt>
                <c:pt idx="91">
                  <c:v>528.39398982975831</c:v>
                </c:pt>
                <c:pt idx="92">
                  <c:v>542.0293575617776</c:v>
                </c:pt>
                <c:pt idx="93">
                  <c:v>555.65752423315951</c:v>
                </c:pt>
                <c:pt idx="94">
                  <c:v>491.99614708203103</c:v>
                </c:pt>
                <c:pt idx="95">
                  <c:v>504.93326966944136</c:v>
                </c:pt>
                <c:pt idx="96">
                  <c:v>517.86338399569286</c:v>
                </c:pt>
                <c:pt idx="97">
                  <c:v>530.78668966466364</c:v>
                </c:pt>
                <c:pt idx="98">
                  <c:v>543.70337577012333</c:v>
                </c:pt>
                <c:pt idx="99">
                  <c:v>556.61362169091842</c:v>
                </c:pt>
                <c:pt idx="100">
                  <c:v>569.51759780856662</c:v>
                </c:pt>
                <c:pt idx="101">
                  <c:v>582.4154661564512</c:v>
                </c:pt>
                <c:pt idx="102">
                  <c:v>530.57401444342975</c:v>
                </c:pt>
                <c:pt idx="103">
                  <c:v>543.75651743119226</c:v>
                </c:pt>
                <c:pt idx="104">
                  <c:v>556.93231319607992</c:v>
                </c:pt>
                <c:pt idx="105">
                  <c:v>570.10158272590422</c:v>
                </c:pt>
                <c:pt idx="106">
                  <c:v>583.26449796783004</c:v>
                </c:pt>
                <c:pt idx="107">
                  <c:v>596.42122247807106</c:v>
                </c:pt>
                <c:pt idx="108">
                  <c:v>609.57191201129922</c:v>
                </c:pt>
                <c:pt idx="109">
                  <c:v>622.71671505656798</c:v>
                </c:pt>
                <c:pt idx="110">
                  <c:v>635.85577332565379</c:v>
                </c:pt>
                <c:pt idx="111">
                  <c:v>570.56876165925428</c:v>
                </c:pt>
                <c:pt idx="112">
                  <c:v>579.74084706072165</c:v>
                </c:pt>
                <c:pt idx="113">
                  <c:v>588.90990618526189</c:v>
                </c:pt>
                <c:pt idx="114">
                  <c:v>598.07599279308999</c:v>
                </c:pt>
                <c:pt idx="115">
                  <c:v>607.23915886223926</c:v>
                </c:pt>
                <c:pt idx="116">
                  <c:v>616.39945467421978</c:v>
                </c:pt>
                <c:pt idx="117">
                  <c:v>625.55692889432009</c:v>
                </c:pt>
                <c:pt idx="118">
                  <c:v>634.71162864696225</c:v>
                </c:pt>
                <c:pt idx="119">
                  <c:v>643.86359958648666</c:v>
                </c:pt>
                <c:pt idx="120">
                  <c:v>653.01288596370136</c:v>
                </c:pt>
                <c:pt idx="121">
                  <c:v>586.80892793204794</c:v>
                </c:pt>
                <c:pt idx="122">
                  <c:v>602.65793771360916</c:v>
                </c:pt>
                <c:pt idx="123">
                  <c:v>618.49829000291766</c:v>
                </c:pt>
                <c:pt idx="124">
                  <c:v>634.33023761708807</c:v>
                </c:pt>
                <c:pt idx="125">
                  <c:v>650.15401973277301</c:v>
                </c:pt>
                <c:pt idx="126">
                  <c:v>665.96986294302167</c:v>
                </c:pt>
                <c:pt idx="127">
                  <c:v>681.77798220858915</c:v>
                </c:pt>
                <c:pt idx="128">
                  <c:v>697.57858171649559</c:v>
                </c:pt>
                <c:pt idx="129">
                  <c:v>713.3718556568092</c:v>
                </c:pt>
                <c:pt idx="130">
                  <c:v>729.15798892712144</c:v>
                </c:pt>
                <c:pt idx="131">
                  <c:v>654.34693517859796</c:v>
                </c:pt>
                <c:pt idx="132">
                  <c:v>667.11287504220161</c:v>
                </c:pt>
                <c:pt idx="133">
                  <c:v>679.87379189018372</c:v>
                </c:pt>
                <c:pt idx="134">
                  <c:v>692.62979323978072</c:v>
                </c:pt>
                <c:pt idx="135">
                  <c:v>705.38098232722371</c:v>
                </c:pt>
                <c:pt idx="136">
                  <c:v>718.12745835411454</c:v>
                </c:pt>
                <c:pt idx="137">
                  <c:v>730.86931671541049</c:v>
                </c:pt>
                <c:pt idx="138">
                  <c:v>743.6066492106952</c:v>
                </c:pt>
                <c:pt idx="139">
                  <c:v>756.33954424023148</c:v>
                </c:pt>
                <c:pt idx="140">
                  <c:v>769.06808698713451</c:v>
                </c:pt>
                <c:pt idx="141">
                  <c:v>696.2462865381591</c:v>
                </c:pt>
                <c:pt idx="142">
                  <c:v>708.99612917853165</c:v>
                </c:pt>
                <c:pt idx="143">
                  <c:v>721.74128618785778</c:v>
                </c:pt>
                <c:pt idx="144">
                  <c:v>734.48185192073799</c:v>
                </c:pt>
                <c:pt idx="145">
                  <c:v>747.21791719348073</c:v>
                </c:pt>
                <c:pt idx="146">
                  <c:v>759.94956947609035</c:v>
                </c:pt>
                <c:pt idx="147">
                  <c:v>772.67689307072885</c:v>
                </c:pt>
                <c:pt idx="148">
                  <c:v>785.3999692778176</c:v>
                </c:pt>
                <c:pt idx="149">
                  <c:v>798.11887655082489</c:v>
                </c:pt>
                <c:pt idx="150">
                  <c:v>810.83369064068154</c:v>
                </c:pt>
                <c:pt idx="151">
                  <c:v>734.48185192073788</c:v>
                </c:pt>
                <c:pt idx="152">
                  <c:v>747.40797408215906</c:v>
                </c:pt>
                <c:pt idx="153">
                  <c:v>760.32955185079152</c:v>
                </c:pt>
                <c:pt idx="154">
                  <c:v>773.24667328867952</c:v>
                </c:pt>
                <c:pt idx="155">
                  <c:v>786.15942327787809</c:v>
                </c:pt>
                <c:pt idx="156">
                  <c:v>799.06788368671334</c:v>
                </c:pt>
                <c:pt idx="157">
                  <c:v>811.97213352474898</c:v>
                </c:pt>
                <c:pt idx="158">
                  <c:v>824.87224908740075</c:v>
                </c:pt>
                <c:pt idx="159">
                  <c:v>837.76830409103889</c:v>
                </c:pt>
                <c:pt idx="160">
                  <c:v>850.66036979934904</c:v>
                </c:pt>
                <c:pt idx="161">
                  <c:v>766.97862137246386</c:v>
                </c:pt>
                <c:pt idx="162">
                  <c:v>780.0833743204613</c:v>
                </c:pt>
                <c:pt idx="163">
                  <c:v>793.18367129725732</c:v>
                </c:pt>
                <c:pt idx="164">
                  <c:v>806.27959621437003</c:v>
                </c:pt>
                <c:pt idx="165">
                  <c:v>819.37123003731574</c:v>
                </c:pt>
                <c:pt idx="166">
                  <c:v>832.4586509354308</c:v>
                </c:pt>
                <c:pt idx="167">
                  <c:v>845.5419344217886</c:v>
                </c:pt>
                <c:pt idx="168">
                  <c:v>858.62115348401676</c:v>
                </c:pt>
                <c:pt idx="169">
                  <c:v>871.6963787067333</c:v>
                </c:pt>
                <c:pt idx="170">
                  <c:v>884.76767838626654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2.6386672019381163</c:v>
                </c:pt>
                <c:pt idx="2">
                  <c:v>2.7001339384066618</c:v>
                </c:pt>
                <c:pt idx="3">
                  <c:v>2.7630371249684469</c:v>
                </c:pt>
                <c:pt idx="4">
                  <c:v>2.8274104329093324</c:v>
                </c:pt>
                <c:pt idx="5">
                  <c:v>2.8932883250466102</c:v>
                </c:pt>
                <c:pt idx="6">
                  <c:v>2.9607060743856906</c:v>
                </c:pt>
                <c:pt idx="7">
                  <c:v>3.0296997832176262</c:v>
                </c:pt>
                <c:pt idx="8">
                  <c:v>3.1003064026679219</c:v>
                </c:pt>
                <c:pt idx="9">
                  <c:v>3.1725637527073007</c:v>
                </c:pt>
                <c:pt idx="10">
                  <c:v>3.2465105426353773</c:v>
                </c:pt>
                <c:pt idx="11">
                  <c:v>3.3221863920484433</c:v>
                </c:pt>
                <c:pt idx="12">
                  <c:v>3.3996318523028286</c:v>
                </c:pt>
                <c:pt idx="13">
                  <c:v>3.478888428485567</c:v>
                </c:pt>
                <c:pt idx="14">
                  <c:v>3.5599986019044176</c:v>
                </c:pt>
                <c:pt idx="15">
                  <c:v>3.6430058531094924</c:v>
                </c:pt>
                <c:pt idx="16">
                  <c:v>3.7279546854591459</c:v>
                </c:pt>
                <c:pt idx="17">
                  <c:v>3.8148906492429799</c:v>
                </c:pt>
                <c:pt idx="18">
                  <c:v>3.9038603663751634</c:v>
                </c:pt>
                <c:pt idx="19">
                  <c:v>3.9949115556716261</c:v>
                </c:pt>
                <c:pt idx="20">
                  <c:v>4.0880930587248976</c:v>
                </c:pt>
                <c:pt idx="21">
                  <c:v>4.1834548663908091</c:v>
                </c:pt>
                <c:pt idx="22">
                  <c:v>4.281048145901531</c:v>
                </c:pt>
                <c:pt idx="23">
                  <c:v>4.3809252686197926</c:v>
                </c:pt>
                <c:pt idx="24">
                  <c:v>4.4831398384494863</c:v>
                </c:pt>
                <c:pt idx="25">
                  <c:v>4.587746720918223</c:v>
                </c:pt>
                <c:pt idx="26">
                  <c:v>4.6948020729477369</c:v>
                </c:pt>
                <c:pt idx="27">
                  <c:v>4.8043633733284841</c:v>
                </c:pt>
                <c:pt idx="28">
                  <c:v>4.9164894539150934</c:v>
                </c:pt>
                <c:pt idx="29">
                  <c:v>5.0312405315597966</c:v>
                </c:pt>
                <c:pt idx="30">
                  <c:v>11.903668365373088</c:v>
                </c:pt>
                <c:pt idx="31">
                  <c:v>18.64868717479586</c:v>
                </c:pt>
                <c:pt idx="32">
                  <c:v>25.321451989389526</c:v>
                </c:pt>
                <c:pt idx="33">
                  <c:v>31.944102614331825</c:v>
                </c:pt>
                <c:pt idx="34">
                  <c:v>38.528614224663961</c:v>
                </c:pt>
                <c:pt idx="35">
                  <c:v>45.08247179513657</c:v>
                </c:pt>
                <c:pt idx="36">
                  <c:v>51.610783554794011</c:v>
                </c:pt>
                <c:pt idx="37">
                  <c:v>58.117249868995913</c:v>
                </c:pt>
                <c:pt idx="38">
                  <c:v>83.412839556410248</c:v>
                </c:pt>
                <c:pt idx="39">
                  <c:v>117.40032244078371</c:v>
                </c:pt>
                <c:pt idx="40">
                  <c:v>151.14499694725288</c:v>
                </c:pt>
                <c:pt idx="41">
                  <c:v>184.70923456588253</c:v>
                </c:pt>
                <c:pt idx="42">
                  <c:v>218.13057928036389</c:v>
                </c:pt>
                <c:pt idx="43">
                  <c:v>251.43404386355346</c:v>
                </c:pt>
                <c:pt idx="44">
                  <c:v>284.6374451468796</c:v>
                </c:pt>
                <c:pt idx="45">
                  <c:v>317.75409361194505</c:v>
                </c:pt>
                <c:pt idx="46">
                  <c:v>284.36565458156963</c:v>
                </c:pt>
                <c:pt idx="47">
                  <c:v>305.27696861116084</c:v>
                </c:pt>
                <c:pt idx="48">
                  <c:v>326.15644324422351</c:v>
                </c:pt>
                <c:pt idx="49">
                  <c:v>347.00640241883661</c:v>
                </c:pt>
                <c:pt idx="50">
                  <c:v>367.82886806764901</c:v>
                </c:pt>
                <c:pt idx="51">
                  <c:v>388.62561459421386</c:v>
                </c:pt>
                <c:pt idx="52">
                  <c:v>409.39821107402508</c:v>
                </c:pt>
                <c:pt idx="53">
                  <c:v>430.14805444118139</c:v>
                </c:pt>
                <c:pt idx="54">
                  <c:v>351.33534928144695</c:v>
                </c:pt>
                <c:pt idx="55">
                  <c:v>369.72051922288409</c:v>
                </c:pt>
                <c:pt idx="56">
                  <c:v>388.08575124528397</c:v>
                </c:pt>
                <c:pt idx="57">
                  <c:v>406.43212123270087</c:v>
                </c:pt>
                <c:pt idx="58">
                  <c:v>424.76060004878042</c:v>
                </c:pt>
                <c:pt idx="59">
                  <c:v>443.07206797078311</c:v>
                </c:pt>
                <c:pt idx="60">
                  <c:v>461.36732661320042</c:v>
                </c:pt>
                <c:pt idx="61">
                  <c:v>479.64710886178597</c:v>
                </c:pt>
                <c:pt idx="62">
                  <c:v>395.91218652535935</c:v>
                </c:pt>
                <c:pt idx="63">
                  <c:v>413.44213184416009</c:v>
                </c:pt>
                <c:pt idx="64">
                  <c:v>430.95604703308896</c:v>
                </c:pt>
                <c:pt idx="65">
                  <c:v>448.45467496742805</c:v>
                </c:pt>
                <c:pt idx="66">
                  <c:v>465.93869584414534</c:v>
                </c:pt>
                <c:pt idx="67">
                  <c:v>483.40873467215488</c:v>
                </c:pt>
                <c:pt idx="68">
                  <c:v>500.86536762366126</c:v>
                </c:pt>
                <c:pt idx="69">
                  <c:v>518.3091274542079</c:v>
                </c:pt>
                <c:pt idx="70">
                  <c:v>442.53373049703424</c:v>
                </c:pt>
                <c:pt idx="71">
                  <c:v>459.2157601089134</c:v>
                </c:pt>
                <c:pt idx="72">
                  <c:v>475.8848557305875</c:v>
                </c:pt>
                <c:pt idx="73">
                  <c:v>492.54153399430999</c:v>
                </c:pt>
                <c:pt idx="74">
                  <c:v>509.18627375575397</c:v>
                </c:pt>
                <c:pt idx="75">
                  <c:v>525.81952002628668</c:v>
                </c:pt>
                <c:pt idx="76">
                  <c:v>542.44168738196902</c:v>
                </c:pt>
                <c:pt idx="77">
                  <c:v>559.05316293312785</c:v>
                </c:pt>
                <c:pt idx="78">
                  <c:v>555.03521815131421</c:v>
                </c:pt>
                <c:pt idx="79">
                  <c:v>559.58884312135751</c:v>
                </c:pt>
                <c:pt idx="80">
                  <c:v>564.14169247289794</c:v>
                </c:pt>
                <c:pt idx="81">
                  <c:v>568.69377335191564</c:v>
                </c:pt>
                <c:pt idx="82">
                  <c:v>573.24509278059941</c:v>
                </c:pt>
                <c:pt idx="83">
                  <c:v>577.79565766048006</c:v>
                </c:pt>
                <c:pt idx="84">
                  <c:v>582.34547477545721</c:v>
                </c:pt>
                <c:pt idx="85">
                  <c:v>586.89455079472918</c:v>
                </c:pt>
                <c:pt idx="86">
                  <c:v>514.28476055694671</c:v>
                </c:pt>
                <c:pt idx="87">
                  <c:v>529.57386680980221</c:v>
                </c:pt>
                <c:pt idx="88">
                  <c:v>544.85368513646279</c:v>
                </c:pt>
                <c:pt idx="89">
                  <c:v>560.12451257452756</c:v>
                </c:pt>
                <c:pt idx="90">
                  <c:v>575.38662865229844</c:v>
                </c:pt>
                <c:pt idx="91">
                  <c:v>590.64029686755191</c:v>
                </c:pt>
                <c:pt idx="92">
                  <c:v>605.88576600567637</c:v>
                </c:pt>
                <c:pt idx="93">
                  <c:v>621.12327131831159</c:v>
                </c:pt>
                <c:pt idx="94">
                  <c:v>549.9449457875694</c:v>
                </c:pt>
                <c:pt idx="95">
                  <c:v>564.40948313977788</c:v>
                </c:pt>
                <c:pt idx="96">
                  <c:v>578.86626988806017</c:v>
                </c:pt>
                <c:pt idx="97">
                  <c:v>593.3155267791268</c:v>
                </c:pt>
                <c:pt idx="98">
                  <c:v>607.75746293630834</c:v>
                </c:pt>
                <c:pt idx="99">
                  <c:v>622.19227673896933</c:v>
                </c:pt>
                <c:pt idx="100">
                  <c:v>636.62015661611201</c:v>
                </c:pt>
                <c:pt idx="101">
                  <c:v>651.04128176433699</c:v>
                </c:pt>
                <c:pt idx="102">
                  <c:v>593.07773874870452</c:v>
                </c:pt>
                <c:pt idx="103">
                  <c:v>607.81687992444938</c:v>
                </c:pt>
                <c:pt idx="104">
                  <c:v>622.54860342171821</c:v>
                </c:pt>
                <c:pt idx="105">
                  <c:v>637.27310939926872</c:v>
                </c:pt>
                <c:pt idx="106">
                  <c:v>651.9905880175902</c:v>
                </c:pt>
                <c:pt idx="107">
                  <c:v>666.70122015741754</c:v>
                </c:pt>
                <c:pt idx="108">
                  <c:v>681.40517807157437</c:v>
                </c:pt>
                <c:pt idx="109">
                  <c:v>696.10262597766268</c:v>
                </c:pt>
                <c:pt idx="110">
                  <c:v>710.79372059813147</c:v>
                </c:pt>
                <c:pt idx="111">
                  <c:v>637.79546167190358</c:v>
                </c:pt>
                <c:pt idx="112">
                  <c:v>648.05078028721789</c:v>
                </c:pt>
                <c:pt idx="113">
                  <c:v>658.30275207037255</c:v>
                </c:pt>
                <c:pt idx="114">
                  <c:v>668.55143647607633</c:v>
                </c:pt>
                <c:pt idx="115">
                  <c:v>678.79689098808205</c:v>
                </c:pt>
                <c:pt idx="116">
                  <c:v>689.03917121391657</c:v>
                </c:pt>
                <c:pt idx="117">
                  <c:v>699.27833097368796</c:v>
                </c:pt>
                <c:pt idx="118">
                  <c:v>709.51442238342452</c:v>
                </c:pt>
                <c:pt idx="119">
                  <c:v>719.747495933354</c:v>
                </c:pt>
                <c:pt idx="120">
                  <c:v>729.97760056150616</c:v>
                </c:pt>
                <c:pt idx="121">
                  <c:v>655.95363434584237</c:v>
                </c:pt>
                <c:pt idx="122">
                  <c:v>673.67456395041552</c:v>
                </c:pt>
                <c:pt idx="123">
                  <c:v>691.38591902688188</c:v>
                </c:pt>
                <c:pt idx="124">
                  <c:v>709.08797917174559</c:v>
                </c:pt>
                <c:pt idx="125">
                  <c:v>726.78100889619725</c:v>
                </c:pt>
                <c:pt idx="126">
                  <c:v>744.46525879491821</c:v>
                </c:pt>
                <c:pt idx="127">
                  <c:v>762.14096659815903</c:v>
                </c:pt>
                <c:pt idx="128">
                  <c:v>779.80835812123621</c:v>
                </c:pt>
                <c:pt idx="129">
                  <c:v>797.46764812359959</c:v>
                </c:pt>
                <c:pt idx="130">
                  <c:v>815.11904108792476</c:v>
                </c:pt>
                <c:pt idx="131">
                  <c:v>731.46924561972185</c:v>
                </c:pt>
                <c:pt idx="132">
                  <c:v>745.74330446280794</c:v>
                </c:pt>
                <c:pt idx="133">
                  <c:v>760.01180823257209</c:v>
                </c:pt>
                <c:pt idx="134">
                  <c:v>774.27487583490165</c:v>
                </c:pt>
                <c:pt idx="135">
                  <c:v>788.53262144121834</c:v>
                </c:pt>
                <c:pt idx="136">
                  <c:v>802.78515476095015</c:v>
                </c:pt>
                <c:pt idx="137">
                  <c:v>817.03258129366611</c:v>
                </c:pt>
                <c:pt idx="138">
                  <c:v>831.27500256272481</c:v>
                </c:pt>
                <c:pt idx="139">
                  <c:v>845.51251633209506</c:v>
                </c:pt>
                <c:pt idx="140">
                  <c:v>859.74521680782527</c:v>
                </c:pt>
                <c:pt idx="141">
                  <c:v>778.31865289407745</c:v>
                </c:pt>
                <c:pt idx="142">
                  <c:v>792.57490943231915</c:v>
                </c:pt>
                <c:pt idx="143">
                  <c:v>806.8259840189238</c:v>
                </c:pt>
                <c:pt idx="144">
                  <c:v>821.07198100290452</c:v>
                </c:pt>
                <c:pt idx="145">
                  <c:v>835.31300082019288</c:v>
                </c:pt>
                <c:pt idx="146">
                  <c:v>849.54914020596209</c:v>
                </c:pt>
                <c:pt idx="147">
                  <c:v>863.78049239199311</c:v>
                </c:pt>
                <c:pt idx="148">
                  <c:v>878.00714729037009</c:v>
                </c:pt>
                <c:pt idx="149">
                  <c:v>892.22919166466261</c:v>
                </c:pt>
                <c:pt idx="150">
                  <c:v>906.44670928964024</c:v>
                </c:pt>
                <c:pt idx="151">
                  <c:v>821.07198100290452</c:v>
                </c:pt>
                <c:pt idx="152">
                  <c:v>835.52551615395203</c:v>
                </c:pt>
                <c:pt idx="153">
                  <c:v>849.974025552135</c:v>
                </c:pt>
                <c:pt idx="154">
                  <c:v>864.41760658737928</c:v>
                </c:pt>
                <c:pt idx="155">
                  <c:v>878.85635313278192</c:v>
                </c:pt>
                <c:pt idx="156">
                  <c:v>893.29035572848659</c:v>
                </c:pt>
                <c:pt idx="157">
                  <c:v>907.7197017530633</c:v>
                </c:pt>
                <c:pt idx="158">
                  <c:v>922.14447558343954</c:v>
                </c:pt>
                <c:pt idx="159">
                  <c:v>936.56475874431624</c:v>
                </c:pt>
                <c:pt idx="160">
                  <c:v>950.98063004791004</c:v>
                </c:pt>
                <c:pt idx="161">
                  <c:v>857.40883118609145</c:v>
                </c:pt>
                <c:pt idx="162">
                  <c:v>872.06224527082531</c:v>
                </c:pt>
                <c:pt idx="163">
                  <c:v>886.71073139024702</c:v>
                </c:pt>
                <c:pt idx="164">
                  <c:v>901.35438234411458</c:v>
                </c:pt>
                <c:pt idx="165">
                  <c:v>915.99328767413317</c:v>
                </c:pt>
                <c:pt idx="166">
                  <c:v>930.62753382964331</c:v>
                </c:pt>
                <c:pt idx="167">
                  <c:v>945.25720432236358</c:v>
                </c:pt>
                <c:pt idx="168">
                  <c:v>959.88237987105902</c:v>
                </c:pt>
                <c:pt idx="169">
                  <c:v>974.50313853695036</c:v>
                </c:pt>
                <c:pt idx="170">
                  <c:v>989.1195558505832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2.0655652846679247</c:v>
                </c:pt>
                <c:pt idx="2">
                  <c:v>2.7513973976729744</c:v>
                </c:pt>
                <c:pt idx="3">
                  <c:v>3.6658942404620647</c:v>
                </c:pt>
                <c:pt idx="4">
                  <c:v>4.8855929944623862</c:v>
                </c:pt>
                <c:pt idx="5">
                  <c:v>6.5127419951291925</c:v>
                </c:pt>
                <c:pt idx="6">
                  <c:v>8.6839669130926342</c:v>
                </c:pt>
                <c:pt idx="7">
                  <c:v>11.581866966494403</c:v>
                </c:pt>
                <c:pt idx="8">
                  <c:v>15.450534596968057</c:v>
                </c:pt>
                <c:pt idx="9">
                  <c:v>20.616329727910539</c:v>
                </c:pt>
                <c:pt idx="10">
                  <c:v>27.515692460686338</c:v>
                </c:pt>
                <c:pt idx="11">
                  <c:v>36.732385131716207</c:v>
                </c:pt>
                <c:pt idx="12">
                  <c:v>49.047368765877287</c:v>
                </c:pt>
                <c:pt idx="13">
                  <c:v>64.217508668532318</c:v>
                </c:pt>
                <c:pt idx="14">
                  <c:v>79.294330978576866</c:v>
                </c:pt>
                <c:pt idx="15">
                  <c:v>94.298206714825952</c:v>
                </c:pt>
                <c:pt idx="16">
                  <c:v>109.24242579589337</c:v>
                </c:pt>
                <c:pt idx="17">
                  <c:v>112.09392141547899</c:v>
                </c:pt>
                <c:pt idx="18">
                  <c:v>134.29120903422276</c:v>
                </c:pt>
                <c:pt idx="19">
                  <c:v>156.39988249256416</c:v>
                </c:pt>
                <c:pt idx="20">
                  <c:v>178.43425576207457</c:v>
                </c:pt>
                <c:pt idx="21">
                  <c:v>176.16577628278574</c:v>
                </c:pt>
                <c:pt idx="22">
                  <c:v>202.50498404059007</c:v>
                </c:pt>
                <c:pt idx="23">
                  <c:v>228.76481051430321</c:v>
                </c:pt>
                <c:pt idx="24">
                  <c:v>254.95565122562832</c:v>
                </c:pt>
                <c:pt idx="25">
                  <c:v>246.24321912302534</c:v>
                </c:pt>
                <c:pt idx="26">
                  <c:v>277.1087663123555</c:v>
                </c:pt>
                <c:pt idx="27">
                  <c:v>307.89711521571411</c:v>
                </c:pt>
                <c:pt idx="28">
                  <c:v>338.61706530293139</c:v>
                </c:pt>
                <c:pt idx="29">
                  <c:v>319.84969216220651</c:v>
                </c:pt>
                <c:pt idx="30">
                  <c:v>346.32180264159757</c:v>
                </c:pt>
                <c:pt idx="31">
                  <c:v>372.74949334474439</c:v>
                </c:pt>
                <c:pt idx="32">
                  <c:v>399.13635342407616</c:v>
                </c:pt>
                <c:pt idx="33">
                  <c:v>425.48545899488454</c:v>
                </c:pt>
                <c:pt idx="34">
                  <c:v>451.79947435144118</c:v>
                </c:pt>
                <c:pt idx="35">
                  <c:v>419.25651045358899</c:v>
                </c:pt>
                <c:pt idx="36">
                  <c:v>445.40930256306342</c:v>
                </c:pt>
                <c:pt idx="37">
                  <c:v>471.52922250562125</c:v>
                </c:pt>
                <c:pt idx="38">
                  <c:v>497.61834521732698</c:v>
                </c:pt>
                <c:pt idx="39">
                  <c:v>523.67851052575804</c:v>
                </c:pt>
                <c:pt idx="40">
                  <c:v>549.71136039885687</c:v>
                </c:pt>
                <c:pt idx="41">
                  <c:v>518.46871265199923</c:v>
                </c:pt>
                <c:pt idx="42">
                  <c:v>539.47001625636335</c:v>
                </c:pt>
                <c:pt idx="43">
                  <c:v>560.45414998425213</c:v>
                </c:pt>
                <c:pt idx="44">
                  <c:v>581.42184658362487</c:v>
                </c:pt>
                <c:pt idx="45">
                  <c:v>602.37378169138447</c:v>
                </c:pt>
                <c:pt idx="46">
                  <c:v>623.31058015634346</c:v>
                </c:pt>
                <c:pt idx="47">
                  <c:v>599.14048757656815</c:v>
                </c:pt>
                <c:pt idx="48">
                  <c:v>611.17283027194344</c:v>
                </c:pt>
                <c:pt idx="49">
                  <c:v>623.200259180133</c:v>
                </c:pt>
                <c:pt idx="50">
                  <c:v>635.22288246711435</c:v>
                </c:pt>
                <c:pt idx="51">
                  <c:v>647.24080387207789</c:v>
                </c:pt>
                <c:pt idx="52">
                  <c:v>659.25412296915658</c:v>
                </c:pt>
                <c:pt idx="53">
                  <c:v>671.26293540909012</c:v>
                </c:pt>
                <c:pt idx="54">
                  <c:v>683.26733314270984</c:v>
                </c:pt>
                <c:pt idx="55">
                  <c:v>669.20145048213715</c:v>
                </c:pt>
                <c:pt idx="56">
                  <c:v>674.77188169023657</c:v>
                </c:pt>
                <c:pt idx="57">
                  <c:v>680.34136829085116</c:v>
                </c:pt>
                <c:pt idx="58">
                  <c:v>685.90991910820378</c:v>
                </c:pt>
                <c:pt idx="59">
                  <c:v>691.4775428115413</c:v>
                </c:pt>
                <c:pt idx="60">
                  <c:v>697.04424791910844</c:v>
                </c:pt>
                <c:pt idx="61">
                  <c:v>702.61004280199074</c:v>
                </c:pt>
                <c:pt idx="62">
                  <c:v>708.17493568782595</c:v>
                </c:pt>
                <c:pt idx="63">
                  <c:v>700.00020660160408</c:v>
                </c:pt>
                <c:pt idx="64">
                  <c:v>700.00020660160408</c:v>
                </c:pt>
                <c:pt idx="65">
                  <c:v>700.00020660160408</c:v>
                </c:pt>
                <c:pt idx="66">
                  <c:v>700.00020660160408</c:v>
                </c:pt>
                <c:pt idx="67">
                  <c:v>700.00020660160408</c:v>
                </c:pt>
                <c:pt idx="68">
                  <c:v>700.00020660160408</c:v>
                </c:pt>
                <c:pt idx="69">
                  <c:v>700.00020660160408</c:v>
                </c:pt>
                <c:pt idx="70">
                  <c:v>700.00020660160408</c:v>
                </c:pt>
                <c:pt idx="71">
                  <c:v>700.00020660160408</c:v>
                </c:pt>
                <c:pt idx="72">
                  <c:v>700.00020660160408</c:v>
                </c:pt>
                <c:pt idx="73">
                  <c:v>700.00020660160408</c:v>
                </c:pt>
                <c:pt idx="74">
                  <c:v>700.00020660160408</c:v>
                </c:pt>
                <c:pt idx="75">
                  <c:v>700.00020660160408</c:v>
                </c:pt>
                <c:pt idx="76">
                  <c:v>700.00020660160408</c:v>
                </c:pt>
                <c:pt idx="77">
                  <c:v>700.00020660160408</c:v>
                </c:pt>
                <c:pt idx="78">
                  <c:v>700.00020660160408</c:v>
                </c:pt>
                <c:pt idx="79">
                  <c:v>700.00020660160408</c:v>
                </c:pt>
                <c:pt idx="80">
                  <c:v>700.00020660160408</c:v>
                </c:pt>
                <c:pt idx="81">
                  <c:v>700.00020660160408</c:v>
                </c:pt>
                <c:pt idx="82">
                  <c:v>700.00020660160408</c:v>
                </c:pt>
                <c:pt idx="83">
                  <c:v>700.00020660160408</c:v>
                </c:pt>
                <c:pt idx="84">
                  <c:v>700.00020660160408</c:v>
                </c:pt>
                <c:pt idx="85">
                  <c:v>700.00020660160408</c:v>
                </c:pt>
                <c:pt idx="86">
                  <c:v>700.00020660160408</c:v>
                </c:pt>
                <c:pt idx="87">
                  <c:v>700.00020660160408</c:v>
                </c:pt>
                <c:pt idx="88">
                  <c:v>700.00020660160408</c:v>
                </c:pt>
                <c:pt idx="89">
                  <c:v>700.00020660160408</c:v>
                </c:pt>
                <c:pt idx="90">
                  <c:v>700.00020660160408</c:v>
                </c:pt>
                <c:pt idx="91">
                  <c:v>700.00020660160408</c:v>
                </c:pt>
                <c:pt idx="92">
                  <c:v>700.00020660160408</c:v>
                </c:pt>
                <c:pt idx="93">
                  <c:v>700.00020660160408</c:v>
                </c:pt>
                <c:pt idx="94">
                  <c:v>700.00020660160408</c:v>
                </c:pt>
                <c:pt idx="95">
                  <c:v>700.00020660160408</c:v>
                </c:pt>
                <c:pt idx="96">
                  <c:v>700.00020660160408</c:v>
                </c:pt>
                <c:pt idx="97">
                  <c:v>700.00020660160408</c:v>
                </c:pt>
                <c:pt idx="98">
                  <c:v>700.00020660160408</c:v>
                </c:pt>
                <c:pt idx="99">
                  <c:v>700.00020660160408</c:v>
                </c:pt>
                <c:pt idx="100">
                  <c:v>700.00020660160408</c:v>
                </c:pt>
                <c:pt idx="101">
                  <c:v>700.00020660160408</c:v>
                </c:pt>
                <c:pt idx="102">
                  <c:v>700.00020660160408</c:v>
                </c:pt>
                <c:pt idx="103">
                  <c:v>700.00020660160408</c:v>
                </c:pt>
                <c:pt idx="104">
                  <c:v>700.00020660160408</c:v>
                </c:pt>
                <c:pt idx="105">
                  <c:v>700.00020660160408</c:v>
                </c:pt>
                <c:pt idx="106">
                  <c:v>700.00020660160408</c:v>
                </c:pt>
                <c:pt idx="107">
                  <c:v>700.00020660160408</c:v>
                </c:pt>
                <c:pt idx="108">
                  <c:v>700.00020660160408</c:v>
                </c:pt>
                <c:pt idx="109">
                  <c:v>700.00020660160408</c:v>
                </c:pt>
                <c:pt idx="110">
                  <c:v>700.00020660160408</c:v>
                </c:pt>
                <c:pt idx="111">
                  <c:v>700.00020660160408</c:v>
                </c:pt>
                <c:pt idx="112">
                  <c:v>700.00020660160408</c:v>
                </c:pt>
                <c:pt idx="113">
                  <c:v>700.00020660160408</c:v>
                </c:pt>
                <c:pt idx="114">
                  <c:v>700.00020660160408</c:v>
                </c:pt>
                <c:pt idx="115">
                  <c:v>700.00020660160408</c:v>
                </c:pt>
                <c:pt idx="116">
                  <c:v>700.00020660160408</c:v>
                </c:pt>
                <c:pt idx="117">
                  <c:v>700.00020660160408</c:v>
                </c:pt>
                <c:pt idx="118">
                  <c:v>700.00020660160408</c:v>
                </c:pt>
                <c:pt idx="119">
                  <c:v>700.00020660160408</c:v>
                </c:pt>
                <c:pt idx="120">
                  <c:v>700.00020660160408</c:v>
                </c:pt>
                <c:pt idx="121">
                  <c:v>700.00020660160408</c:v>
                </c:pt>
                <c:pt idx="122">
                  <c:v>700.00020660160408</c:v>
                </c:pt>
                <c:pt idx="123">
                  <c:v>700.00020660160408</c:v>
                </c:pt>
                <c:pt idx="124">
                  <c:v>700.00020660160408</c:v>
                </c:pt>
                <c:pt idx="125">
                  <c:v>700.00020660160408</c:v>
                </c:pt>
                <c:pt idx="126">
                  <c:v>700.00020660160408</c:v>
                </c:pt>
                <c:pt idx="127">
                  <c:v>700.00020660160408</c:v>
                </c:pt>
                <c:pt idx="128">
                  <c:v>700.00020660160408</c:v>
                </c:pt>
                <c:pt idx="129">
                  <c:v>700.00020660160408</c:v>
                </c:pt>
                <c:pt idx="130">
                  <c:v>700.00020660160408</c:v>
                </c:pt>
                <c:pt idx="131">
                  <c:v>700.00020660160408</c:v>
                </c:pt>
                <c:pt idx="132">
                  <c:v>700.00020660160408</c:v>
                </c:pt>
                <c:pt idx="133">
                  <c:v>700.00020660160408</c:v>
                </c:pt>
                <c:pt idx="134">
                  <c:v>700.00020660160408</c:v>
                </c:pt>
                <c:pt idx="135">
                  <c:v>700.00020660160408</c:v>
                </c:pt>
                <c:pt idx="136">
                  <c:v>700.00020660160408</c:v>
                </c:pt>
                <c:pt idx="137">
                  <c:v>700.00020660160408</c:v>
                </c:pt>
                <c:pt idx="138">
                  <c:v>700.00020660160408</c:v>
                </c:pt>
                <c:pt idx="139">
                  <c:v>700.00020660160408</c:v>
                </c:pt>
                <c:pt idx="140">
                  <c:v>700.00020660160408</c:v>
                </c:pt>
                <c:pt idx="141">
                  <c:v>700.00020660160408</c:v>
                </c:pt>
                <c:pt idx="142">
                  <c:v>700.00020660160408</c:v>
                </c:pt>
                <c:pt idx="143">
                  <c:v>700.00020660160408</c:v>
                </c:pt>
                <c:pt idx="144">
                  <c:v>700.00020660160408</c:v>
                </c:pt>
                <c:pt idx="145">
                  <c:v>700.00020660160408</c:v>
                </c:pt>
                <c:pt idx="146">
                  <c:v>700.00020660160408</c:v>
                </c:pt>
                <c:pt idx="147">
                  <c:v>700.00020660160408</c:v>
                </c:pt>
                <c:pt idx="148">
                  <c:v>700.00020660160408</c:v>
                </c:pt>
                <c:pt idx="149">
                  <c:v>700.00020660160408</c:v>
                </c:pt>
                <c:pt idx="150">
                  <c:v>700.00020660160408</c:v>
                </c:pt>
                <c:pt idx="151">
                  <c:v>700.00020660160408</c:v>
                </c:pt>
                <c:pt idx="152">
                  <c:v>700.00020660160408</c:v>
                </c:pt>
                <c:pt idx="153">
                  <c:v>700.00020660160408</c:v>
                </c:pt>
                <c:pt idx="154">
                  <c:v>700.00020660160408</c:v>
                </c:pt>
                <c:pt idx="155">
                  <c:v>700.00020660160408</c:v>
                </c:pt>
                <c:pt idx="156">
                  <c:v>700.00020660160408</c:v>
                </c:pt>
                <c:pt idx="157">
                  <c:v>700.00020660160408</c:v>
                </c:pt>
                <c:pt idx="158">
                  <c:v>700.00020660160408</c:v>
                </c:pt>
                <c:pt idx="159">
                  <c:v>700.00020660160408</c:v>
                </c:pt>
                <c:pt idx="160">
                  <c:v>700.00020660160408</c:v>
                </c:pt>
                <c:pt idx="161">
                  <c:v>700.00020660160408</c:v>
                </c:pt>
                <c:pt idx="162">
                  <c:v>700.00020660160408</c:v>
                </c:pt>
                <c:pt idx="163">
                  <c:v>700.00020660160408</c:v>
                </c:pt>
                <c:pt idx="164">
                  <c:v>700.00020660160408</c:v>
                </c:pt>
                <c:pt idx="165">
                  <c:v>700.00020660160408</c:v>
                </c:pt>
                <c:pt idx="166">
                  <c:v>700.00020660160408</c:v>
                </c:pt>
                <c:pt idx="167">
                  <c:v>700.00020660160408</c:v>
                </c:pt>
                <c:pt idx="168">
                  <c:v>700.00020660160408</c:v>
                </c:pt>
                <c:pt idx="169">
                  <c:v>700.00020660160408</c:v>
                </c:pt>
                <c:pt idx="170">
                  <c:v>700.00020660160408</c:v>
                </c:pt>
                <c:pt idx="171">
                  <c:v>700.00020660160408</c:v>
                </c:pt>
                <c:pt idx="172">
                  <c:v>700.00020660160408</c:v>
                </c:pt>
                <c:pt idx="173">
                  <c:v>700.00020660160408</c:v>
                </c:pt>
                <c:pt idx="174">
                  <c:v>700.00020660160408</c:v>
                </c:pt>
                <c:pt idx="175">
                  <c:v>700.00020660160408</c:v>
                </c:pt>
                <c:pt idx="176">
                  <c:v>700.00020660160408</c:v>
                </c:pt>
                <c:pt idx="177">
                  <c:v>700.00020660160408</c:v>
                </c:pt>
                <c:pt idx="178">
                  <c:v>700.00020660160408</c:v>
                </c:pt>
                <c:pt idx="179">
                  <c:v>700.00020660160408</c:v>
                </c:pt>
                <c:pt idx="180">
                  <c:v>700.00020660160408</c:v>
                </c:pt>
                <c:pt idx="181">
                  <c:v>700.00020660160408</c:v>
                </c:pt>
                <c:pt idx="182">
                  <c:v>700.00020660160408</c:v>
                </c:pt>
                <c:pt idx="183">
                  <c:v>700.00020660160408</c:v>
                </c:pt>
                <c:pt idx="184">
                  <c:v>700.00020660160408</c:v>
                </c:pt>
                <c:pt idx="185">
                  <c:v>700.00020660160408</c:v>
                </c:pt>
                <c:pt idx="186">
                  <c:v>700.00020660160408</c:v>
                </c:pt>
                <c:pt idx="187">
                  <c:v>700.00020660160408</c:v>
                </c:pt>
                <c:pt idx="188">
                  <c:v>700.00020660160408</c:v>
                </c:pt>
                <c:pt idx="189">
                  <c:v>700.00020660160408</c:v>
                </c:pt>
                <c:pt idx="190">
                  <c:v>700.00020660160408</c:v>
                </c:pt>
                <c:pt idx="191">
                  <c:v>700.00020660160408</c:v>
                </c:pt>
                <c:pt idx="192">
                  <c:v>700.00020660160408</c:v>
                </c:pt>
                <c:pt idx="193">
                  <c:v>700.00020660160408</c:v>
                </c:pt>
                <c:pt idx="194">
                  <c:v>700.00020660160408</c:v>
                </c:pt>
                <c:pt idx="195">
                  <c:v>700.00020660160408</c:v>
                </c:pt>
                <c:pt idx="196">
                  <c:v>700.00020660160408</c:v>
                </c:pt>
                <c:pt idx="197">
                  <c:v>700.00020660160408</c:v>
                </c:pt>
                <c:pt idx="198">
                  <c:v>700.00020660160408</c:v>
                </c:pt>
                <c:pt idx="199">
                  <c:v>700.00020660160408</c:v>
                </c:pt>
                <c:pt idx="200">
                  <c:v>700.00020660160408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2.0655652846679247</c:v>
                </c:pt>
                <c:pt idx="2">
                  <c:v>2.7513973976729744</c:v>
                </c:pt>
                <c:pt idx="3">
                  <c:v>3.6658942404620647</c:v>
                </c:pt>
                <c:pt idx="4">
                  <c:v>4.8855929944623862</c:v>
                </c:pt>
                <c:pt idx="5">
                  <c:v>6.5127419951291925</c:v>
                </c:pt>
                <c:pt idx="6">
                  <c:v>8.6839669130926342</c:v>
                </c:pt>
                <c:pt idx="7">
                  <c:v>11.581866966494403</c:v>
                </c:pt>
                <c:pt idx="8">
                  <c:v>15.450534596968057</c:v>
                </c:pt>
                <c:pt idx="9">
                  <c:v>20.616329727910539</c:v>
                </c:pt>
                <c:pt idx="10">
                  <c:v>27.515692460686338</c:v>
                </c:pt>
                <c:pt idx="11">
                  <c:v>36.732385131716207</c:v>
                </c:pt>
                <c:pt idx="12">
                  <c:v>49.047368765877287</c:v>
                </c:pt>
                <c:pt idx="13">
                  <c:v>64.217508668532318</c:v>
                </c:pt>
                <c:pt idx="14">
                  <c:v>79.294330978576866</c:v>
                </c:pt>
                <c:pt idx="15">
                  <c:v>94.298206714825952</c:v>
                </c:pt>
                <c:pt idx="16">
                  <c:v>109.24242579589337</c:v>
                </c:pt>
                <c:pt idx="17">
                  <c:v>112.09392141547899</c:v>
                </c:pt>
                <c:pt idx="18">
                  <c:v>134.29120903422276</c:v>
                </c:pt>
                <c:pt idx="19">
                  <c:v>156.39988249256416</c:v>
                </c:pt>
                <c:pt idx="20">
                  <c:v>178.43425576207457</c:v>
                </c:pt>
                <c:pt idx="21">
                  <c:v>176.16577628278574</c:v>
                </c:pt>
                <c:pt idx="22">
                  <c:v>202.50498404059007</c:v>
                </c:pt>
                <c:pt idx="23">
                  <c:v>228.76481051430321</c:v>
                </c:pt>
                <c:pt idx="24">
                  <c:v>254.95565122562832</c:v>
                </c:pt>
                <c:pt idx="25">
                  <c:v>246.24321912302534</c:v>
                </c:pt>
                <c:pt idx="26">
                  <c:v>277.1087663123555</c:v>
                </c:pt>
                <c:pt idx="27">
                  <c:v>307.89711521571411</c:v>
                </c:pt>
                <c:pt idx="28">
                  <c:v>338.61706530293139</c:v>
                </c:pt>
                <c:pt idx="29">
                  <c:v>319.84969216220651</c:v>
                </c:pt>
                <c:pt idx="30">
                  <c:v>346.32180264159757</c:v>
                </c:pt>
                <c:pt idx="31">
                  <c:v>372.74949334474439</c:v>
                </c:pt>
                <c:pt idx="32">
                  <c:v>399.13635342407616</c:v>
                </c:pt>
                <c:pt idx="33">
                  <c:v>425.48545899488454</c:v>
                </c:pt>
                <c:pt idx="34">
                  <c:v>451.79947435144118</c:v>
                </c:pt>
                <c:pt idx="35">
                  <c:v>419.25651045358899</c:v>
                </c:pt>
                <c:pt idx="36">
                  <c:v>445.40930256306342</c:v>
                </c:pt>
                <c:pt idx="37">
                  <c:v>471.52922250562125</c:v>
                </c:pt>
                <c:pt idx="38">
                  <c:v>497.61834521732698</c:v>
                </c:pt>
                <c:pt idx="39">
                  <c:v>523.67851052575804</c:v>
                </c:pt>
                <c:pt idx="40">
                  <c:v>549.71136039885687</c:v>
                </c:pt>
                <c:pt idx="41">
                  <c:v>518.46871265199923</c:v>
                </c:pt>
                <c:pt idx="42">
                  <c:v>539.47001625636335</c:v>
                </c:pt>
                <c:pt idx="43">
                  <c:v>560.45414998425213</c:v>
                </c:pt>
                <c:pt idx="44">
                  <c:v>581.42184658362487</c:v>
                </c:pt>
                <c:pt idx="45">
                  <c:v>602.37378169138447</c:v>
                </c:pt>
                <c:pt idx="46">
                  <c:v>623.31058015634346</c:v>
                </c:pt>
                <c:pt idx="47">
                  <c:v>599.14048757656815</c:v>
                </c:pt>
                <c:pt idx="48">
                  <c:v>611.17283027194344</c:v>
                </c:pt>
                <c:pt idx="49">
                  <c:v>623.200259180133</c:v>
                </c:pt>
                <c:pt idx="50">
                  <c:v>635.22288246711435</c:v>
                </c:pt>
                <c:pt idx="51">
                  <c:v>647.24080387207789</c:v>
                </c:pt>
                <c:pt idx="52">
                  <c:v>659.25412296915658</c:v>
                </c:pt>
                <c:pt idx="53">
                  <c:v>671.26293540909012</c:v>
                </c:pt>
                <c:pt idx="54">
                  <c:v>683.26733314270984</c:v>
                </c:pt>
                <c:pt idx="55">
                  <c:v>669.20145048213715</c:v>
                </c:pt>
                <c:pt idx="56">
                  <c:v>674.77188169023657</c:v>
                </c:pt>
                <c:pt idx="57">
                  <c:v>680.34136829085116</c:v>
                </c:pt>
                <c:pt idx="58">
                  <c:v>685.90991910820378</c:v>
                </c:pt>
                <c:pt idx="59">
                  <c:v>691.4775428115413</c:v>
                </c:pt>
                <c:pt idx="60">
                  <c:v>697.04424791910844</c:v>
                </c:pt>
                <c:pt idx="61">
                  <c:v>702.61004280199074</c:v>
                </c:pt>
                <c:pt idx="62">
                  <c:v>708.17493568782595</c:v>
                </c:pt>
                <c:pt idx="63">
                  <c:v>700.00020660160408</c:v>
                </c:pt>
                <c:pt idx="64">
                  <c:v>700.00020660160408</c:v>
                </c:pt>
                <c:pt idx="65">
                  <c:v>700.00020660160408</c:v>
                </c:pt>
                <c:pt idx="66">
                  <c:v>700.00020660160408</c:v>
                </c:pt>
                <c:pt idx="67">
                  <c:v>700.00020660160408</c:v>
                </c:pt>
                <c:pt idx="68">
                  <c:v>700.00020660160408</c:v>
                </c:pt>
                <c:pt idx="69">
                  <c:v>700.00020660160408</c:v>
                </c:pt>
                <c:pt idx="70">
                  <c:v>700.00020660160408</c:v>
                </c:pt>
                <c:pt idx="71">
                  <c:v>700.00020660160408</c:v>
                </c:pt>
                <c:pt idx="72">
                  <c:v>700.00020660160408</c:v>
                </c:pt>
                <c:pt idx="73">
                  <c:v>700.00020660160408</c:v>
                </c:pt>
                <c:pt idx="74">
                  <c:v>700.00020660160408</c:v>
                </c:pt>
                <c:pt idx="75">
                  <c:v>700.00020660160408</c:v>
                </c:pt>
                <c:pt idx="76">
                  <c:v>700.00020660160408</c:v>
                </c:pt>
                <c:pt idx="77">
                  <c:v>700.00020660160408</c:v>
                </c:pt>
                <c:pt idx="78">
                  <c:v>700.00020660160408</c:v>
                </c:pt>
                <c:pt idx="79">
                  <c:v>700.00020660160408</c:v>
                </c:pt>
                <c:pt idx="80">
                  <c:v>700.00020660160408</c:v>
                </c:pt>
                <c:pt idx="81">
                  <c:v>700.00020660160408</c:v>
                </c:pt>
                <c:pt idx="82">
                  <c:v>700.00020660160408</c:v>
                </c:pt>
                <c:pt idx="83">
                  <c:v>700.00020660160408</c:v>
                </c:pt>
                <c:pt idx="84">
                  <c:v>700.00020660160408</c:v>
                </c:pt>
                <c:pt idx="85">
                  <c:v>700.00020660160408</c:v>
                </c:pt>
                <c:pt idx="86">
                  <c:v>700.00020660160408</c:v>
                </c:pt>
                <c:pt idx="87">
                  <c:v>700.00020660160408</c:v>
                </c:pt>
                <c:pt idx="88">
                  <c:v>700.00020660160408</c:v>
                </c:pt>
                <c:pt idx="89">
                  <c:v>700.00020660160408</c:v>
                </c:pt>
                <c:pt idx="90">
                  <c:v>700.00020660160408</c:v>
                </c:pt>
                <c:pt idx="91">
                  <c:v>700.00020660160408</c:v>
                </c:pt>
                <c:pt idx="92">
                  <c:v>700.00020660160408</c:v>
                </c:pt>
                <c:pt idx="93">
                  <c:v>700.00020660160408</c:v>
                </c:pt>
                <c:pt idx="94">
                  <c:v>700.00020660160408</c:v>
                </c:pt>
                <c:pt idx="95">
                  <c:v>700.00020660160408</c:v>
                </c:pt>
                <c:pt idx="96">
                  <c:v>700.00020660160408</c:v>
                </c:pt>
                <c:pt idx="97">
                  <c:v>700.00020660160408</c:v>
                </c:pt>
                <c:pt idx="98">
                  <c:v>700.00020660160408</c:v>
                </c:pt>
                <c:pt idx="99">
                  <c:v>700.00020660160408</c:v>
                </c:pt>
                <c:pt idx="100">
                  <c:v>700.00020660160408</c:v>
                </c:pt>
                <c:pt idx="101">
                  <c:v>700.00020660160408</c:v>
                </c:pt>
                <c:pt idx="102">
                  <c:v>700.00020660160408</c:v>
                </c:pt>
                <c:pt idx="103">
                  <c:v>700.00020660160408</c:v>
                </c:pt>
                <c:pt idx="104">
                  <c:v>700.00020660160408</c:v>
                </c:pt>
                <c:pt idx="105">
                  <c:v>700.00020660160408</c:v>
                </c:pt>
                <c:pt idx="106">
                  <c:v>700.00020660160408</c:v>
                </c:pt>
                <c:pt idx="107">
                  <c:v>700.00020660160408</c:v>
                </c:pt>
                <c:pt idx="108">
                  <c:v>700.00020660160408</c:v>
                </c:pt>
                <c:pt idx="109">
                  <c:v>700.00020660160408</c:v>
                </c:pt>
                <c:pt idx="110">
                  <c:v>700.00020660160408</c:v>
                </c:pt>
                <c:pt idx="111">
                  <c:v>700.00020660160408</c:v>
                </c:pt>
                <c:pt idx="112">
                  <c:v>700.00020660160408</c:v>
                </c:pt>
                <c:pt idx="113">
                  <c:v>700.00020660160408</c:v>
                </c:pt>
                <c:pt idx="114">
                  <c:v>700.00020660160408</c:v>
                </c:pt>
                <c:pt idx="115">
                  <c:v>700.00020660160408</c:v>
                </c:pt>
                <c:pt idx="116">
                  <c:v>700.00020660160408</c:v>
                </c:pt>
                <c:pt idx="117">
                  <c:v>700.00020660160408</c:v>
                </c:pt>
                <c:pt idx="118">
                  <c:v>700.00020660160408</c:v>
                </c:pt>
                <c:pt idx="119">
                  <c:v>700.00020660160408</c:v>
                </c:pt>
                <c:pt idx="120">
                  <c:v>700.00020660160408</c:v>
                </c:pt>
                <c:pt idx="121">
                  <c:v>700.00020660160408</c:v>
                </c:pt>
                <c:pt idx="122">
                  <c:v>700.00020660160408</c:v>
                </c:pt>
                <c:pt idx="123">
                  <c:v>700.00020660160408</c:v>
                </c:pt>
                <c:pt idx="124">
                  <c:v>700.00020660160408</c:v>
                </c:pt>
                <c:pt idx="125">
                  <c:v>700.00020660160408</c:v>
                </c:pt>
                <c:pt idx="126">
                  <c:v>700.00020660160408</c:v>
                </c:pt>
                <c:pt idx="127">
                  <c:v>700.00020660160408</c:v>
                </c:pt>
                <c:pt idx="128">
                  <c:v>700.00020660160408</c:v>
                </c:pt>
                <c:pt idx="129">
                  <c:v>700.00020660160408</c:v>
                </c:pt>
                <c:pt idx="130">
                  <c:v>700.00020660160408</c:v>
                </c:pt>
                <c:pt idx="131">
                  <c:v>700.00020660160408</c:v>
                </c:pt>
                <c:pt idx="132">
                  <c:v>700.00020660160408</c:v>
                </c:pt>
                <c:pt idx="133">
                  <c:v>700.00020660160408</c:v>
                </c:pt>
                <c:pt idx="134">
                  <c:v>700.00020660160408</c:v>
                </c:pt>
                <c:pt idx="135">
                  <c:v>700.00020660160408</c:v>
                </c:pt>
                <c:pt idx="136">
                  <c:v>700.00020660160408</c:v>
                </c:pt>
                <c:pt idx="137">
                  <c:v>700.00020660160408</c:v>
                </c:pt>
                <c:pt idx="138">
                  <c:v>700.00020660160408</c:v>
                </c:pt>
                <c:pt idx="139">
                  <c:v>700.00020660160408</c:v>
                </c:pt>
                <c:pt idx="140">
                  <c:v>700.00020660160408</c:v>
                </c:pt>
                <c:pt idx="141">
                  <c:v>700.00020660160408</c:v>
                </c:pt>
                <c:pt idx="142">
                  <c:v>700.00020660160408</c:v>
                </c:pt>
                <c:pt idx="143">
                  <c:v>700.00020660160408</c:v>
                </c:pt>
                <c:pt idx="144">
                  <c:v>700.00020660160408</c:v>
                </c:pt>
                <c:pt idx="145">
                  <c:v>700.00020660160408</c:v>
                </c:pt>
                <c:pt idx="146">
                  <c:v>700.00020660160408</c:v>
                </c:pt>
                <c:pt idx="147">
                  <c:v>700.00020660160408</c:v>
                </c:pt>
                <c:pt idx="148">
                  <c:v>700.00020660160408</c:v>
                </c:pt>
                <c:pt idx="149">
                  <c:v>700.00020660160408</c:v>
                </c:pt>
                <c:pt idx="150">
                  <c:v>700.00020660160408</c:v>
                </c:pt>
                <c:pt idx="151">
                  <c:v>700.00020660160408</c:v>
                </c:pt>
                <c:pt idx="152">
                  <c:v>700.00020660160408</c:v>
                </c:pt>
                <c:pt idx="153">
                  <c:v>700.00020660160408</c:v>
                </c:pt>
                <c:pt idx="154">
                  <c:v>700.00020660160408</c:v>
                </c:pt>
                <c:pt idx="155">
                  <c:v>700.00020660160408</c:v>
                </c:pt>
                <c:pt idx="156">
                  <c:v>700.00020660160408</c:v>
                </c:pt>
                <c:pt idx="157">
                  <c:v>700.00020660160408</c:v>
                </c:pt>
                <c:pt idx="158">
                  <c:v>700.00020660160408</c:v>
                </c:pt>
                <c:pt idx="159">
                  <c:v>700.00020660160408</c:v>
                </c:pt>
                <c:pt idx="160">
                  <c:v>700.00020660160408</c:v>
                </c:pt>
                <c:pt idx="161">
                  <c:v>700.00020660160408</c:v>
                </c:pt>
                <c:pt idx="162">
                  <c:v>700.00020660160408</c:v>
                </c:pt>
                <c:pt idx="163">
                  <c:v>700.00020660160408</c:v>
                </c:pt>
                <c:pt idx="164">
                  <c:v>700.00020660160408</c:v>
                </c:pt>
                <c:pt idx="165">
                  <c:v>700.00020660160408</c:v>
                </c:pt>
                <c:pt idx="166">
                  <c:v>700.00020660160408</c:v>
                </c:pt>
                <c:pt idx="167">
                  <c:v>700.00020660160408</c:v>
                </c:pt>
                <c:pt idx="168">
                  <c:v>700.00020660160408</c:v>
                </c:pt>
                <c:pt idx="169">
                  <c:v>700.00020660160408</c:v>
                </c:pt>
                <c:pt idx="170">
                  <c:v>700.00020660160408</c:v>
                </c:pt>
                <c:pt idx="171">
                  <c:v>700.00020660160408</c:v>
                </c:pt>
                <c:pt idx="172">
                  <c:v>700.00020660160408</c:v>
                </c:pt>
                <c:pt idx="173">
                  <c:v>700.00020660160408</c:v>
                </c:pt>
                <c:pt idx="174">
                  <c:v>700.00020660160408</c:v>
                </c:pt>
                <c:pt idx="175">
                  <c:v>700.00020660160408</c:v>
                </c:pt>
                <c:pt idx="176">
                  <c:v>700.00020660160408</c:v>
                </c:pt>
                <c:pt idx="177">
                  <c:v>700.00020660160408</c:v>
                </c:pt>
                <c:pt idx="178">
                  <c:v>700.00020660160408</c:v>
                </c:pt>
                <c:pt idx="179">
                  <c:v>700.00020660160408</c:v>
                </c:pt>
                <c:pt idx="180">
                  <c:v>700.00020660160408</c:v>
                </c:pt>
                <c:pt idx="181">
                  <c:v>700.00020660160408</c:v>
                </c:pt>
                <c:pt idx="182">
                  <c:v>700.00020660160408</c:v>
                </c:pt>
                <c:pt idx="183">
                  <c:v>700.00020660160408</c:v>
                </c:pt>
                <c:pt idx="184">
                  <c:v>700.00020660160408</c:v>
                </c:pt>
                <c:pt idx="185">
                  <c:v>700.00020660160408</c:v>
                </c:pt>
                <c:pt idx="186">
                  <c:v>700.00020660160408</c:v>
                </c:pt>
                <c:pt idx="187">
                  <c:v>700.00020660160408</c:v>
                </c:pt>
                <c:pt idx="188">
                  <c:v>700.00020660160408</c:v>
                </c:pt>
                <c:pt idx="189">
                  <c:v>700.00020660160408</c:v>
                </c:pt>
                <c:pt idx="190">
                  <c:v>700.00020660160408</c:v>
                </c:pt>
                <c:pt idx="191">
                  <c:v>700.00020660160408</c:v>
                </c:pt>
                <c:pt idx="192">
                  <c:v>700.00020660160408</c:v>
                </c:pt>
                <c:pt idx="193">
                  <c:v>700.00020660160408</c:v>
                </c:pt>
                <c:pt idx="194">
                  <c:v>700.00020660160408</c:v>
                </c:pt>
                <c:pt idx="195">
                  <c:v>700.00020660160408</c:v>
                </c:pt>
                <c:pt idx="196">
                  <c:v>700.00020660160408</c:v>
                </c:pt>
                <c:pt idx="197">
                  <c:v>700.00020660160408</c:v>
                </c:pt>
                <c:pt idx="198">
                  <c:v>700.00020660160408</c:v>
                </c:pt>
                <c:pt idx="199">
                  <c:v>700.00020660160408</c:v>
                </c:pt>
                <c:pt idx="200">
                  <c:v>700.00020660160408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1.4219996855223902</c:v>
                </c:pt>
                <c:pt idx="2">
                  <c:v>1.9055558099333443</c:v>
                </c:pt>
                <c:pt idx="3">
                  <c:v>2.5542475914735228</c:v>
                </c:pt>
                <c:pt idx="4">
                  <c:v>3.4246953427283322</c:v>
                </c:pt>
                <c:pt idx="5">
                  <c:v>4.5930054968543548</c:v>
                </c:pt>
                <c:pt idx="6">
                  <c:v>6.1615000791626899</c:v>
                </c:pt>
                <c:pt idx="7">
                  <c:v>8.2677775900586195</c:v>
                </c:pt>
                <c:pt idx="8">
                  <c:v>11.096915365802047</c:v>
                </c:pt>
                <c:pt idx="9">
                  <c:v>14.89790569270683</c:v>
                </c:pt>
                <c:pt idx="10">
                  <c:v>20.005798710338812</c:v>
                </c:pt>
                <c:pt idx="11">
                  <c:v>26.871538939240398</c:v>
                </c:pt>
                <c:pt idx="12">
                  <c:v>36.102175691229341</c:v>
                </c:pt>
                <c:pt idx="13">
                  <c:v>48.515063588887962</c:v>
                </c:pt>
                <c:pt idx="14">
                  <c:v>65.210932941887208</c:v>
                </c:pt>
                <c:pt idx="15">
                  <c:v>87.672415653160485</c:v>
                </c:pt>
                <c:pt idx="16">
                  <c:v>98.85227351185604</c:v>
                </c:pt>
                <c:pt idx="17">
                  <c:v>110.00072120604004</c:v>
                </c:pt>
                <c:pt idx="18">
                  <c:v>121.12139610560513</c:v>
                </c:pt>
                <c:pt idx="19">
                  <c:v>132.21721110646129</c:v>
                </c:pt>
                <c:pt idx="20">
                  <c:v>143.29054905710137</c:v>
                </c:pt>
                <c:pt idx="21">
                  <c:v>106.99528255758882</c:v>
                </c:pt>
                <c:pt idx="22">
                  <c:v>134.15221021647582</c:v>
                </c:pt>
                <c:pt idx="23">
                  <c:v>161.17610480411562</c:v>
                </c:pt>
                <c:pt idx="24">
                  <c:v>188.09248844997217</c:v>
                </c:pt>
                <c:pt idx="25">
                  <c:v>214.91893545635992</c:v>
                </c:pt>
                <c:pt idx="26">
                  <c:v>172.02437756633125</c:v>
                </c:pt>
                <c:pt idx="27">
                  <c:v>202.38699404389845</c:v>
                </c:pt>
                <c:pt idx="28">
                  <c:v>232.64398903087172</c:v>
                </c:pt>
                <c:pt idx="29">
                  <c:v>262.81103916197998</c:v>
                </c:pt>
                <c:pt idx="30">
                  <c:v>292.8999193112889</c:v>
                </c:pt>
                <c:pt idx="31">
                  <c:v>249.64486361233193</c:v>
                </c:pt>
                <c:pt idx="32">
                  <c:v>279.07502565621877</c:v>
                </c:pt>
                <c:pt idx="33">
                  <c:v>308.435554343386</c:v>
                </c:pt>
                <c:pt idx="34">
                  <c:v>337.73400542179792</c:v>
                </c:pt>
                <c:pt idx="35">
                  <c:v>366.976516342477</c:v>
                </c:pt>
                <c:pt idx="36">
                  <c:v>322.23039053563429</c:v>
                </c:pt>
                <c:pt idx="37">
                  <c:v>349.78150378174973</c:v>
                </c:pt>
                <c:pt idx="38">
                  <c:v>377.28502432944293</c:v>
                </c:pt>
                <c:pt idx="39">
                  <c:v>404.74490589416973</c:v>
                </c:pt>
                <c:pt idx="40">
                  <c:v>432.16452222276945</c:v>
                </c:pt>
                <c:pt idx="41">
                  <c:v>385.69908263965391</c:v>
                </c:pt>
                <c:pt idx="42">
                  <c:v>411.26059505034641</c:v>
                </c:pt>
                <c:pt idx="43">
                  <c:v>436.78782527800303</c:v>
                </c:pt>
                <c:pt idx="44">
                  <c:v>462.28305655003265</c:v>
                </c:pt>
                <c:pt idx="45">
                  <c:v>487.7482999123331</c:v>
                </c:pt>
                <c:pt idx="46">
                  <c:v>440.55418417657251</c:v>
                </c:pt>
                <c:pt idx="47">
                  <c:v>465.18996719392544</c:v>
                </c:pt>
                <c:pt idx="48">
                  <c:v>489.7979424219518</c:v>
                </c:pt>
                <c:pt idx="49">
                  <c:v>514.37970197529091</c:v>
                </c:pt>
                <c:pt idx="50">
                  <c:v>538.93667353064018</c:v>
                </c:pt>
                <c:pt idx="51">
                  <c:v>495.26276855123501</c:v>
                </c:pt>
                <c:pt idx="52">
                  <c:v>518.9859816892282</c:v>
                </c:pt>
                <c:pt idx="53">
                  <c:v>542.68633329701777</c:v>
                </c:pt>
                <c:pt idx="54">
                  <c:v>566.3649611772023</c:v>
                </c:pt>
                <c:pt idx="55">
                  <c:v>590.02290033338511</c:v>
                </c:pt>
                <c:pt idx="56">
                  <c:v>551.8877460784629</c:v>
                </c:pt>
                <c:pt idx="57">
                  <c:v>573.34530939827062</c:v>
                </c:pt>
                <c:pt idx="58">
                  <c:v>594.78611026001704</c:v>
                </c:pt>
                <c:pt idx="59">
                  <c:v>616.21083735527861</c:v>
                </c:pt>
                <c:pt idx="60">
                  <c:v>637.62012762925076</c:v>
                </c:pt>
                <c:pt idx="61">
                  <c:v>602.94977073041787</c:v>
                </c:pt>
                <c:pt idx="62">
                  <c:v>622.66920534201552</c:v>
                </c:pt>
                <c:pt idx="63">
                  <c:v>642.375711596987</c:v>
                </c:pt>
                <c:pt idx="64">
                  <c:v>662.06974156582521</c:v>
                </c:pt>
                <c:pt idx="65">
                  <c:v>681.751718257677</c:v>
                </c:pt>
                <c:pt idx="66">
                  <c:v>648.82855708815214</c:v>
                </c:pt>
                <c:pt idx="67">
                  <c:v>666.82165164863466</c:v>
                </c:pt>
                <c:pt idx="68">
                  <c:v>684.8047636834516</c:v>
                </c:pt>
                <c:pt idx="69">
                  <c:v>702.77819201709599</c:v>
                </c:pt>
                <c:pt idx="70">
                  <c:v>720.74221895730454</c:v>
                </c:pt>
                <c:pt idx="71">
                  <c:v>690.06213267807846</c:v>
                </c:pt>
                <c:pt idx="72">
                  <c:v>706.84633240936728</c:v>
                </c:pt>
                <c:pt idx="73">
                  <c:v>723.62238545512685</c:v>
                </c:pt>
                <c:pt idx="74">
                  <c:v>740.39050712068695</c:v>
                </c:pt>
                <c:pt idx="75">
                  <c:v>757.1509021728067</c:v>
                </c:pt>
                <c:pt idx="76">
                  <c:v>726.84111838850129</c:v>
                </c:pt>
                <c:pt idx="77">
                  <c:v>742.25315115071987</c:v>
                </c:pt>
                <c:pt idx="78">
                  <c:v>757.65867439832107</c:v>
                </c:pt>
                <c:pt idx="79">
                  <c:v>773.05783902529492</c:v>
                </c:pt>
                <c:pt idx="80">
                  <c:v>788.45078942917837</c:v>
                </c:pt>
                <c:pt idx="81">
                  <c:v>744.45433513542378</c:v>
                </c:pt>
                <c:pt idx="82">
                  <c:v>744.45433513542378</c:v>
                </c:pt>
                <c:pt idx="83">
                  <c:v>744.45433513542378</c:v>
                </c:pt>
                <c:pt idx="84">
                  <c:v>744.45433513542378</c:v>
                </c:pt>
                <c:pt idx="85">
                  <c:v>744.45433513542378</c:v>
                </c:pt>
                <c:pt idx="86">
                  <c:v>744.45433513542378</c:v>
                </c:pt>
                <c:pt idx="87">
                  <c:v>744.45433513542378</c:v>
                </c:pt>
                <c:pt idx="88">
                  <c:v>744.45433513542378</c:v>
                </c:pt>
                <c:pt idx="89">
                  <c:v>744.45433513542378</c:v>
                </c:pt>
                <c:pt idx="90">
                  <c:v>744.45433513542378</c:v>
                </c:pt>
                <c:pt idx="91">
                  <c:v>744.45433513542378</c:v>
                </c:pt>
                <c:pt idx="92">
                  <c:v>744.45433513542378</c:v>
                </c:pt>
                <c:pt idx="93">
                  <c:v>744.45433513542378</c:v>
                </c:pt>
                <c:pt idx="94">
                  <c:v>744.45433513542378</c:v>
                </c:pt>
                <c:pt idx="95">
                  <c:v>744.45433513542378</c:v>
                </c:pt>
                <c:pt idx="96">
                  <c:v>744.45433513542378</c:v>
                </c:pt>
                <c:pt idx="97">
                  <c:v>744.45433513542378</c:v>
                </c:pt>
                <c:pt idx="98">
                  <c:v>744.45433513542378</c:v>
                </c:pt>
                <c:pt idx="99">
                  <c:v>744.45433513542378</c:v>
                </c:pt>
                <c:pt idx="100">
                  <c:v>744.45433513542378</c:v>
                </c:pt>
                <c:pt idx="101">
                  <c:v>744.45433513542378</c:v>
                </c:pt>
                <c:pt idx="102">
                  <c:v>744.45433513542378</c:v>
                </c:pt>
                <c:pt idx="103">
                  <c:v>744.45433513542378</c:v>
                </c:pt>
                <c:pt idx="104">
                  <c:v>744.45433513542378</c:v>
                </c:pt>
                <c:pt idx="105">
                  <c:v>744.45433513542378</c:v>
                </c:pt>
                <c:pt idx="106">
                  <c:v>744.45433513542378</c:v>
                </c:pt>
                <c:pt idx="107">
                  <c:v>744.45433513542378</c:v>
                </c:pt>
                <c:pt idx="108">
                  <c:v>744.45433513542378</c:v>
                </c:pt>
                <c:pt idx="109">
                  <c:v>744.45433513542378</c:v>
                </c:pt>
                <c:pt idx="110">
                  <c:v>744.45433513542378</c:v>
                </c:pt>
                <c:pt idx="111">
                  <c:v>744.45433513542378</c:v>
                </c:pt>
                <c:pt idx="112">
                  <c:v>744.45433513542378</c:v>
                </c:pt>
                <c:pt idx="113">
                  <c:v>744.45433513542378</c:v>
                </c:pt>
                <c:pt idx="114">
                  <c:v>744.45433513542378</c:v>
                </c:pt>
                <c:pt idx="115">
                  <c:v>744.45433513542378</c:v>
                </c:pt>
                <c:pt idx="116">
                  <c:v>744.45433513542378</c:v>
                </c:pt>
                <c:pt idx="117">
                  <c:v>744.45433513542378</c:v>
                </c:pt>
                <c:pt idx="118">
                  <c:v>744.45433513542378</c:v>
                </c:pt>
                <c:pt idx="119">
                  <c:v>744.45433513542378</c:v>
                </c:pt>
                <c:pt idx="120">
                  <c:v>744.45433513542378</c:v>
                </c:pt>
                <c:pt idx="121">
                  <c:v>744.45433513542378</c:v>
                </c:pt>
                <c:pt idx="122">
                  <c:v>744.45433513542378</c:v>
                </c:pt>
                <c:pt idx="123">
                  <c:v>744.45433513542378</c:v>
                </c:pt>
                <c:pt idx="124">
                  <c:v>744.45433513542378</c:v>
                </c:pt>
                <c:pt idx="125">
                  <c:v>744.45433513542378</c:v>
                </c:pt>
                <c:pt idx="126">
                  <c:v>744.45433513542378</c:v>
                </c:pt>
                <c:pt idx="127">
                  <c:v>744.45433513542378</c:v>
                </c:pt>
                <c:pt idx="128">
                  <c:v>744.45433513542378</c:v>
                </c:pt>
                <c:pt idx="129">
                  <c:v>744.45433513542378</c:v>
                </c:pt>
                <c:pt idx="130">
                  <c:v>744.45433513542378</c:v>
                </c:pt>
                <c:pt idx="131">
                  <c:v>744.45433513542378</c:v>
                </c:pt>
                <c:pt idx="132">
                  <c:v>744.45433513542378</c:v>
                </c:pt>
                <c:pt idx="133">
                  <c:v>744.45433513542378</c:v>
                </c:pt>
                <c:pt idx="134">
                  <c:v>744.45433513542378</c:v>
                </c:pt>
                <c:pt idx="135">
                  <c:v>744.45433513542378</c:v>
                </c:pt>
                <c:pt idx="136">
                  <c:v>744.45433513542378</c:v>
                </c:pt>
                <c:pt idx="137">
                  <c:v>744.45433513542378</c:v>
                </c:pt>
                <c:pt idx="138">
                  <c:v>744.45433513542378</c:v>
                </c:pt>
                <c:pt idx="139">
                  <c:v>744.45433513542378</c:v>
                </c:pt>
                <c:pt idx="140">
                  <c:v>744.45433513542378</c:v>
                </c:pt>
                <c:pt idx="141">
                  <c:v>744.45433513542378</c:v>
                </c:pt>
                <c:pt idx="142">
                  <c:v>744.45433513542378</c:v>
                </c:pt>
                <c:pt idx="143">
                  <c:v>744.45433513542378</c:v>
                </c:pt>
                <c:pt idx="144">
                  <c:v>744.45433513542378</c:v>
                </c:pt>
                <c:pt idx="145">
                  <c:v>744.45433513542378</c:v>
                </c:pt>
                <c:pt idx="146">
                  <c:v>744.45433513542378</c:v>
                </c:pt>
                <c:pt idx="147">
                  <c:v>744.45433513542378</c:v>
                </c:pt>
                <c:pt idx="148">
                  <c:v>744.45433513542378</c:v>
                </c:pt>
                <c:pt idx="149">
                  <c:v>744.45433513542378</c:v>
                </c:pt>
                <c:pt idx="150">
                  <c:v>744.45433513542378</c:v>
                </c:pt>
                <c:pt idx="151">
                  <c:v>744.45433513542378</c:v>
                </c:pt>
                <c:pt idx="152">
                  <c:v>744.45433513542378</c:v>
                </c:pt>
                <c:pt idx="153">
                  <c:v>744.45433513542378</c:v>
                </c:pt>
                <c:pt idx="154">
                  <c:v>744.45433513542378</c:v>
                </c:pt>
                <c:pt idx="155">
                  <c:v>744.45433513542378</c:v>
                </c:pt>
                <c:pt idx="156">
                  <c:v>744.45433513542378</c:v>
                </c:pt>
                <c:pt idx="157">
                  <c:v>744.45433513542378</c:v>
                </c:pt>
                <c:pt idx="158">
                  <c:v>744.45433513542378</c:v>
                </c:pt>
                <c:pt idx="159">
                  <c:v>744.45433513542378</c:v>
                </c:pt>
                <c:pt idx="160">
                  <c:v>744.45433513542378</c:v>
                </c:pt>
                <c:pt idx="161">
                  <c:v>744.45433513542378</c:v>
                </c:pt>
                <c:pt idx="162">
                  <c:v>744.45433513542378</c:v>
                </c:pt>
                <c:pt idx="163">
                  <c:v>744.45433513542378</c:v>
                </c:pt>
                <c:pt idx="164">
                  <c:v>744.45433513542378</c:v>
                </c:pt>
                <c:pt idx="165">
                  <c:v>744.45433513542378</c:v>
                </c:pt>
                <c:pt idx="166">
                  <c:v>744.45433513542378</c:v>
                </c:pt>
                <c:pt idx="167">
                  <c:v>744.45433513542378</c:v>
                </c:pt>
                <c:pt idx="168">
                  <c:v>744.45433513542378</c:v>
                </c:pt>
                <c:pt idx="169">
                  <c:v>744.45433513542378</c:v>
                </c:pt>
                <c:pt idx="170">
                  <c:v>744.45433513542378</c:v>
                </c:pt>
                <c:pt idx="171">
                  <c:v>744.45433513542378</c:v>
                </c:pt>
                <c:pt idx="172">
                  <c:v>744.45433513542378</c:v>
                </c:pt>
                <c:pt idx="173">
                  <c:v>744.45433513542378</c:v>
                </c:pt>
                <c:pt idx="174">
                  <c:v>744.45433513542378</c:v>
                </c:pt>
                <c:pt idx="175">
                  <c:v>744.45433513542378</c:v>
                </c:pt>
                <c:pt idx="176">
                  <c:v>744.45433513542378</c:v>
                </c:pt>
                <c:pt idx="177">
                  <c:v>744.45433513542378</c:v>
                </c:pt>
                <c:pt idx="178">
                  <c:v>744.45433513542378</c:v>
                </c:pt>
                <c:pt idx="179">
                  <c:v>744.45433513542378</c:v>
                </c:pt>
                <c:pt idx="180">
                  <c:v>744.45433513542378</c:v>
                </c:pt>
                <c:pt idx="181">
                  <c:v>744.45433513542378</c:v>
                </c:pt>
                <c:pt idx="182">
                  <c:v>744.45433513542378</c:v>
                </c:pt>
                <c:pt idx="183">
                  <c:v>744.45433513542378</c:v>
                </c:pt>
                <c:pt idx="184">
                  <c:v>744.45433513542378</c:v>
                </c:pt>
                <c:pt idx="185">
                  <c:v>744.45433513542378</c:v>
                </c:pt>
                <c:pt idx="186">
                  <c:v>744.45433513542378</c:v>
                </c:pt>
                <c:pt idx="187">
                  <c:v>744.45433513542378</c:v>
                </c:pt>
                <c:pt idx="188">
                  <c:v>744.45433513542378</c:v>
                </c:pt>
                <c:pt idx="189">
                  <c:v>744.45433513542378</c:v>
                </c:pt>
                <c:pt idx="190">
                  <c:v>744.45433513542378</c:v>
                </c:pt>
                <c:pt idx="191">
                  <c:v>744.45433513542378</c:v>
                </c:pt>
                <c:pt idx="192">
                  <c:v>744.45433513542378</c:v>
                </c:pt>
                <c:pt idx="193">
                  <c:v>744.45433513542378</c:v>
                </c:pt>
                <c:pt idx="194">
                  <c:v>744.45433513542378</c:v>
                </c:pt>
                <c:pt idx="195">
                  <c:v>744.45433513542378</c:v>
                </c:pt>
                <c:pt idx="196">
                  <c:v>744.45433513542378</c:v>
                </c:pt>
                <c:pt idx="197">
                  <c:v>744.45433513542378</c:v>
                </c:pt>
                <c:pt idx="198">
                  <c:v>744.45433513542378</c:v>
                </c:pt>
                <c:pt idx="199">
                  <c:v>744.45433513542378</c:v>
                </c:pt>
                <c:pt idx="200">
                  <c:v>744.45433513542378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1.5581671512801922</c:v>
                </c:pt>
                <c:pt idx="2">
                  <c:v>2.0936853891977356</c:v>
                </c:pt>
                <c:pt idx="3">
                  <c:v>2.8140356616861495</c:v>
                </c:pt>
                <c:pt idx="4">
                  <c:v>3.7832670330814739</c:v>
                </c:pt>
                <c:pt idx="5">
                  <c:v>5.0877059608500632</c:v>
                </c:pt>
                <c:pt idx="6">
                  <c:v>6.84373150537344</c:v>
                </c:pt>
                <c:pt idx="7">
                  <c:v>9.2082728369820117</c:v>
                </c:pt>
                <c:pt idx="8">
                  <c:v>12.392984947764333</c:v>
                </c:pt>
                <c:pt idx="9">
                  <c:v>16.68339501667371</c:v>
                </c:pt>
                <c:pt idx="10">
                  <c:v>22.464767183352976</c:v>
                </c:pt>
                <c:pt idx="11">
                  <c:v>30.257049561234812</c:v>
                </c:pt>
                <c:pt idx="12">
                  <c:v>40.762101049027791</c:v>
                </c:pt>
                <c:pt idx="13">
                  <c:v>54.927523932191555</c:v>
                </c:pt>
                <c:pt idx="14">
                  <c:v>74.032955778623247</c:v>
                </c:pt>
                <c:pt idx="15">
                  <c:v>99.806742133911712</c:v>
                </c:pt>
                <c:pt idx="16">
                  <c:v>100.38959939157125</c:v>
                </c:pt>
                <c:pt idx="17">
                  <c:v>113.57952439844463</c:v>
                </c:pt>
                <c:pt idx="18">
                  <c:v>126.73190556218712</c:v>
                </c:pt>
                <c:pt idx="19">
                  <c:v>139.85119345676972</c:v>
                </c:pt>
                <c:pt idx="20">
                  <c:v>152.94093318958377</c:v>
                </c:pt>
                <c:pt idx="21">
                  <c:v>93.389605323060195</c:v>
                </c:pt>
                <c:pt idx="22">
                  <c:v>135.41725555203229</c:v>
                </c:pt>
                <c:pt idx="23">
                  <c:v>177.12679301408659</c:v>
                </c:pt>
                <c:pt idx="24">
                  <c:v>218.60451980026974</c:v>
                </c:pt>
                <c:pt idx="25">
                  <c:v>259.9008152608456</c:v>
                </c:pt>
                <c:pt idx="26">
                  <c:v>203.90950483669846</c:v>
                </c:pt>
                <c:pt idx="27">
                  <c:v>247.92809534094238</c:v>
                </c:pt>
                <c:pt idx="28">
                  <c:v>291.76884281866904</c:v>
                </c:pt>
                <c:pt idx="29">
                  <c:v>335.46225264266161</c:v>
                </c:pt>
                <c:pt idx="30">
                  <c:v>379.03020772683857</c:v>
                </c:pt>
                <c:pt idx="31">
                  <c:v>322.04691734631359</c:v>
                </c:pt>
                <c:pt idx="32">
                  <c:v>364.14334828281125</c:v>
                </c:pt>
                <c:pt idx="33">
                  <c:v>406.13341218931458</c:v>
                </c:pt>
                <c:pt idx="34">
                  <c:v>448.02963755900032</c:v>
                </c:pt>
                <c:pt idx="35">
                  <c:v>489.8420187537485</c:v>
                </c:pt>
                <c:pt idx="36">
                  <c:v>430.755778402141</c:v>
                </c:pt>
                <c:pt idx="37">
                  <c:v>470.16446532159836</c:v>
                </c:pt>
                <c:pt idx="38">
                  <c:v>509.50281029910246</c:v>
                </c:pt>
                <c:pt idx="39">
                  <c:v>548.77699801739277</c:v>
                </c:pt>
                <c:pt idx="40">
                  <c:v>587.99225676117123</c:v>
                </c:pt>
                <c:pt idx="41">
                  <c:v>607.20625035702199</c:v>
                </c:pt>
                <c:pt idx="42">
                  <c:v>626.40762543893595</c:v>
                </c:pt>
                <c:pt idx="43">
                  <c:v>645.59682291696788</c:v>
                </c:pt>
                <c:pt idx="44">
                  <c:v>664.77425537759143</c:v>
                </c:pt>
                <c:pt idx="45">
                  <c:v>683.94030968430582</c:v>
                </c:pt>
                <c:pt idx="46">
                  <c:v>639.63640905269403</c:v>
                </c:pt>
                <c:pt idx="47">
                  <c:v>672.59089243288122</c:v>
                </c:pt>
                <c:pt idx="48">
                  <c:v>705.51221024379367</c:v>
                </c:pt>
                <c:pt idx="49">
                  <c:v>738.40212495483729</c:v>
                </c:pt>
                <c:pt idx="50">
                  <c:v>771.26222949291912</c:v>
                </c:pt>
                <c:pt idx="51">
                  <c:v>734.13001174014073</c:v>
                </c:pt>
                <c:pt idx="52">
                  <c:v>762.91070950942469</c:v>
                </c:pt>
                <c:pt idx="53">
                  <c:v>791.66938594429928</c:v>
                </c:pt>
                <c:pt idx="54">
                  <c:v>820.40695222374814</c:v>
                </c:pt>
                <c:pt idx="55">
                  <c:v>849.12425059431882</c:v>
                </c:pt>
                <c:pt idx="56">
                  <c:v>816.3293248894887</c:v>
                </c:pt>
                <c:pt idx="57">
                  <c:v>840.97425695368077</c:v>
                </c:pt>
                <c:pt idx="58">
                  <c:v>865.60468315801518</c:v>
                </c:pt>
                <c:pt idx="59">
                  <c:v>890.22107373007441</c:v>
                </c:pt>
                <c:pt idx="60">
                  <c:v>914.82387081246122</c:v>
                </c:pt>
                <c:pt idx="61">
                  <c:v>885.22487499512135</c:v>
                </c:pt>
                <c:pt idx="62">
                  <c:v>906.50111140579656</c:v>
                </c:pt>
                <c:pt idx="63">
                  <c:v>927.76739322403637</c:v>
                </c:pt>
                <c:pt idx="64">
                  <c:v>949.02398043470623</c:v>
                </c:pt>
                <c:pt idx="65">
                  <c:v>970.2711204437519</c:v>
                </c:pt>
                <c:pt idx="66">
                  <c:v>942.92524124330646</c:v>
                </c:pt>
                <c:pt idx="67">
                  <c:v>960.84962620194801</c:v>
                </c:pt>
                <c:pt idx="68">
                  <c:v>978.7673844029888</c:v>
                </c:pt>
                <c:pt idx="69">
                  <c:v>996.67865408795967</c:v>
                </c:pt>
                <c:pt idx="70">
                  <c:v>1014.58356813133</c:v>
                </c:pt>
                <c:pt idx="71">
                  <c:v>988.5547499105686</c:v>
                </c:pt>
                <c:pt idx="72">
                  <c:v>1003.1399161935175</c:v>
                </c:pt>
                <c:pt idx="73">
                  <c:v>1017.7208978313887</c:v>
                </c:pt>
                <c:pt idx="74">
                  <c:v>1032.2977631546539</c:v>
                </c:pt>
                <c:pt idx="75">
                  <c:v>1046.8705784090255</c:v>
                </c:pt>
                <c:pt idx="76">
                  <c:v>1021.7806887183129</c:v>
                </c:pt>
                <c:pt idx="77">
                  <c:v>1033.5891878449413</c:v>
                </c:pt>
                <c:pt idx="78">
                  <c:v>1045.3950327165765</c:v>
                </c:pt>
                <c:pt idx="79">
                  <c:v>1057.1982575006275</c:v>
                </c:pt>
                <c:pt idx="80">
                  <c:v>1068.9988955401971</c:v>
                </c:pt>
                <c:pt idx="81">
                  <c:v>1036.725372848661</c:v>
                </c:pt>
                <c:pt idx="82">
                  <c:v>1036.725372848661</c:v>
                </c:pt>
                <c:pt idx="83">
                  <c:v>1036.725372848661</c:v>
                </c:pt>
                <c:pt idx="84">
                  <c:v>1036.725372848661</c:v>
                </c:pt>
                <c:pt idx="85">
                  <c:v>1036.725372848661</c:v>
                </c:pt>
                <c:pt idx="86">
                  <c:v>1036.725372848661</c:v>
                </c:pt>
                <c:pt idx="87">
                  <c:v>1036.725372848661</c:v>
                </c:pt>
                <c:pt idx="88">
                  <c:v>1036.725372848661</c:v>
                </c:pt>
                <c:pt idx="89">
                  <c:v>1036.725372848661</c:v>
                </c:pt>
                <c:pt idx="90">
                  <c:v>1036.725372848661</c:v>
                </c:pt>
                <c:pt idx="91">
                  <c:v>1036.725372848661</c:v>
                </c:pt>
                <c:pt idx="92">
                  <c:v>1036.725372848661</c:v>
                </c:pt>
                <c:pt idx="93">
                  <c:v>1036.725372848661</c:v>
                </c:pt>
                <c:pt idx="94">
                  <c:v>1036.725372848661</c:v>
                </c:pt>
                <c:pt idx="95">
                  <c:v>1036.725372848661</c:v>
                </c:pt>
                <c:pt idx="96">
                  <c:v>1036.725372848661</c:v>
                </c:pt>
                <c:pt idx="97">
                  <c:v>1036.725372848661</c:v>
                </c:pt>
                <c:pt idx="98">
                  <c:v>1036.725372848661</c:v>
                </c:pt>
                <c:pt idx="99">
                  <c:v>1036.725372848661</c:v>
                </c:pt>
                <c:pt idx="100">
                  <c:v>1036.725372848661</c:v>
                </c:pt>
                <c:pt idx="101">
                  <c:v>1036.725372848661</c:v>
                </c:pt>
                <c:pt idx="102">
                  <c:v>1036.725372848661</c:v>
                </c:pt>
                <c:pt idx="103">
                  <c:v>1036.725372848661</c:v>
                </c:pt>
                <c:pt idx="104">
                  <c:v>1036.725372848661</c:v>
                </c:pt>
                <c:pt idx="105">
                  <c:v>1036.725372848661</c:v>
                </c:pt>
                <c:pt idx="106">
                  <c:v>1036.725372848661</c:v>
                </c:pt>
                <c:pt idx="107">
                  <c:v>1036.725372848661</c:v>
                </c:pt>
                <c:pt idx="108">
                  <c:v>1036.725372848661</c:v>
                </c:pt>
                <c:pt idx="109">
                  <c:v>1036.725372848661</c:v>
                </c:pt>
                <c:pt idx="110">
                  <c:v>1036.725372848661</c:v>
                </c:pt>
                <c:pt idx="111">
                  <c:v>1036.725372848661</c:v>
                </c:pt>
                <c:pt idx="112">
                  <c:v>1036.725372848661</c:v>
                </c:pt>
                <c:pt idx="113">
                  <c:v>1036.725372848661</c:v>
                </c:pt>
                <c:pt idx="114">
                  <c:v>1036.725372848661</c:v>
                </c:pt>
                <c:pt idx="115">
                  <c:v>1036.725372848661</c:v>
                </c:pt>
                <c:pt idx="116">
                  <c:v>1036.725372848661</c:v>
                </c:pt>
                <c:pt idx="117">
                  <c:v>1036.725372848661</c:v>
                </c:pt>
                <c:pt idx="118">
                  <c:v>1036.725372848661</c:v>
                </c:pt>
                <c:pt idx="119">
                  <c:v>1036.725372848661</c:v>
                </c:pt>
                <c:pt idx="120">
                  <c:v>1036.725372848661</c:v>
                </c:pt>
                <c:pt idx="121">
                  <c:v>1036.725372848661</c:v>
                </c:pt>
                <c:pt idx="122">
                  <c:v>1036.725372848661</c:v>
                </c:pt>
                <c:pt idx="123">
                  <c:v>1036.725372848661</c:v>
                </c:pt>
                <c:pt idx="124">
                  <c:v>1036.725372848661</c:v>
                </c:pt>
                <c:pt idx="125">
                  <c:v>1036.725372848661</c:v>
                </c:pt>
                <c:pt idx="126">
                  <c:v>1036.725372848661</c:v>
                </c:pt>
                <c:pt idx="127">
                  <c:v>1036.725372848661</c:v>
                </c:pt>
                <c:pt idx="128">
                  <c:v>1036.725372848661</c:v>
                </c:pt>
                <c:pt idx="129">
                  <c:v>1036.725372848661</c:v>
                </c:pt>
                <c:pt idx="130">
                  <c:v>1036.725372848661</c:v>
                </c:pt>
                <c:pt idx="131">
                  <c:v>1036.725372848661</c:v>
                </c:pt>
                <c:pt idx="132">
                  <c:v>1036.725372848661</c:v>
                </c:pt>
                <c:pt idx="133">
                  <c:v>1036.725372848661</c:v>
                </c:pt>
                <c:pt idx="134">
                  <c:v>1036.725372848661</c:v>
                </c:pt>
                <c:pt idx="135">
                  <c:v>1036.725372848661</c:v>
                </c:pt>
                <c:pt idx="136">
                  <c:v>1036.725372848661</c:v>
                </c:pt>
                <c:pt idx="137">
                  <c:v>1036.725372848661</c:v>
                </c:pt>
                <c:pt idx="138">
                  <c:v>1036.725372848661</c:v>
                </c:pt>
                <c:pt idx="139">
                  <c:v>1036.725372848661</c:v>
                </c:pt>
                <c:pt idx="140">
                  <c:v>1036.725372848661</c:v>
                </c:pt>
                <c:pt idx="141">
                  <c:v>1036.725372848661</c:v>
                </c:pt>
                <c:pt idx="142">
                  <c:v>1036.725372848661</c:v>
                </c:pt>
                <c:pt idx="143">
                  <c:v>1036.725372848661</c:v>
                </c:pt>
                <c:pt idx="144">
                  <c:v>1036.725372848661</c:v>
                </c:pt>
                <c:pt idx="145">
                  <c:v>1036.725372848661</c:v>
                </c:pt>
                <c:pt idx="146">
                  <c:v>1036.725372848661</c:v>
                </c:pt>
                <c:pt idx="147">
                  <c:v>1036.725372848661</c:v>
                </c:pt>
                <c:pt idx="148">
                  <c:v>1036.725372848661</c:v>
                </c:pt>
                <c:pt idx="149">
                  <c:v>1036.725372848661</c:v>
                </c:pt>
                <c:pt idx="150">
                  <c:v>1036.725372848661</c:v>
                </c:pt>
                <c:pt idx="151">
                  <c:v>1036.725372848661</c:v>
                </c:pt>
                <c:pt idx="152">
                  <c:v>1036.725372848661</c:v>
                </c:pt>
                <c:pt idx="153">
                  <c:v>1036.725372848661</c:v>
                </c:pt>
                <c:pt idx="154">
                  <c:v>1036.725372848661</c:v>
                </c:pt>
                <c:pt idx="155">
                  <c:v>1036.725372848661</c:v>
                </c:pt>
                <c:pt idx="156">
                  <c:v>1036.725372848661</c:v>
                </c:pt>
                <c:pt idx="157">
                  <c:v>1036.725372848661</c:v>
                </c:pt>
                <c:pt idx="158">
                  <c:v>1036.725372848661</c:v>
                </c:pt>
                <c:pt idx="159">
                  <c:v>1036.725372848661</c:v>
                </c:pt>
                <c:pt idx="160">
                  <c:v>1036.725372848661</c:v>
                </c:pt>
                <c:pt idx="161">
                  <c:v>1036.725372848661</c:v>
                </c:pt>
                <c:pt idx="162">
                  <c:v>1036.725372848661</c:v>
                </c:pt>
                <c:pt idx="163">
                  <c:v>1036.725372848661</c:v>
                </c:pt>
                <c:pt idx="164">
                  <c:v>1036.725372848661</c:v>
                </c:pt>
                <c:pt idx="165">
                  <c:v>1036.725372848661</c:v>
                </c:pt>
                <c:pt idx="166">
                  <c:v>1036.725372848661</c:v>
                </c:pt>
                <c:pt idx="167">
                  <c:v>1036.725372848661</c:v>
                </c:pt>
                <c:pt idx="168">
                  <c:v>1036.725372848661</c:v>
                </c:pt>
                <c:pt idx="169">
                  <c:v>1036.725372848661</c:v>
                </c:pt>
                <c:pt idx="170">
                  <c:v>1036.725372848661</c:v>
                </c:pt>
                <c:pt idx="171">
                  <c:v>1036.725372848661</c:v>
                </c:pt>
                <c:pt idx="172">
                  <c:v>1036.725372848661</c:v>
                </c:pt>
                <c:pt idx="173">
                  <c:v>1036.725372848661</c:v>
                </c:pt>
                <c:pt idx="174">
                  <c:v>1036.725372848661</c:v>
                </c:pt>
                <c:pt idx="175">
                  <c:v>1036.725372848661</c:v>
                </c:pt>
                <c:pt idx="176">
                  <c:v>1036.725372848661</c:v>
                </c:pt>
                <c:pt idx="177">
                  <c:v>1036.725372848661</c:v>
                </c:pt>
                <c:pt idx="178">
                  <c:v>1036.725372848661</c:v>
                </c:pt>
                <c:pt idx="179">
                  <c:v>1036.725372848661</c:v>
                </c:pt>
                <c:pt idx="180">
                  <c:v>1036.725372848661</c:v>
                </c:pt>
                <c:pt idx="181">
                  <c:v>1036.725372848661</c:v>
                </c:pt>
                <c:pt idx="182">
                  <c:v>1036.725372848661</c:v>
                </c:pt>
                <c:pt idx="183">
                  <c:v>1036.725372848661</c:v>
                </c:pt>
                <c:pt idx="184">
                  <c:v>1036.725372848661</c:v>
                </c:pt>
                <c:pt idx="185">
                  <c:v>1036.725372848661</c:v>
                </c:pt>
                <c:pt idx="186">
                  <c:v>1036.725372848661</c:v>
                </c:pt>
                <c:pt idx="187">
                  <c:v>1036.725372848661</c:v>
                </c:pt>
                <c:pt idx="188">
                  <c:v>1036.725372848661</c:v>
                </c:pt>
                <c:pt idx="189">
                  <c:v>1036.725372848661</c:v>
                </c:pt>
                <c:pt idx="190">
                  <c:v>1036.725372848661</c:v>
                </c:pt>
                <c:pt idx="191">
                  <c:v>1036.725372848661</c:v>
                </c:pt>
                <c:pt idx="192">
                  <c:v>1036.725372848661</c:v>
                </c:pt>
                <c:pt idx="193">
                  <c:v>1036.725372848661</c:v>
                </c:pt>
                <c:pt idx="194">
                  <c:v>1036.725372848661</c:v>
                </c:pt>
                <c:pt idx="195">
                  <c:v>1036.725372848661</c:v>
                </c:pt>
                <c:pt idx="196">
                  <c:v>1036.725372848661</c:v>
                </c:pt>
                <c:pt idx="197">
                  <c:v>1036.725372848661</c:v>
                </c:pt>
                <c:pt idx="198">
                  <c:v>1036.725372848661</c:v>
                </c:pt>
                <c:pt idx="199">
                  <c:v>1036.725372848661</c:v>
                </c:pt>
                <c:pt idx="200">
                  <c:v>1036.725372848661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1.4382972706916652</c:v>
                </c:pt>
                <c:pt idx="2">
                  <c:v>1.6882648262872328</c:v>
                </c:pt>
                <c:pt idx="3">
                  <c:v>1.9818391033704412</c:v>
                </c:pt>
                <c:pt idx="4">
                  <c:v>2.3266543809231437</c:v>
                </c:pt>
                <c:pt idx="5">
                  <c:v>2.7316859479479461</c:v>
                </c:pt>
                <c:pt idx="6">
                  <c:v>3.2074863943065974</c:v>
                </c:pt>
                <c:pt idx="7">
                  <c:v>3.7664636569880714</c:v>
                </c:pt>
                <c:pt idx="8">
                  <c:v>4.42320822009526</c:v>
                </c:pt>
                <c:pt idx="9">
                  <c:v>5.1948781808686864</c:v>
                </c:pt>
                <c:pt idx="10">
                  <c:v>6.1016524420011136</c:v>
                </c:pt>
                <c:pt idx="11">
                  <c:v>7.1672641140587361</c:v>
                </c:pt>
                <c:pt idx="12">
                  <c:v>8.4196283601886481</c:v>
                </c:pt>
                <c:pt idx="13">
                  <c:v>9.891581446423201</c:v>
                </c:pt>
                <c:pt idx="14">
                  <c:v>11.621750743117751</c:v>
                </c:pt>
                <c:pt idx="15">
                  <c:v>13.655578936924925</c:v>
                </c:pt>
                <c:pt idx="16">
                  <c:v>16.04652985316924</c:v>
                </c:pt>
                <c:pt idx="17">
                  <c:v>18.857508167480809</c:v>
                </c:pt>
                <c:pt idx="18">
                  <c:v>22.162531035047731</c:v>
                </c:pt>
                <c:pt idx="19">
                  <c:v>26.048696441446314</c:v>
                </c:pt>
                <c:pt idx="20">
                  <c:v>30.618501064154817</c:v>
                </c:pt>
                <c:pt idx="21">
                  <c:v>40.447266088954116</c:v>
                </c:pt>
                <c:pt idx="22">
                  <c:v>50.211004169569357</c:v>
                </c:pt>
                <c:pt idx="23">
                  <c:v>59.924254475172233</c:v>
                </c:pt>
                <c:pt idx="24">
                  <c:v>69.596399363316863</c:v>
                </c:pt>
                <c:pt idx="25">
                  <c:v>79.233978464328899</c:v>
                </c:pt>
                <c:pt idx="26">
                  <c:v>88.841800844341421</c:v>
                </c:pt>
                <c:pt idx="27">
                  <c:v>98.42354555529333</c:v>
                </c:pt>
                <c:pt idx="28">
                  <c:v>107.98211410040659</c:v>
                </c:pt>
                <c:pt idx="29">
                  <c:v>117.51985072559563</c:v>
                </c:pt>
                <c:pt idx="30">
                  <c:v>127.03868706017147</c:v>
                </c:pt>
                <c:pt idx="31">
                  <c:v>141.94790883673241</c:v>
                </c:pt>
                <c:pt idx="32">
                  <c:v>156.8195813749679</c:v>
                </c:pt>
                <c:pt idx="33">
                  <c:v>171.65776994616806</c:v>
                </c:pt>
                <c:pt idx="34">
                  <c:v>186.46577828407843</c:v>
                </c:pt>
                <c:pt idx="35">
                  <c:v>201.24634176616681</c:v>
                </c:pt>
                <c:pt idx="36">
                  <c:v>216.00176068460644</c:v>
                </c:pt>
                <c:pt idx="37">
                  <c:v>230.73399509870103</c:v>
                </c:pt>
                <c:pt idx="38">
                  <c:v>245.44473414197418</c:v>
                </c:pt>
                <c:pt idx="39">
                  <c:v>260.13544781463958</c:v>
                </c:pt>
                <c:pt idx="40">
                  <c:v>274.80742644732908</c:v>
                </c:pt>
                <c:pt idx="41">
                  <c:v>203.67356103899616</c:v>
                </c:pt>
                <c:pt idx="42">
                  <c:v>224.27876954008505</c:v>
                </c:pt>
                <c:pt idx="43">
                  <c:v>244.8405871951642</c:v>
                </c:pt>
                <c:pt idx="44">
                  <c:v>265.36317005758775</c:v>
                </c:pt>
                <c:pt idx="45">
                  <c:v>285.84997848413349</c:v>
                </c:pt>
                <c:pt idx="46">
                  <c:v>306.30393618022629</c:v>
                </c:pt>
                <c:pt idx="47">
                  <c:v>326.72754446781386</c:v>
                </c:pt>
                <c:pt idx="48">
                  <c:v>347.12296645126258</c:v>
                </c:pt>
                <c:pt idx="49">
                  <c:v>367.49209034996011</c:v>
                </c:pt>
                <c:pt idx="50">
                  <c:v>387.83657804664404</c:v>
                </c:pt>
                <c:pt idx="51">
                  <c:v>319.62262964231468</c:v>
                </c:pt>
                <c:pt idx="52">
                  <c:v>342.32647548509999</c:v>
                </c:pt>
                <c:pt idx="53">
                  <c:v>364.99723028009589</c:v>
                </c:pt>
                <c:pt idx="54">
                  <c:v>387.63723698464543</c:v>
                </c:pt>
                <c:pt idx="55">
                  <c:v>410.24854266397205</c:v>
                </c:pt>
                <c:pt idx="56">
                  <c:v>432.83295044318953</c:v>
                </c:pt>
                <c:pt idx="57">
                  <c:v>455.39206004826383</c:v>
                </c:pt>
                <c:pt idx="58">
                  <c:v>477.92729989457803</c:v>
                </c:pt>
                <c:pt idx="59">
                  <c:v>500.43995280861185</c:v>
                </c:pt>
                <c:pt idx="60">
                  <c:v>522.93117688121481</c:v>
                </c:pt>
                <c:pt idx="61">
                  <c:v>434.32440460746255</c:v>
                </c:pt>
                <c:pt idx="62">
                  <c:v>456.88189456064629</c:v>
                </c:pt>
                <c:pt idx="63">
                  <c:v>479.41560376398479</c:v>
                </c:pt>
                <c:pt idx="64">
                  <c:v>501.92680620451353</c:v>
                </c:pt>
                <c:pt idx="65">
                  <c:v>524.41665236850577</c:v>
                </c:pt>
                <c:pt idx="66">
                  <c:v>546.88618610350966</c:v>
                </c:pt>
                <c:pt idx="67">
                  <c:v>569.33635856622493</c:v>
                </c:pt>
                <c:pt idx="68">
                  <c:v>591.76803985714275</c:v>
                </c:pt>
                <c:pt idx="69">
                  <c:v>614.18202880042918</c:v>
                </c:pt>
                <c:pt idx="70">
                  <c:v>636.57906122293889</c:v>
                </c:pt>
                <c:pt idx="71">
                  <c:v>549.85425994262152</c:v>
                </c:pt>
                <c:pt idx="72">
                  <c:v>570.81918970877302</c:v>
                </c:pt>
                <c:pt idx="73">
                  <c:v>591.76803985714309</c:v>
                </c:pt>
                <c:pt idx="74">
                  <c:v>612.70145918441006</c:v>
                </c:pt>
                <c:pt idx="75">
                  <c:v>633.62004858200532</c:v>
                </c:pt>
                <c:pt idx="76">
                  <c:v>654.52436606992637</c:v>
                </c:pt>
                <c:pt idx="77">
                  <c:v>675.41493115455148</c:v>
                </c:pt>
                <c:pt idx="78">
                  <c:v>696.29222861974176</c:v>
                </c:pt>
                <c:pt idx="79">
                  <c:v>717.15671184004043</c:v>
                </c:pt>
                <c:pt idx="80">
                  <c:v>738.00880568863431</c:v>
                </c:pt>
                <c:pt idx="81">
                  <c:v>647.22916416008775</c:v>
                </c:pt>
                <c:pt idx="82">
                  <c:v>664.77425537759143</c:v>
                </c:pt>
                <c:pt idx="83">
                  <c:v>682.30982274817052</c:v>
                </c:pt>
                <c:pt idx="84">
                  <c:v>699.83614529753402</c:v>
                </c:pt>
                <c:pt idx="85">
                  <c:v>717.35348694890661</c:v>
                </c:pt>
                <c:pt idx="86">
                  <c:v>734.8620976968009</c:v>
                </c:pt>
                <c:pt idx="87">
                  <c:v>752.36221466320842</c:v>
                </c:pt>
                <c:pt idx="88">
                  <c:v>769.85406305050913</c:v>
                </c:pt>
                <c:pt idx="89">
                  <c:v>787.33785700335545</c:v>
                </c:pt>
                <c:pt idx="90">
                  <c:v>804.81380039010207</c:v>
                </c:pt>
                <c:pt idx="91">
                  <c:v>724.23992387996202</c:v>
                </c:pt>
                <c:pt idx="92">
                  <c:v>738.9920958575475</c:v>
                </c:pt>
                <c:pt idx="93">
                  <c:v>753.73827475643691</c:v>
                </c:pt>
                <c:pt idx="94">
                  <c:v>768.47859425243985</c:v>
                </c:pt>
                <c:pt idx="95">
                  <c:v>783.21318247934221</c:v>
                </c:pt>
                <c:pt idx="96">
                  <c:v>797.94216236075465</c:v>
                </c:pt>
                <c:pt idx="97">
                  <c:v>812.66565191620805</c:v>
                </c:pt>
                <c:pt idx="98">
                  <c:v>827.38376454393153</c:v>
                </c:pt>
                <c:pt idx="99">
                  <c:v>842.09660928248638</c:v>
                </c:pt>
                <c:pt idx="100">
                  <c:v>856.80429105317944</c:v>
                </c:pt>
                <c:pt idx="101">
                  <c:v>856.80429105317944</c:v>
                </c:pt>
                <c:pt idx="102">
                  <c:v>856.80429105317944</c:v>
                </c:pt>
                <c:pt idx="103">
                  <c:v>856.80429105317944</c:v>
                </c:pt>
                <c:pt idx="104">
                  <c:v>856.80429105317944</c:v>
                </c:pt>
                <c:pt idx="105">
                  <c:v>856.80429105317944</c:v>
                </c:pt>
                <c:pt idx="106">
                  <c:v>856.80429105317944</c:v>
                </c:pt>
                <c:pt idx="107">
                  <c:v>856.80429105317944</c:v>
                </c:pt>
                <c:pt idx="108">
                  <c:v>856.80429105317944</c:v>
                </c:pt>
                <c:pt idx="109">
                  <c:v>856.80429105317944</c:v>
                </c:pt>
                <c:pt idx="110">
                  <c:v>856.80429105317944</c:v>
                </c:pt>
                <c:pt idx="111">
                  <c:v>856.80429105317944</c:v>
                </c:pt>
                <c:pt idx="112">
                  <c:v>856.80429105317944</c:v>
                </c:pt>
                <c:pt idx="113">
                  <c:v>856.80429105317944</c:v>
                </c:pt>
                <c:pt idx="114">
                  <c:v>856.80429105317944</c:v>
                </c:pt>
                <c:pt idx="115">
                  <c:v>856.80429105317944</c:v>
                </c:pt>
                <c:pt idx="116">
                  <c:v>856.80429105317944</c:v>
                </c:pt>
                <c:pt idx="117">
                  <c:v>856.80429105317944</c:v>
                </c:pt>
                <c:pt idx="118">
                  <c:v>856.80429105317944</c:v>
                </c:pt>
                <c:pt idx="119">
                  <c:v>856.80429105317944</c:v>
                </c:pt>
                <c:pt idx="120">
                  <c:v>856.80429105317944</c:v>
                </c:pt>
                <c:pt idx="121">
                  <c:v>856.80429105317944</c:v>
                </c:pt>
                <c:pt idx="122">
                  <c:v>856.80429105317944</c:v>
                </c:pt>
                <c:pt idx="123">
                  <c:v>856.80429105317944</c:v>
                </c:pt>
                <c:pt idx="124">
                  <c:v>856.80429105317944</c:v>
                </c:pt>
                <c:pt idx="125">
                  <c:v>856.80429105317944</c:v>
                </c:pt>
                <c:pt idx="126">
                  <c:v>856.80429105317944</c:v>
                </c:pt>
                <c:pt idx="127">
                  <c:v>856.80429105317944</c:v>
                </c:pt>
                <c:pt idx="128">
                  <c:v>856.80429105317944</c:v>
                </c:pt>
                <c:pt idx="129">
                  <c:v>856.80429105317944</c:v>
                </c:pt>
                <c:pt idx="130">
                  <c:v>856.80429105317944</c:v>
                </c:pt>
                <c:pt idx="131">
                  <c:v>856.80429105317944</c:v>
                </c:pt>
                <c:pt idx="132">
                  <c:v>856.80429105317944</c:v>
                </c:pt>
                <c:pt idx="133">
                  <c:v>856.80429105317944</c:v>
                </c:pt>
                <c:pt idx="134">
                  <c:v>856.80429105317944</c:v>
                </c:pt>
                <c:pt idx="135">
                  <c:v>856.80429105317944</c:v>
                </c:pt>
                <c:pt idx="136">
                  <c:v>856.80429105317944</c:v>
                </c:pt>
                <c:pt idx="137">
                  <c:v>856.80429105317944</c:v>
                </c:pt>
                <c:pt idx="138">
                  <c:v>856.80429105317944</c:v>
                </c:pt>
                <c:pt idx="139">
                  <c:v>856.80429105317944</c:v>
                </c:pt>
                <c:pt idx="140">
                  <c:v>856.80429105317944</c:v>
                </c:pt>
                <c:pt idx="141">
                  <c:v>856.80429105317944</c:v>
                </c:pt>
                <c:pt idx="142">
                  <c:v>856.80429105317944</c:v>
                </c:pt>
                <c:pt idx="143">
                  <c:v>856.80429105317944</c:v>
                </c:pt>
                <c:pt idx="144">
                  <c:v>856.80429105317944</c:v>
                </c:pt>
                <c:pt idx="145">
                  <c:v>856.80429105317944</c:v>
                </c:pt>
                <c:pt idx="146">
                  <c:v>856.80429105317944</c:v>
                </c:pt>
                <c:pt idx="147">
                  <c:v>856.80429105317944</c:v>
                </c:pt>
                <c:pt idx="148">
                  <c:v>856.80429105317944</c:v>
                </c:pt>
                <c:pt idx="149">
                  <c:v>856.80429105317944</c:v>
                </c:pt>
                <c:pt idx="150">
                  <c:v>856.80429105317944</c:v>
                </c:pt>
                <c:pt idx="151">
                  <c:v>856.80429105317944</c:v>
                </c:pt>
                <c:pt idx="152">
                  <c:v>856.80429105317944</c:v>
                </c:pt>
                <c:pt idx="153">
                  <c:v>856.80429105317944</c:v>
                </c:pt>
                <c:pt idx="154">
                  <c:v>856.80429105317944</c:v>
                </c:pt>
                <c:pt idx="155">
                  <c:v>856.80429105317944</c:v>
                </c:pt>
                <c:pt idx="156">
                  <c:v>856.80429105317944</c:v>
                </c:pt>
                <c:pt idx="157">
                  <c:v>856.80429105317944</c:v>
                </c:pt>
                <c:pt idx="158">
                  <c:v>856.80429105317944</c:v>
                </c:pt>
                <c:pt idx="159">
                  <c:v>856.80429105317944</c:v>
                </c:pt>
                <c:pt idx="160">
                  <c:v>856.80429105317944</c:v>
                </c:pt>
                <c:pt idx="161">
                  <c:v>856.80429105317944</c:v>
                </c:pt>
                <c:pt idx="162">
                  <c:v>856.80429105317944</c:v>
                </c:pt>
                <c:pt idx="163">
                  <c:v>856.80429105317944</c:v>
                </c:pt>
                <c:pt idx="164">
                  <c:v>856.80429105317944</c:v>
                </c:pt>
                <c:pt idx="165">
                  <c:v>856.80429105317944</c:v>
                </c:pt>
                <c:pt idx="166">
                  <c:v>856.80429105317944</c:v>
                </c:pt>
                <c:pt idx="167">
                  <c:v>856.80429105317944</c:v>
                </c:pt>
                <c:pt idx="168">
                  <c:v>856.80429105317944</c:v>
                </c:pt>
                <c:pt idx="169">
                  <c:v>856.80429105317944</c:v>
                </c:pt>
                <c:pt idx="170">
                  <c:v>856.80429105317944</c:v>
                </c:pt>
                <c:pt idx="171">
                  <c:v>856.80429105317944</c:v>
                </c:pt>
                <c:pt idx="172">
                  <c:v>856.80429105317944</c:v>
                </c:pt>
                <c:pt idx="173">
                  <c:v>856.80429105317944</c:v>
                </c:pt>
                <c:pt idx="174">
                  <c:v>856.80429105317944</c:v>
                </c:pt>
                <c:pt idx="175">
                  <c:v>856.80429105317944</c:v>
                </c:pt>
                <c:pt idx="176">
                  <c:v>856.80429105317944</c:v>
                </c:pt>
                <c:pt idx="177">
                  <c:v>856.80429105317944</c:v>
                </c:pt>
                <c:pt idx="178">
                  <c:v>856.80429105317944</c:v>
                </c:pt>
                <c:pt idx="179">
                  <c:v>856.80429105317944</c:v>
                </c:pt>
                <c:pt idx="180">
                  <c:v>856.80429105317944</c:v>
                </c:pt>
                <c:pt idx="181">
                  <c:v>856.80429105317944</c:v>
                </c:pt>
                <c:pt idx="182">
                  <c:v>856.80429105317944</c:v>
                </c:pt>
                <c:pt idx="183">
                  <c:v>856.80429105317944</c:v>
                </c:pt>
                <c:pt idx="184">
                  <c:v>856.80429105317944</c:v>
                </c:pt>
                <c:pt idx="185">
                  <c:v>856.80429105317944</c:v>
                </c:pt>
                <c:pt idx="186">
                  <c:v>856.80429105317944</c:v>
                </c:pt>
                <c:pt idx="187">
                  <c:v>856.80429105317944</c:v>
                </c:pt>
                <c:pt idx="188">
                  <c:v>856.80429105317944</c:v>
                </c:pt>
                <c:pt idx="189">
                  <c:v>856.80429105317944</c:v>
                </c:pt>
                <c:pt idx="190">
                  <c:v>856.80429105317944</c:v>
                </c:pt>
                <c:pt idx="191">
                  <c:v>856.80429105317944</c:v>
                </c:pt>
                <c:pt idx="192">
                  <c:v>856.80429105317944</c:v>
                </c:pt>
                <c:pt idx="193">
                  <c:v>856.80429105317944</c:v>
                </c:pt>
                <c:pt idx="194">
                  <c:v>856.80429105317944</c:v>
                </c:pt>
                <c:pt idx="195">
                  <c:v>856.80429105317944</c:v>
                </c:pt>
                <c:pt idx="196">
                  <c:v>856.80429105317944</c:v>
                </c:pt>
                <c:pt idx="197">
                  <c:v>856.80429105317944</c:v>
                </c:pt>
                <c:pt idx="198">
                  <c:v>856.80429105317944</c:v>
                </c:pt>
                <c:pt idx="199">
                  <c:v>856.80429105317944</c:v>
                </c:pt>
                <c:pt idx="200">
                  <c:v>856.80429105317944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1.6352129641015709</c:v>
                </c:pt>
                <c:pt idx="2">
                  <c:v>2.1257691661643681</c:v>
                </c:pt>
                <c:pt idx="3">
                  <c:v>2.7640957297093731</c:v>
                </c:pt>
                <c:pt idx="4">
                  <c:v>3.5948779535368982</c:v>
                </c:pt>
                <c:pt idx="5">
                  <c:v>4.6763626911189347</c:v>
                </c:pt>
                <c:pt idx="6">
                  <c:v>6.0844879445011593</c:v>
                </c:pt>
                <c:pt idx="7">
                  <c:v>7.9182738302725042</c:v>
                </c:pt>
                <c:pt idx="8">
                  <c:v>10.306861287740317</c:v>
                </c:pt>
                <c:pt idx="9">
                  <c:v>13.418703552302086</c:v>
                </c:pt>
                <c:pt idx="10">
                  <c:v>17.473570592453221</c:v>
                </c:pt>
                <c:pt idx="11">
                  <c:v>22.758229672510524</c:v>
                </c:pt>
                <c:pt idx="12">
                  <c:v>29.646930702027632</c:v>
                </c:pt>
                <c:pt idx="13">
                  <c:v>38.628172373271113</c:v>
                </c:pt>
                <c:pt idx="14">
                  <c:v>50.339679547242149</c:v>
                </c:pt>
                <c:pt idx="15">
                  <c:v>65.614117024425624</c:v>
                </c:pt>
                <c:pt idx="16">
                  <c:v>85.53884307063187</c:v>
                </c:pt>
                <c:pt idx="17">
                  <c:v>111.53402462233431</c:v>
                </c:pt>
                <c:pt idx="18">
                  <c:v>107.66650439281216</c:v>
                </c:pt>
                <c:pt idx="19">
                  <c:v>119.61016972749536</c:v>
                </c:pt>
                <c:pt idx="20">
                  <c:v>131.52475843384727</c:v>
                </c:pt>
                <c:pt idx="21">
                  <c:v>128.58368472346794</c:v>
                </c:pt>
                <c:pt idx="22">
                  <c:v>141.38696909362002</c:v>
                </c:pt>
                <c:pt idx="23">
                  <c:v>154.16244812327184</c:v>
                </c:pt>
                <c:pt idx="24">
                  <c:v>166.91275268465498</c:v>
                </c:pt>
                <c:pt idx="25">
                  <c:v>179.64007820340882</c:v>
                </c:pt>
                <c:pt idx="26">
                  <c:v>156.6726191493473</c:v>
                </c:pt>
                <c:pt idx="27">
                  <c:v>171.29678443241201</c:v>
                </c:pt>
                <c:pt idx="28">
                  <c:v>185.89156631511472</c:v>
                </c:pt>
                <c:pt idx="29">
                  <c:v>200.4595977637648</c:v>
                </c:pt>
                <c:pt idx="30">
                  <c:v>215.00309735126984</c:v>
                </c:pt>
                <c:pt idx="31">
                  <c:v>178.80616524292705</c:v>
                </c:pt>
                <c:pt idx="32">
                  <c:v>198.79596003852816</c:v>
                </c:pt>
                <c:pt idx="33">
                  <c:v>218.73912581580771</c:v>
                </c:pt>
                <c:pt idx="34">
                  <c:v>238.64051235544162</c:v>
                </c:pt>
                <c:pt idx="35">
                  <c:v>258.50409369643461</c:v>
                </c:pt>
                <c:pt idx="36">
                  <c:v>223.71822098741725</c:v>
                </c:pt>
                <c:pt idx="37">
                  <c:v>242.78175735196797</c:v>
                </c:pt>
                <c:pt idx="38">
                  <c:v>261.81125584986165</c:v>
                </c:pt>
                <c:pt idx="39">
                  <c:v>280.80953813963418</c:v>
                </c:pt>
                <c:pt idx="40">
                  <c:v>299.77901279127883</c:v>
                </c:pt>
                <c:pt idx="41">
                  <c:v>269.042403437784</c:v>
                </c:pt>
                <c:pt idx="42">
                  <c:v>287.82323507873048</c:v>
                </c:pt>
                <c:pt idx="43">
                  <c:v>306.57666807792663</c:v>
                </c:pt>
                <c:pt idx="44">
                  <c:v>325.30461373316388</c:v>
                </c:pt>
                <c:pt idx="45">
                  <c:v>344.00874531951558</c:v>
                </c:pt>
                <c:pt idx="46">
                  <c:v>305.34098238237283</c:v>
                </c:pt>
                <c:pt idx="47">
                  <c:v>325.30461373316376</c:v>
                </c:pt>
                <c:pt idx="48">
                  <c:v>345.24118464423441</c:v>
                </c:pt>
                <c:pt idx="49">
                  <c:v>365.15247685996263</c:v>
                </c:pt>
                <c:pt idx="50">
                  <c:v>385.04006200908549</c:v>
                </c:pt>
                <c:pt idx="51">
                  <c:v>356.32883571370644</c:v>
                </c:pt>
                <c:pt idx="52">
                  <c:v>375.81671803823633</c:v>
                </c:pt>
                <c:pt idx="53">
                  <c:v>395.2825983478424</c:v>
                </c:pt>
                <c:pt idx="54">
                  <c:v>414.72771201550285</c:v>
                </c:pt>
                <c:pt idx="55">
                  <c:v>434.1531691701357</c:v>
                </c:pt>
                <c:pt idx="56">
                  <c:v>405.72406245233998</c:v>
                </c:pt>
                <c:pt idx="57">
                  <c:v>426.3852786928482</c:v>
                </c:pt>
                <c:pt idx="58">
                  <c:v>447.02496935432083</c:v>
                </c:pt>
                <c:pt idx="59">
                  <c:v>467.64426742487052</c:v>
                </c:pt>
                <c:pt idx="60">
                  <c:v>488.24419789739903</c:v>
                </c:pt>
                <c:pt idx="61">
                  <c:v>474.17302812288079</c:v>
                </c:pt>
                <c:pt idx="62">
                  <c:v>492.72883563559395</c:v>
                </c:pt>
                <c:pt idx="63">
                  <c:v>511.26983368282157</c:v>
                </c:pt>
                <c:pt idx="64">
                  <c:v>529.79663457050674</c:v>
                </c:pt>
                <c:pt idx="65">
                  <c:v>548.30980431651517</c:v>
                </c:pt>
                <c:pt idx="66">
                  <c:v>519.82239372367201</c:v>
                </c:pt>
                <c:pt idx="67">
                  <c:v>519.82239372367201</c:v>
                </c:pt>
                <c:pt idx="68">
                  <c:v>519.82239372367201</c:v>
                </c:pt>
                <c:pt idx="69">
                  <c:v>519.82239372367201</c:v>
                </c:pt>
                <c:pt idx="70">
                  <c:v>519.82239372367201</c:v>
                </c:pt>
                <c:pt idx="71">
                  <c:v>519.82239372367201</c:v>
                </c:pt>
                <c:pt idx="72">
                  <c:v>519.82239372367201</c:v>
                </c:pt>
                <c:pt idx="73">
                  <c:v>519.82239372367201</c:v>
                </c:pt>
                <c:pt idx="74">
                  <c:v>519.82239372367201</c:v>
                </c:pt>
                <c:pt idx="75">
                  <c:v>519.82239372367201</c:v>
                </c:pt>
                <c:pt idx="76">
                  <c:v>519.82239372367201</c:v>
                </c:pt>
                <c:pt idx="77">
                  <c:v>519.82239372367201</c:v>
                </c:pt>
                <c:pt idx="78">
                  <c:v>519.82239372367201</c:v>
                </c:pt>
                <c:pt idx="79">
                  <c:v>519.82239372367201</c:v>
                </c:pt>
                <c:pt idx="80">
                  <c:v>519.82239372367201</c:v>
                </c:pt>
                <c:pt idx="81">
                  <c:v>519.82239372367201</c:v>
                </c:pt>
                <c:pt idx="82">
                  <c:v>519.82239372367201</c:v>
                </c:pt>
                <c:pt idx="83">
                  <c:v>519.82239372367201</c:v>
                </c:pt>
                <c:pt idx="84">
                  <c:v>519.82239372367201</c:v>
                </c:pt>
                <c:pt idx="85">
                  <c:v>519.82239372367201</c:v>
                </c:pt>
                <c:pt idx="86">
                  <c:v>519.82239372367201</c:v>
                </c:pt>
                <c:pt idx="87">
                  <c:v>519.82239372367201</c:v>
                </c:pt>
                <c:pt idx="88">
                  <c:v>519.82239372367201</c:v>
                </c:pt>
                <c:pt idx="89">
                  <c:v>519.82239372367201</c:v>
                </c:pt>
                <c:pt idx="90">
                  <c:v>519.82239372367201</c:v>
                </c:pt>
                <c:pt idx="91">
                  <c:v>519.82239372367201</c:v>
                </c:pt>
                <c:pt idx="92">
                  <c:v>519.82239372367201</c:v>
                </c:pt>
                <c:pt idx="93">
                  <c:v>519.82239372367201</c:v>
                </c:pt>
                <c:pt idx="94">
                  <c:v>519.82239372367201</c:v>
                </c:pt>
                <c:pt idx="95">
                  <c:v>519.82239372367201</c:v>
                </c:pt>
                <c:pt idx="96">
                  <c:v>519.82239372367201</c:v>
                </c:pt>
                <c:pt idx="97">
                  <c:v>519.82239372367201</c:v>
                </c:pt>
                <c:pt idx="98">
                  <c:v>519.82239372367201</c:v>
                </c:pt>
                <c:pt idx="99">
                  <c:v>519.82239372367201</c:v>
                </c:pt>
                <c:pt idx="100">
                  <c:v>519.82239372367201</c:v>
                </c:pt>
                <c:pt idx="101">
                  <c:v>519.82239372367201</c:v>
                </c:pt>
                <c:pt idx="102">
                  <c:v>519.82239372367201</c:v>
                </c:pt>
                <c:pt idx="103">
                  <c:v>519.82239372367201</c:v>
                </c:pt>
                <c:pt idx="104">
                  <c:v>519.82239372367201</c:v>
                </c:pt>
                <c:pt idx="105">
                  <c:v>519.82239372367201</c:v>
                </c:pt>
                <c:pt idx="106">
                  <c:v>519.82239372367201</c:v>
                </c:pt>
                <c:pt idx="107">
                  <c:v>519.82239372367201</c:v>
                </c:pt>
                <c:pt idx="108">
                  <c:v>519.82239372367201</c:v>
                </c:pt>
                <c:pt idx="109">
                  <c:v>519.82239372367201</c:v>
                </c:pt>
                <c:pt idx="110">
                  <c:v>519.82239372367201</c:v>
                </c:pt>
                <c:pt idx="111">
                  <c:v>519.82239372367201</c:v>
                </c:pt>
                <c:pt idx="112">
                  <c:v>519.82239372367201</c:v>
                </c:pt>
                <c:pt idx="113">
                  <c:v>519.82239372367201</c:v>
                </c:pt>
                <c:pt idx="114">
                  <c:v>519.82239372367201</c:v>
                </c:pt>
                <c:pt idx="115">
                  <c:v>519.82239372367201</c:v>
                </c:pt>
                <c:pt idx="116">
                  <c:v>519.82239372367201</c:v>
                </c:pt>
                <c:pt idx="117">
                  <c:v>519.82239372367201</c:v>
                </c:pt>
                <c:pt idx="118">
                  <c:v>519.82239372367201</c:v>
                </c:pt>
                <c:pt idx="119">
                  <c:v>519.82239372367201</c:v>
                </c:pt>
                <c:pt idx="120">
                  <c:v>519.82239372367201</c:v>
                </c:pt>
                <c:pt idx="121">
                  <c:v>519.82239372367201</c:v>
                </c:pt>
                <c:pt idx="122">
                  <c:v>519.82239372367201</c:v>
                </c:pt>
                <c:pt idx="123">
                  <c:v>519.82239372367201</c:v>
                </c:pt>
                <c:pt idx="124">
                  <c:v>519.82239372367201</c:v>
                </c:pt>
                <c:pt idx="125">
                  <c:v>519.82239372367201</c:v>
                </c:pt>
                <c:pt idx="126">
                  <c:v>519.82239372367201</c:v>
                </c:pt>
                <c:pt idx="127">
                  <c:v>519.82239372367201</c:v>
                </c:pt>
                <c:pt idx="128">
                  <c:v>519.82239372367201</c:v>
                </c:pt>
                <c:pt idx="129">
                  <c:v>519.82239372367201</c:v>
                </c:pt>
                <c:pt idx="130">
                  <c:v>519.82239372367201</c:v>
                </c:pt>
                <c:pt idx="131">
                  <c:v>519.82239372367201</c:v>
                </c:pt>
                <c:pt idx="132">
                  <c:v>519.82239372367201</c:v>
                </c:pt>
                <c:pt idx="133">
                  <c:v>519.82239372367201</c:v>
                </c:pt>
                <c:pt idx="134">
                  <c:v>519.82239372367201</c:v>
                </c:pt>
                <c:pt idx="135">
                  <c:v>519.82239372367201</c:v>
                </c:pt>
                <c:pt idx="136">
                  <c:v>519.82239372367201</c:v>
                </c:pt>
                <c:pt idx="137">
                  <c:v>519.82239372367201</c:v>
                </c:pt>
                <c:pt idx="138">
                  <c:v>519.82239372367201</c:v>
                </c:pt>
                <c:pt idx="139">
                  <c:v>519.82239372367201</c:v>
                </c:pt>
                <c:pt idx="140">
                  <c:v>519.82239372367201</c:v>
                </c:pt>
                <c:pt idx="141">
                  <c:v>519.82239372367201</c:v>
                </c:pt>
                <c:pt idx="142">
                  <c:v>519.82239372367201</c:v>
                </c:pt>
                <c:pt idx="143">
                  <c:v>519.82239372367201</c:v>
                </c:pt>
                <c:pt idx="144">
                  <c:v>519.82239372367201</c:v>
                </c:pt>
                <c:pt idx="145">
                  <c:v>519.82239372367201</c:v>
                </c:pt>
                <c:pt idx="146">
                  <c:v>519.82239372367201</c:v>
                </c:pt>
                <c:pt idx="147">
                  <c:v>519.82239372367201</c:v>
                </c:pt>
                <c:pt idx="148">
                  <c:v>519.82239372367201</c:v>
                </c:pt>
                <c:pt idx="149">
                  <c:v>519.82239372367201</c:v>
                </c:pt>
                <c:pt idx="150">
                  <c:v>519.82239372367201</c:v>
                </c:pt>
                <c:pt idx="151">
                  <c:v>519.82239372367201</c:v>
                </c:pt>
                <c:pt idx="152">
                  <c:v>519.82239372367201</c:v>
                </c:pt>
                <c:pt idx="153">
                  <c:v>519.82239372367201</c:v>
                </c:pt>
                <c:pt idx="154">
                  <c:v>519.82239372367201</c:v>
                </c:pt>
                <c:pt idx="155">
                  <c:v>519.82239372367201</c:v>
                </c:pt>
                <c:pt idx="156">
                  <c:v>519.82239372367201</c:v>
                </c:pt>
                <c:pt idx="157">
                  <c:v>519.82239372367201</c:v>
                </c:pt>
                <c:pt idx="158">
                  <c:v>519.82239372367201</c:v>
                </c:pt>
                <c:pt idx="159">
                  <c:v>519.82239372367201</c:v>
                </c:pt>
                <c:pt idx="160">
                  <c:v>519.82239372367201</c:v>
                </c:pt>
                <c:pt idx="161">
                  <c:v>519.82239372367201</c:v>
                </c:pt>
                <c:pt idx="162">
                  <c:v>519.82239372367201</c:v>
                </c:pt>
                <c:pt idx="163">
                  <c:v>519.82239372367201</c:v>
                </c:pt>
                <c:pt idx="164">
                  <c:v>519.82239372367201</c:v>
                </c:pt>
                <c:pt idx="165">
                  <c:v>519.82239372367201</c:v>
                </c:pt>
                <c:pt idx="166">
                  <c:v>519.82239372367201</c:v>
                </c:pt>
                <c:pt idx="167">
                  <c:v>519.82239372367201</c:v>
                </c:pt>
                <c:pt idx="168">
                  <c:v>519.82239372367201</c:v>
                </c:pt>
                <c:pt idx="169">
                  <c:v>519.82239372367201</c:v>
                </c:pt>
                <c:pt idx="170">
                  <c:v>519.82239372367201</c:v>
                </c:pt>
                <c:pt idx="171">
                  <c:v>519.82239372367201</c:v>
                </c:pt>
                <c:pt idx="172">
                  <c:v>519.82239372367201</c:v>
                </c:pt>
                <c:pt idx="173">
                  <c:v>519.82239372367201</c:v>
                </c:pt>
                <c:pt idx="174">
                  <c:v>519.82239372367201</c:v>
                </c:pt>
                <c:pt idx="175">
                  <c:v>519.82239372367201</c:v>
                </c:pt>
                <c:pt idx="176">
                  <c:v>519.82239372367201</c:v>
                </c:pt>
                <c:pt idx="177">
                  <c:v>519.82239372367201</c:v>
                </c:pt>
                <c:pt idx="178">
                  <c:v>519.82239372367201</c:v>
                </c:pt>
                <c:pt idx="179">
                  <c:v>519.82239372367201</c:v>
                </c:pt>
                <c:pt idx="180">
                  <c:v>519.82239372367201</c:v>
                </c:pt>
                <c:pt idx="181">
                  <c:v>519.82239372367201</c:v>
                </c:pt>
                <c:pt idx="182">
                  <c:v>519.82239372367201</c:v>
                </c:pt>
                <c:pt idx="183">
                  <c:v>519.82239372367201</c:v>
                </c:pt>
                <c:pt idx="184">
                  <c:v>519.82239372367201</c:v>
                </c:pt>
                <c:pt idx="185">
                  <c:v>519.82239372367201</c:v>
                </c:pt>
                <c:pt idx="186">
                  <c:v>519.82239372367201</c:v>
                </c:pt>
                <c:pt idx="187">
                  <c:v>519.82239372367201</c:v>
                </c:pt>
                <c:pt idx="188">
                  <c:v>519.82239372367201</c:v>
                </c:pt>
                <c:pt idx="189">
                  <c:v>519.82239372367201</c:v>
                </c:pt>
                <c:pt idx="190">
                  <c:v>519.82239372367201</c:v>
                </c:pt>
                <c:pt idx="191">
                  <c:v>519.82239372367201</c:v>
                </c:pt>
                <c:pt idx="192">
                  <c:v>519.82239372367201</c:v>
                </c:pt>
                <c:pt idx="193">
                  <c:v>519.82239372367201</c:v>
                </c:pt>
                <c:pt idx="194">
                  <c:v>519.82239372367201</c:v>
                </c:pt>
                <c:pt idx="195">
                  <c:v>519.82239372367201</c:v>
                </c:pt>
                <c:pt idx="196">
                  <c:v>519.82239372367201</c:v>
                </c:pt>
                <c:pt idx="197">
                  <c:v>519.82239372367201</c:v>
                </c:pt>
                <c:pt idx="198">
                  <c:v>519.82239372367201</c:v>
                </c:pt>
                <c:pt idx="199">
                  <c:v>519.82239372367201</c:v>
                </c:pt>
                <c:pt idx="200">
                  <c:v>519.82239372367201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0" zoomScale="115" zoomScaleNormal="115" workbookViewId="0">
      <selection activeCell="C35" sqref="C35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1" t="s">
        <v>292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">
      <c r="B18" s="291" t="s">
        <v>293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8" zoomScale="125" zoomScaleNormal="150" workbookViewId="0">
      <selection activeCell="B57" sqref="B57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8" t="s">
        <v>320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7" t="s">
        <v>192</v>
      </c>
      <c r="C3" s="298"/>
      <c r="D3" s="298"/>
      <c r="E3" s="298"/>
      <c r="F3" s="299"/>
      <c r="G3" s="95"/>
      <c r="I3" s="228" t="s">
        <v>305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8"/>
      <c r="I4" s="228" t="s">
        <v>306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3" t="s">
        <v>231</v>
      </c>
      <c r="B5" s="303"/>
      <c r="C5" s="26">
        <v>28.57</v>
      </c>
      <c r="D5" s="304" t="s">
        <v>229</v>
      </c>
      <c r="E5" s="305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1" t="s">
        <v>226</v>
      </c>
      <c r="B7" s="301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18</v>
      </c>
      <c r="C9" s="35">
        <v>0.47</v>
      </c>
      <c r="D9" s="36">
        <f t="shared" ref="D9:D18" si="0">C9*$C$5</f>
        <v>13.427899999999999</v>
      </c>
      <c r="E9" s="37">
        <v>54</v>
      </c>
      <c r="F9" s="38" t="str">
        <f t="array" ref="F9">IF(E9="","",IF(INDEX(A:A,MAX(IF(ISNUMBER($A$36:$A$55),ROW($A$36:$A$55),"")))&lt;&gt;E9,"Corrigez : révolution incorrecte","OK"))</f>
        <v>Corrigez : révolution incorrecte</v>
      </c>
      <c r="G9" s="258" t="s">
        <v>307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14</v>
      </c>
      <c r="C10" s="35">
        <v>0.09</v>
      </c>
      <c r="D10" s="36">
        <f t="shared" si="0"/>
        <v>2.5712999999999999</v>
      </c>
      <c r="E10" s="37">
        <v>170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12</v>
      </c>
      <c r="C11" s="35">
        <v>0.08</v>
      </c>
      <c r="D11" s="36">
        <f t="shared" si="0"/>
        <v>2.2856000000000001</v>
      </c>
      <c r="E11" s="37">
        <v>170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 t="s">
        <v>36</v>
      </c>
      <c r="C12" s="35">
        <v>0.06</v>
      </c>
      <c r="D12" s="36">
        <f t="shared" si="0"/>
        <v>1.7141999999999999</v>
      </c>
      <c r="E12" s="37">
        <v>62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 t="s">
        <v>138</v>
      </c>
      <c r="C13" s="35">
        <v>0.06</v>
      </c>
      <c r="D13" s="36">
        <f t="shared" si="0"/>
        <v>1.7141999999999999</v>
      </c>
      <c r="E13" s="37">
        <v>62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 t="s">
        <v>92</v>
      </c>
      <c r="C14" s="35">
        <v>0.06</v>
      </c>
      <c r="D14" s="36">
        <f t="shared" si="0"/>
        <v>1.7141999999999999</v>
      </c>
      <c r="E14" s="37">
        <v>80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 t="s">
        <v>156</v>
      </c>
      <c r="C15" s="35">
        <v>0.06</v>
      </c>
      <c r="D15" s="36">
        <f t="shared" si="0"/>
        <v>1.7141999999999999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 t="s">
        <v>164</v>
      </c>
      <c r="C16" s="35">
        <v>0.04</v>
      </c>
      <c r="D16" s="36">
        <f t="shared" si="0"/>
        <v>1.1428</v>
      </c>
      <c r="E16" s="37">
        <v>100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 t="s">
        <v>47</v>
      </c>
      <c r="C17" s="35">
        <v>0.04</v>
      </c>
      <c r="D17" s="36">
        <f t="shared" si="0"/>
        <v>1.1428</v>
      </c>
      <c r="E17" s="37">
        <v>65</v>
      </c>
      <c r="F17" s="38" t="str">
        <f t="array" ref="F17">IF(E17="","",IF(INDEX(A:A,MAX(IF(ISNUMBER($A$244:$A$263),ROW($A$244:$A$263),"")))&lt;&gt;E17,"Corrigez : révolution incorrecte","OK"))</f>
        <v>OK</v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G18" s="25" t="s">
        <v>321</v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0.96000000000000019</v>
      </c>
      <c r="D19" s="41">
        <f>SUM(D9:D18)</f>
        <v>27.427199999999992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0" t="s">
        <v>232</v>
      </c>
      <c r="B22" s="300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2" t="s">
        <v>227</v>
      </c>
      <c r="B30" s="302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Douglas</v>
      </c>
      <c r="D32" s="259" t="s">
        <v>308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28</v>
      </c>
      <c r="B36" s="63">
        <v>280</v>
      </c>
      <c r="C36" s="63">
        <v>1</v>
      </c>
      <c r="D36" s="63">
        <v>64</v>
      </c>
      <c r="E36" s="54">
        <v>0.3</v>
      </c>
      <c r="F36" s="54">
        <v>0.7</v>
      </c>
      <c r="G36" s="54"/>
      <c r="H36" s="54"/>
      <c r="I36" s="52">
        <f>IFERROR(B36/A36,"")</f>
        <v>10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35</v>
      </c>
      <c r="B37" s="63">
        <v>355</v>
      </c>
      <c r="C37" s="63">
        <v>2</v>
      </c>
      <c r="D37" s="63">
        <v>73</v>
      </c>
      <c r="E37" s="54">
        <v>0.3</v>
      </c>
      <c r="F37" s="54">
        <v>0.7</v>
      </c>
      <c r="G37" s="54"/>
      <c r="H37" s="54"/>
      <c r="I37" s="56">
        <f t="shared" ref="I37:I55" si="1">IF(A37&lt;&gt;0,(B37-(B36-D36))/(A37-A36),"")</f>
        <v>19.857142857142858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42</v>
      </c>
      <c r="B38" s="63">
        <v>419</v>
      </c>
      <c r="C38" s="63">
        <v>3</v>
      </c>
      <c r="D38" s="63">
        <v>77</v>
      </c>
      <c r="E38" s="54">
        <v>0.4</v>
      </c>
      <c r="F38" s="54">
        <v>0.6</v>
      </c>
      <c r="G38" s="54"/>
      <c r="H38" s="54"/>
      <c r="I38" s="56">
        <f t="shared" si="1"/>
        <v>19.571428571428573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49</v>
      </c>
      <c r="B39" s="63">
        <v>473</v>
      </c>
      <c r="C39" s="63">
        <v>4</v>
      </c>
      <c r="D39" s="63">
        <v>80</v>
      </c>
      <c r="E39" s="54">
        <v>0.4</v>
      </c>
      <c r="F39" s="54">
        <v>0.6</v>
      </c>
      <c r="G39" s="54"/>
      <c r="H39" s="54"/>
      <c r="I39" s="52">
        <f t="shared" si="1"/>
        <v>18.714285714285715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56</v>
      </c>
      <c r="B40" s="63">
        <v>514</v>
      </c>
      <c r="C40" s="63">
        <v>5</v>
      </c>
      <c r="D40" s="63">
        <v>85</v>
      </c>
      <c r="E40" s="54">
        <v>0.55000000000000004</v>
      </c>
      <c r="F40" s="54">
        <v>0.45</v>
      </c>
      <c r="G40" s="54"/>
      <c r="H40" s="54"/>
      <c r="I40" s="52">
        <f t="shared" si="1"/>
        <v>17.285714285714285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63</v>
      </c>
      <c r="B41" s="63">
        <v>538</v>
      </c>
      <c r="C41" s="63">
        <v>6</v>
      </c>
      <c r="D41" s="63">
        <v>84</v>
      </c>
      <c r="E41" s="54">
        <v>0.75</v>
      </c>
      <c r="F41" s="54">
        <v>0.25</v>
      </c>
      <c r="G41" s="54"/>
      <c r="H41" s="54"/>
      <c r="I41" s="56">
        <f t="shared" si="1"/>
        <v>15.571428571428571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70</v>
      </c>
      <c r="B42" s="63">
        <v>551</v>
      </c>
      <c r="C42" s="63"/>
      <c r="D42" s="63"/>
      <c r="E42" s="54"/>
      <c r="F42" s="54"/>
      <c r="G42" s="54"/>
      <c r="H42" s="54"/>
      <c r="I42" s="56">
        <f t="shared" si="1"/>
        <v>13.857142857142858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Chêne sessile</v>
      </c>
      <c r="D58" s="259" t="s">
        <v>308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63">
        <v>29</v>
      </c>
      <c r="B62" s="63">
        <v>2</v>
      </c>
      <c r="C62" s="63"/>
      <c r="D62" s="63"/>
      <c r="E62" s="54"/>
      <c r="F62" s="54"/>
      <c r="G62" s="54"/>
      <c r="H62" s="54">
        <v>1</v>
      </c>
      <c r="I62" s="56">
        <f>IFERROR(B62/A62,"")</f>
        <v>6.8965517241379309E-2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63">
        <v>37</v>
      </c>
      <c r="B63" s="63">
        <v>25</v>
      </c>
      <c r="C63" s="63">
        <v>4</v>
      </c>
      <c r="D63" s="63">
        <v>4</v>
      </c>
      <c r="E63" s="54"/>
      <c r="F63" s="54"/>
      <c r="G63" s="54"/>
      <c r="H63" s="54">
        <v>1</v>
      </c>
      <c r="I63" s="52">
        <f>IF(A63&lt;&gt;0,(B63-(B62-D62))/(A63-A62),"")</f>
        <v>2.875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63">
        <v>45</v>
      </c>
      <c r="B64" s="63">
        <v>143</v>
      </c>
      <c r="C64" s="63">
        <v>5</v>
      </c>
      <c r="D64" s="63">
        <v>25</v>
      </c>
      <c r="E64" s="54">
        <v>0.25</v>
      </c>
      <c r="F64" s="54"/>
      <c r="G64" s="54"/>
      <c r="H64" s="54">
        <v>0.75</v>
      </c>
      <c r="I64" s="52">
        <f>IF(A64&lt;&gt;0,(B64-(B63-D63))/(A64-A63),"")</f>
        <v>15.25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63">
        <v>53</v>
      </c>
      <c r="B65" s="63">
        <v>195</v>
      </c>
      <c r="C65" s="63">
        <v>6</v>
      </c>
      <c r="D65" s="63">
        <v>45</v>
      </c>
      <c r="E65" s="54">
        <v>0.25</v>
      </c>
      <c r="F65" s="54"/>
      <c r="G65" s="54"/>
      <c r="H65" s="54">
        <v>0.75</v>
      </c>
      <c r="I65" s="52">
        <f>IF(A65&lt;&gt;0,(B65-(B64-D64))/(A65-A64),"")</f>
        <v>9.625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63">
        <v>61</v>
      </c>
      <c r="B66" s="63">
        <v>218</v>
      </c>
      <c r="C66" s="63">
        <v>7</v>
      </c>
      <c r="D66" s="63">
        <v>47</v>
      </c>
      <c r="E66" s="54">
        <v>0.3</v>
      </c>
      <c r="F66" s="54"/>
      <c r="G66" s="54"/>
      <c r="H66" s="54">
        <v>0.7</v>
      </c>
      <c r="I66" s="52">
        <f t="shared" ref="I66:I81" si="2">IF(A66&lt;&gt;0,(B66-(B65-D65))/(A66-A65),"")</f>
        <v>8.5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63">
        <v>69</v>
      </c>
      <c r="B67" s="53">
        <v>236</v>
      </c>
      <c r="C67" s="63">
        <v>8</v>
      </c>
      <c r="D67" s="63">
        <v>43</v>
      </c>
      <c r="E67" s="54">
        <v>0.3</v>
      </c>
      <c r="F67" s="54"/>
      <c r="G67" s="54"/>
      <c r="H67" s="54">
        <v>0.7</v>
      </c>
      <c r="I67" s="52">
        <f t="shared" si="2"/>
        <v>8.125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63">
        <v>77</v>
      </c>
      <c r="B68" s="53">
        <v>255</v>
      </c>
      <c r="C68" s="63">
        <v>9</v>
      </c>
      <c r="D68" s="53">
        <v>4</v>
      </c>
      <c r="E68" s="54">
        <v>0.35</v>
      </c>
      <c r="F68" s="54"/>
      <c r="G68" s="54"/>
      <c r="H68" s="54">
        <v>0.65</v>
      </c>
      <c r="I68" s="52">
        <f t="shared" si="2"/>
        <v>7.75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>
        <v>85</v>
      </c>
      <c r="B69" s="53">
        <v>268</v>
      </c>
      <c r="C69" s="53">
        <v>10</v>
      </c>
      <c r="D69" s="53">
        <v>41</v>
      </c>
      <c r="E69" s="54">
        <v>0.35</v>
      </c>
      <c r="F69" s="54"/>
      <c r="G69" s="54"/>
      <c r="H69" s="54">
        <v>0.65</v>
      </c>
      <c r="I69" s="52">
        <f t="shared" si="2"/>
        <v>2.125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>
        <v>93</v>
      </c>
      <c r="B70" s="53">
        <v>284</v>
      </c>
      <c r="C70" s="53">
        <v>11</v>
      </c>
      <c r="D70" s="53">
        <v>40</v>
      </c>
      <c r="E70" s="54">
        <v>0.4</v>
      </c>
      <c r="F70" s="54"/>
      <c r="G70" s="54"/>
      <c r="H70" s="54">
        <v>0.6</v>
      </c>
      <c r="I70" s="52">
        <f t="shared" si="2"/>
        <v>7.125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>
        <v>101</v>
      </c>
      <c r="B71" s="53">
        <v>298</v>
      </c>
      <c r="C71" s="53">
        <v>12</v>
      </c>
      <c r="D71" s="53">
        <v>34</v>
      </c>
      <c r="E71" s="54">
        <v>0.4</v>
      </c>
      <c r="F71" s="54"/>
      <c r="G71" s="54"/>
      <c r="H71" s="54">
        <v>0.6</v>
      </c>
      <c r="I71" s="52">
        <f t="shared" si="2"/>
        <v>6.75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>
        <v>110</v>
      </c>
      <c r="B72" s="53">
        <v>326</v>
      </c>
      <c r="C72" s="53">
        <v>13</v>
      </c>
      <c r="D72" s="53">
        <v>39</v>
      </c>
      <c r="E72" s="54">
        <v>0.55000000000000004</v>
      </c>
      <c r="F72" s="54"/>
      <c r="G72" s="54"/>
      <c r="H72" s="54">
        <v>0.45</v>
      </c>
      <c r="I72" s="52">
        <f t="shared" si="2"/>
        <v>6.8888888888888893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>
        <v>120</v>
      </c>
      <c r="B73" s="53">
        <v>335</v>
      </c>
      <c r="C73" s="53">
        <v>14</v>
      </c>
      <c r="D73" s="53">
        <v>43</v>
      </c>
      <c r="E73" s="54">
        <v>0.55000000000000004</v>
      </c>
      <c r="F73" s="54"/>
      <c r="G73" s="54"/>
      <c r="H73" s="54">
        <v>0.45</v>
      </c>
      <c r="I73" s="52">
        <f t="shared" si="2"/>
        <v>4.8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>
        <v>130</v>
      </c>
      <c r="B74" s="53">
        <v>375</v>
      </c>
      <c r="C74" s="53">
        <v>15</v>
      </c>
      <c r="D74" s="53">
        <v>46</v>
      </c>
      <c r="E74" s="54">
        <v>0.6</v>
      </c>
      <c r="F74" s="54"/>
      <c r="G74" s="54"/>
      <c r="H74" s="54">
        <v>0.4</v>
      </c>
      <c r="I74" s="52">
        <f t="shared" si="2"/>
        <v>8.3000000000000007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>
        <v>140</v>
      </c>
      <c r="B75" s="53">
        <v>396</v>
      </c>
      <c r="C75" s="53">
        <v>16</v>
      </c>
      <c r="D75" s="53">
        <v>45</v>
      </c>
      <c r="E75" s="54">
        <v>0.6</v>
      </c>
      <c r="F75" s="54"/>
      <c r="G75" s="54"/>
      <c r="H75" s="54">
        <v>0.4</v>
      </c>
      <c r="I75" s="52">
        <f t="shared" si="2"/>
        <v>6.7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>
        <v>150</v>
      </c>
      <c r="B76" s="53">
        <v>418</v>
      </c>
      <c r="C76" s="53">
        <v>17</v>
      </c>
      <c r="D76" s="53">
        <v>47</v>
      </c>
      <c r="E76" s="54">
        <v>0.6</v>
      </c>
      <c r="F76" s="54"/>
      <c r="G76" s="54"/>
      <c r="H76" s="54">
        <v>0.4</v>
      </c>
      <c r="I76" s="52">
        <f t="shared" si="2"/>
        <v>6.7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>
        <v>160</v>
      </c>
      <c r="B77" s="53">
        <v>439</v>
      </c>
      <c r="C77" s="53">
        <v>18</v>
      </c>
      <c r="D77" s="53">
        <v>51</v>
      </c>
      <c r="E77" s="54">
        <v>0.7</v>
      </c>
      <c r="F77" s="54"/>
      <c r="G77" s="54"/>
      <c r="H77" s="54">
        <v>0.3</v>
      </c>
      <c r="I77" s="52">
        <f t="shared" si="2"/>
        <v>6.8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>
        <v>170</v>
      </c>
      <c r="B78" s="53">
        <v>457</v>
      </c>
      <c r="C78" s="53">
        <v>19</v>
      </c>
      <c r="D78" s="53">
        <v>457</v>
      </c>
      <c r="E78" s="54">
        <v>0.7</v>
      </c>
      <c r="F78" s="54"/>
      <c r="G78" s="54"/>
      <c r="H78" s="54">
        <v>0.3</v>
      </c>
      <c r="I78" s="52">
        <f t="shared" si="2"/>
        <v>6.9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Chêne pubescent</v>
      </c>
      <c r="D84" s="259" t="s">
        <v>308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63">
        <v>29</v>
      </c>
      <c r="B88" s="63">
        <v>2</v>
      </c>
      <c r="C88" s="63"/>
      <c r="D88" s="63"/>
      <c r="E88" s="54"/>
      <c r="F88" s="54"/>
      <c r="G88" s="54"/>
      <c r="H88" s="54">
        <v>1</v>
      </c>
      <c r="I88" s="56">
        <f>IFERROR(B88/A88,"")</f>
        <v>6.8965517241379309E-2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63">
        <v>37</v>
      </c>
      <c r="B89" s="63">
        <v>25</v>
      </c>
      <c r="C89" s="63">
        <v>4</v>
      </c>
      <c r="D89" s="63">
        <v>4</v>
      </c>
      <c r="E89" s="54"/>
      <c r="F89" s="54"/>
      <c r="G89" s="54"/>
      <c r="H89" s="54">
        <v>1</v>
      </c>
      <c r="I89" s="56">
        <f t="shared" ref="I89:I107" si="3">IF(A89&lt;&gt;0,(B89-(B88-D88))/(A89-A88),"")</f>
        <v>2.875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63">
        <v>45</v>
      </c>
      <c r="B90" s="63">
        <v>143</v>
      </c>
      <c r="C90" s="63">
        <v>5</v>
      </c>
      <c r="D90" s="63">
        <v>25</v>
      </c>
      <c r="E90" s="54">
        <v>0.25</v>
      </c>
      <c r="F90" s="54"/>
      <c r="G90" s="54"/>
      <c r="H90" s="54">
        <v>0.75</v>
      </c>
      <c r="I90" s="56">
        <f t="shared" si="3"/>
        <v>15.25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63">
        <v>53</v>
      </c>
      <c r="B91" s="63">
        <v>195</v>
      </c>
      <c r="C91" s="63">
        <v>6</v>
      </c>
      <c r="D91" s="63">
        <v>45</v>
      </c>
      <c r="E91" s="54">
        <v>0.25</v>
      </c>
      <c r="F91" s="54"/>
      <c r="G91" s="54"/>
      <c r="H91" s="54">
        <v>0.75</v>
      </c>
      <c r="I91" s="56">
        <f t="shared" si="3"/>
        <v>9.625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63">
        <v>61</v>
      </c>
      <c r="B92" s="63">
        <v>218</v>
      </c>
      <c r="C92" s="63">
        <v>7</v>
      </c>
      <c r="D92" s="63">
        <v>47</v>
      </c>
      <c r="E92" s="54">
        <v>0.3</v>
      </c>
      <c r="F92" s="54"/>
      <c r="G92" s="54"/>
      <c r="H92" s="54">
        <v>0.7</v>
      </c>
      <c r="I92" s="56">
        <f t="shared" si="3"/>
        <v>8.5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63">
        <v>69</v>
      </c>
      <c r="B93" s="53">
        <v>236</v>
      </c>
      <c r="C93" s="63">
        <v>8</v>
      </c>
      <c r="D93" s="63">
        <v>43</v>
      </c>
      <c r="E93" s="54">
        <v>0.3</v>
      </c>
      <c r="F93" s="54"/>
      <c r="G93" s="54"/>
      <c r="H93" s="54">
        <v>0.7</v>
      </c>
      <c r="I93" s="56">
        <f t="shared" si="3"/>
        <v>8.125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63">
        <v>77</v>
      </c>
      <c r="B94" s="53">
        <v>255</v>
      </c>
      <c r="C94" s="63">
        <v>9</v>
      </c>
      <c r="D94" s="53">
        <v>4</v>
      </c>
      <c r="E94" s="54">
        <v>0.35</v>
      </c>
      <c r="F94" s="54"/>
      <c r="G94" s="54"/>
      <c r="H94" s="54">
        <v>0.65</v>
      </c>
      <c r="I94" s="56">
        <f t="shared" si="3"/>
        <v>7.75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53">
        <v>85</v>
      </c>
      <c r="B95" s="53">
        <v>268</v>
      </c>
      <c r="C95" s="53">
        <v>10</v>
      </c>
      <c r="D95" s="53">
        <v>41</v>
      </c>
      <c r="E95" s="54">
        <v>0.35</v>
      </c>
      <c r="F95" s="54"/>
      <c r="G95" s="54"/>
      <c r="H95" s="54">
        <v>0.65</v>
      </c>
      <c r="I95" s="56">
        <f t="shared" si="3"/>
        <v>2.125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53">
        <v>93</v>
      </c>
      <c r="B96" s="53">
        <v>284</v>
      </c>
      <c r="C96" s="53">
        <v>11</v>
      </c>
      <c r="D96" s="53">
        <v>40</v>
      </c>
      <c r="E96" s="54">
        <v>0.4</v>
      </c>
      <c r="F96" s="54"/>
      <c r="G96" s="54"/>
      <c r="H96" s="54">
        <v>0.6</v>
      </c>
      <c r="I96" s="56">
        <f t="shared" si="3"/>
        <v>7.125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53">
        <v>101</v>
      </c>
      <c r="B97" s="53">
        <v>298</v>
      </c>
      <c r="C97" s="53">
        <v>12</v>
      </c>
      <c r="D97" s="53">
        <v>34</v>
      </c>
      <c r="E97" s="54">
        <v>0.4</v>
      </c>
      <c r="F97" s="54"/>
      <c r="G97" s="54"/>
      <c r="H97" s="54">
        <v>0.6</v>
      </c>
      <c r="I97" s="56">
        <f t="shared" si="3"/>
        <v>6.75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53">
        <v>110</v>
      </c>
      <c r="B98" s="53">
        <v>326</v>
      </c>
      <c r="C98" s="53">
        <v>13</v>
      </c>
      <c r="D98" s="53">
        <v>39</v>
      </c>
      <c r="E98" s="54">
        <v>0.55000000000000004</v>
      </c>
      <c r="F98" s="54"/>
      <c r="G98" s="54"/>
      <c r="H98" s="54">
        <v>0.45</v>
      </c>
      <c r="I98" s="56">
        <f t="shared" si="3"/>
        <v>6.8888888888888893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53">
        <v>120</v>
      </c>
      <c r="B99" s="53">
        <v>335</v>
      </c>
      <c r="C99" s="53">
        <v>14</v>
      </c>
      <c r="D99" s="53">
        <v>43</v>
      </c>
      <c r="E99" s="54">
        <v>0.55000000000000004</v>
      </c>
      <c r="F99" s="54"/>
      <c r="G99" s="54"/>
      <c r="H99" s="54">
        <v>0.45</v>
      </c>
      <c r="I99" s="56">
        <f t="shared" si="3"/>
        <v>4.8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53">
        <v>130</v>
      </c>
      <c r="B100" s="53">
        <v>375</v>
      </c>
      <c r="C100" s="53">
        <v>15</v>
      </c>
      <c r="D100" s="53">
        <v>46</v>
      </c>
      <c r="E100" s="54">
        <v>0.6</v>
      </c>
      <c r="F100" s="54"/>
      <c r="G100" s="54"/>
      <c r="H100" s="54">
        <v>0.4</v>
      </c>
      <c r="I100" s="56">
        <f t="shared" si="3"/>
        <v>8.3000000000000007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53">
        <v>140</v>
      </c>
      <c r="B101" s="53">
        <v>396</v>
      </c>
      <c r="C101" s="53">
        <v>16</v>
      </c>
      <c r="D101" s="53">
        <v>45</v>
      </c>
      <c r="E101" s="54">
        <v>0.6</v>
      </c>
      <c r="F101" s="54"/>
      <c r="G101" s="54"/>
      <c r="H101" s="54">
        <v>0.4</v>
      </c>
      <c r="I101" s="56">
        <f t="shared" si="3"/>
        <v>6.7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53">
        <v>150</v>
      </c>
      <c r="B102" s="53">
        <v>418</v>
      </c>
      <c r="C102" s="53">
        <v>17</v>
      </c>
      <c r="D102" s="53">
        <v>47</v>
      </c>
      <c r="E102" s="54">
        <v>0.6</v>
      </c>
      <c r="F102" s="54"/>
      <c r="G102" s="54"/>
      <c r="H102" s="54">
        <v>0.4</v>
      </c>
      <c r="I102" s="56">
        <f t="shared" si="3"/>
        <v>6.7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53">
        <v>160</v>
      </c>
      <c r="B103" s="53">
        <v>439</v>
      </c>
      <c r="C103" s="53">
        <v>18</v>
      </c>
      <c r="D103" s="53">
        <v>51</v>
      </c>
      <c r="E103" s="54">
        <v>0.7</v>
      </c>
      <c r="F103" s="54"/>
      <c r="G103" s="54"/>
      <c r="H103" s="54">
        <v>0.3</v>
      </c>
      <c r="I103" s="56">
        <f t="shared" si="3"/>
        <v>6.8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53">
        <v>170</v>
      </c>
      <c r="B104" s="53">
        <v>457</v>
      </c>
      <c r="C104" s="53">
        <v>19</v>
      </c>
      <c r="D104" s="53">
        <v>457</v>
      </c>
      <c r="E104" s="54">
        <v>0.7</v>
      </c>
      <c r="F104" s="54"/>
      <c r="G104" s="54"/>
      <c r="H104" s="54">
        <v>0.3</v>
      </c>
      <c r="I104" s="56">
        <f t="shared" si="3"/>
        <v>6.9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>Pin maritime</v>
      </c>
      <c r="D110" s="259" t="s">
        <v>308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63">
        <v>12</v>
      </c>
      <c r="B114" s="63">
        <v>35.6</v>
      </c>
      <c r="C114" s="63"/>
      <c r="D114" s="63"/>
      <c r="E114" s="54"/>
      <c r="F114" s="54"/>
      <c r="G114" s="54"/>
      <c r="H114" s="54"/>
      <c r="I114" s="56">
        <f>IFERROR(B114/A114,"")</f>
        <v>2.9666666666666668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63">
        <v>16</v>
      </c>
      <c r="B115" s="63">
        <v>81.099999999999994</v>
      </c>
      <c r="C115" s="63">
        <v>1</v>
      </c>
      <c r="D115" s="63">
        <v>14.8</v>
      </c>
      <c r="E115" s="54"/>
      <c r="F115" s="54"/>
      <c r="G115" s="54">
        <v>1</v>
      </c>
      <c r="H115" s="54"/>
      <c r="I115" s="56">
        <f t="shared" ref="I115:I133" si="4">IF(A115&lt;&gt;0,(B115-(B114-D114))/(A115-A114),"")</f>
        <v>11.374999999999998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63">
        <v>20</v>
      </c>
      <c r="B116" s="63">
        <v>134.19999999999999</v>
      </c>
      <c r="C116" s="63">
        <v>2</v>
      </c>
      <c r="D116" s="63">
        <v>22.1</v>
      </c>
      <c r="E116" s="93">
        <v>0.25</v>
      </c>
      <c r="F116" s="93"/>
      <c r="G116" s="93">
        <v>0.75</v>
      </c>
      <c r="H116" s="54"/>
      <c r="I116" s="56">
        <f t="shared" si="4"/>
        <v>16.974999999999998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63">
        <v>24</v>
      </c>
      <c r="B117" s="63">
        <v>193.5</v>
      </c>
      <c r="C117" s="63">
        <v>3</v>
      </c>
      <c r="D117" s="63">
        <v>30.8</v>
      </c>
      <c r="E117" s="93">
        <v>0.25</v>
      </c>
      <c r="F117" s="93"/>
      <c r="G117" s="93">
        <v>0.75</v>
      </c>
      <c r="H117" s="54"/>
      <c r="I117" s="56">
        <f t="shared" si="4"/>
        <v>20.350000000000001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63">
        <v>28</v>
      </c>
      <c r="B118" s="63">
        <v>258.8</v>
      </c>
      <c r="C118" s="63">
        <v>4</v>
      </c>
      <c r="D118" s="63">
        <v>35.4</v>
      </c>
      <c r="E118" s="93">
        <v>0.4</v>
      </c>
      <c r="F118" s="93"/>
      <c r="G118" s="93">
        <v>0.6</v>
      </c>
      <c r="H118" s="54"/>
      <c r="I118" s="56">
        <f t="shared" si="4"/>
        <v>24.025000000000006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63">
        <v>34</v>
      </c>
      <c r="B119" s="63">
        <v>347.7</v>
      </c>
      <c r="C119" s="63">
        <v>5</v>
      </c>
      <c r="D119" s="63">
        <v>46.2</v>
      </c>
      <c r="E119" s="93">
        <v>0.4</v>
      </c>
      <c r="F119" s="93"/>
      <c r="G119" s="93">
        <v>0.6</v>
      </c>
      <c r="H119" s="54"/>
      <c r="I119" s="56">
        <f t="shared" si="4"/>
        <v>20.716666666666665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>
        <v>40</v>
      </c>
      <c r="B120" s="63">
        <v>425</v>
      </c>
      <c r="C120" s="63">
        <v>6</v>
      </c>
      <c r="D120" s="63">
        <v>41.3</v>
      </c>
      <c r="E120" s="93">
        <v>0.4</v>
      </c>
      <c r="F120" s="93"/>
      <c r="G120" s="93">
        <v>0.6</v>
      </c>
      <c r="H120" s="93"/>
      <c r="I120" s="56">
        <f t="shared" si="4"/>
        <v>20.583333333333332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>
        <v>46</v>
      </c>
      <c r="B121" s="63">
        <v>483.3</v>
      </c>
      <c r="C121" s="63">
        <v>7</v>
      </c>
      <c r="D121" s="63">
        <v>28.7</v>
      </c>
      <c r="E121" s="93">
        <v>0.45</v>
      </c>
      <c r="F121" s="93"/>
      <c r="G121" s="93">
        <v>0.55000000000000004</v>
      </c>
      <c r="H121" s="93"/>
      <c r="I121" s="56">
        <f t="shared" si="4"/>
        <v>16.600000000000005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>
        <v>54</v>
      </c>
      <c r="B122" s="63">
        <v>530.9</v>
      </c>
      <c r="C122" s="63">
        <v>8</v>
      </c>
      <c r="D122" s="63">
        <v>15.6</v>
      </c>
      <c r="E122" s="93">
        <v>0.6</v>
      </c>
      <c r="F122" s="93"/>
      <c r="G122" s="93">
        <v>0.4</v>
      </c>
      <c r="H122" s="93"/>
      <c r="I122" s="56">
        <f t="shared" si="4"/>
        <v>9.5374999999999943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>
        <v>62</v>
      </c>
      <c r="B123" s="63">
        <v>550.70000000000005</v>
      </c>
      <c r="C123" s="63">
        <v>9</v>
      </c>
      <c r="D123" s="63">
        <v>6.5</v>
      </c>
      <c r="E123" s="93">
        <v>0.6</v>
      </c>
      <c r="F123" s="93"/>
      <c r="G123" s="93">
        <v>0.4</v>
      </c>
      <c r="H123" s="93"/>
      <c r="I123" s="56">
        <f t="shared" si="4"/>
        <v>4.4250000000000114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>Pin taeda</v>
      </c>
      <c r="D136" s="259" t="s">
        <v>308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63">
        <v>12</v>
      </c>
      <c r="B140" s="63">
        <v>35.6</v>
      </c>
      <c r="C140" s="63"/>
      <c r="D140" s="63"/>
      <c r="E140" s="54"/>
      <c r="F140" s="54"/>
      <c r="G140" s="54"/>
      <c r="H140" s="54"/>
      <c r="I140" s="60">
        <f>IFERROR(B140/A140,"")</f>
        <v>2.9666666666666668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63">
        <v>16</v>
      </c>
      <c r="B141" s="63">
        <v>81.099999999999994</v>
      </c>
      <c r="C141" s="63">
        <v>1</v>
      </c>
      <c r="D141" s="63">
        <v>14.8</v>
      </c>
      <c r="E141" s="54"/>
      <c r="F141" s="54"/>
      <c r="G141" s="54">
        <v>1</v>
      </c>
      <c r="H141" s="54"/>
      <c r="I141" s="60">
        <f t="shared" ref="I141:I159" si="5">IF(A141&lt;&gt;0,(B141-(B140-D140))/(A141-A140),"")</f>
        <v>11.374999999999998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63">
        <v>20</v>
      </c>
      <c r="B142" s="63">
        <v>134.19999999999999</v>
      </c>
      <c r="C142" s="63">
        <v>2</v>
      </c>
      <c r="D142" s="63">
        <v>22.1</v>
      </c>
      <c r="E142" s="93">
        <v>0.25</v>
      </c>
      <c r="F142" s="93"/>
      <c r="G142" s="93">
        <v>0.75</v>
      </c>
      <c r="H142" s="54"/>
      <c r="I142" s="60">
        <f t="shared" si="5"/>
        <v>16.974999999999998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63">
        <v>24</v>
      </c>
      <c r="B143" s="63">
        <v>193.5</v>
      </c>
      <c r="C143" s="63">
        <v>3</v>
      </c>
      <c r="D143" s="63">
        <v>30.8</v>
      </c>
      <c r="E143" s="93">
        <v>0.25</v>
      </c>
      <c r="F143" s="93"/>
      <c r="G143" s="93">
        <v>0.75</v>
      </c>
      <c r="H143" s="54"/>
      <c r="I143" s="60">
        <f t="shared" si="5"/>
        <v>20.350000000000001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63">
        <v>28</v>
      </c>
      <c r="B144" s="63">
        <v>258.8</v>
      </c>
      <c r="C144" s="63">
        <v>4</v>
      </c>
      <c r="D144" s="63">
        <v>35.4</v>
      </c>
      <c r="E144" s="93">
        <v>0.4</v>
      </c>
      <c r="F144" s="93"/>
      <c r="G144" s="93">
        <v>0.6</v>
      </c>
      <c r="H144" s="54"/>
      <c r="I144" s="60">
        <f t="shared" si="5"/>
        <v>24.025000000000006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63">
        <v>34</v>
      </c>
      <c r="B145" s="63">
        <v>347.7</v>
      </c>
      <c r="C145" s="63">
        <v>5</v>
      </c>
      <c r="D145" s="63">
        <v>46.2</v>
      </c>
      <c r="E145" s="93">
        <v>0.4</v>
      </c>
      <c r="F145" s="93"/>
      <c r="G145" s="93">
        <v>0.6</v>
      </c>
      <c r="H145" s="54"/>
      <c r="I145" s="60">
        <f t="shared" si="5"/>
        <v>20.716666666666665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63">
        <v>40</v>
      </c>
      <c r="B146" s="63">
        <v>425</v>
      </c>
      <c r="C146" s="63">
        <v>6</v>
      </c>
      <c r="D146" s="63">
        <v>41.3</v>
      </c>
      <c r="E146" s="93">
        <v>0.4</v>
      </c>
      <c r="F146" s="93"/>
      <c r="G146" s="93">
        <v>0.6</v>
      </c>
      <c r="H146" s="93"/>
      <c r="I146" s="60">
        <f t="shared" si="5"/>
        <v>20.583333333333332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63">
        <v>46</v>
      </c>
      <c r="B147" s="63">
        <v>483.3</v>
      </c>
      <c r="C147" s="63">
        <v>7</v>
      </c>
      <c r="D147" s="63">
        <v>28.7</v>
      </c>
      <c r="E147" s="93">
        <v>0.45</v>
      </c>
      <c r="F147" s="93"/>
      <c r="G147" s="93">
        <v>0.55000000000000004</v>
      </c>
      <c r="H147" s="93"/>
      <c r="I147" s="60">
        <f>IF(A147&lt;&gt;0,(B147-(B146-D146))/(A147-A146),"")</f>
        <v>16.600000000000005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63">
        <v>54</v>
      </c>
      <c r="B148" s="63">
        <v>530.9</v>
      </c>
      <c r="C148" s="63">
        <v>8</v>
      </c>
      <c r="D148" s="63">
        <v>15.6</v>
      </c>
      <c r="E148" s="93">
        <v>0.6</v>
      </c>
      <c r="F148" s="93"/>
      <c r="G148" s="93">
        <v>0.4</v>
      </c>
      <c r="H148" s="93"/>
      <c r="I148" s="60">
        <f t="shared" si="5"/>
        <v>9.5374999999999943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63">
        <v>62</v>
      </c>
      <c r="B149" s="63">
        <v>550.70000000000005</v>
      </c>
      <c r="C149" s="63">
        <v>9</v>
      </c>
      <c r="D149" s="63">
        <v>6.5</v>
      </c>
      <c r="E149" s="93">
        <v>0.6</v>
      </c>
      <c r="F149" s="93"/>
      <c r="G149" s="93">
        <v>0.4</v>
      </c>
      <c r="H149" s="93"/>
      <c r="I149" s="60">
        <f t="shared" si="5"/>
        <v>4.4250000000000114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93"/>
      <c r="F150" s="93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68"/>
      <c r="F151" s="68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68"/>
      <c r="F152" s="68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>Thuya géant</v>
      </c>
      <c r="D162" s="259" t="s">
        <v>308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>
        <v>15</v>
      </c>
      <c r="B166" s="63">
        <v>96</v>
      </c>
      <c r="C166" s="53"/>
      <c r="D166" s="63"/>
      <c r="E166" s="54"/>
      <c r="F166" s="54"/>
      <c r="G166" s="54"/>
      <c r="H166" s="54"/>
      <c r="I166" s="52">
        <f>IFERROR(B166/A166,"")</f>
        <v>6.4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>
        <v>20</v>
      </c>
      <c r="B167" s="63">
        <v>159</v>
      </c>
      <c r="C167" s="53">
        <v>1</v>
      </c>
      <c r="D167" s="63">
        <v>72</v>
      </c>
      <c r="E167" s="54"/>
      <c r="F167" s="54">
        <v>1</v>
      </c>
      <c r="G167" s="54"/>
      <c r="H167" s="54"/>
      <c r="I167" s="52">
        <f t="shared" ref="I167:I185" si="6">IF(A167&lt;&gt;0,(B167-(B166-D166))/(A167-A166),"")</f>
        <v>12.6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>
        <v>25</v>
      </c>
      <c r="B168" s="63">
        <v>241</v>
      </c>
      <c r="C168" s="53">
        <v>2</v>
      </c>
      <c r="D168" s="63">
        <v>84</v>
      </c>
      <c r="E168" s="54"/>
      <c r="F168" s="54">
        <v>1</v>
      </c>
      <c r="G168" s="54"/>
      <c r="H168" s="54"/>
      <c r="I168" s="52">
        <f t="shared" si="6"/>
        <v>30.8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>
        <v>30</v>
      </c>
      <c r="B169" s="63">
        <v>331</v>
      </c>
      <c r="C169" s="53">
        <v>3</v>
      </c>
      <c r="D169" s="63">
        <v>84</v>
      </c>
      <c r="E169" s="54">
        <v>0.25</v>
      </c>
      <c r="F169" s="54">
        <v>0.75</v>
      </c>
      <c r="G169" s="54"/>
      <c r="H169" s="54"/>
      <c r="I169" s="52">
        <f t="shared" si="6"/>
        <v>34.799999999999997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>
        <v>35</v>
      </c>
      <c r="B170" s="63">
        <v>417</v>
      </c>
      <c r="C170" s="53">
        <v>4</v>
      </c>
      <c r="D170" s="63">
        <v>84</v>
      </c>
      <c r="E170" s="54">
        <v>0.25</v>
      </c>
      <c r="F170" s="54">
        <v>0.75</v>
      </c>
      <c r="G170" s="54"/>
      <c r="H170" s="54"/>
      <c r="I170" s="52">
        <f t="shared" si="6"/>
        <v>34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>
        <v>40</v>
      </c>
      <c r="B171" s="63">
        <v>493</v>
      </c>
      <c r="C171" s="53">
        <v>5</v>
      </c>
      <c r="D171" s="63">
        <v>84</v>
      </c>
      <c r="E171" s="54">
        <v>0.3</v>
      </c>
      <c r="F171" s="54">
        <v>0.7</v>
      </c>
      <c r="G171" s="54"/>
      <c r="H171" s="54"/>
      <c r="I171" s="52">
        <f t="shared" si="6"/>
        <v>32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63">
        <v>45</v>
      </c>
      <c r="B172" s="63">
        <v>558</v>
      </c>
      <c r="C172" s="63">
        <v>6</v>
      </c>
      <c r="D172" s="63">
        <v>84</v>
      </c>
      <c r="E172" s="93">
        <v>0.3</v>
      </c>
      <c r="F172" s="93">
        <v>0.7</v>
      </c>
      <c r="G172" s="93"/>
      <c r="H172" s="93"/>
      <c r="I172" s="52">
        <f t="shared" si="6"/>
        <v>29.8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63">
        <v>50</v>
      </c>
      <c r="B173" s="63">
        <v>618</v>
      </c>
      <c r="C173" s="63">
        <v>7</v>
      </c>
      <c r="D173" s="63">
        <v>79</v>
      </c>
      <c r="E173" s="93">
        <v>0.4</v>
      </c>
      <c r="F173" s="93">
        <v>0.6</v>
      </c>
      <c r="G173" s="93"/>
      <c r="H173" s="93"/>
      <c r="I173" s="52">
        <f t="shared" si="6"/>
        <v>28.8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63">
        <v>55</v>
      </c>
      <c r="B174" s="63">
        <v>678</v>
      </c>
      <c r="C174" s="63">
        <v>8</v>
      </c>
      <c r="D174" s="63">
        <v>70</v>
      </c>
      <c r="E174" s="93">
        <v>0.4</v>
      </c>
      <c r="F174" s="93">
        <v>0.6</v>
      </c>
      <c r="G174" s="93"/>
      <c r="H174" s="93"/>
      <c r="I174" s="52">
        <f t="shared" si="6"/>
        <v>27.8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63">
        <v>60</v>
      </c>
      <c r="B175" s="63">
        <v>734</v>
      </c>
      <c r="C175" s="63">
        <v>9</v>
      </c>
      <c r="D175" s="63">
        <v>64</v>
      </c>
      <c r="E175" s="93">
        <v>0.55000000000000004</v>
      </c>
      <c r="F175" s="93">
        <v>0.45</v>
      </c>
      <c r="G175" s="93"/>
      <c r="H175" s="93"/>
      <c r="I175" s="52">
        <f t="shared" si="6"/>
        <v>25.2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63">
        <v>65</v>
      </c>
      <c r="B176" s="63">
        <v>786</v>
      </c>
      <c r="C176" s="63">
        <v>10</v>
      </c>
      <c r="D176" s="63">
        <v>60</v>
      </c>
      <c r="E176" s="93">
        <v>0.55000000000000004</v>
      </c>
      <c r="F176" s="93">
        <v>0.45</v>
      </c>
      <c r="G176" s="93"/>
      <c r="H176" s="93"/>
      <c r="I176" s="52">
        <f t="shared" si="6"/>
        <v>23.2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63">
        <v>70</v>
      </c>
      <c r="B177" s="63">
        <v>832</v>
      </c>
      <c r="C177" s="63">
        <v>11</v>
      </c>
      <c r="D177" s="63">
        <v>56</v>
      </c>
      <c r="E177" s="93">
        <v>0.6</v>
      </c>
      <c r="F177" s="93">
        <v>0.4</v>
      </c>
      <c r="G177" s="93"/>
      <c r="H177" s="93"/>
      <c r="I177" s="52">
        <f t="shared" si="6"/>
        <v>21.2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63">
        <v>75</v>
      </c>
      <c r="B178" s="63">
        <v>875</v>
      </c>
      <c r="C178" s="63">
        <v>12</v>
      </c>
      <c r="D178" s="63">
        <v>54</v>
      </c>
      <c r="E178" s="68">
        <v>0.6</v>
      </c>
      <c r="F178" s="68">
        <v>0.4</v>
      </c>
      <c r="G178" s="68"/>
      <c r="H178" s="68"/>
      <c r="I178" s="52">
        <f t="shared" si="6"/>
        <v>19.8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63">
        <v>80</v>
      </c>
      <c r="B179" s="63">
        <v>912</v>
      </c>
      <c r="C179" s="63">
        <v>13</v>
      </c>
      <c r="D179" s="63">
        <v>52</v>
      </c>
      <c r="E179" s="68">
        <v>0.65</v>
      </c>
      <c r="F179" s="68">
        <v>0.35</v>
      </c>
      <c r="G179" s="68"/>
      <c r="H179" s="68"/>
      <c r="I179" s="52">
        <f t="shared" si="6"/>
        <v>18.2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>Séquoia toujours vert</v>
      </c>
      <c r="D188" s="259" t="s">
        <v>308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>
        <v>15</v>
      </c>
      <c r="B192" s="63">
        <v>100</v>
      </c>
      <c r="C192" s="53">
        <v>1</v>
      </c>
      <c r="D192" s="63">
        <v>13</v>
      </c>
      <c r="E192" s="54"/>
      <c r="F192" s="54">
        <v>1</v>
      </c>
      <c r="G192" s="54"/>
      <c r="H192" s="54"/>
      <c r="I192" s="52">
        <f>IFERROR(B192/A192,"")</f>
        <v>6.666666666666667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>
        <v>20</v>
      </c>
      <c r="B193" s="63">
        <v>155</v>
      </c>
      <c r="C193" s="53">
        <v>2</v>
      </c>
      <c r="D193" s="63">
        <v>105</v>
      </c>
      <c r="E193" s="54"/>
      <c r="F193" s="54">
        <v>1</v>
      </c>
      <c r="G193" s="54"/>
      <c r="H193" s="54"/>
      <c r="I193" s="52">
        <f t="shared" ref="I193:I211" si="7">IF(A193&lt;&gt;0,(B193-(B192-D192))/(A193-A192),"")</f>
        <v>13.6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>
        <v>25</v>
      </c>
      <c r="B194" s="63">
        <v>267</v>
      </c>
      <c r="C194" s="53">
        <v>3</v>
      </c>
      <c r="D194" s="63">
        <v>105</v>
      </c>
      <c r="E194" s="54">
        <v>0.25</v>
      </c>
      <c r="F194" s="54">
        <v>0.75</v>
      </c>
      <c r="G194" s="54"/>
      <c r="H194" s="54"/>
      <c r="I194" s="52">
        <f t="shared" si="7"/>
        <v>43.4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>
        <v>30</v>
      </c>
      <c r="B195" s="63">
        <v>393</v>
      </c>
      <c r="C195" s="53">
        <v>4</v>
      </c>
      <c r="D195" s="63">
        <v>105</v>
      </c>
      <c r="E195" s="54">
        <v>0.25</v>
      </c>
      <c r="F195" s="54">
        <v>0.75</v>
      </c>
      <c r="G195" s="54"/>
      <c r="H195" s="54"/>
      <c r="I195" s="52">
        <f t="shared" si="7"/>
        <v>46.2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>
        <v>35</v>
      </c>
      <c r="B196" s="63">
        <v>511</v>
      </c>
      <c r="C196" s="53">
        <v>5</v>
      </c>
      <c r="D196" s="63">
        <v>105</v>
      </c>
      <c r="E196" s="54">
        <v>0.3</v>
      </c>
      <c r="F196" s="54">
        <v>0.7</v>
      </c>
      <c r="G196" s="54"/>
      <c r="H196" s="54"/>
      <c r="I196" s="52">
        <f t="shared" si="7"/>
        <v>44.6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>
        <v>40</v>
      </c>
      <c r="B197" s="63">
        <v>616</v>
      </c>
      <c r="C197" s="53">
        <v>6</v>
      </c>
      <c r="D197" s="63">
        <v>0</v>
      </c>
      <c r="E197" s="93">
        <v>0.3</v>
      </c>
      <c r="F197" s="93">
        <v>0.7</v>
      </c>
      <c r="G197" s="54"/>
      <c r="H197" s="54"/>
      <c r="I197" s="52">
        <f t="shared" si="7"/>
        <v>42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>
        <v>45</v>
      </c>
      <c r="B198" s="63">
        <v>719</v>
      </c>
      <c r="C198" s="53">
        <v>7</v>
      </c>
      <c r="D198" s="63">
        <v>83</v>
      </c>
      <c r="E198" s="93">
        <v>0.4</v>
      </c>
      <c r="F198" s="93">
        <v>0.6</v>
      </c>
      <c r="G198" s="54"/>
      <c r="H198" s="54"/>
      <c r="I198" s="52">
        <f t="shared" si="7"/>
        <v>20.6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>
        <v>50</v>
      </c>
      <c r="B199" s="63">
        <v>813</v>
      </c>
      <c r="C199" s="53">
        <v>8</v>
      </c>
      <c r="D199" s="63">
        <v>71</v>
      </c>
      <c r="E199" s="93">
        <v>0.4</v>
      </c>
      <c r="F199" s="93">
        <v>0.6</v>
      </c>
      <c r="G199" s="54"/>
      <c r="H199" s="54"/>
      <c r="I199" s="52">
        <f t="shared" si="7"/>
        <v>35.4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>
        <v>55</v>
      </c>
      <c r="B200" s="63">
        <v>897</v>
      </c>
      <c r="C200" s="53">
        <v>9</v>
      </c>
      <c r="D200" s="63">
        <v>62</v>
      </c>
      <c r="E200" s="93">
        <v>0.55000000000000004</v>
      </c>
      <c r="F200" s="93">
        <v>0.45</v>
      </c>
      <c r="G200" s="54"/>
      <c r="H200" s="54"/>
      <c r="I200" s="52">
        <f t="shared" si="7"/>
        <v>31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>
        <v>60</v>
      </c>
      <c r="B201" s="63">
        <v>968</v>
      </c>
      <c r="C201" s="53">
        <v>10</v>
      </c>
      <c r="D201" s="63">
        <v>55</v>
      </c>
      <c r="E201" s="93">
        <v>0.55000000000000004</v>
      </c>
      <c r="F201" s="93">
        <v>0.45</v>
      </c>
      <c r="G201" s="54"/>
      <c r="H201" s="54"/>
      <c r="I201" s="52">
        <f t="shared" si="7"/>
        <v>26.6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>
        <v>65</v>
      </c>
      <c r="B202" s="63">
        <v>1028</v>
      </c>
      <c r="C202" s="53">
        <v>11</v>
      </c>
      <c r="D202" s="63">
        <v>49</v>
      </c>
      <c r="E202" s="93">
        <v>0.6</v>
      </c>
      <c r="F202" s="93">
        <v>0.4</v>
      </c>
      <c r="G202" s="54"/>
      <c r="H202" s="54"/>
      <c r="I202" s="52">
        <f t="shared" si="7"/>
        <v>23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>
        <v>70</v>
      </c>
      <c r="B203" s="63">
        <v>1076</v>
      </c>
      <c r="C203" s="53">
        <v>12</v>
      </c>
      <c r="D203" s="63">
        <v>44</v>
      </c>
      <c r="E203" s="68">
        <v>0.6</v>
      </c>
      <c r="F203" s="68">
        <v>0.4</v>
      </c>
      <c r="G203" s="54"/>
      <c r="H203" s="54"/>
      <c r="I203" s="52">
        <f t="shared" si="7"/>
        <v>19.399999999999999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>
        <v>75</v>
      </c>
      <c r="B204" s="63">
        <v>1111</v>
      </c>
      <c r="C204" s="53">
        <v>13</v>
      </c>
      <c r="D204" s="63">
        <v>40</v>
      </c>
      <c r="E204" s="68">
        <v>0.65</v>
      </c>
      <c r="F204" s="68">
        <v>0.35</v>
      </c>
      <c r="G204" s="57"/>
      <c r="H204" s="57"/>
      <c r="I204" s="52">
        <f t="shared" si="7"/>
        <v>15.8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>
        <v>80</v>
      </c>
      <c r="B205" s="63">
        <v>1135</v>
      </c>
      <c r="C205" s="53">
        <v>14</v>
      </c>
      <c r="D205" s="63">
        <v>35</v>
      </c>
      <c r="E205" s="57">
        <v>0.7</v>
      </c>
      <c r="F205" s="57">
        <v>0.3</v>
      </c>
      <c r="G205" s="57"/>
      <c r="H205" s="57"/>
      <c r="I205" s="52">
        <f t="shared" si="7"/>
        <v>12.8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>Cèdre de l'Atlas</v>
      </c>
      <c r="D214" s="259" t="s">
        <v>308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>
        <v>20</v>
      </c>
      <c r="B218" s="53">
        <v>28</v>
      </c>
      <c r="C218" s="53"/>
      <c r="D218" s="53"/>
      <c r="E218" s="54"/>
      <c r="F218" s="54"/>
      <c r="G218" s="54"/>
      <c r="H218" s="54"/>
      <c r="I218" s="56">
        <f>IFERROR(B218/A218,"")</f>
        <v>1.4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>
        <v>30</v>
      </c>
      <c r="B219" s="53">
        <v>121</v>
      </c>
      <c r="C219" s="53"/>
      <c r="D219" s="53"/>
      <c r="E219" s="54"/>
      <c r="F219" s="54"/>
      <c r="G219" s="54"/>
      <c r="H219" s="54"/>
      <c r="I219" s="56">
        <f t="shared" ref="I219:I237" si="8">IF(A219&lt;&gt;0,(B219-(B218-D218))/(A219-A218),"")</f>
        <v>9.3000000000000007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>
        <v>40</v>
      </c>
      <c r="B220" s="53">
        <v>267</v>
      </c>
      <c r="C220" s="53">
        <v>1</v>
      </c>
      <c r="D220" s="53">
        <v>91</v>
      </c>
      <c r="E220" s="54"/>
      <c r="F220" s="54">
        <v>1</v>
      </c>
      <c r="G220" s="54"/>
      <c r="H220" s="54"/>
      <c r="I220" s="56">
        <f t="shared" si="8"/>
        <v>14.6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3">
        <v>50</v>
      </c>
      <c r="B221" s="53">
        <v>380</v>
      </c>
      <c r="C221" s="53">
        <v>2</v>
      </c>
      <c r="D221" s="53">
        <v>91</v>
      </c>
      <c r="E221" s="54"/>
      <c r="F221" s="54">
        <v>1</v>
      </c>
      <c r="G221" s="54"/>
      <c r="H221" s="54"/>
      <c r="I221" s="56">
        <f t="shared" si="8"/>
        <v>20.399999999999999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3">
        <v>60</v>
      </c>
      <c r="B222" s="53">
        <v>516</v>
      </c>
      <c r="C222" s="53">
        <v>3</v>
      </c>
      <c r="D222" s="53">
        <v>112</v>
      </c>
      <c r="E222" s="54">
        <v>0.35</v>
      </c>
      <c r="F222" s="54">
        <v>0.65</v>
      </c>
      <c r="G222" s="54"/>
      <c r="H222" s="54"/>
      <c r="I222" s="56">
        <f t="shared" si="8"/>
        <v>22.7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3">
        <v>70</v>
      </c>
      <c r="B223" s="53">
        <v>631</v>
      </c>
      <c r="C223" s="53">
        <v>4</v>
      </c>
      <c r="D223" s="53">
        <v>109</v>
      </c>
      <c r="E223" s="54">
        <v>0.45</v>
      </c>
      <c r="F223" s="54">
        <v>0.55000000000000004</v>
      </c>
      <c r="G223" s="54"/>
      <c r="H223" s="54"/>
      <c r="I223" s="56">
        <f t="shared" si="8"/>
        <v>22.7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3">
        <v>80</v>
      </c>
      <c r="B224" s="53">
        <v>734</v>
      </c>
      <c r="C224" s="53">
        <v>5</v>
      </c>
      <c r="D224" s="53">
        <v>110</v>
      </c>
      <c r="E224" s="54">
        <v>0.6</v>
      </c>
      <c r="F224" s="54">
        <v>0.4</v>
      </c>
      <c r="G224" s="54"/>
      <c r="H224" s="54"/>
      <c r="I224" s="56">
        <f t="shared" si="8"/>
        <v>21.2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3">
        <v>90</v>
      </c>
      <c r="B225" s="53">
        <v>802</v>
      </c>
      <c r="C225" s="53">
        <v>6</v>
      </c>
      <c r="D225" s="53">
        <v>97</v>
      </c>
      <c r="E225" s="54">
        <v>0.75</v>
      </c>
      <c r="F225" s="54">
        <v>0.25</v>
      </c>
      <c r="G225" s="54"/>
      <c r="H225" s="54"/>
      <c r="I225" s="56">
        <f t="shared" si="8"/>
        <v>17.8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3">
        <v>100</v>
      </c>
      <c r="B226" s="53">
        <v>855</v>
      </c>
      <c r="C226" s="53"/>
      <c r="D226" s="53"/>
      <c r="E226" s="54"/>
      <c r="F226" s="54"/>
      <c r="G226" s="54"/>
      <c r="H226" s="54"/>
      <c r="I226" s="56">
        <f t="shared" si="8"/>
        <v>15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3"/>
      <c r="B227" s="53"/>
      <c r="C227" s="53"/>
      <c r="D227" s="53"/>
      <c r="E227" s="54"/>
      <c r="F227" s="54"/>
      <c r="G227" s="54"/>
      <c r="H227" s="5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3"/>
      <c r="B228" s="53"/>
      <c r="C228" s="53"/>
      <c r="D228" s="53"/>
      <c r="E228" s="54"/>
      <c r="F228" s="54"/>
      <c r="G228" s="54"/>
      <c r="H228" s="5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>Sapin méditerranéen</v>
      </c>
      <c r="D240" s="259" t="s">
        <v>308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286">
        <v>17</v>
      </c>
      <c r="B244" s="287">
        <v>103</v>
      </c>
      <c r="C244" s="287">
        <v>1</v>
      </c>
      <c r="D244" s="287">
        <v>15</v>
      </c>
      <c r="E244" s="54"/>
      <c r="F244" s="54">
        <v>1</v>
      </c>
      <c r="G244" s="54"/>
      <c r="H244" s="54"/>
      <c r="I244" s="56">
        <f>IFERROR(B244/A244,"")</f>
        <v>6.0588235294117645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288">
        <v>20</v>
      </c>
      <c r="B245" s="289">
        <v>122</v>
      </c>
      <c r="C245" s="289">
        <v>2</v>
      </c>
      <c r="D245" s="289">
        <v>15</v>
      </c>
      <c r="E245" s="54"/>
      <c r="F245" s="54">
        <v>1</v>
      </c>
      <c r="G245" s="54"/>
      <c r="H245" s="54"/>
      <c r="I245" s="56">
        <f>IF(A245&lt;&gt;0,(B245-(B244-D244))/(A245-A244),"")</f>
        <v>11.333333333333334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288">
        <v>25</v>
      </c>
      <c r="B246" s="289">
        <v>168</v>
      </c>
      <c r="C246" s="289">
        <v>3</v>
      </c>
      <c r="D246" s="289">
        <v>36</v>
      </c>
      <c r="E246" s="54">
        <v>0.3</v>
      </c>
      <c r="F246" s="54">
        <v>0.7</v>
      </c>
      <c r="G246" s="54"/>
      <c r="H246" s="54"/>
      <c r="I246" s="56">
        <f>IF(A246&lt;&gt;0,(B246-(B245-D245))/(A246-A245),"")</f>
        <v>12.2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288">
        <v>30</v>
      </c>
      <c r="B247" s="289">
        <v>202</v>
      </c>
      <c r="C247" s="289">
        <v>4</v>
      </c>
      <c r="D247" s="289">
        <v>54</v>
      </c>
      <c r="E247" s="54">
        <v>0.3</v>
      </c>
      <c r="F247" s="54">
        <v>0.7</v>
      </c>
      <c r="G247" s="54"/>
      <c r="H247" s="54"/>
      <c r="I247" s="56">
        <f t="shared" ref="I247:I263" si="9">IF(A247&lt;&gt;0,(B247-(B246-D246))/(A247-A246),"")</f>
        <v>14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288">
        <v>35</v>
      </c>
      <c r="B248" s="289">
        <v>244</v>
      </c>
      <c r="C248" s="289">
        <v>5</v>
      </c>
      <c r="D248" s="289">
        <v>52</v>
      </c>
      <c r="E248" s="54">
        <v>0.3</v>
      </c>
      <c r="F248" s="54">
        <v>0.7</v>
      </c>
      <c r="G248" s="54"/>
      <c r="H248" s="54"/>
      <c r="I248" s="56">
        <f t="shared" si="9"/>
        <v>19.2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288">
        <v>40</v>
      </c>
      <c r="B249" s="289">
        <v>284</v>
      </c>
      <c r="C249" s="289">
        <v>6</v>
      </c>
      <c r="D249" s="289">
        <v>48</v>
      </c>
      <c r="E249" s="54">
        <v>0.3</v>
      </c>
      <c r="F249" s="54">
        <v>0.7</v>
      </c>
      <c r="G249" s="54"/>
      <c r="H249" s="54"/>
      <c r="I249" s="56">
        <f t="shared" si="9"/>
        <v>18.399999999999999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288">
        <v>45</v>
      </c>
      <c r="B250" s="289">
        <v>327</v>
      </c>
      <c r="C250" s="289">
        <v>7</v>
      </c>
      <c r="D250" s="289">
        <v>57</v>
      </c>
      <c r="E250" s="54">
        <v>0.4</v>
      </c>
      <c r="F250" s="54">
        <v>0.6</v>
      </c>
      <c r="G250" s="54"/>
      <c r="H250" s="54"/>
      <c r="I250" s="56">
        <f t="shared" si="9"/>
        <v>18.2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288">
        <v>50</v>
      </c>
      <c r="B251" s="289">
        <v>367</v>
      </c>
      <c r="C251" s="289">
        <v>8</v>
      </c>
      <c r="D251" s="289">
        <v>47</v>
      </c>
      <c r="E251" s="54">
        <v>0.4</v>
      </c>
      <c r="F251" s="54">
        <v>0.6</v>
      </c>
      <c r="G251" s="54"/>
      <c r="H251" s="54"/>
      <c r="I251" s="56">
        <f t="shared" si="9"/>
        <v>19.399999999999999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288">
        <v>55</v>
      </c>
      <c r="B252" s="289">
        <v>415</v>
      </c>
      <c r="C252" s="289">
        <v>9</v>
      </c>
      <c r="D252" s="289">
        <v>48</v>
      </c>
      <c r="E252" s="54">
        <v>0.55000000000000004</v>
      </c>
      <c r="F252" s="54">
        <v>0.45</v>
      </c>
      <c r="G252" s="54"/>
      <c r="H252" s="54"/>
      <c r="I252" s="56">
        <f t="shared" si="9"/>
        <v>19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288">
        <v>60</v>
      </c>
      <c r="B253" s="289">
        <v>468</v>
      </c>
      <c r="C253" s="289">
        <v>10</v>
      </c>
      <c r="D253" s="289">
        <v>32</v>
      </c>
      <c r="E253" s="54">
        <v>0.75</v>
      </c>
      <c r="F253" s="54">
        <v>0.25</v>
      </c>
      <c r="G253" s="54"/>
      <c r="H253" s="54"/>
      <c r="I253" s="56">
        <f t="shared" si="9"/>
        <v>20.2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288">
        <v>65</v>
      </c>
      <c r="B254" s="289">
        <v>527</v>
      </c>
      <c r="C254" s="289">
        <v>11</v>
      </c>
      <c r="D254" s="289">
        <v>28</v>
      </c>
      <c r="E254" s="54">
        <v>0.75</v>
      </c>
      <c r="F254" s="54">
        <v>0.25</v>
      </c>
      <c r="G254" s="54"/>
      <c r="H254" s="54"/>
      <c r="I254" s="56">
        <f t="shared" si="9"/>
        <v>18.2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9" t="s">
        <v>308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WNNfjMejANGVl6TwNyOWjr6uE9FSKeYKc8G1xSRzhSSEEHHoiD4MGdHL+75tgTa2hkuargjtI146ITZNl/t3TQ==" saltValue="Rm8CBJr+fsZI1hzxuzToYA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 xr:uid="{00000000-0002-0000-0100-000000000000}">
      <formula1>Essence</formula1>
    </dataValidation>
    <dataValidation type="list" allowBlank="1" showInputMessage="1" showErrorMessage="1" sqref="C24" xr:uid="{00000000-0002-0000-0100-000001000000}">
      <formula1>VAN</formula1>
    </dataValidation>
    <dataValidation type="list" allowBlank="1" showInputMessage="1" showErrorMessage="1" sqref="C26" xr:uid="{00000000-0002-0000-0100-000002000000}">
      <formula1>Incendie</formula1>
    </dataValidation>
    <dataValidation type="list" allowBlank="1" showInputMessage="1" showErrorMessage="1" sqref="C27" xr:uid="{00000000-0002-0000-0100-000003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297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296</v>
      </c>
      <c r="C7" s="109" t="s">
        <v>214</v>
      </c>
      <c r="D7" s="235"/>
      <c r="E7" s="110"/>
      <c r="F7" s="29" t="s">
        <v>296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6"/>
      <c r="B13" s="116"/>
      <c r="C13" s="107" t="s">
        <v>273</v>
      </c>
      <c r="D13" s="236"/>
      <c r="E13" s="108"/>
      <c r="F13" s="116"/>
      <c r="G13" s="107" t="s">
        <v>302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6"/>
      <c r="B14" s="116"/>
      <c r="C14" s="107" t="s">
        <v>310</v>
      </c>
      <c r="D14" s="236"/>
      <c r="E14" s="108"/>
      <c r="F14" s="116"/>
      <c r="G14" s="107" t="s">
        <v>295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296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bYYTRLA362MILumSLNbeoQ2hy+GJikiAN9JWuBENQVQ+g49rNjpbVQfv4HKmwJd5sECAbS9qnJ5D7VbOYAr62A==" saltValue="mhj60ytZCew56tNQmRqpzw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H3" sqref="BH3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Douglas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 sessile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Chêne pubescent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Pin maritime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Pin taeda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>Thuya géant</v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>Séquoia toujours vert</v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>Cèdre de l'Atlas</v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>Sapin méditerranéen</v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299</v>
      </c>
      <c r="F2" s="6" t="s">
        <v>298</v>
      </c>
      <c r="G2" s="6" t="s">
        <v>303</v>
      </c>
      <c r="H2" s="69" t="s">
        <v>300</v>
      </c>
      <c r="I2" s="72" t="s">
        <v>299</v>
      </c>
      <c r="J2" s="73" t="s">
        <v>298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303</v>
      </c>
      <c r="R2" s="7" t="s">
        <v>301</v>
      </c>
      <c r="S2" s="7" t="s">
        <v>309</v>
      </c>
      <c r="T2" s="7" t="s">
        <v>304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299</v>
      </c>
      <c r="AE2" s="73" t="s">
        <v>298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303</v>
      </c>
      <c r="AM2" s="7" t="s">
        <v>301</v>
      </c>
      <c r="AN2" s="7" t="s">
        <v>309</v>
      </c>
      <c r="AO2" s="7" t="s">
        <v>304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299</v>
      </c>
      <c r="AZ2" s="73" t="s">
        <v>298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303</v>
      </c>
      <c r="BH2" s="7" t="s">
        <v>301</v>
      </c>
      <c r="BI2" s="7" t="s">
        <v>309</v>
      </c>
      <c r="BJ2" s="7" t="s">
        <v>304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299</v>
      </c>
      <c r="BU2" s="73" t="s">
        <v>298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303</v>
      </c>
      <c r="CC2" s="7" t="s">
        <v>301</v>
      </c>
      <c r="CD2" s="7" t="s">
        <v>309</v>
      </c>
      <c r="CE2" s="7" t="s">
        <v>304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299</v>
      </c>
      <c r="CP2" s="73" t="s">
        <v>298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303</v>
      </c>
      <c r="CX2" s="7" t="s">
        <v>301</v>
      </c>
      <c r="CY2" s="7" t="s">
        <v>309</v>
      </c>
      <c r="CZ2" s="7" t="s">
        <v>304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299</v>
      </c>
      <c r="DK2" s="73" t="s">
        <v>298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303</v>
      </c>
      <c r="DS2" s="7" t="s">
        <v>301</v>
      </c>
      <c r="DT2" s="7" t="s">
        <v>309</v>
      </c>
      <c r="DU2" s="7" t="s">
        <v>304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299</v>
      </c>
      <c r="EF2" s="73" t="s">
        <v>298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303</v>
      </c>
      <c r="EN2" s="7" t="s">
        <v>301</v>
      </c>
      <c r="EO2" s="7" t="s">
        <v>309</v>
      </c>
      <c r="EP2" s="7" t="s">
        <v>304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299</v>
      </c>
      <c r="FA2" s="73" t="s">
        <v>298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303</v>
      </c>
      <c r="FI2" s="7" t="s">
        <v>301</v>
      </c>
      <c r="FJ2" s="7" t="s">
        <v>309</v>
      </c>
      <c r="FK2" s="7" t="s">
        <v>304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299</v>
      </c>
      <c r="FV2" s="73" t="s">
        <v>298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303</v>
      </c>
      <c r="GD2" s="7" t="s">
        <v>301</v>
      </c>
      <c r="GE2" s="7" t="s">
        <v>309</v>
      </c>
      <c r="GF2" s="7" t="s">
        <v>304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299</v>
      </c>
      <c r="GQ2" s="73" t="s">
        <v>298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303</v>
      </c>
      <c r="GY2" s="7" t="s">
        <v>301</v>
      </c>
      <c r="GZ2" s="7" t="s">
        <v>309</v>
      </c>
      <c r="HA2" s="7" t="s">
        <v>304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289.94242154211224</v>
      </c>
      <c r="T3" s="62">
        <f>IF('Données projet'!E9&gt;30,$R$33-$H$33,LOOKUP('Données projet'!$E$9,$A$3:$A$203,R3:R203)-LOOKUP('Données projet'!$E$9,$A$3:$A$203,$H$3:$H$203))</f>
        <v>369.12599166143661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518.31628039365785</v>
      </c>
      <c r="AO3" s="62">
        <f>IF('Données projet'!E10&gt;30,$AM$33-$H$33,LOOKUP('Données projet'!$E$10,$A$3:$A$203,AM3:AM203)-LOOKUP('Données projet'!$E$10,$A$3:$A$203,$H$3:$H$203))</f>
        <v>66.435071953154761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570.2785736203931</v>
      </c>
      <c r="BJ3" s="62">
        <f>IF('Données projet'!E11&gt;30,$BH$33-$H$33,LOOKUP('Données projet'!$E$11,$A$3:$A$203,BH3:BH203)-LOOKUP('Données projet'!$E$11,$A$3:$A$203,$H$3:$H$203))</f>
        <v>67.677759965081719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401.1031790385295</v>
      </c>
      <c r="CE3" s="62">
        <f>IF('Données projet'!E12&gt;30,$CC$33-$H$33,LOOKUP('Données projet'!$E$12,$A$3:$A$203,CC3:CC203)-LOOKUP('Données projet'!$E$12,$A$3:$A$203,$H$3:$H$203))</f>
        <v>402.09589424130615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projet'!$B$13,Paramètres!$A$1:$I$88,3,0)*VLOOKUP('Données projet'!$B$13,Paramètres!$A$1:$I$88,5,0)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401.1031790385295</v>
      </c>
      <c r="CZ3" s="62">
        <f>IF('Données projet'!E13&gt;30,$CX$33-$H$33,LOOKUP('Données projet'!$E$13,$A$3:$A$203,CX3:CX203)-LOOKUP('Données projet'!$E$13,$A$3:$A$203,$H$3:$H$203))</f>
        <v>402.09589424130615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projet'!$B$14,Paramètres!$A$1:$I$88,3,0)*VLOOKUP('Données projet'!$B$14,Paramètres!$A$1:$I$88,5,0)</f>
        <v>0</v>
      </c>
      <c r="DQ3" s="13">
        <v>0</v>
      </c>
      <c r="DR3" s="15">
        <f>(DP3+DQ3)*0.475*44/12</f>
        <v>0</v>
      </c>
      <c r="DS3" s="62">
        <f>DR3+(DJ3+DK3)*44/12</f>
        <v>165</v>
      </c>
      <c r="DT3" s="62">
        <f ca="1">AVERAGE(OFFSET($DS$3,0,0,'Données projet'!$E$14+1,1))-AVERAGE(OFFSET($H$3,0,0,'Données projet'!$E$14+1,1))</f>
        <v>432.59662347701629</v>
      </c>
      <c r="DU3" s="62">
        <f>IF('Données projet'!E14&gt;30,$DS$33-$H$33,LOOKUP('Données projet'!$E$14,$A$3:$A$203,DS3:DS203)-LOOKUP('Données projet'!$E$14,$A$3:$A$203,$H$3:$H$203))</f>
        <v>348.67401091099748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projet'!$B$15,Paramètres!$A$1:$I$88,3,0)*VLOOKUP('Données projet'!$B$15,Paramètres!$A$1:$I$88,5,0)</f>
        <v>0</v>
      </c>
      <c r="EL3" s="13">
        <v>0</v>
      </c>
      <c r="EM3" s="15">
        <f>(EK3+EL3)*0.475*44/12</f>
        <v>0</v>
      </c>
      <c r="EN3" s="62">
        <f>EM3+(EE3+EF3)*44/12</f>
        <v>165</v>
      </c>
      <c r="EO3" s="62">
        <f ca="1">AVERAGE(OFFSET($EN$3,0,0,'Données projet'!$E$15+1,1))-AVERAGE(OFFSET($H$3,0,0,'Données projet'!$E$15+1,1))</f>
        <v>582.26951914082088</v>
      </c>
      <c r="EP3" s="62">
        <f>IF('Données projet'!E15&gt;30,$EN$33-$H$33,LOOKUP('Données projet'!$E$15,$A$3:$A$203,EN3:EN203)-LOOKUP('Données projet'!$E$15,$A$3:$A$203,$H$3:$H$203))</f>
        <v>434.80429932654715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projet'!$B$16,Paramètres!$A$1:$I$88,3,0)*VLOOKUP('Données projet'!$B$16,Paramètres!$A$1:$I$88,5,0)</f>
        <v>0</v>
      </c>
      <c r="FG3" s="13">
        <v>0</v>
      </c>
      <c r="FH3" s="15">
        <f>(FF3+FG3)*0.475*44/12</f>
        <v>0</v>
      </c>
      <c r="FI3" s="62">
        <f>FH3+(EZ3+FA3)*44/12</f>
        <v>165</v>
      </c>
      <c r="FJ3" s="62">
        <f ca="1">AVERAGE(OFFSET($FI$3,0,0,'Données projet'!$E$16+1,1))-AVERAGE(OFFSET($H$3,0,0,'Données projet'!$E$16+1,1))</f>
        <v>429.87867712133851</v>
      </c>
      <c r="FK3" s="62">
        <f>IF('Données projet'!E16&gt;30,$FI$33-$H$33,LOOKUP('Données projet'!$E$16,$A$3:$A$203,FI3:FI203)-LOOKUP('Données projet'!$E$16,$A$3:$A$203,$H$3:$H$203))</f>
        <v>182.81277865988014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projet'!$B$17,Paramètres!$A$1:$I$88,3,0)*VLOOKUP('Données projet'!$B$17,Paramètres!$A$1:$I$88,5,0)</f>
        <v>0</v>
      </c>
      <c r="GB3" s="13">
        <v>0</v>
      </c>
      <c r="GC3" s="15">
        <f>(GA3+GB3)*0.475*44/12</f>
        <v>0</v>
      </c>
      <c r="GD3" s="62">
        <f>GC3+(FU3+FV3)*44/12</f>
        <v>165</v>
      </c>
      <c r="GE3" s="62">
        <f ca="1">AVERAGE(OFFSET($GD$3,0,0,'Données projet'!$E$17+1,1))-AVERAGE(OFFSET($H$3,0,0,'Données projet'!$E$17+1,1))</f>
        <v>273.24375559399846</v>
      </c>
      <c r="GF3" s="62">
        <f>IF('Données projet'!E17&gt;30,$GD$33-$H$33,LOOKUP('Données projet'!$E$17,$A$3:$A$203,GD3:GD203)-LOOKUP('Données projet'!$E$17,$A$3:$A$203,$H$3:$H$203))</f>
        <v>270.77718895097848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10</v>
      </c>
      <c r="N4" s="14">
        <f>IF('Données projet'!$A$36&gt;35,N3+M4-V3,IF(A4&lt;'Données projet'!$A$36,$K$205^A4,IF(A4='Données projet'!$A$36,'Données projet'!$B$36,N3+M4-V3)))</f>
        <v>1.2229212769505047</v>
      </c>
      <c r="O4" s="14">
        <f>N4*VLOOKUP('Données projet'!$B$9,Paramètres!$A$1:$I$88,3,0)*VLOOKUP('Données projet'!$B$9,Paramètres!$A$1:$I$88,5,0)</f>
        <v>0.68361299381533214</v>
      </c>
      <c r="P4" s="14">
        <f>EXP(-1.0587+0.8836*LN(O4)+0.284)</f>
        <v>0.32929903187529647</v>
      </c>
      <c r="Q4" s="22">
        <f t="shared" ref="Q4:Q34" si="2">(O4+P4)*0.475*44/12</f>
        <v>1.764155111411178</v>
      </c>
      <c r="R4" s="62">
        <f t="shared" si="0"/>
        <v>169.57658906433502</v>
      </c>
      <c r="S4" s="62">
        <f ca="1">AVERAGE(OFFSET($R$3,0,0,'Données projet'!$E$9+1,1))-AVERAGE(OFFSET($H$3,0,0,'Données projet'!$E$9+1,1))</f>
        <v>289.94242154211224</v>
      </c>
      <c r="T4" s="62">
        <f>$T$3</f>
        <v>369.12599166143661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6.8965517241379309E-2</v>
      </c>
      <c r="AI4" s="14">
        <f>IF('Données projet'!$A$62&gt;35,AI3+AH4-AQ3,IF(A4&lt;'Données projet'!$A$62,$AF$205^A4,IF(A4='Données projet'!$A$62,'Données projet'!$B$62,AI3+AH4-AQ3)))</f>
        <v>1.0241895602489972</v>
      </c>
      <c r="AJ4" s="14">
        <f>AI4*VLOOKUP('Données projet'!$B$10,Paramètres!$A$1:$I$88,3,0)*VLOOKUP('Données projet'!$B$10,Paramètres!$A$1:$I$88,5,0)</f>
        <v>0.92668671411329262</v>
      </c>
      <c r="AK4" s="14">
        <f>EXP(-1.0587+0.8836*LN(AJ4)+0.284)</f>
        <v>0.43085784769640645</v>
      </c>
      <c r="AL4" s="22">
        <f t="shared" ref="AL4:AL67" si="4">(AJ4+AK4)*0.475*44/12</f>
        <v>2.3643901118185595</v>
      </c>
      <c r="AM4" s="62">
        <f t="shared" ref="AM4:AM67" si="5">AL4+(AD4+AE4)*44/12</f>
        <v>170.17682406474239</v>
      </c>
      <c r="AN4" s="62">
        <f ca="1">AVERAGE(OFFSET($AM$3,0,0,'Données projet'!$E$10+1,1))-AVERAGE(OFFSET($H$3,0,0,'Données projet'!$E$10+1,1))</f>
        <v>518.31628039365785</v>
      </c>
      <c r="AO4" s="62">
        <f>$AO$3</f>
        <v>66.435071953154761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6.8965517241379309E-2</v>
      </c>
      <c r="BD4" s="13">
        <f>IF('Données projet'!$A$88&gt;35,BD3+BC4-BL3,IF(A4&lt;'Données projet'!$A$88,$BA$205^A4,IF(A4='Données projet'!$A$88,'Données projet'!$B$88,BD3+BC4-BL3)))</f>
        <v>1.0241895602489972</v>
      </c>
      <c r="BE4" s="14">
        <f>BD4*VLOOKUP('Données projet'!$B$11,Paramètres!$A$1:$I$88,3,0)*VLOOKUP('Données projet'!$B$11,Paramètres!$A$1:$I$88,5,0)</f>
        <v>1.0385282140924832</v>
      </c>
      <c r="BF4" s="14">
        <f>EXP(-1.0587+0.8836*LN(BE4)+0.284)</f>
        <v>0.47649601668538266</v>
      </c>
      <c r="BG4" s="22">
        <f t="shared" ref="BG4:BG67" si="7">(BE4+BF4)*0.475*44/12</f>
        <v>2.6386672019381163</v>
      </c>
      <c r="BH4" s="62">
        <f t="shared" ref="BH4:BH67" si="8">BG4+(AY4+AZ4)*44/12</f>
        <v>170.45110115486196</v>
      </c>
      <c r="BI4" s="62">
        <f ca="1">AVERAGE(OFFSET($BH$3,0,0,'Données projet'!$E$11+1,1))-AVERAGE(OFFSET($H$3,0,0,'Données projet'!$E$11+1,1))</f>
        <v>570.2785736203931</v>
      </c>
      <c r="BJ4" s="62">
        <f>$BJ$3</f>
        <v>67.677759965081719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2.9666666666666668</v>
      </c>
      <c r="BY4" s="13">
        <f>IF('Données projet'!$A$114&gt;35,BY3+BX4-CG3,IF(A4&lt;'Données projet'!$A$114,$BV$205^A4,IF(A4='Données projet'!$A$114,'Données projet'!$B$114,BY3+BX4-CG3)))</f>
        <v>1.3467515989204495</v>
      </c>
      <c r="BZ4" s="14">
        <f>BY4*VLOOKUP('Données projet'!$B$12,Paramètres!$A$1:$I$88,3,0)*VLOOKUP('Données projet'!$B$12,Paramètres!$A$1:$I$88,5,0)</f>
        <v>0.80535745615442889</v>
      </c>
      <c r="CA4" s="14">
        <f>EXP(-1.0587+0.8836*LN(BZ4)+0.284)</f>
        <v>0.38061304221949904</v>
      </c>
      <c r="CB4" s="22">
        <f t="shared" ref="CB4:CB67" si="10">(BZ4+CA4)*0.475*44/12</f>
        <v>2.0655652846679247</v>
      </c>
      <c r="CC4" s="62">
        <f t="shared" ref="CC4:CC67" si="11">CB4+(BT4+BU4)*44/12</f>
        <v>169.87799923759175</v>
      </c>
      <c r="CD4" s="62">
        <f ca="1">AVERAGE(OFFSET($CC$3,0,0,'Données projet'!$E$12+1,1))-AVERAGE(OFFSET($H$3,0,0,'Données projet'!$E$12+1,1))</f>
        <v>401.1031790385295</v>
      </c>
      <c r="CE4" s="62">
        <f>$CE$3</f>
        <v>402.09589424130615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projet'!$B$12,Paramètres!$A$1:$I$88,3,0)*0.475*44/12</f>
        <v>0</v>
      </c>
      <c r="CL4" s="23">
        <f>EXP(-LN(2)/25)*CL3+(1-EXP(-LN(2)/25))/(LN(2)/25)*Calculateur!CG4*Calculateur!CI4*VLOOKUP('Données projet'!$B$12,Paramètres!$A$1:$I$88,3,0)*0.475*44/12</f>
        <v>0</v>
      </c>
      <c r="CM4" s="23">
        <f>EXP(-LN(2)/2)*CM3+(1-EXP(-LN(2)/2))/(LN(2)/2)*CG4*CJ4*VLOOKUP('Données projet'!$B$12,Paramètres!$A$1:$I$88,3,0)*0.475*44/12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2.9666666666666668</v>
      </c>
      <c r="CT4" s="13">
        <f>IF('Données projet'!$A$140&gt;35,CT3+CS4-DB3,IF(A4&lt;'Données projet'!$A$140,$CQ$205^A4,IF(A4='Données projet'!$A$140,'Données projet'!$B$140,CT3+CS4-DB3)))</f>
        <v>1.3467515989204495</v>
      </c>
      <c r="CU4" s="18">
        <f>CT4*VLOOKUP('Données projet'!$B$13,Paramètres!$A$1:$I$88,3,0)*VLOOKUP('Données projet'!$B$13,Paramètres!$A$1:$I$88,5,0)</f>
        <v>0.80535745615442889</v>
      </c>
      <c r="CV4" s="14">
        <f>EXP(-1.0587+0.8836*LN(CU4)+0.284)</f>
        <v>0.38061304221949904</v>
      </c>
      <c r="CW4" s="22">
        <f t="shared" ref="CW4:CW67" si="13">(CU4+CV4)*0.475*44/12</f>
        <v>2.0655652846679247</v>
      </c>
      <c r="CX4" s="62">
        <f t="shared" ref="CX4:CX67" si="14">CW4+(CO4+CP4)*44/12</f>
        <v>169.87799923759175</v>
      </c>
      <c r="CY4" s="62">
        <f ca="1">AVERAGE(OFFSET($CX$3,0,0,'Données projet'!$E$13+1,1))-AVERAGE(OFFSET($H$3,0,0,'Données projet'!$E$13+1,1))</f>
        <v>401.1031790385295</v>
      </c>
      <c r="CZ4" s="62">
        <f>$CZ$3</f>
        <v>402.09589424130615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projet'!$B$13,Paramètres!$A$1:$I$88,3,0)*0.475*44/12</f>
        <v>0</v>
      </c>
      <c r="DG4" s="23">
        <f>EXP(-LN(2)/25)*DG3+(1-EXP(-LN(2)/25))/(LN(2)/25)*Calculateur!DB4*Calculateur!DD4*VLOOKUP('Données projet'!$B$13,Paramètres!$A$1:$I$88,3,0)*0.475*44/12</f>
        <v>0</v>
      </c>
      <c r="DH4" s="23">
        <f>EXP(-LN(2)/2)*DH3+(1-EXP(-LN(2)/2))/(LN(2)/2)*DB4*DE4*VLOOKUP('Données projet'!$B$13,Paramètres!$A$1:$I$88,3,0)*0.475*44/12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6.4</v>
      </c>
      <c r="DO4" s="13">
        <f>IF('Données projet'!$A$166&gt;35,DO3+DN4-DW3,IF(A4&lt;'Données projet'!$A$166,$DL$205^A4,IF(A4='Données projet'!$A$166,'Données projet'!$B$166,DO3+DN4-DW3)))</f>
        <v>1.3556619776599483</v>
      </c>
      <c r="DP4" s="18">
        <f>DO4*VLOOKUP('Données projet'!$B$14,Paramètres!$A$1:$I$88,3,0)*VLOOKUP('Données projet'!$B$14,Paramètres!$A$1:$I$88,5,0)</f>
        <v>0.54633177699695923</v>
      </c>
      <c r="DQ4" s="14">
        <f>EXP(-1.0587+0.8836*LN(DP4)+0.284)</f>
        <v>0.27012737258527425</v>
      </c>
      <c r="DR4" s="22">
        <f t="shared" ref="DR4:DR67" si="16">(DP4+DQ4)*0.475*44/12</f>
        <v>1.4219996855223902</v>
      </c>
      <c r="DS4" s="62">
        <f t="shared" ref="DS4:DS67" si="17">DR4+(DJ4+DK4)*44/12</f>
        <v>169.23443363844623</v>
      </c>
      <c r="DT4" s="62">
        <f ca="1">AVERAGE(OFFSET($DS$3,0,0,'Données projet'!$E$14+1,1))-AVERAGE(OFFSET($H$3,0,0,'Données projet'!$E$14+1,1))</f>
        <v>432.59662347701629</v>
      </c>
      <c r="DU4" s="62">
        <f>$DU$3</f>
        <v>348.67401091099748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projet'!$B$14,Paramètres!$A$1:$I$88,3,0)*0.475*44/12</f>
        <v>0</v>
      </c>
      <c r="EB4" s="23">
        <f>EXP(-LN(2)/25)*EB3+(1-EXP(-LN(2)/25))/(LN(2)/25)*Calculateur!DW4*Calculateur!DY4*VLOOKUP('Données projet'!$B$14,Paramètres!$A$1:$I$88,3,0)*0.475*44/12</f>
        <v>0</v>
      </c>
      <c r="EC4" s="23">
        <f>EXP(-LN(2)/2)*EC3+(1-EXP(-LN(2)/2))/(LN(2)/2)*DW4*DZ4*VLOOKUP('Données projet'!$B$14,Paramètres!$A$1:$I$88,3,0)*0.475*44/12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6.666666666666667</v>
      </c>
      <c r="EJ4" s="13">
        <f>IF('Données projet'!$A$192&gt;35,EJ3+EI4-ER3,IF(A4&lt;'Données projet'!$A$192,$EG$205^A4,IF(A4='Données projet'!$A$192,'Données projet'!$B$192,EJ3+EI4-ER3)))</f>
        <v>1.3593563908785258</v>
      </c>
      <c r="EK4" s="18">
        <f>EJ4*VLOOKUP('Données projet'!$B$15,Paramètres!$A$1:$I$88,3,0)*VLOOKUP('Données projet'!$B$15,Paramètres!$A$1:$I$88,5,0)</f>
        <v>0.60083552476830848</v>
      </c>
      <c r="EL4" s="14">
        <f>EXP(-1.0587+0.8836*LN(EK4)+0.284)</f>
        <v>0.29380590180405086</v>
      </c>
      <c r="EM4" s="22">
        <f t="shared" ref="EM4:EM67" si="19">(EK4+EL4)*0.475*44/12</f>
        <v>1.5581671512801922</v>
      </c>
      <c r="EN4" s="62">
        <f t="shared" ref="EN4:EN67" si="20">EM4+(EE4+EF4)*44/12</f>
        <v>169.37060110420404</v>
      </c>
      <c r="EO4" s="62">
        <f ca="1">AVERAGE(OFFSET($EN$3,0,0,'Données projet'!$E$15+1,1))-AVERAGE(OFFSET($H$3,0,0,'Données projet'!$E$15+1,1))</f>
        <v>582.26951914082088</v>
      </c>
      <c r="EP4" s="62">
        <f>$EP$3</f>
        <v>434.80429932654715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projet'!$B$15,Paramètres!$A$1:$I$88,3,0)*0.475*44/12</f>
        <v>0</v>
      </c>
      <c r="EW4" s="23">
        <f>EXP(-LN(2)/25)*EW3+(1-EXP(-LN(2)/25))/(LN(2)/25)*Calculateur!ER4*Calculateur!ET4*VLOOKUP('Données projet'!$B$15,Paramètres!$A$1:$I$88,3,0)*0.475*44/12</f>
        <v>0</v>
      </c>
      <c r="EX4" s="23">
        <f>EXP(-LN(2)/2)*EX3+(1-EXP(-LN(2)/2))/(LN(2)/2)*ER4*EU4*VLOOKUP('Données projet'!$B$15,Paramètres!$A$1:$I$88,3,0)*0.475*44/12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1.4</v>
      </c>
      <c r="FE4" s="13">
        <f>IF('Données projet'!$A$218&gt;35,FE3+FD4-FM3,IF(A4&lt;'Données projet'!$A$218,$FB$205^A4,IF(A4='Données projet'!$A$218,'Données projet'!$B$218,FE3+FD4-FM3)))</f>
        <v>1.1812937373976771</v>
      </c>
      <c r="FF4" s="18">
        <f>FE4*VLOOKUP('Données projet'!$B$16,Paramètres!$A$1:$I$88,3,0)*VLOOKUP('Données projet'!$B$16,Paramètres!$A$1:$I$88,5,0)</f>
        <v>0.55284546910211285</v>
      </c>
      <c r="FG4" s="14">
        <f>EXP(-1.0587+0.8836*LN(FF4)+0.284)</f>
        <v>0.27297114564908254</v>
      </c>
      <c r="FH4" s="22">
        <f t="shared" ref="FH4:FH67" si="22">(FF4+FG4)*0.475*44/12</f>
        <v>1.4382972706916652</v>
      </c>
      <c r="FI4" s="62">
        <f t="shared" ref="FI4:FI67" si="23">FH4+(EZ4+FA4)*44/12</f>
        <v>169.2507312236155</v>
      </c>
      <c r="FJ4" s="62">
        <f ca="1">AVERAGE(OFFSET($FI$3,0,0,'Données projet'!$E$16+1,1))-AVERAGE(OFFSET($H$3,0,0,'Données projet'!$E$16+1,1))</f>
        <v>429.87867712133851</v>
      </c>
      <c r="FK4" s="62">
        <f>$FK$3</f>
        <v>182.81277865988014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projet'!$B$16,Paramètres!$A$1:$I$88,3,0)*0.475*44/12</f>
        <v>0</v>
      </c>
      <c r="FR4" s="23">
        <f>EXP(-LN(2)/25)*FR3+(1-EXP(-LN(2)/25))/(LN(2)/25)*Calculateur!FM4*Calculateur!FO4*VLOOKUP('Données projet'!$B$16,Paramètres!$A$1:$I$88,3,0)*0.475*44/12</f>
        <v>0</v>
      </c>
      <c r="FS4" s="23">
        <f>EXP(-LN(2)/2)*FS3+(1-EXP(-LN(2)/2))/(LN(2)/2)*FM4*FP4*VLOOKUP('Données projet'!$B$16,Paramètres!$A$1:$I$88,3,0)*0.475*44/12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6.0588235294117645</v>
      </c>
      <c r="FZ4" s="13">
        <f>IF('Données projet'!$A$244&gt;35,FZ3+FY4-GH3,IF(A4&lt;'Données projet'!$A$244,$FW$205^A4,IF(A4='Données projet'!$A$244,'Données projet'!$B$244,FZ3+FY4-GH3)))</f>
        <v>1.3134156586844881</v>
      </c>
      <c r="GA4" s="18">
        <f>FZ4*VLOOKUP('Données projet'!$B$17,Paramètres!$A$1:$I$88,3,0)*VLOOKUP('Données projet'!$B$17,Paramètres!$A$1:$I$88,5,0)</f>
        <v>0.6317529318272388</v>
      </c>
      <c r="GB4" s="14">
        <f>EXP(-1.0587+0.8836*LN(GA4)+0.284)</f>
        <v>0.30712532507318463</v>
      </c>
      <c r="GC4" s="22">
        <f t="shared" ref="GC4:GC67" si="25">(GA4+GB4)*0.475*44/12</f>
        <v>1.6352129641015709</v>
      </c>
      <c r="GD4" s="62">
        <f t="shared" ref="GD4:GD67" si="26">GC4+(FU4+FV4)*44/12</f>
        <v>169.44764691702542</v>
      </c>
      <c r="GE4" s="62">
        <f ca="1">AVERAGE(OFFSET($GD$3,0,0,'Données projet'!$E$17+1,1))-AVERAGE(OFFSET($H$3,0,0,'Données projet'!$E$17+1,1))</f>
        <v>273.24375559399846</v>
      </c>
      <c r="GF4" s="62">
        <f>$GF$3</f>
        <v>270.77718895097848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projet'!$B$17,Paramètres!$A$1:$I$88,3,0)*0.475*44/12</f>
        <v>0</v>
      </c>
      <c r="GM4" s="23">
        <f>EXP(-LN(2)/25)*GM3+(1-EXP(-LN(2)/25))/(LN(2)/25)*Calculateur!GH4*Calculateur!GJ4*VLOOKUP('Données projet'!$B$17,Paramètres!$A$1:$I$88,3,0)*0.475*44/12</f>
        <v>0</v>
      </c>
      <c r="GN4" s="23">
        <f>EXP(-LN(2)/2)*GN3+(1-EXP(-LN(2)/2))/(LN(2)/2)*GH4*GK4*VLOOKUP('Données projet'!$B$17,Paramètres!$A$1:$I$88,3,0)*0.475*44/12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10</v>
      </c>
      <c r="N5" s="14">
        <f>IF('Données projet'!$A$36&gt;35,N4+M5-V4,IF(A5&lt;'Données projet'!$A$36,$K$205^A5,IF(A5='Données projet'!$A$36,'Données projet'!$B$36,N4+M5-V4)))</f>
        <v>1.495536449618253</v>
      </c>
      <c r="O5" s="14">
        <f>N5*VLOOKUP('Données projet'!$B$9,Paramètres!$A$1:$I$88,3,0)*VLOOKUP('Données projet'!$B$9,Paramètres!$A$1:$I$88,5,0)</f>
        <v>0.8360048753366035</v>
      </c>
      <c r="P5" s="14">
        <f t="shared" ref="P5:P68" si="33">EXP(-1.0587+0.8836*LN(O5)+0.284)</f>
        <v>0.39338316439525073</v>
      </c>
      <c r="Q5" s="22">
        <f t="shared" si="2"/>
        <v>2.1411841691996458</v>
      </c>
      <c r="R5" s="62">
        <f t="shared" si="0"/>
        <v>172.73846545670048</v>
      </c>
      <c r="S5" s="62">
        <f ca="1">AVERAGE(OFFSET($R$3,0,0,'Données projet'!$E$9+1,1))-AVERAGE(OFFSET($H$3,0,0,'Données projet'!$E$9+1,1))</f>
        <v>289.94242154211224</v>
      </c>
      <c r="T5" s="62">
        <f t="shared" ref="T5:T68" si="34">$T$3</f>
        <v>369.12599166143661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6.8965517241379309E-2</v>
      </c>
      <c r="AI5" s="14">
        <f>IF('Données projet'!$A$62&gt;35,AI4+AH5-AQ4,IF(A5&lt;'Données projet'!$A$62,$AF$205^A5,IF(A5='Données projet'!$A$62,'Données projet'!$B$62,AI4+AH5-AQ4)))</f>
        <v>1.0489642553230343</v>
      </c>
      <c r="AJ5" s="14">
        <f>AI5*VLOOKUP('Données projet'!$B$10,Paramètres!$A$1:$I$88,3,0)*VLOOKUP('Données projet'!$B$10,Paramètres!$A$1:$I$88,5,0)</f>
        <v>0.94910285821628149</v>
      </c>
      <c r="AK5" s="14">
        <f t="shared" ref="AK5:AK68" si="35">EXP(-1.0587+0.8836*LN(AJ5)+0.284)</f>
        <v>0.44005410863154087</v>
      </c>
      <c r="AL5" s="22">
        <f t="shared" si="4"/>
        <v>2.4194483839266239</v>
      </c>
      <c r="AM5" s="62">
        <f t="shared" si="5"/>
        <v>173.01672967142747</v>
      </c>
      <c r="AN5" s="62">
        <f ca="1">AVERAGE(OFFSET($AM$3,0,0,'Données projet'!$E$10+1,1))-AVERAGE(OFFSET($H$3,0,0,'Données projet'!$E$10+1,1))</f>
        <v>518.31628039365785</v>
      </c>
      <c r="AO5" s="62">
        <f t="shared" ref="AO5:AO68" si="36">$AO$3</f>
        <v>66.435071953154761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6.8965517241379309E-2</v>
      </c>
      <c r="BD5" s="13">
        <f>IF('Données projet'!$A$88&gt;35,BD4+BC5-BL4,IF(A5&lt;'Données projet'!$A$88,$BA$205^A5,IF(A5='Données projet'!$A$88,'Données projet'!$B$88,BD4+BC5-BL4)))</f>
        <v>1.0489642553230343</v>
      </c>
      <c r="BE5" s="14">
        <f>BD5*VLOOKUP('Données projet'!$B$11,Paramètres!$A$1:$I$88,3,0)*VLOOKUP('Données projet'!$B$11,Paramètres!$A$1:$I$88,5,0)</f>
        <v>1.0636497548975568</v>
      </c>
      <c r="BF5" s="14">
        <f t="shared" ref="BF5:BF68" si="37">EXP(-1.0587+0.8836*LN(BE5)+0.284)</f>
        <v>0.48666638198665135</v>
      </c>
      <c r="BG5" s="22">
        <f t="shared" si="7"/>
        <v>2.7001339384066618</v>
      </c>
      <c r="BH5" s="62">
        <f t="shared" si="8"/>
        <v>173.29741522590749</v>
      </c>
      <c r="BI5" s="62">
        <f ca="1">AVERAGE(OFFSET($BH$3,0,0,'Données projet'!$E$11+1,1))-AVERAGE(OFFSET($H$3,0,0,'Données projet'!$E$11+1,1))</f>
        <v>570.2785736203931</v>
      </c>
      <c r="BJ5" s="62">
        <f t="shared" ref="BJ5:BJ68" si="38">$BJ$3</f>
        <v>67.677759965081719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2.9666666666666668</v>
      </c>
      <c r="BY5" s="13">
        <f>IF('Données projet'!$A$114&gt;35,BY4+BX5-CG4,IF(A5&lt;'Données projet'!$A$114,$BV$205^A5,IF(A5='Données projet'!$A$114,'Données projet'!$B$114,BY4+BX5-CG4)))</f>
        <v>1.8137398691947872</v>
      </c>
      <c r="BZ5" s="14">
        <f>BY5*VLOOKUP('Données projet'!$B$12,Paramètres!$A$1:$I$88,3,0)*VLOOKUP('Données projet'!$B$12,Paramètres!$A$1:$I$88,5,0)</f>
        <v>1.0846164417784829</v>
      </c>
      <c r="CA5" s="14">
        <f t="shared" ref="CA5:CA68" si="39">EXP(-1.0587+0.8836*LN(BZ5)+0.284)</f>
        <v>0.49513326023470799</v>
      </c>
      <c r="CB5" s="22">
        <f t="shared" si="10"/>
        <v>2.7513973976729744</v>
      </c>
      <c r="CC5" s="62">
        <f t="shared" si="11"/>
        <v>173.34867868517381</v>
      </c>
      <c r="CD5" s="62">
        <f ca="1">AVERAGE(OFFSET($CC$3,0,0,'Données projet'!$E$12+1,1))-AVERAGE(OFFSET($H$3,0,0,'Données projet'!$E$12+1,1))</f>
        <v>401.1031790385295</v>
      </c>
      <c r="CE5" s="62">
        <f t="shared" ref="CE5:CE68" si="40">$CE$3</f>
        <v>402.09589424130615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projet'!$B$12,Paramètres!$A$1:$I$88,3,0)*0.475*44/12</f>
        <v>0</v>
      </c>
      <c r="CL5" s="23">
        <f>EXP(-LN(2)/25)*CL4+(1-EXP(-LN(2)/25))/(LN(2)/25)*Calculateur!CG5*Calculateur!CI5*VLOOKUP('Données projet'!$B$12,Paramètres!$A$1:$I$88,3,0)*0.475*44/12</f>
        <v>0</v>
      </c>
      <c r="CM5" s="23">
        <f>EXP(-LN(2)/2)*CM4+(1-EXP(-LN(2)/2))/(LN(2)/2)*CG5*CJ5*VLOOKUP('Données projet'!$B$12,Paramètres!$A$1:$I$88,3,0)*0.475*44/12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2.9666666666666668</v>
      </c>
      <c r="CT5" s="13">
        <f>IF('Données projet'!$A$140&gt;35,CT4+CS5-DB4,IF(A5&lt;'Données projet'!$A$140,$CQ$205^A5,IF(A5='Données projet'!$A$140,'Données projet'!$B$140,CT4+CS5-DB4)))</f>
        <v>1.8137398691947872</v>
      </c>
      <c r="CU5" s="18">
        <f>CT5*VLOOKUP('Données projet'!$B$13,Paramètres!$A$1:$I$88,3,0)*VLOOKUP('Données projet'!$B$13,Paramètres!$A$1:$I$88,5,0)</f>
        <v>1.0846164417784829</v>
      </c>
      <c r="CV5" s="14">
        <f t="shared" ref="CV5:CV68" si="41">EXP(-1.0587+0.8836*LN(CU5)+0.284)</f>
        <v>0.49513326023470799</v>
      </c>
      <c r="CW5" s="22">
        <f t="shared" si="13"/>
        <v>2.7513973976729744</v>
      </c>
      <c r="CX5" s="62">
        <f t="shared" si="14"/>
        <v>173.34867868517381</v>
      </c>
      <c r="CY5" s="62">
        <f ca="1">AVERAGE(OFFSET($CX$3,0,0,'Données projet'!$E$13+1,1))-AVERAGE(OFFSET($H$3,0,0,'Données projet'!$E$13+1,1))</f>
        <v>401.1031790385295</v>
      </c>
      <c r="CZ5" s="62">
        <f t="shared" ref="CZ5:CZ68" si="42">$CZ$3</f>
        <v>402.09589424130615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projet'!$B$13,Paramètres!$A$1:$I$88,3,0)*0.475*44/12</f>
        <v>0</v>
      </c>
      <c r="DG5" s="23">
        <f>EXP(-LN(2)/25)*DG4+(1-EXP(-LN(2)/25))/(LN(2)/25)*Calculateur!DB5*Calculateur!DD5*VLOOKUP('Données projet'!$B$13,Paramètres!$A$1:$I$88,3,0)*0.475*44/12</f>
        <v>0</v>
      </c>
      <c r="DH5" s="23">
        <f>EXP(-LN(2)/2)*DH4+(1-EXP(-LN(2)/2))/(LN(2)/2)*DB5*DE5*VLOOKUP('Données projet'!$B$13,Paramètres!$A$1:$I$88,3,0)*0.475*44/12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6.4</v>
      </c>
      <c r="DO5" s="13">
        <f>IF('Données projet'!$A$166&gt;35,DO4+DN5-DW4,IF(A5&lt;'Données projet'!$A$166,$DL$205^A5,IF(A5='Données projet'!$A$166,'Données projet'!$B$166,DO4+DN5-DW4)))</f>
        <v>1.8378193976728823</v>
      </c>
      <c r="DP5" s="18">
        <f>DO5*VLOOKUP('Données projet'!$B$14,Paramètres!$A$1:$I$88,3,0)*VLOOKUP('Données projet'!$B$14,Paramètres!$A$1:$I$88,5,0)</f>
        <v>0.74064121726217147</v>
      </c>
      <c r="DQ5" s="14">
        <f t="shared" ref="DQ5:DQ68" si="43">EXP(-1.0587+0.8836*LN(DP5)+0.284)</f>
        <v>0.35345781236462903</v>
      </c>
      <c r="DR5" s="22">
        <f t="shared" si="16"/>
        <v>1.9055558099333443</v>
      </c>
      <c r="DS5" s="62">
        <f t="shared" si="17"/>
        <v>172.50283709743417</v>
      </c>
      <c r="DT5" s="62">
        <f ca="1">AVERAGE(OFFSET($DS$3,0,0,'Données projet'!$E$14+1,1))-AVERAGE(OFFSET($H$3,0,0,'Données projet'!$E$14+1,1))</f>
        <v>432.59662347701629</v>
      </c>
      <c r="DU5" s="62">
        <f t="shared" ref="DU5:DU68" si="44">$DU$3</f>
        <v>348.67401091099748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projet'!$B$14,Paramètres!$A$1:$I$88,3,0)*0.475*44/12</f>
        <v>0</v>
      </c>
      <c r="EB5" s="23">
        <f>EXP(-LN(2)/25)*EB4+(1-EXP(-LN(2)/25))/(LN(2)/25)*Calculateur!DW5*Calculateur!DY5*VLOOKUP('Données projet'!$B$14,Paramètres!$A$1:$I$88,3,0)*0.475*44/12</f>
        <v>0</v>
      </c>
      <c r="EC5" s="23">
        <f>EXP(-LN(2)/2)*EC4+(1-EXP(-LN(2)/2))/(LN(2)/2)*DW5*DZ5*VLOOKUP('Données projet'!$B$14,Paramètres!$A$1:$I$88,3,0)*0.475*44/12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6.666666666666667</v>
      </c>
      <c r="EJ5" s="13">
        <f>IF('Données projet'!$A$192&gt;35,EJ4+EI5-ER4,IF(A5&lt;'Données projet'!$A$192,$EG$205^A5,IF(A5='Données projet'!$A$192,'Données projet'!$B$192,EJ4+EI5-ER4)))</f>
        <v>1.8478497974222914</v>
      </c>
      <c r="EK5" s="18">
        <f>EJ5*VLOOKUP('Données projet'!$B$15,Paramètres!$A$1:$I$88,3,0)*VLOOKUP('Données projet'!$B$15,Paramètres!$A$1:$I$88,5,0)</f>
        <v>0.81674961046065286</v>
      </c>
      <c r="EL5" s="14">
        <f t="shared" ref="EL5:EL68" si="45">EXP(-1.0587+0.8836*LN(EK5)+0.284)</f>
        <v>0.38536640247584592</v>
      </c>
      <c r="EM5" s="22">
        <f t="shared" si="19"/>
        <v>2.0936853891977356</v>
      </c>
      <c r="EN5" s="62">
        <f t="shared" si="20"/>
        <v>172.69096667669857</v>
      </c>
      <c r="EO5" s="62">
        <f ca="1">AVERAGE(OFFSET($EN$3,0,0,'Données projet'!$E$15+1,1))-AVERAGE(OFFSET($H$3,0,0,'Données projet'!$E$15+1,1))</f>
        <v>582.26951914082088</v>
      </c>
      <c r="EP5" s="62">
        <f t="shared" ref="EP5:EP68" si="46">$EP$3</f>
        <v>434.80429932654715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projet'!$B$15,Paramètres!$A$1:$I$88,3,0)*0.475*44/12</f>
        <v>0</v>
      </c>
      <c r="EW5" s="23">
        <f>EXP(-LN(2)/25)*EW4+(1-EXP(-LN(2)/25))/(LN(2)/25)*Calculateur!ER5*Calculateur!ET5*VLOOKUP('Données projet'!$B$15,Paramètres!$A$1:$I$88,3,0)*0.475*44/12</f>
        <v>0</v>
      </c>
      <c r="EX5" s="23">
        <f>EXP(-LN(2)/2)*EX4+(1-EXP(-LN(2)/2))/(LN(2)/2)*ER5*EU5*VLOOKUP('Données projet'!$B$15,Paramètres!$A$1:$I$88,3,0)*0.475*44/12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1.4</v>
      </c>
      <c r="FE5" s="13">
        <f>IF('Données projet'!$A$218&gt;35,FE4+FD5-FM4,IF(A5&lt;'Données projet'!$A$218,$FB$205^A5,IF(A5='Données projet'!$A$218,'Données projet'!$B$218,FE4+FD5-FM4)))</f>
        <v>1.395454894014972</v>
      </c>
      <c r="FF5" s="18">
        <f>FE5*VLOOKUP('Données projet'!$B$16,Paramètres!$A$1:$I$88,3,0)*VLOOKUP('Données projet'!$B$16,Paramètres!$A$1:$I$88,5,0)</f>
        <v>0.65307289039900684</v>
      </c>
      <c r="FG5" s="14">
        <f t="shared" ref="FG5:FG68" si="47">EXP(-1.0587+0.8836*LN(FF5)+0.284)</f>
        <v>0.31626576584246652</v>
      </c>
      <c r="FH5" s="22">
        <f t="shared" si="22"/>
        <v>1.6882648262872328</v>
      </c>
      <c r="FI5" s="62">
        <f t="shared" si="23"/>
        <v>172.28554611378806</v>
      </c>
      <c r="FJ5" s="62">
        <f ca="1">AVERAGE(OFFSET($FI$3,0,0,'Données projet'!$E$16+1,1))-AVERAGE(OFFSET($H$3,0,0,'Données projet'!$E$16+1,1))</f>
        <v>429.87867712133851</v>
      </c>
      <c r="FK5" s="62">
        <f t="shared" ref="FK5:FK68" si="48">$FK$3</f>
        <v>182.81277865988014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projet'!$B$16,Paramètres!$A$1:$I$88,3,0)*0.475*44/12</f>
        <v>0</v>
      </c>
      <c r="FR5" s="23">
        <f>EXP(-LN(2)/25)*FR4+(1-EXP(-LN(2)/25))/(LN(2)/25)*Calculateur!FM5*Calculateur!FO5*VLOOKUP('Données projet'!$B$16,Paramètres!$A$1:$I$88,3,0)*0.475*44/12</f>
        <v>0</v>
      </c>
      <c r="FS5" s="23">
        <f>EXP(-LN(2)/2)*FS4+(1-EXP(-LN(2)/2))/(LN(2)/2)*FM5*FP5*VLOOKUP('Données projet'!$B$16,Paramètres!$A$1:$I$88,3,0)*0.475*44/12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6.0588235294117645</v>
      </c>
      <c r="FZ5" s="13">
        <f>IF('Données projet'!$A$244&gt;35,FZ4+FY5-GH4,IF(A5&lt;'Données projet'!$A$244,$FW$205^A5,IF(A5='Données projet'!$A$244,'Données projet'!$B$244,FZ4+FY5-GH4)))</f>
        <v>1.7250606924776077</v>
      </c>
      <c r="GA5" s="18">
        <f>FZ5*VLOOKUP('Données projet'!$B$17,Paramètres!$A$1:$I$88,3,0)*VLOOKUP('Données projet'!$B$17,Paramètres!$A$1:$I$88,5,0)</f>
        <v>0.82975419308172926</v>
      </c>
      <c r="GB5" s="14">
        <f t="shared" ref="GB5:GB68" si="49">EXP(-1.0587+0.8836*LN(GA5)+0.284)</f>
        <v>0.39078312720403247</v>
      </c>
      <c r="GC5" s="22">
        <f t="shared" si="25"/>
        <v>2.1257691661643681</v>
      </c>
      <c r="GD5" s="62">
        <f t="shared" si="26"/>
        <v>172.72305045366519</v>
      </c>
      <c r="GE5" s="62">
        <f ca="1">AVERAGE(OFFSET($GD$3,0,0,'Données projet'!$E$17+1,1))-AVERAGE(OFFSET($H$3,0,0,'Données projet'!$E$17+1,1))</f>
        <v>273.24375559399846</v>
      </c>
      <c r="GF5" s="62">
        <f t="shared" ref="GF5:GF68" si="50">$GF$3</f>
        <v>270.77718895097848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projet'!$B$17,Paramètres!$A$1:$I$88,3,0)*0.475*44/12</f>
        <v>0</v>
      </c>
      <c r="GM5" s="23">
        <f>EXP(-LN(2)/25)*GM4+(1-EXP(-LN(2)/25))/(LN(2)/25)*Calculateur!GH5*Calculateur!GJ5*VLOOKUP('Données projet'!$B$17,Paramètres!$A$1:$I$88,3,0)*0.475*44/12</f>
        <v>0</v>
      </c>
      <c r="GN5" s="23">
        <f>EXP(-LN(2)/2)*GN4+(1-EXP(-LN(2)/2))/(LN(2)/2)*GH5*GK5*VLOOKUP('Données projet'!$B$17,Paramètres!$A$1:$I$88,3,0)*0.475*44/12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10</v>
      </c>
      <c r="N6" s="14">
        <f>IF('Données projet'!$A$36&gt;35,N5+M6-V5,IF(A6&lt;'Données projet'!$A$36,$K$205^A6,IF(A6='Données projet'!$A$36,'Données projet'!$B$36,N5+M6-V5)))</f>
        <v>1.8289233446931781</v>
      </c>
      <c r="O6" s="14">
        <f>N6*VLOOKUP('Données projet'!$B$9,Paramètres!$A$1:$I$88,3,0)*VLOOKUP('Données projet'!$B$9,Paramètres!$A$1:$I$88,5,0)</f>
        <v>1.0223681496834864</v>
      </c>
      <c r="P6" s="14">
        <f t="shared" si="33"/>
        <v>0.46993856358564645</v>
      </c>
      <c r="Q6" s="22">
        <f t="shared" si="2"/>
        <v>2.5991008589437397</v>
      </c>
      <c r="R6" s="62">
        <f t="shared" si="0"/>
        <v>175.95412142882861</v>
      </c>
      <c r="S6" s="62">
        <f ca="1">AVERAGE(OFFSET($R$3,0,0,'Données projet'!$E$9+1,1))-AVERAGE(OFFSET($H$3,0,0,'Données projet'!$E$9+1,1))</f>
        <v>289.94242154211224</v>
      </c>
      <c r="T6" s="62">
        <f t="shared" si="34"/>
        <v>369.12599166143661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6.8965517241379309E-2</v>
      </c>
      <c r="AI6" s="14">
        <f>IF('Données projet'!$A$62&gt;35,AI5+AH6-AQ5,IF(A6&lt;'Données projet'!$A$62,$AF$205^A6,IF(A6='Données projet'!$A$62,'Données projet'!$B$62,AI5+AH6-AQ5)))</f>
        <v>1.0743382393762153</v>
      </c>
      <c r="AJ6" s="14">
        <f>AI6*VLOOKUP('Données projet'!$B$10,Paramètres!$A$1:$I$88,3,0)*VLOOKUP('Données projet'!$B$10,Paramètres!$A$1:$I$88,5,0)</f>
        <v>0.97206123898759955</v>
      </c>
      <c r="AK6" s="14">
        <f t="shared" si="35"/>
        <v>0.44944665522246441</v>
      </c>
      <c r="AL6" s="22">
        <f t="shared" si="4"/>
        <v>2.4757929157491945</v>
      </c>
      <c r="AM6" s="62">
        <f t="shared" si="5"/>
        <v>175.83081348563408</v>
      </c>
      <c r="AN6" s="62">
        <f ca="1">AVERAGE(OFFSET($AM$3,0,0,'Données projet'!$E$10+1,1))-AVERAGE(OFFSET($H$3,0,0,'Données projet'!$E$10+1,1))</f>
        <v>518.31628039365785</v>
      </c>
      <c r="AO6" s="62">
        <f t="shared" si="36"/>
        <v>66.435071953154761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6.8965517241379309E-2</v>
      </c>
      <c r="BD6" s="13">
        <f>IF('Données projet'!$A$88&gt;35,BD5+BC6-BL5,IF(A6&lt;'Données projet'!$A$88,$BA$205^A6,IF(A6='Données projet'!$A$88,'Données projet'!$B$88,BD5+BC6-BL5)))</f>
        <v>1.0743382393762153</v>
      </c>
      <c r="BE6" s="14">
        <f>BD6*VLOOKUP('Données projet'!$B$11,Paramètres!$A$1:$I$88,3,0)*VLOOKUP('Données projet'!$B$11,Paramètres!$A$1:$I$88,5,0)</f>
        <v>1.0893789747274825</v>
      </c>
      <c r="BF6" s="14">
        <f t="shared" si="37"/>
        <v>0.4970538242974632</v>
      </c>
      <c r="BG6" s="22">
        <f t="shared" si="7"/>
        <v>2.7630371249684469</v>
      </c>
      <c r="BH6" s="62">
        <f t="shared" si="8"/>
        <v>176.11805769485332</v>
      </c>
      <c r="BI6" s="62">
        <f ca="1">AVERAGE(OFFSET($BH$3,0,0,'Données projet'!$E$11+1,1))-AVERAGE(OFFSET($H$3,0,0,'Données projet'!$E$11+1,1))</f>
        <v>570.2785736203931</v>
      </c>
      <c r="BJ6" s="62">
        <f t="shared" si="38"/>
        <v>67.677759965081719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2.9666666666666668</v>
      </c>
      <c r="BY6" s="13">
        <f>IF('Données projet'!$A$114&gt;35,BY5+BX6-CG5,IF(A6&lt;'Données projet'!$A$114,$BV$205^A6,IF(A6='Données projet'!$A$114,'Données projet'!$B$114,BY5+BX6-CG5)))</f>
        <v>2.4426570688638467</v>
      </c>
      <c r="BZ6" s="14">
        <f>BY6*VLOOKUP('Données projet'!$B$12,Paramètres!$A$1:$I$88,3,0)*VLOOKUP('Données projet'!$B$12,Paramètres!$A$1:$I$88,5,0)</f>
        <v>1.4607089271805804</v>
      </c>
      <c r="CA6" s="14">
        <f t="shared" si="39"/>
        <v>0.64411073241486383</v>
      </c>
      <c r="CB6" s="22">
        <f t="shared" si="10"/>
        <v>3.6658942404620647</v>
      </c>
      <c r="CC6" s="62">
        <f t="shared" si="11"/>
        <v>177.02091481034694</v>
      </c>
      <c r="CD6" s="62">
        <f ca="1">AVERAGE(OFFSET($CC$3,0,0,'Données projet'!$E$12+1,1))-AVERAGE(OFFSET($H$3,0,0,'Données projet'!$E$12+1,1))</f>
        <v>401.1031790385295</v>
      </c>
      <c r="CE6" s="62">
        <f t="shared" si="40"/>
        <v>402.09589424130615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projet'!$B$12,Paramètres!$A$1:$I$88,3,0)*0.475*44/12</f>
        <v>0</v>
      </c>
      <c r="CL6" s="23">
        <f>EXP(-LN(2)/25)*CL5+(1-EXP(-LN(2)/25))/(LN(2)/25)*Calculateur!CG6*Calculateur!CI6*VLOOKUP('Données projet'!$B$12,Paramètres!$A$1:$I$88,3,0)*0.475*44/12</f>
        <v>0</v>
      </c>
      <c r="CM6" s="23">
        <f>EXP(-LN(2)/2)*CM5+(1-EXP(-LN(2)/2))/(LN(2)/2)*CG6*CJ6*VLOOKUP('Données projet'!$B$12,Paramètres!$A$1:$I$88,3,0)*0.475*44/12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2.9666666666666668</v>
      </c>
      <c r="CT6" s="13">
        <f>IF('Données projet'!$A$140&gt;35,CT5+CS6-DB5,IF(A6&lt;'Données projet'!$A$140,$CQ$205^A6,IF(A6='Données projet'!$A$140,'Données projet'!$B$140,CT5+CS6-DB5)))</f>
        <v>2.4426570688638467</v>
      </c>
      <c r="CU6" s="18">
        <f>CT6*VLOOKUP('Données projet'!$B$13,Paramètres!$A$1:$I$88,3,0)*VLOOKUP('Données projet'!$B$13,Paramètres!$A$1:$I$88,5,0)</f>
        <v>1.4607089271805804</v>
      </c>
      <c r="CV6" s="14">
        <f t="shared" si="41"/>
        <v>0.64411073241486383</v>
      </c>
      <c r="CW6" s="22">
        <f t="shared" si="13"/>
        <v>3.6658942404620647</v>
      </c>
      <c r="CX6" s="62">
        <f t="shared" si="14"/>
        <v>177.02091481034694</v>
      </c>
      <c r="CY6" s="62">
        <f ca="1">AVERAGE(OFFSET($CX$3,0,0,'Données projet'!$E$13+1,1))-AVERAGE(OFFSET($H$3,0,0,'Données projet'!$E$13+1,1))</f>
        <v>401.1031790385295</v>
      </c>
      <c r="CZ6" s="62">
        <f t="shared" si="42"/>
        <v>402.09589424130615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projet'!$B$13,Paramètres!$A$1:$I$88,3,0)*0.475*44/12</f>
        <v>0</v>
      </c>
      <c r="DG6" s="23">
        <f>EXP(-LN(2)/25)*DG5+(1-EXP(-LN(2)/25))/(LN(2)/25)*Calculateur!DB6*Calculateur!DD6*VLOOKUP('Données projet'!$B$13,Paramètres!$A$1:$I$88,3,0)*0.475*44/12</f>
        <v>0</v>
      </c>
      <c r="DH6" s="23">
        <f>EXP(-LN(2)/2)*DH5+(1-EXP(-LN(2)/2))/(LN(2)/2)*DB6*DE6*VLOOKUP('Données projet'!$B$13,Paramètres!$A$1:$I$88,3,0)*0.475*44/12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6.4</v>
      </c>
      <c r="DO6" s="13">
        <f>IF('Données projet'!$A$166&gt;35,DO5+DN6-DW5,IF(A6&lt;'Données projet'!$A$166,$DL$205^A6,IF(A6='Données projet'!$A$166,'Données projet'!$B$166,DO5+DN6-DW5)))</f>
        <v>2.4914618792310348</v>
      </c>
      <c r="DP6" s="18">
        <f>DO6*VLOOKUP('Données projet'!$B$14,Paramètres!$A$1:$I$88,3,0)*VLOOKUP('Données projet'!$B$14,Paramètres!$A$1:$I$88,5,0)</f>
        <v>1.0040591373301071</v>
      </c>
      <c r="DQ6" s="14">
        <f t="shared" si="43"/>
        <v>0.46249450370732226</v>
      </c>
      <c r="DR6" s="22">
        <f t="shared" si="16"/>
        <v>2.5542475914735228</v>
      </c>
      <c r="DS6" s="62">
        <f t="shared" si="17"/>
        <v>175.9092681613584</v>
      </c>
      <c r="DT6" s="62">
        <f ca="1">AVERAGE(OFFSET($DS$3,0,0,'Données projet'!$E$14+1,1))-AVERAGE(OFFSET($H$3,0,0,'Données projet'!$E$14+1,1))</f>
        <v>432.59662347701629</v>
      </c>
      <c r="DU6" s="62">
        <f t="shared" si="44"/>
        <v>348.67401091099748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projet'!$B$14,Paramètres!$A$1:$I$88,3,0)*0.475*44/12</f>
        <v>0</v>
      </c>
      <c r="EB6" s="23">
        <f>EXP(-LN(2)/25)*EB5+(1-EXP(-LN(2)/25))/(LN(2)/25)*Calculateur!DW6*Calculateur!DY6*VLOOKUP('Données projet'!$B$14,Paramètres!$A$1:$I$88,3,0)*0.475*44/12</f>
        <v>0</v>
      </c>
      <c r="EC6" s="23">
        <f>EXP(-LN(2)/2)*EC5+(1-EXP(-LN(2)/2))/(LN(2)/2)*DW6*DZ6*VLOOKUP('Données projet'!$B$14,Paramètres!$A$1:$I$88,3,0)*0.475*44/12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6.666666666666667</v>
      </c>
      <c r="EJ6" s="13">
        <f>IF('Données projet'!$A$192&gt;35,EJ5+EI6-ER5,IF(A6&lt;'Données projet'!$A$192,$EG$205^A6,IF(A6='Données projet'!$A$192,'Données projet'!$B$192,EJ5+EI6-ER5)))</f>
        <v>2.511886431509581</v>
      </c>
      <c r="EK6" s="18">
        <f>EJ6*VLOOKUP('Données projet'!$B$15,Paramètres!$A$1:$I$88,3,0)*VLOOKUP('Données projet'!$B$15,Paramètres!$A$1:$I$88,5,0)</f>
        <v>1.1102538027272348</v>
      </c>
      <c r="EL6" s="14">
        <f t="shared" si="45"/>
        <v>0.50546045278634411</v>
      </c>
      <c r="EM6" s="22">
        <f t="shared" si="19"/>
        <v>2.8140356616861495</v>
      </c>
      <c r="EN6" s="62">
        <f t="shared" si="20"/>
        <v>176.16905623157103</v>
      </c>
      <c r="EO6" s="62">
        <f ca="1">AVERAGE(OFFSET($EN$3,0,0,'Données projet'!$E$15+1,1))-AVERAGE(OFFSET($H$3,0,0,'Données projet'!$E$15+1,1))</f>
        <v>582.26951914082088</v>
      </c>
      <c r="EP6" s="62">
        <f t="shared" si="46"/>
        <v>434.80429932654715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projet'!$B$15,Paramètres!$A$1:$I$88,3,0)*0.475*44/12</f>
        <v>0</v>
      </c>
      <c r="EW6" s="23">
        <f>EXP(-LN(2)/25)*EW5+(1-EXP(-LN(2)/25))/(LN(2)/25)*Calculateur!ER6*Calculateur!ET6*VLOOKUP('Données projet'!$B$15,Paramètres!$A$1:$I$88,3,0)*0.475*44/12</f>
        <v>0</v>
      </c>
      <c r="EX6" s="23">
        <f>EXP(-LN(2)/2)*EX5+(1-EXP(-LN(2)/2))/(LN(2)/2)*ER6*EU6*VLOOKUP('Données projet'!$B$15,Paramètres!$A$1:$I$88,3,0)*0.475*44/12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1.4</v>
      </c>
      <c r="FE6" s="13">
        <f>IF('Données projet'!$A$218&gt;35,FE5+FD6-FM5,IF(A6&lt;'Données projet'!$A$218,$FB$205^A6,IF(A6='Données projet'!$A$218,'Données projet'!$B$218,FE5+FD6-FM5)))</f>
        <v>1.6484421271208256</v>
      </c>
      <c r="FF6" s="18">
        <f>FE6*VLOOKUP('Données projet'!$B$16,Paramètres!$A$1:$I$88,3,0)*VLOOKUP('Données projet'!$B$16,Paramètres!$A$1:$I$88,5,0)</f>
        <v>0.77147091549254643</v>
      </c>
      <c r="FG6" s="14">
        <f t="shared" si="47"/>
        <v>0.36642713428952517</v>
      </c>
      <c r="FH6" s="22">
        <f t="shared" si="22"/>
        <v>1.9818391033704412</v>
      </c>
      <c r="FI6" s="62">
        <f t="shared" si="23"/>
        <v>175.33685967325533</v>
      </c>
      <c r="FJ6" s="62">
        <f ca="1">AVERAGE(OFFSET($FI$3,0,0,'Données projet'!$E$16+1,1))-AVERAGE(OFFSET($H$3,0,0,'Données projet'!$E$16+1,1))</f>
        <v>429.87867712133851</v>
      </c>
      <c r="FK6" s="62">
        <f t="shared" si="48"/>
        <v>182.81277865988014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projet'!$B$16,Paramètres!$A$1:$I$88,3,0)*0.475*44/12</f>
        <v>0</v>
      </c>
      <c r="FR6" s="23">
        <f>EXP(-LN(2)/25)*FR5+(1-EXP(-LN(2)/25))/(LN(2)/25)*Calculateur!FM6*Calculateur!FO6*VLOOKUP('Données projet'!$B$16,Paramètres!$A$1:$I$88,3,0)*0.475*44/12</f>
        <v>0</v>
      </c>
      <c r="FS6" s="23">
        <f>EXP(-LN(2)/2)*FS5+(1-EXP(-LN(2)/2))/(LN(2)/2)*FM6*FP6*VLOOKUP('Données projet'!$B$16,Paramètres!$A$1:$I$88,3,0)*0.475*44/12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6.0588235294117645</v>
      </c>
      <c r="FZ6" s="13">
        <f>IF('Données projet'!$A$244&gt;35,FZ5+FY6-GH5,IF(A6&lt;'Données projet'!$A$244,$FW$205^A6,IF(A6='Données projet'!$A$244,'Données projet'!$B$244,FZ5+FY6-GH5)))</f>
        <v>2.2657217256811961</v>
      </c>
      <c r="GA6" s="18">
        <f>FZ6*VLOOKUP('Données projet'!$B$17,Paramètres!$A$1:$I$88,3,0)*VLOOKUP('Données projet'!$B$17,Paramètres!$A$1:$I$88,5,0)</f>
        <v>1.0898121500526554</v>
      </c>
      <c r="GB6" s="14">
        <f t="shared" si="49"/>
        <v>0.49722846030679346</v>
      </c>
      <c r="GC6" s="22">
        <f t="shared" si="25"/>
        <v>2.7640957297093731</v>
      </c>
      <c r="GD6" s="62">
        <f t="shared" si="26"/>
        <v>176.11911629959425</v>
      </c>
      <c r="GE6" s="62">
        <f ca="1">AVERAGE(OFFSET($GD$3,0,0,'Données projet'!$E$17+1,1))-AVERAGE(OFFSET($H$3,0,0,'Données projet'!$E$17+1,1))</f>
        <v>273.24375559399846</v>
      </c>
      <c r="GF6" s="62">
        <f t="shared" si="50"/>
        <v>270.77718895097848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projet'!$B$17,Paramètres!$A$1:$I$88,3,0)*0.475*44/12</f>
        <v>0</v>
      </c>
      <c r="GM6" s="23">
        <f>EXP(-LN(2)/25)*GM5+(1-EXP(-LN(2)/25))/(LN(2)/25)*Calculateur!GH6*Calculateur!GJ6*VLOOKUP('Données projet'!$B$17,Paramètres!$A$1:$I$88,3,0)*0.475*44/12</f>
        <v>0</v>
      </c>
      <c r="GN6" s="23">
        <f>EXP(-LN(2)/2)*GN5+(1-EXP(-LN(2)/2))/(LN(2)/2)*GH6*GK6*VLOOKUP('Données projet'!$B$17,Paramètres!$A$1:$I$88,3,0)*0.475*44/12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10</v>
      </c>
      <c r="N7" s="14">
        <f>IF('Données projet'!$A$36&gt;35,N6+M7-V6,IF(A7&lt;'Données projet'!$A$36,$K$205^A7,IF(A7='Données projet'!$A$36,'Données projet'!$B$36,N6+M7-V6)))</f>
        <v>2.2366292721367698</v>
      </c>
      <c r="O7" s="14">
        <f>N7*VLOOKUP('Données projet'!$B$9,Paramètres!$A$1:$I$88,3,0)*VLOOKUP('Données projet'!$B$9,Paramètres!$A$1:$I$88,5,0)</f>
        <v>1.2502757631244543</v>
      </c>
      <c r="P7" s="14">
        <f t="shared" si="33"/>
        <v>0.56139223417057604</v>
      </c>
      <c r="Q7" s="22">
        <f t="shared" si="2"/>
        <v>3.1553217619555114</v>
      </c>
      <c r="R7" s="62">
        <f t="shared" si="0"/>
        <v>179.24144382613247</v>
      </c>
      <c r="S7" s="62">
        <f ca="1">AVERAGE(OFFSET($R$3,0,0,'Données projet'!$E$9+1,1))-AVERAGE(OFFSET($H$3,0,0,'Données projet'!$E$9+1,1))</f>
        <v>289.94242154211224</v>
      </c>
      <c r="T7" s="62">
        <f t="shared" si="34"/>
        <v>369.12599166143661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6.8965517241379309E-2</v>
      </c>
      <c r="AI7" s="14">
        <f>IF('Données projet'!$A$62&gt;35,AI6+AH7-AQ6,IF(A7&lt;'Données projet'!$A$62,$AF$205^A7,IF(A7='Données projet'!$A$62,'Données projet'!$B$62,AI6+AH7-AQ6)))</f>
        <v>1.1003260089454079</v>
      </c>
      <c r="AJ7" s="14">
        <f>AI7*VLOOKUP('Données projet'!$B$10,Paramètres!$A$1:$I$88,3,0)*VLOOKUP('Données projet'!$B$10,Paramètres!$A$1:$I$88,5,0)</f>
        <v>0.99557497289380503</v>
      </c>
      <c r="AK7" s="14">
        <f t="shared" si="35"/>
        <v>0.45903967700435266</v>
      </c>
      <c r="AL7" s="22">
        <f t="shared" si="4"/>
        <v>2.5334538485726248</v>
      </c>
      <c r="AM7" s="62">
        <f t="shared" si="5"/>
        <v>178.61957591274958</v>
      </c>
      <c r="AN7" s="62">
        <f ca="1">AVERAGE(OFFSET($AM$3,0,0,'Données projet'!$E$10+1,1))-AVERAGE(OFFSET($H$3,0,0,'Données projet'!$E$10+1,1))</f>
        <v>518.31628039365785</v>
      </c>
      <c r="AO7" s="62">
        <f t="shared" si="36"/>
        <v>66.435071953154761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6.8965517241379309E-2</v>
      </c>
      <c r="BD7" s="13">
        <f>IF('Données projet'!$A$88&gt;35,BD6+BC7-BL6,IF(A7&lt;'Données projet'!$A$88,$BA$205^A7,IF(A7='Données projet'!$A$88,'Données projet'!$B$88,BD6+BC7-BL6)))</f>
        <v>1.1003260089454079</v>
      </c>
      <c r="BE7" s="14">
        <f>BD7*VLOOKUP('Données projet'!$B$11,Paramètres!$A$1:$I$88,3,0)*VLOOKUP('Données projet'!$B$11,Paramètres!$A$1:$I$88,5,0)</f>
        <v>1.1157305730706435</v>
      </c>
      <c r="BF7" s="14">
        <f t="shared" si="37"/>
        <v>0.50766297692514539</v>
      </c>
      <c r="BG7" s="22">
        <f t="shared" si="7"/>
        <v>2.8274104329093324</v>
      </c>
      <c r="BH7" s="62">
        <f t="shared" si="8"/>
        <v>178.91353249708629</v>
      </c>
      <c r="BI7" s="62">
        <f ca="1">AVERAGE(OFFSET($BH$3,0,0,'Données projet'!$E$11+1,1))-AVERAGE(OFFSET($H$3,0,0,'Données projet'!$E$11+1,1))</f>
        <v>570.2785736203931</v>
      </c>
      <c r="BJ7" s="62">
        <f t="shared" si="38"/>
        <v>67.677759965081719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2.9666666666666668</v>
      </c>
      <c r="BY7" s="13">
        <f>IF('Données projet'!$A$114&gt;35,BY6+BX7-CG6,IF(A7&lt;'Données projet'!$A$114,$BV$205^A7,IF(A7='Données projet'!$A$114,'Données projet'!$B$114,BY6+BX7-CG6)))</f>
        <v>3.2896523131067239</v>
      </c>
      <c r="BZ7" s="14">
        <f>BY7*VLOOKUP('Données projet'!$B$12,Paramètres!$A$1:$I$88,3,0)*VLOOKUP('Données projet'!$B$12,Paramètres!$A$1:$I$88,5,0)</f>
        <v>1.967212083237821</v>
      </c>
      <c r="CA7" s="14">
        <f t="shared" si="39"/>
        <v>0.83791308104680229</v>
      </c>
      <c r="CB7" s="22">
        <f t="shared" si="10"/>
        <v>4.8855929944623862</v>
      </c>
      <c r="CC7" s="62">
        <f t="shared" si="11"/>
        <v>180.97171505863935</v>
      </c>
      <c r="CD7" s="62">
        <f ca="1">AVERAGE(OFFSET($CC$3,0,0,'Données projet'!$E$12+1,1))-AVERAGE(OFFSET($H$3,0,0,'Données projet'!$E$12+1,1))</f>
        <v>401.1031790385295</v>
      </c>
      <c r="CE7" s="62">
        <f t="shared" si="40"/>
        <v>402.09589424130615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projet'!$B$12,Paramètres!$A$1:$I$88,3,0)*0.475*44/12</f>
        <v>0</v>
      </c>
      <c r="CL7" s="23">
        <f>EXP(-LN(2)/25)*CL6+(1-EXP(-LN(2)/25))/(LN(2)/25)*Calculateur!CG7*Calculateur!CI7*VLOOKUP('Données projet'!$B$12,Paramètres!$A$1:$I$88,3,0)*0.475*44/12</f>
        <v>0</v>
      </c>
      <c r="CM7" s="23">
        <f>EXP(-LN(2)/2)*CM6+(1-EXP(-LN(2)/2))/(LN(2)/2)*CG7*CJ7*VLOOKUP('Données projet'!$B$12,Paramètres!$A$1:$I$88,3,0)*0.475*44/12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2.9666666666666668</v>
      </c>
      <c r="CT7" s="13">
        <f>IF('Données projet'!$A$140&gt;35,CT6+CS7-DB6,IF(A7&lt;'Données projet'!$A$140,$CQ$205^A7,IF(A7='Données projet'!$A$140,'Données projet'!$B$140,CT6+CS7-DB6)))</f>
        <v>3.2896523131067239</v>
      </c>
      <c r="CU7" s="18">
        <f>CT7*VLOOKUP('Données projet'!$B$13,Paramètres!$A$1:$I$88,3,0)*VLOOKUP('Données projet'!$B$13,Paramètres!$A$1:$I$88,5,0)</f>
        <v>1.967212083237821</v>
      </c>
      <c r="CV7" s="14">
        <f t="shared" si="41"/>
        <v>0.83791308104680229</v>
      </c>
      <c r="CW7" s="22">
        <f t="shared" si="13"/>
        <v>4.8855929944623862</v>
      </c>
      <c r="CX7" s="62">
        <f t="shared" si="14"/>
        <v>180.97171505863935</v>
      </c>
      <c r="CY7" s="62">
        <f ca="1">AVERAGE(OFFSET($CX$3,0,0,'Données projet'!$E$13+1,1))-AVERAGE(OFFSET($H$3,0,0,'Données projet'!$E$13+1,1))</f>
        <v>401.1031790385295</v>
      </c>
      <c r="CZ7" s="62">
        <f t="shared" si="42"/>
        <v>402.09589424130615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projet'!$B$13,Paramètres!$A$1:$I$88,3,0)*0.475*44/12</f>
        <v>0</v>
      </c>
      <c r="DG7" s="23">
        <f>EXP(-LN(2)/25)*DG6+(1-EXP(-LN(2)/25))/(LN(2)/25)*Calculateur!DB7*Calculateur!DD7*VLOOKUP('Données projet'!$B$13,Paramètres!$A$1:$I$88,3,0)*0.475*44/12</f>
        <v>0</v>
      </c>
      <c r="DH7" s="23">
        <f>EXP(-LN(2)/2)*DH6+(1-EXP(-LN(2)/2))/(LN(2)/2)*DB7*DE7*VLOOKUP('Données projet'!$B$13,Paramètres!$A$1:$I$88,3,0)*0.475*44/12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6.4</v>
      </c>
      <c r="DO7" s="13">
        <f>IF('Données projet'!$A$166&gt;35,DO6+DN7-DW6,IF(A7&lt;'Données projet'!$A$166,$DL$205^A7,IF(A7='Données projet'!$A$166,'Données projet'!$B$166,DO6+DN7-DW6)))</f>
        <v>3.377580138462716</v>
      </c>
      <c r="DP7" s="18">
        <f>DO7*VLOOKUP('Données projet'!$B$14,Paramètres!$A$1:$I$88,3,0)*VLOOKUP('Données projet'!$B$14,Paramètres!$A$1:$I$88,5,0)</f>
        <v>1.3611647958004747</v>
      </c>
      <c r="DQ7" s="14">
        <f t="shared" si="43"/>
        <v>0.60516745839761099</v>
      </c>
      <c r="DR7" s="22">
        <f t="shared" si="16"/>
        <v>3.4246953427283322</v>
      </c>
      <c r="DS7" s="62">
        <f t="shared" si="17"/>
        <v>179.51081740690529</v>
      </c>
      <c r="DT7" s="62">
        <f ca="1">AVERAGE(OFFSET($DS$3,0,0,'Données projet'!$E$14+1,1))-AVERAGE(OFFSET($H$3,0,0,'Données projet'!$E$14+1,1))</f>
        <v>432.59662347701629</v>
      </c>
      <c r="DU7" s="62">
        <f t="shared" si="44"/>
        <v>348.67401091099748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projet'!$B$14,Paramètres!$A$1:$I$88,3,0)*0.475*44/12</f>
        <v>0</v>
      </c>
      <c r="EB7" s="23">
        <f>EXP(-LN(2)/25)*EB6+(1-EXP(-LN(2)/25))/(LN(2)/25)*Calculateur!DW7*Calculateur!DY7*VLOOKUP('Données projet'!$B$14,Paramètres!$A$1:$I$88,3,0)*0.475*44/12</f>
        <v>0</v>
      </c>
      <c r="EC7" s="23">
        <f>EXP(-LN(2)/2)*EC6+(1-EXP(-LN(2)/2))/(LN(2)/2)*DW7*DZ7*VLOOKUP('Données projet'!$B$14,Paramètres!$A$1:$I$88,3,0)*0.475*44/12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6.666666666666667</v>
      </c>
      <c r="EJ7" s="13">
        <f>IF('Données projet'!$A$192&gt;35,EJ6+EI7-ER6,IF(A7&lt;'Données projet'!$A$192,$EG$205^A7,IF(A7='Données projet'!$A$192,'Données projet'!$B$192,EJ6+EI7-ER6)))</f>
        <v>3.4145488738336032</v>
      </c>
      <c r="EK7" s="18">
        <f>EJ7*VLOOKUP('Données projet'!$B$15,Paramètres!$A$1:$I$88,3,0)*VLOOKUP('Données projet'!$B$15,Paramètres!$A$1:$I$88,5,0)</f>
        <v>1.5092306022344526</v>
      </c>
      <c r="EL7" s="14">
        <f t="shared" si="45"/>
        <v>0.66298013446304438</v>
      </c>
      <c r="EM7" s="22">
        <f t="shared" si="19"/>
        <v>3.7832670330814739</v>
      </c>
      <c r="EN7" s="62">
        <f t="shared" si="20"/>
        <v>179.86938909725842</v>
      </c>
      <c r="EO7" s="62">
        <f ca="1">AVERAGE(OFFSET($EN$3,0,0,'Données projet'!$E$15+1,1))-AVERAGE(OFFSET($H$3,0,0,'Données projet'!$E$15+1,1))</f>
        <v>582.26951914082088</v>
      </c>
      <c r="EP7" s="62">
        <f t="shared" si="46"/>
        <v>434.80429932654715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projet'!$B$15,Paramètres!$A$1:$I$88,3,0)*0.475*44/12</f>
        <v>0</v>
      </c>
      <c r="EW7" s="23">
        <f>EXP(-LN(2)/25)*EW6+(1-EXP(-LN(2)/25))/(LN(2)/25)*Calculateur!ER7*Calculateur!ET7*VLOOKUP('Données projet'!$B$15,Paramètres!$A$1:$I$88,3,0)*0.475*44/12</f>
        <v>0</v>
      </c>
      <c r="EX7" s="23">
        <f>EXP(-LN(2)/2)*EX6+(1-EXP(-LN(2)/2))/(LN(2)/2)*ER7*EU7*VLOOKUP('Données projet'!$B$15,Paramètres!$A$1:$I$88,3,0)*0.475*44/12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1.4</v>
      </c>
      <c r="FE7" s="13">
        <f>IF('Données projet'!$A$218&gt;35,FE6+FD7-FM6,IF(A7&lt;'Données projet'!$A$218,$FB$205^A7,IF(A7='Données projet'!$A$218,'Données projet'!$B$218,FE6+FD7-FM6)))</f>
        <v>1.9472943612303368</v>
      </c>
      <c r="FF7" s="18">
        <f>FE7*VLOOKUP('Données projet'!$B$16,Paramètres!$A$1:$I$88,3,0)*VLOOKUP('Données projet'!$B$16,Paramètres!$A$1:$I$88,5,0)</f>
        <v>0.91133376105579766</v>
      </c>
      <c r="FG7" s="14">
        <f t="shared" si="47"/>
        <v>0.42454435239289751</v>
      </c>
      <c r="FH7" s="22">
        <f t="shared" si="22"/>
        <v>2.3266543809231437</v>
      </c>
      <c r="FI7" s="62">
        <f t="shared" si="23"/>
        <v>178.41277644510009</v>
      </c>
      <c r="FJ7" s="62">
        <f ca="1">AVERAGE(OFFSET($FI$3,0,0,'Données projet'!$E$16+1,1))-AVERAGE(OFFSET($H$3,0,0,'Données projet'!$E$16+1,1))</f>
        <v>429.87867712133851</v>
      </c>
      <c r="FK7" s="62">
        <f t="shared" si="48"/>
        <v>182.81277865988014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projet'!$B$16,Paramètres!$A$1:$I$88,3,0)*0.475*44/12</f>
        <v>0</v>
      </c>
      <c r="FR7" s="23">
        <f>EXP(-LN(2)/25)*FR6+(1-EXP(-LN(2)/25))/(LN(2)/25)*Calculateur!FM7*Calculateur!FO7*VLOOKUP('Données projet'!$B$16,Paramètres!$A$1:$I$88,3,0)*0.475*44/12</f>
        <v>0</v>
      </c>
      <c r="FS7" s="23">
        <f>EXP(-LN(2)/2)*FS6+(1-EXP(-LN(2)/2))/(LN(2)/2)*FM7*FP7*VLOOKUP('Données projet'!$B$16,Paramètres!$A$1:$I$88,3,0)*0.475*44/12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6.0588235294117645</v>
      </c>
      <c r="FZ7" s="13">
        <f>IF('Données projet'!$A$244&gt;35,FZ6+FY7-GH6,IF(A7&lt;'Données projet'!$A$244,$FW$205^A7,IF(A7='Données projet'!$A$244,'Données projet'!$B$244,FZ6+FY7-GH6)))</f>
        <v>2.9758343927313233</v>
      </c>
      <c r="GA7" s="18">
        <f>FZ7*VLOOKUP('Données projet'!$B$17,Paramètres!$A$1:$I$88,3,0)*VLOOKUP('Données projet'!$B$17,Paramètres!$A$1:$I$88,5,0)</f>
        <v>1.4313763429037667</v>
      </c>
      <c r="GB7" s="14">
        <f t="shared" si="49"/>
        <v>0.63266841510784988</v>
      </c>
      <c r="GC7" s="22">
        <f t="shared" si="25"/>
        <v>3.5948779535368982</v>
      </c>
      <c r="GD7" s="62">
        <f t="shared" si="26"/>
        <v>179.68100001771384</v>
      </c>
      <c r="GE7" s="62">
        <f ca="1">AVERAGE(OFFSET($GD$3,0,0,'Données projet'!$E$17+1,1))-AVERAGE(OFFSET($H$3,0,0,'Données projet'!$E$17+1,1))</f>
        <v>273.24375559399846</v>
      </c>
      <c r="GF7" s="62">
        <f t="shared" si="50"/>
        <v>270.77718895097848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projet'!$B$17,Paramètres!$A$1:$I$88,3,0)*0.475*44/12</f>
        <v>0</v>
      </c>
      <c r="GM7" s="23">
        <f>EXP(-LN(2)/25)*GM6+(1-EXP(-LN(2)/25))/(LN(2)/25)*Calculateur!GH7*Calculateur!GJ7*VLOOKUP('Données projet'!$B$17,Paramètres!$A$1:$I$88,3,0)*0.475*44/12</f>
        <v>0</v>
      </c>
      <c r="GN7" s="23">
        <f>EXP(-LN(2)/2)*GN6+(1-EXP(-LN(2)/2))/(LN(2)/2)*GH7*GK7*VLOOKUP('Données projet'!$B$17,Paramètres!$A$1:$I$88,3,0)*0.475*44/12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10</v>
      </c>
      <c r="N8" s="14">
        <f>IF('Données projet'!$A$36&gt;35,N7+M8-V7,IF(A8&lt;'Données projet'!$A$36,$K$205^A8,IF(A8='Données projet'!$A$36,'Données projet'!$B$36,N7+M8-V7)))</f>
        <v>2.7352215255463763</v>
      </c>
      <c r="O8" s="14">
        <f>N8*VLOOKUP('Données projet'!$B$9,Paramètres!$A$1:$I$88,3,0)*VLOOKUP('Données projet'!$B$9,Paramètres!$A$1:$I$88,5,0)</f>
        <v>1.5289888327804246</v>
      </c>
      <c r="P8" s="14">
        <f t="shared" si="33"/>
        <v>0.67064349472054441</v>
      </c>
      <c r="Q8" s="22">
        <f t="shared" si="2"/>
        <v>3.8310263037308534</v>
      </c>
      <c r="R8" s="62">
        <f t="shared" si="0"/>
        <v>182.6220741801782</v>
      </c>
      <c r="S8" s="62">
        <f ca="1">AVERAGE(OFFSET($R$3,0,0,'Données projet'!$E$9+1,1))-AVERAGE(OFFSET($H$3,0,0,'Données projet'!$E$9+1,1))</f>
        <v>289.94242154211224</v>
      </c>
      <c r="T8" s="62">
        <f t="shared" si="34"/>
        <v>369.12599166143661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6.8965517241379309E-2</v>
      </c>
      <c r="AI8" s="14">
        <f>IF('Données projet'!$A$62&gt;35,AI7+AH8-AQ7,IF(A8&lt;'Données projet'!$A$62,$AF$205^A8,IF(A8='Données projet'!$A$62,'Données projet'!$B$62,AI7+AH8-AQ7)))</f>
        <v>1.1269424112323314</v>
      </c>
      <c r="AJ8" s="14">
        <f>AI8*VLOOKUP('Données projet'!$B$10,Paramètres!$A$1:$I$88,3,0)*VLOOKUP('Données projet'!$B$10,Paramètres!$A$1:$I$88,5,0)</f>
        <v>1.0196574936830134</v>
      </c>
      <c r="AK8" s="14">
        <f t="shared" si="35"/>
        <v>0.46883745293412121</v>
      </c>
      <c r="AL8" s="22">
        <f t="shared" si="4"/>
        <v>2.5924620320248426</v>
      </c>
      <c r="AM8" s="62">
        <f t="shared" si="5"/>
        <v>181.38350990847221</v>
      </c>
      <c r="AN8" s="62">
        <f ca="1">AVERAGE(OFFSET($AM$3,0,0,'Données projet'!$E$10+1,1))-AVERAGE(OFFSET($H$3,0,0,'Données projet'!$E$10+1,1))</f>
        <v>518.31628039365785</v>
      </c>
      <c r="AO8" s="62">
        <f t="shared" si="36"/>
        <v>66.435071953154761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6.8965517241379309E-2</v>
      </c>
      <c r="BD8" s="13">
        <f>IF('Données projet'!$A$88&gt;35,BD7+BC8-BL7,IF(A8&lt;'Données projet'!$A$88,$BA$205^A8,IF(A8='Données projet'!$A$88,'Données projet'!$B$88,BD7+BC8-BL7)))</f>
        <v>1.1269424112323314</v>
      </c>
      <c r="BE8" s="14">
        <f>BD8*VLOOKUP('Données projet'!$B$11,Paramètres!$A$1:$I$88,3,0)*VLOOKUP('Données projet'!$B$11,Paramètres!$A$1:$I$88,5,0)</f>
        <v>1.142719604989584</v>
      </c>
      <c r="BF8" s="14">
        <f t="shared" si="37"/>
        <v>0.51849857207067074</v>
      </c>
      <c r="BG8" s="22">
        <f t="shared" si="7"/>
        <v>2.8932883250466102</v>
      </c>
      <c r="BH8" s="62">
        <f t="shared" si="8"/>
        <v>181.68433620149395</v>
      </c>
      <c r="BI8" s="62">
        <f ca="1">AVERAGE(OFFSET($BH$3,0,0,'Données projet'!$E$11+1,1))-AVERAGE(OFFSET($H$3,0,0,'Données projet'!$E$11+1,1))</f>
        <v>570.2785736203931</v>
      </c>
      <c r="BJ8" s="62">
        <f t="shared" si="38"/>
        <v>67.677759965081719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2.9666666666666668</v>
      </c>
      <c r="BY8" s="13">
        <f>IF('Données projet'!$A$114&gt;35,BY7+BX8-CG7,IF(A8&lt;'Données projet'!$A$114,$BV$205^A8,IF(A8='Données projet'!$A$114,'Données projet'!$B$114,BY7+BX8-CG7)))</f>
        <v>4.4303445125688352</v>
      </c>
      <c r="BZ8" s="14">
        <f>BY8*VLOOKUP('Données projet'!$B$12,Paramètres!$A$1:$I$88,3,0)*VLOOKUP('Données projet'!$B$12,Paramètres!$A$1:$I$88,5,0)</f>
        <v>2.6493460185161637</v>
      </c>
      <c r="CA8" s="14">
        <f t="shared" si="39"/>
        <v>1.090027375816387</v>
      </c>
      <c r="CB8" s="22">
        <f t="shared" si="10"/>
        <v>6.5127419951291925</v>
      </c>
      <c r="CC8" s="62">
        <f t="shared" si="11"/>
        <v>185.30378987157656</v>
      </c>
      <c r="CD8" s="62">
        <f ca="1">AVERAGE(OFFSET($CC$3,0,0,'Données projet'!$E$12+1,1))-AVERAGE(OFFSET($H$3,0,0,'Données projet'!$E$12+1,1))</f>
        <v>401.1031790385295</v>
      </c>
      <c r="CE8" s="62">
        <f t="shared" si="40"/>
        <v>402.09589424130615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projet'!$B$12,Paramètres!$A$1:$I$88,3,0)*0.475*44/12</f>
        <v>0</v>
      </c>
      <c r="CL8" s="23">
        <f>EXP(-LN(2)/25)*CL7+(1-EXP(-LN(2)/25))/(LN(2)/25)*Calculateur!CG8*Calculateur!CI8*VLOOKUP('Données projet'!$B$12,Paramètres!$A$1:$I$88,3,0)*0.475*44/12</f>
        <v>0</v>
      </c>
      <c r="CM8" s="23">
        <f>EXP(-LN(2)/2)*CM7+(1-EXP(-LN(2)/2))/(LN(2)/2)*CG8*CJ8*VLOOKUP('Données projet'!$B$12,Paramètres!$A$1:$I$88,3,0)*0.475*44/12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2.9666666666666668</v>
      </c>
      <c r="CT8" s="13">
        <f>IF('Données projet'!$A$140&gt;35,CT7+CS8-DB7,IF(A8&lt;'Données projet'!$A$140,$CQ$205^A8,IF(A8='Données projet'!$A$140,'Données projet'!$B$140,CT7+CS8-DB7)))</f>
        <v>4.4303445125688352</v>
      </c>
      <c r="CU8" s="18">
        <f>CT8*VLOOKUP('Données projet'!$B$13,Paramètres!$A$1:$I$88,3,0)*VLOOKUP('Données projet'!$B$13,Paramètres!$A$1:$I$88,5,0)</f>
        <v>2.6493460185161637</v>
      </c>
      <c r="CV8" s="14">
        <f t="shared" si="41"/>
        <v>1.090027375816387</v>
      </c>
      <c r="CW8" s="22">
        <f t="shared" si="13"/>
        <v>6.5127419951291925</v>
      </c>
      <c r="CX8" s="62">
        <f t="shared" si="14"/>
        <v>185.30378987157656</v>
      </c>
      <c r="CY8" s="62">
        <f ca="1">AVERAGE(OFFSET($CX$3,0,0,'Données projet'!$E$13+1,1))-AVERAGE(OFFSET($H$3,0,0,'Données projet'!$E$13+1,1))</f>
        <v>401.1031790385295</v>
      </c>
      <c r="CZ8" s="62">
        <f t="shared" si="42"/>
        <v>402.09589424130615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projet'!$B$13,Paramètres!$A$1:$I$88,3,0)*0.475*44/12</f>
        <v>0</v>
      </c>
      <c r="DG8" s="23">
        <f>EXP(-LN(2)/25)*DG7+(1-EXP(-LN(2)/25))/(LN(2)/25)*Calculateur!DB8*Calculateur!DD8*VLOOKUP('Données projet'!$B$13,Paramètres!$A$1:$I$88,3,0)*0.475*44/12</f>
        <v>0</v>
      </c>
      <c r="DH8" s="23">
        <f>EXP(-LN(2)/2)*DH7+(1-EXP(-LN(2)/2))/(LN(2)/2)*DB8*DE8*VLOOKUP('Données projet'!$B$13,Paramètres!$A$1:$I$88,3,0)*0.475*44/12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6.4</v>
      </c>
      <c r="DO8" s="13">
        <f>IF('Données projet'!$A$166&gt;35,DO7+DN8-DW7,IF(A8&lt;'Données projet'!$A$166,$DL$205^A8,IF(A8='Données projet'!$A$166,'Données projet'!$B$166,DO7+DN8-DW7)))</f>
        <v>4.5788569702133275</v>
      </c>
      <c r="DP8" s="18">
        <f>DO8*VLOOKUP('Données projet'!$B$14,Paramètres!$A$1:$I$88,3,0)*VLOOKUP('Données projet'!$B$14,Paramètres!$A$1:$I$88,5,0)</f>
        <v>1.8452793589959708</v>
      </c>
      <c r="DQ8" s="14">
        <f t="shared" si="43"/>
        <v>0.79185298369552504</v>
      </c>
      <c r="DR8" s="22">
        <f t="shared" si="16"/>
        <v>4.5930054968543548</v>
      </c>
      <c r="DS8" s="62">
        <f t="shared" si="17"/>
        <v>183.3840533733017</v>
      </c>
      <c r="DT8" s="62">
        <f ca="1">AVERAGE(OFFSET($DS$3,0,0,'Données projet'!$E$14+1,1))-AVERAGE(OFFSET($H$3,0,0,'Données projet'!$E$14+1,1))</f>
        <v>432.59662347701629</v>
      </c>
      <c r="DU8" s="62">
        <f t="shared" si="44"/>
        <v>348.67401091099748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projet'!$B$14,Paramètres!$A$1:$I$88,3,0)*0.475*44/12</f>
        <v>0</v>
      </c>
      <c r="EB8" s="23">
        <f>EXP(-LN(2)/25)*EB7+(1-EXP(-LN(2)/25))/(LN(2)/25)*Calculateur!DW8*Calculateur!DY8*VLOOKUP('Données projet'!$B$14,Paramètres!$A$1:$I$88,3,0)*0.475*44/12</f>
        <v>0</v>
      </c>
      <c r="EC8" s="23">
        <f>EXP(-LN(2)/2)*EC7+(1-EXP(-LN(2)/2))/(LN(2)/2)*DW8*DZ8*VLOOKUP('Données projet'!$B$14,Paramètres!$A$1:$I$88,3,0)*0.475*44/12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6.666666666666667</v>
      </c>
      <c r="EJ8" s="13">
        <f>IF('Données projet'!$A$192&gt;35,EJ7+EI8-ER7,IF(A8&lt;'Données projet'!$A$192,$EG$205^A8,IF(A8='Données projet'!$A$192,'Données projet'!$B$192,EJ7+EI8-ER7)))</f>
        <v>4.6415888336127811</v>
      </c>
      <c r="EK8" s="18">
        <f>EJ8*VLOOKUP('Données projet'!$B$15,Paramètres!$A$1:$I$88,3,0)*VLOOKUP('Données projet'!$B$15,Paramètres!$A$1:$I$88,5,0)</f>
        <v>2.0515822644568495</v>
      </c>
      <c r="EL8" s="14">
        <f t="shared" si="45"/>
        <v>0.86958862215562716</v>
      </c>
      <c r="EM8" s="22">
        <f t="shared" si="19"/>
        <v>5.0877059608500632</v>
      </c>
      <c r="EN8" s="62">
        <f t="shared" si="20"/>
        <v>183.87875383729741</v>
      </c>
      <c r="EO8" s="62">
        <f ca="1">AVERAGE(OFFSET($EN$3,0,0,'Données projet'!$E$15+1,1))-AVERAGE(OFFSET($H$3,0,0,'Données projet'!$E$15+1,1))</f>
        <v>582.26951914082088</v>
      </c>
      <c r="EP8" s="62">
        <f t="shared" si="46"/>
        <v>434.80429932654715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projet'!$B$15,Paramètres!$A$1:$I$88,3,0)*0.475*44/12</f>
        <v>0</v>
      </c>
      <c r="EW8" s="23">
        <f>EXP(-LN(2)/25)*EW7+(1-EXP(-LN(2)/25))/(LN(2)/25)*Calculateur!ER8*Calculateur!ET8*VLOOKUP('Données projet'!$B$15,Paramètres!$A$1:$I$88,3,0)*0.475*44/12</f>
        <v>0</v>
      </c>
      <c r="EX8" s="23">
        <f>EXP(-LN(2)/2)*EX7+(1-EXP(-LN(2)/2))/(LN(2)/2)*ER8*EU8*VLOOKUP('Données projet'!$B$15,Paramètres!$A$1:$I$88,3,0)*0.475*44/12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1.4</v>
      </c>
      <c r="FE8" s="13">
        <f>IF('Données projet'!$A$218&gt;35,FE7+FD8-FM7,IF(A8&lt;'Données projet'!$A$218,$FB$205^A8,IF(A8='Données projet'!$A$218,'Données projet'!$B$218,FE7+FD8-FM7)))</f>
        <v>2.3003266337912067</v>
      </c>
      <c r="FF8" s="18">
        <f>FE8*VLOOKUP('Données projet'!$B$16,Paramètres!$A$1:$I$88,3,0)*VLOOKUP('Données projet'!$B$16,Paramètres!$A$1:$I$88,5,0)</f>
        <v>1.0765528646142848</v>
      </c>
      <c r="FG8" s="14">
        <f t="shared" si="47"/>
        <v>0.49187925860941634</v>
      </c>
      <c r="FH8" s="22">
        <f t="shared" si="22"/>
        <v>2.7316859479479461</v>
      </c>
      <c r="FI8" s="62">
        <f t="shared" si="23"/>
        <v>181.52273382439529</v>
      </c>
      <c r="FJ8" s="62">
        <f ca="1">AVERAGE(OFFSET($FI$3,0,0,'Données projet'!$E$16+1,1))-AVERAGE(OFFSET($H$3,0,0,'Données projet'!$E$16+1,1))</f>
        <v>429.87867712133851</v>
      </c>
      <c r="FK8" s="62">
        <f t="shared" si="48"/>
        <v>182.81277865988014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projet'!$B$16,Paramètres!$A$1:$I$88,3,0)*0.475*44/12</f>
        <v>0</v>
      </c>
      <c r="FR8" s="23">
        <f>EXP(-LN(2)/25)*FR7+(1-EXP(-LN(2)/25))/(LN(2)/25)*Calculateur!FM8*Calculateur!FO8*VLOOKUP('Données projet'!$B$16,Paramètres!$A$1:$I$88,3,0)*0.475*44/12</f>
        <v>0</v>
      </c>
      <c r="FS8" s="23">
        <f>EXP(-LN(2)/2)*FS7+(1-EXP(-LN(2)/2))/(LN(2)/2)*FM8*FP8*VLOOKUP('Données projet'!$B$16,Paramètres!$A$1:$I$88,3,0)*0.475*44/12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6.0588235294117645</v>
      </c>
      <c r="FZ8" s="13">
        <f>IF('Données projet'!$A$244&gt;35,FZ7+FY8-GH7,IF(A8&lt;'Données projet'!$A$244,$FW$205^A8,IF(A8='Données projet'!$A$244,'Données projet'!$B$244,FZ7+FY8-GH7)))</f>
        <v>3.9085074890651645</v>
      </c>
      <c r="GA8" s="18">
        <f>FZ8*VLOOKUP('Données projet'!$B$17,Paramètres!$A$1:$I$88,3,0)*VLOOKUP('Données projet'!$B$17,Paramètres!$A$1:$I$88,5,0)</f>
        <v>1.8799921022403441</v>
      </c>
      <c r="GB8" s="14">
        <f t="shared" si="49"/>
        <v>0.80500083045952275</v>
      </c>
      <c r="GC8" s="22">
        <f t="shared" si="25"/>
        <v>4.6763626911189347</v>
      </c>
      <c r="GD8" s="62">
        <f t="shared" si="26"/>
        <v>183.46741056756628</v>
      </c>
      <c r="GE8" s="62">
        <f ca="1">AVERAGE(OFFSET($GD$3,0,0,'Données projet'!$E$17+1,1))-AVERAGE(OFFSET($H$3,0,0,'Données projet'!$E$17+1,1))</f>
        <v>273.24375559399846</v>
      </c>
      <c r="GF8" s="62">
        <f t="shared" si="50"/>
        <v>270.77718895097848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projet'!$B$17,Paramètres!$A$1:$I$88,3,0)*0.475*44/12</f>
        <v>0</v>
      </c>
      <c r="GM8" s="23">
        <f>EXP(-LN(2)/25)*GM7+(1-EXP(-LN(2)/25))/(LN(2)/25)*Calculateur!GH8*Calculateur!GJ8*VLOOKUP('Données projet'!$B$17,Paramètres!$A$1:$I$88,3,0)*0.475*44/12</f>
        <v>0</v>
      </c>
      <c r="GN8" s="23">
        <f>EXP(-LN(2)/2)*GN7+(1-EXP(-LN(2)/2))/(LN(2)/2)*GH8*GK8*VLOOKUP('Données projet'!$B$17,Paramètres!$A$1:$I$88,3,0)*0.475*44/12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10</v>
      </c>
      <c r="N9" s="14">
        <f>IF('Données projet'!$A$36&gt;35,N8+M9-V8,IF(A9&lt;'Données projet'!$A$36,$K$205^A9,IF(A9='Données projet'!$A$36,'Données projet'!$B$36,N8+M9-V8)))</f>
        <v>3.3449606007636823</v>
      </c>
      <c r="O9" s="14">
        <f>N9*VLOOKUP('Données projet'!$B$9,Paramètres!$A$1:$I$88,3,0)*VLOOKUP('Données projet'!$B$9,Paramètres!$A$1:$I$88,5,0)</f>
        <v>1.8698329758268983</v>
      </c>
      <c r="P9" s="14">
        <f t="shared" si="33"/>
        <v>0.80115589357142225</v>
      </c>
      <c r="Q9" s="22">
        <f t="shared" si="2"/>
        <v>4.6519722808687414</v>
      </c>
      <c r="R9" s="62">
        <f t="shared" si="0"/>
        <v>186.12222437712771</v>
      </c>
      <c r="S9" s="62">
        <f ca="1">AVERAGE(OFFSET($R$3,0,0,'Données projet'!$E$9+1,1))-AVERAGE(OFFSET($H$3,0,0,'Données projet'!$E$9+1,1))</f>
        <v>289.94242154211224</v>
      </c>
      <c r="T9" s="62">
        <f t="shared" si="34"/>
        <v>369.12599166143661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6.8965517241379309E-2</v>
      </c>
      <c r="AI9" s="14">
        <f>IF('Données projet'!$A$62&gt;35,AI8+AH9-AQ8,IF(A9&lt;'Données projet'!$A$62,$AF$205^A9,IF(A9='Données projet'!$A$62,'Données projet'!$B$62,AI8+AH9-AQ8)))</f>
        <v>1.1542026525859861</v>
      </c>
      <c r="AJ9" s="14">
        <f>AI9*VLOOKUP('Données projet'!$B$10,Paramètres!$A$1:$I$88,3,0)*VLOOKUP('Données projet'!$B$10,Paramètres!$A$1:$I$88,5,0)</f>
        <v>1.0443225600598001</v>
      </c>
      <c r="AK9" s="14">
        <f t="shared" si="35"/>
        <v>0.47884435329905062</v>
      </c>
      <c r="AL9" s="22">
        <f t="shared" si="4"/>
        <v>2.6528490407666645</v>
      </c>
      <c r="AM9" s="62">
        <f t="shared" si="5"/>
        <v>184.12310113702563</v>
      </c>
      <c r="AN9" s="62">
        <f ca="1">AVERAGE(OFFSET($AM$3,0,0,'Données projet'!$E$10+1,1))-AVERAGE(OFFSET($H$3,0,0,'Données projet'!$E$10+1,1))</f>
        <v>518.31628039365785</v>
      </c>
      <c r="AO9" s="62">
        <f t="shared" si="36"/>
        <v>66.435071953154761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6.8965517241379309E-2</v>
      </c>
      <c r="BD9" s="13">
        <f>IF('Données projet'!$A$88&gt;35,BD8+BC9-BL8,IF(A9&lt;'Données projet'!$A$88,$BA$205^A9,IF(A9='Données projet'!$A$88,'Données projet'!$B$88,BD8+BC9-BL8)))</f>
        <v>1.1542026525859861</v>
      </c>
      <c r="BE9" s="14">
        <f>BD9*VLOOKUP('Données projet'!$B$11,Paramètres!$A$1:$I$88,3,0)*VLOOKUP('Données projet'!$B$11,Paramètres!$A$1:$I$88,5,0)</f>
        <v>1.1703614897221901</v>
      </c>
      <c r="BF9" s="14">
        <f t="shared" si="37"/>
        <v>0.5295654429394504</v>
      </c>
      <c r="BG9" s="22">
        <f t="shared" si="7"/>
        <v>2.9607060743856906</v>
      </c>
      <c r="BH9" s="62">
        <f t="shared" si="8"/>
        <v>184.43095817064466</v>
      </c>
      <c r="BI9" s="62">
        <f ca="1">AVERAGE(OFFSET($BH$3,0,0,'Données projet'!$E$11+1,1))-AVERAGE(OFFSET($H$3,0,0,'Données projet'!$E$11+1,1))</f>
        <v>570.2785736203931</v>
      </c>
      <c r="BJ9" s="62">
        <f t="shared" si="38"/>
        <v>67.677759965081719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2.9666666666666668</v>
      </c>
      <c r="BY9" s="13">
        <f>IF('Données projet'!$A$114&gt;35,BY8+BX9-CG8,IF(A9&lt;'Données projet'!$A$114,$BV$205^A9,IF(A9='Données projet'!$A$114,'Données projet'!$B$114,BY8+BX9-CG8)))</f>
        <v>5.9665735560705189</v>
      </c>
      <c r="BZ9" s="14">
        <f>BY9*VLOOKUP('Données projet'!$B$12,Paramètres!$A$1:$I$88,3,0)*VLOOKUP('Données projet'!$B$12,Paramètres!$A$1:$I$88,5,0)</f>
        <v>3.5680109865301701</v>
      </c>
      <c r="CA9" s="14">
        <f t="shared" si="39"/>
        <v>1.4179987243364132</v>
      </c>
      <c r="CB9" s="22">
        <f t="shared" si="10"/>
        <v>8.6839669130926342</v>
      </c>
      <c r="CC9" s="62">
        <f t="shared" si="11"/>
        <v>190.15421900935161</v>
      </c>
      <c r="CD9" s="62">
        <f ca="1">AVERAGE(OFFSET($CC$3,0,0,'Données projet'!$E$12+1,1))-AVERAGE(OFFSET($H$3,0,0,'Données projet'!$E$12+1,1))</f>
        <v>401.1031790385295</v>
      </c>
      <c r="CE9" s="62">
        <f t="shared" si="40"/>
        <v>402.09589424130615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projet'!$B$12,Paramètres!$A$1:$I$88,3,0)*0.475*44/12</f>
        <v>0</v>
      </c>
      <c r="CL9" s="23">
        <f>EXP(-LN(2)/25)*CL8+(1-EXP(-LN(2)/25))/(LN(2)/25)*Calculateur!CG9*Calculateur!CI9*VLOOKUP('Données projet'!$B$12,Paramètres!$A$1:$I$88,3,0)*0.475*44/12</f>
        <v>0</v>
      </c>
      <c r="CM9" s="23">
        <f>EXP(-LN(2)/2)*CM8+(1-EXP(-LN(2)/2))/(LN(2)/2)*CG9*CJ9*VLOOKUP('Données projet'!$B$12,Paramètres!$A$1:$I$88,3,0)*0.475*44/12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2.9666666666666668</v>
      </c>
      <c r="CT9" s="13">
        <f>IF('Données projet'!$A$140&gt;35,CT8+CS9-DB8,IF(A9&lt;'Données projet'!$A$140,$CQ$205^A9,IF(A9='Données projet'!$A$140,'Données projet'!$B$140,CT8+CS9-DB8)))</f>
        <v>5.9665735560705189</v>
      </c>
      <c r="CU9" s="18">
        <f>CT9*VLOOKUP('Données projet'!$B$13,Paramètres!$A$1:$I$88,3,0)*VLOOKUP('Données projet'!$B$13,Paramètres!$A$1:$I$88,5,0)</f>
        <v>3.5680109865301701</v>
      </c>
      <c r="CV9" s="14">
        <f t="shared" si="41"/>
        <v>1.4179987243364132</v>
      </c>
      <c r="CW9" s="22">
        <f t="shared" si="13"/>
        <v>8.6839669130926342</v>
      </c>
      <c r="CX9" s="62">
        <f t="shared" si="14"/>
        <v>190.15421900935161</v>
      </c>
      <c r="CY9" s="62">
        <f ca="1">AVERAGE(OFFSET($CX$3,0,0,'Données projet'!$E$13+1,1))-AVERAGE(OFFSET($H$3,0,0,'Données projet'!$E$13+1,1))</f>
        <v>401.1031790385295</v>
      </c>
      <c r="CZ9" s="62">
        <f t="shared" si="42"/>
        <v>402.09589424130615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projet'!$B$13,Paramètres!$A$1:$I$88,3,0)*0.475*44/12</f>
        <v>0</v>
      </c>
      <c r="DG9" s="23">
        <f>EXP(-LN(2)/25)*DG8+(1-EXP(-LN(2)/25))/(LN(2)/25)*Calculateur!DB9*Calculateur!DD9*VLOOKUP('Données projet'!$B$13,Paramètres!$A$1:$I$88,3,0)*0.475*44/12</f>
        <v>0</v>
      </c>
      <c r="DH9" s="23">
        <f>EXP(-LN(2)/2)*DH8+(1-EXP(-LN(2)/2))/(LN(2)/2)*DB9*DE9*VLOOKUP('Données projet'!$B$13,Paramètres!$A$1:$I$88,3,0)*0.475*44/12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6.4</v>
      </c>
      <c r="DO9" s="13">
        <f>IF('Données projet'!$A$166&gt;35,DO8+DN9-DW8,IF(A9&lt;'Données projet'!$A$166,$DL$205^A9,IF(A9='Données projet'!$A$166,'Données projet'!$B$166,DO8+DN9-DW8)))</f>
        <v>6.2073822956614393</v>
      </c>
      <c r="DP9" s="18">
        <f>DO9*VLOOKUP('Données projet'!$B$14,Paramètres!$A$1:$I$88,3,0)*VLOOKUP('Données projet'!$B$14,Paramètres!$A$1:$I$88,5,0)</f>
        <v>2.50157506515156</v>
      </c>
      <c r="DQ9" s="14">
        <f t="shared" si="43"/>
        <v>1.0361283295829991</v>
      </c>
      <c r="DR9" s="22">
        <f t="shared" si="16"/>
        <v>6.1615000791626899</v>
      </c>
      <c r="DS9" s="62">
        <f t="shared" si="17"/>
        <v>187.63175217542167</v>
      </c>
      <c r="DT9" s="62">
        <f ca="1">AVERAGE(OFFSET($DS$3,0,0,'Données projet'!$E$14+1,1))-AVERAGE(OFFSET($H$3,0,0,'Données projet'!$E$14+1,1))</f>
        <v>432.59662347701629</v>
      </c>
      <c r="DU9" s="62">
        <f t="shared" si="44"/>
        <v>348.67401091099748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projet'!$B$14,Paramètres!$A$1:$I$88,3,0)*0.475*44/12</f>
        <v>0</v>
      </c>
      <c r="EB9" s="23">
        <f>EXP(-LN(2)/25)*EB8+(1-EXP(-LN(2)/25))/(LN(2)/25)*Calculateur!DW9*Calculateur!DY9*VLOOKUP('Données projet'!$B$14,Paramètres!$A$1:$I$88,3,0)*0.475*44/12</f>
        <v>0</v>
      </c>
      <c r="EC9" s="23">
        <f>EXP(-LN(2)/2)*EC8+(1-EXP(-LN(2)/2))/(LN(2)/2)*DW9*DZ9*VLOOKUP('Données projet'!$B$14,Paramètres!$A$1:$I$88,3,0)*0.475*44/12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6.666666666666667</v>
      </c>
      <c r="EJ9" s="13">
        <f>IF('Données projet'!$A$192&gt;35,EJ8+EI9-ER8,IF(A9&lt;'Données projet'!$A$192,$EG$205^A9,IF(A9='Données projet'!$A$192,'Données projet'!$B$192,EJ8+EI9-ER8)))</f>
        <v>6.3095734448019369</v>
      </c>
      <c r="EK9" s="18">
        <f>EJ9*VLOOKUP('Données projet'!$B$15,Paramètres!$A$1:$I$88,3,0)*VLOOKUP('Données projet'!$B$15,Paramètres!$A$1:$I$88,5,0)</f>
        <v>2.7888314626024564</v>
      </c>
      <c r="EL9" s="14">
        <f t="shared" si="45"/>
        <v>1.1405837557937766</v>
      </c>
      <c r="EM9" s="22">
        <f t="shared" si="19"/>
        <v>6.84373150537344</v>
      </c>
      <c r="EN9" s="62">
        <f t="shared" si="20"/>
        <v>188.3139836016324</v>
      </c>
      <c r="EO9" s="62">
        <f ca="1">AVERAGE(OFFSET($EN$3,0,0,'Données projet'!$E$15+1,1))-AVERAGE(OFFSET($H$3,0,0,'Données projet'!$E$15+1,1))</f>
        <v>582.26951914082088</v>
      </c>
      <c r="EP9" s="62">
        <f t="shared" si="46"/>
        <v>434.80429932654715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projet'!$B$15,Paramètres!$A$1:$I$88,3,0)*0.475*44/12</f>
        <v>0</v>
      </c>
      <c r="EW9" s="23">
        <f>EXP(-LN(2)/25)*EW8+(1-EXP(-LN(2)/25))/(LN(2)/25)*Calculateur!ER9*Calculateur!ET9*VLOOKUP('Données projet'!$B$15,Paramètres!$A$1:$I$88,3,0)*0.475*44/12</f>
        <v>0</v>
      </c>
      <c r="EX9" s="23">
        <f>EXP(-LN(2)/2)*EX8+(1-EXP(-LN(2)/2))/(LN(2)/2)*ER9*EU9*VLOOKUP('Données projet'!$B$15,Paramètres!$A$1:$I$88,3,0)*0.475*44/12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1.4</v>
      </c>
      <c r="FE9" s="13">
        <f>IF('Données projet'!$A$218&gt;35,FE8+FD9-FM8,IF(A9&lt;'Données projet'!$A$218,$FB$205^A9,IF(A9='Données projet'!$A$218,'Données projet'!$B$218,FE8+FD9-FM8)))</f>
        <v>2.7173614464666325</v>
      </c>
      <c r="FF9" s="18">
        <f>FE9*VLOOKUP('Données projet'!$B$16,Paramètres!$A$1:$I$88,3,0)*VLOOKUP('Données projet'!$B$16,Paramètres!$A$1:$I$88,5,0)</f>
        <v>1.2717251569463841</v>
      </c>
      <c r="FG9" s="14">
        <f t="shared" si="47"/>
        <v>0.56989382543060962</v>
      </c>
      <c r="FH9" s="22">
        <f t="shared" si="22"/>
        <v>3.2074863943065974</v>
      </c>
      <c r="FI9" s="62">
        <f t="shared" si="23"/>
        <v>184.67773849056556</v>
      </c>
      <c r="FJ9" s="62">
        <f ca="1">AVERAGE(OFFSET($FI$3,0,0,'Données projet'!$E$16+1,1))-AVERAGE(OFFSET($H$3,0,0,'Données projet'!$E$16+1,1))</f>
        <v>429.87867712133851</v>
      </c>
      <c r="FK9" s="62">
        <f t="shared" si="48"/>
        <v>182.81277865988014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projet'!$B$16,Paramètres!$A$1:$I$88,3,0)*0.475*44/12</f>
        <v>0</v>
      </c>
      <c r="FR9" s="23">
        <f>EXP(-LN(2)/25)*FR8+(1-EXP(-LN(2)/25))/(LN(2)/25)*Calculateur!FM9*Calculateur!FO9*VLOOKUP('Données projet'!$B$16,Paramètres!$A$1:$I$88,3,0)*0.475*44/12</f>
        <v>0</v>
      </c>
      <c r="FS9" s="23">
        <f>EXP(-LN(2)/2)*FS8+(1-EXP(-LN(2)/2))/(LN(2)/2)*FM9*FP9*VLOOKUP('Données projet'!$B$16,Paramètres!$A$1:$I$88,3,0)*0.475*44/12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6.0588235294117645</v>
      </c>
      <c r="FZ9" s="13">
        <f>IF('Données projet'!$A$244&gt;35,FZ8+FY9-GH8,IF(A9&lt;'Données projet'!$A$244,$FW$205^A9,IF(A9='Données projet'!$A$244,'Données projet'!$B$244,FZ8+FY9-GH8)))</f>
        <v>5.1334949382237776</v>
      </c>
      <c r="GA9" s="18">
        <f>FZ9*VLOOKUP('Données projet'!$B$17,Paramètres!$A$1:$I$88,3,0)*VLOOKUP('Données projet'!$B$17,Paramètres!$A$1:$I$88,5,0)</f>
        <v>2.4692110652856369</v>
      </c>
      <c r="GB9" s="14">
        <f t="shared" si="49"/>
        <v>1.0242748358633542</v>
      </c>
      <c r="GC9" s="22">
        <f t="shared" si="25"/>
        <v>6.0844879445011593</v>
      </c>
      <c r="GD9" s="62">
        <f t="shared" si="26"/>
        <v>187.55474004076012</v>
      </c>
      <c r="GE9" s="62">
        <f ca="1">AVERAGE(OFFSET($GD$3,0,0,'Données projet'!$E$17+1,1))-AVERAGE(OFFSET($H$3,0,0,'Données projet'!$E$17+1,1))</f>
        <v>273.24375559399846</v>
      </c>
      <c r="GF9" s="62">
        <f t="shared" si="50"/>
        <v>270.77718895097848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projet'!$B$17,Paramètres!$A$1:$I$88,3,0)*0.475*44/12</f>
        <v>0</v>
      </c>
      <c r="GM9" s="23">
        <f>EXP(-LN(2)/25)*GM8+(1-EXP(-LN(2)/25))/(LN(2)/25)*Calculateur!GH9*Calculateur!GJ9*VLOOKUP('Données projet'!$B$17,Paramètres!$A$1:$I$88,3,0)*0.475*44/12</f>
        <v>0</v>
      </c>
      <c r="GN9" s="23">
        <f>EXP(-LN(2)/2)*GN8+(1-EXP(-LN(2)/2))/(LN(2)/2)*GH9*GK9*VLOOKUP('Données projet'!$B$17,Paramètres!$A$1:$I$88,3,0)*0.475*44/12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10</v>
      </c>
      <c r="N10" s="14">
        <f>IF('Données projet'!$A$36&gt;35,N9+M10-V9,IF(A10&lt;'Données projet'!$A$36,$K$205^A10,IF(A10='Données projet'!$A$36,'Données projet'!$B$36,N9+M10-V9)))</f>
        <v>4.0906234892350497</v>
      </c>
      <c r="O10" s="14">
        <f>N10*VLOOKUP('Données projet'!$B$9,Paramètres!$A$1:$I$88,3,0)*VLOOKUP('Données projet'!$B$9,Paramètres!$A$1:$I$88,5,0)</f>
        <v>2.2866585304823928</v>
      </c>
      <c r="P10" s="14">
        <f t="shared" si="33"/>
        <v>0.95706701229045954</v>
      </c>
      <c r="Q10" s="22">
        <f t="shared" si="2"/>
        <v>5.6494886536627176</v>
      </c>
      <c r="R10" s="62">
        <f t="shared" si="0"/>
        <v>189.77366958939896</v>
      </c>
      <c r="S10" s="62">
        <f ca="1">AVERAGE(OFFSET($R$3,0,0,'Données projet'!$E$9+1,1))-AVERAGE(OFFSET($H$3,0,0,'Données projet'!$E$9+1,1))</f>
        <v>289.94242154211224</v>
      </c>
      <c r="T10" s="62">
        <f t="shared" si="34"/>
        <v>369.12599166143661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6.8965517241379309E-2</v>
      </c>
      <c r="AI10" s="14">
        <f>IF('Données projet'!$A$62&gt;35,AI9+AH10-AQ9,IF(A10&lt;'Données projet'!$A$62,$AF$205^A10,IF(A10='Données projet'!$A$62,'Données projet'!$B$62,AI9+AH10-AQ9)))</f>
        <v>1.1821223071902673</v>
      </c>
      <c r="AJ10" s="14">
        <f>AI10*VLOOKUP('Données projet'!$B$10,Paramètres!$A$1:$I$88,3,0)*VLOOKUP('Données projet'!$B$10,Paramètres!$A$1:$I$88,5,0)</f>
        <v>1.069584263545754</v>
      </c>
      <c r="AK10" s="14">
        <f t="shared" si="35"/>
        <v>0.48906484166614805</v>
      </c>
      <c r="AL10" s="22">
        <f t="shared" si="4"/>
        <v>2.7146471915773964</v>
      </c>
      <c r="AM10" s="62">
        <f t="shared" si="5"/>
        <v>186.83882812731363</v>
      </c>
      <c r="AN10" s="62">
        <f ca="1">AVERAGE(OFFSET($AM$3,0,0,'Données projet'!$E$10+1,1))-AVERAGE(OFFSET($H$3,0,0,'Données projet'!$E$10+1,1))</f>
        <v>518.31628039365785</v>
      </c>
      <c r="AO10" s="62">
        <f t="shared" si="36"/>
        <v>66.435071953154761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6.8965517241379309E-2</v>
      </c>
      <c r="BD10" s="13">
        <f>IF('Données projet'!$A$88&gt;35,BD9+BC10-BL9,IF(A10&lt;'Données projet'!$A$88,$BA$205^A10,IF(A10='Données projet'!$A$88,'Données projet'!$B$88,BD9+BC10-BL9)))</f>
        <v>1.1821223071902673</v>
      </c>
      <c r="BE10" s="14">
        <f>BD10*VLOOKUP('Données projet'!$B$11,Paramètres!$A$1:$I$88,3,0)*VLOOKUP('Données projet'!$B$11,Paramètres!$A$1:$I$88,5,0)</f>
        <v>1.1986720194909313</v>
      </c>
      <c r="BF10" s="14">
        <f t="shared" si="37"/>
        <v>0.54086852589717971</v>
      </c>
      <c r="BG10" s="22">
        <f t="shared" si="7"/>
        <v>3.0296997832176262</v>
      </c>
      <c r="BH10" s="62">
        <f t="shared" si="8"/>
        <v>187.15388071895387</v>
      </c>
      <c r="BI10" s="62">
        <f ca="1">AVERAGE(OFFSET($BH$3,0,0,'Données projet'!$E$11+1,1))-AVERAGE(OFFSET($H$3,0,0,'Données projet'!$E$11+1,1))</f>
        <v>570.2785736203931</v>
      </c>
      <c r="BJ10" s="62">
        <f t="shared" si="38"/>
        <v>67.677759965081719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2.9666666666666668</v>
      </c>
      <c r="BY10" s="13">
        <f>IF('Données projet'!$A$114&gt;35,BY9+BX10-CG9,IF(A10&lt;'Données projet'!$A$114,$BV$205^A10,IF(A10='Données projet'!$A$114,'Données projet'!$B$114,BY9+BX10-CG9)))</f>
        <v>8.0354924767144436</v>
      </c>
      <c r="BZ10" s="14">
        <f>BY10*VLOOKUP('Données projet'!$B$12,Paramètres!$A$1:$I$88,3,0)*VLOOKUP('Données projet'!$B$12,Paramètres!$A$1:$I$88,5,0)</f>
        <v>4.8052245010752381</v>
      </c>
      <c r="CA10" s="14">
        <f t="shared" si="39"/>
        <v>1.8446512691607819</v>
      </c>
      <c r="CB10" s="22">
        <f t="shared" si="10"/>
        <v>11.581866966494403</v>
      </c>
      <c r="CC10" s="62">
        <f t="shared" si="11"/>
        <v>195.70604790223064</v>
      </c>
      <c r="CD10" s="62">
        <f ca="1">AVERAGE(OFFSET($CC$3,0,0,'Données projet'!$E$12+1,1))-AVERAGE(OFFSET($H$3,0,0,'Données projet'!$E$12+1,1))</f>
        <v>401.1031790385295</v>
      </c>
      <c r="CE10" s="62">
        <f t="shared" si="40"/>
        <v>402.09589424130615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projet'!$B$12,Paramètres!$A$1:$I$88,3,0)*0.475*44/12</f>
        <v>0</v>
      </c>
      <c r="CL10" s="23">
        <f>EXP(-LN(2)/25)*CL9+(1-EXP(-LN(2)/25))/(LN(2)/25)*Calculateur!CG10*Calculateur!CI10*VLOOKUP('Données projet'!$B$12,Paramètres!$A$1:$I$88,3,0)*0.475*44/12</f>
        <v>0</v>
      </c>
      <c r="CM10" s="23">
        <f>EXP(-LN(2)/2)*CM9+(1-EXP(-LN(2)/2))/(LN(2)/2)*CG10*CJ10*VLOOKUP('Données projet'!$B$12,Paramètres!$A$1:$I$88,3,0)*0.475*44/12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2.9666666666666668</v>
      </c>
      <c r="CT10" s="13">
        <f>IF('Données projet'!$A$140&gt;35,CT9+CS10-DB9,IF(A10&lt;'Données projet'!$A$140,$CQ$205^A10,IF(A10='Données projet'!$A$140,'Données projet'!$B$140,CT9+CS10-DB9)))</f>
        <v>8.0354924767144436</v>
      </c>
      <c r="CU10" s="18">
        <f>CT10*VLOOKUP('Données projet'!$B$13,Paramètres!$A$1:$I$88,3,0)*VLOOKUP('Données projet'!$B$13,Paramètres!$A$1:$I$88,5,0)</f>
        <v>4.8052245010752381</v>
      </c>
      <c r="CV10" s="14">
        <f t="shared" si="41"/>
        <v>1.8446512691607819</v>
      </c>
      <c r="CW10" s="22">
        <f t="shared" si="13"/>
        <v>11.581866966494403</v>
      </c>
      <c r="CX10" s="62">
        <f t="shared" si="14"/>
        <v>195.70604790223064</v>
      </c>
      <c r="CY10" s="62">
        <f ca="1">AVERAGE(OFFSET($CX$3,0,0,'Données projet'!$E$13+1,1))-AVERAGE(OFFSET($H$3,0,0,'Données projet'!$E$13+1,1))</f>
        <v>401.1031790385295</v>
      </c>
      <c r="CZ10" s="62">
        <f t="shared" si="42"/>
        <v>402.09589424130615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projet'!$B$13,Paramètres!$A$1:$I$88,3,0)*0.475*44/12</f>
        <v>0</v>
      </c>
      <c r="DG10" s="23">
        <f>EXP(-LN(2)/25)*DG9+(1-EXP(-LN(2)/25))/(LN(2)/25)*Calculateur!DB10*Calculateur!DD10*VLOOKUP('Données projet'!$B$13,Paramètres!$A$1:$I$88,3,0)*0.475*44/12</f>
        <v>0</v>
      </c>
      <c r="DH10" s="23">
        <f>EXP(-LN(2)/2)*DH9+(1-EXP(-LN(2)/2))/(LN(2)/2)*DB10*DE10*VLOOKUP('Données projet'!$B$13,Paramètres!$A$1:$I$88,3,0)*0.475*44/12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6.4</v>
      </c>
      <c r="DO10" s="13">
        <f>IF('Données projet'!$A$166&gt;35,DO9+DN10-DW9,IF(A10&lt;'Données projet'!$A$166,$DL$205^A10,IF(A10='Données projet'!$A$166,'Données projet'!$B$166,DO9+DN10-DW9)))</f>
        <v>8.4151121590277373</v>
      </c>
      <c r="DP10" s="18">
        <f>DO10*VLOOKUP('Données projet'!$B$14,Paramètres!$A$1:$I$88,3,0)*VLOOKUP('Données projet'!$B$14,Paramètres!$A$1:$I$88,5,0)</f>
        <v>3.3912902000881782</v>
      </c>
      <c r="DQ10" s="14">
        <f t="shared" si="43"/>
        <v>1.3557591339167707</v>
      </c>
      <c r="DR10" s="22">
        <f t="shared" si="16"/>
        <v>8.2677775900586195</v>
      </c>
      <c r="DS10" s="62">
        <f t="shared" si="17"/>
        <v>192.39195852579485</v>
      </c>
      <c r="DT10" s="62">
        <f ca="1">AVERAGE(OFFSET($DS$3,0,0,'Données projet'!$E$14+1,1))-AVERAGE(OFFSET($H$3,0,0,'Données projet'!$E$14+1,1))</f>
        <v>432.59662347701629</v>
      </c>
      <c r="DU10" s="62">
        <f t="shared" si="44"/>
        <v>348.67401091099748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projet'!$B$14,Paramètres!$A$1:$I$88,3,0)*0.475*44/12</f>
        <v>0</v>
      </c>
      <c r="EB10" s="23">
        <f>EXP(-LN(2)/25)*EB9+(1-EXP(-LN(2)/25))/(LN(2)/25)*Calculateur!DW10*Calculateur!DY10*VLOOKUP('Données projet'!$B$14,Paramètres!$A$1:$I$88,3,0)*0.475*44/12</f>
        <v>0</v>
      </c>
      <c r="EC10" s="23">
        <f>EXP(-LN(2)/2)*EC9+(1-EXP(-LN(2)/2))/(LN(2)/2)*DW10*DZ10*VLOOKUP('Données projet'!$B$14,Paramètres!$A$1:$I$88,3,0)*0.475*44/12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6.666666666666667</v>
      </c>
      <c r="EJ10" s="13">
        <f>IF('Données projet'!$A$192&gt;35,EJ9+EI10-ER9,IF(A10&lt;'Données projet'!$A$192,$EG$205^A10,IF(A10='Données projet'!$A$192,'Données projet'!$B$192,EJ9+EI10-ER9)))</f>
        <v>8.5769589859089486</v>
      </c>
      <c r="EK10" s="18">
        <f>EJ10*VLOOKUP('Données projet'!$B$15,Paramètres!$A$1:$I$88,3,0)*VLOOKUP('Données projet'!$B$15,Paramètres!$A$1:$I$88,5,0)</f>
        <v>3.7910158717717555</v>
      </c>
      <c r="EL10" s="14">
        <f t="shared" si="45"/>
        <v>1.496030733193993</v>
      </c>
      <c r="EM10" s="22">
        <f t="shared" si="19"/>
        <v>9.2082728369820117</v>
      </c>
      <c r="EN10" s="62">
        <f t="shared" si="20"/>
        <v>193.33245377271825</v>
      </c>
      <c r="EO10" s="62">
        <f ca="1">AVERAGE(OFFSET($EN$3,0,0,'Données projet'!$E$15+1,1))-AVERAGE(OFFSET($H$3,0,0,'Données projet'!$E$15+1,1))</f>
        <v>582.26951914082088</v>
      </c>
      <c r="EP10" s="62">
        <f t="shared" si="46"/>
        <v>434.80429932654715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projet'!$B$15,Paramètres!$A$1:$I$88,3,0)*0.475*44/12</f>
        <v>0</v>
      </c>
      <c r="EW10" s="23">
        <f>EXP(-LN(2)/25)*EW9+(1-EXP(-LN(2)/25))/(LN(2)/25)*Calculateur!ER10*Calculateur!ET10*VLOOKUP('Données projet'!$B$15,Paramètres!$A$1:$I$88,3,0)*0.475*44/12</f>
        <v>0</v>
      </c>
      <c r="EX10" s="23">
        <f>EXP(-LN(2)/2)*EX9+(1-EXP(-LN(2)/2))/(LN(2)/2)*ER10*EU10*VLOOKUP('Données projet'!$B$15,Paramètres!$A$1:$I$88,3,0)*0.475*44/12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1.4</v>
      </c>
      <c r="FE10" s="13">
        <f>IF('Données projet'!$A$218&gt;35,FE9+FD10-FM9,IF(A10&lt;'Données projet'!$A$218,$FB$205^A10,IF(A10='Données projet'!$A$218,'Données projet'!$B$218,FE9+FD10-FM9)))</f>
        <v>3.2100020589569258</v>
      </c>
      <c r="FF10" s="18">
        <f>FE10*VLOOKUP('Données projet'!$B$16,Paramètres!$A$1:$I$88,3,0)*VLOOKUP('Données projet'!$B$16,Paramètres!$A$1:$I$88,5,0)</f>
        <v>1.5022809635918413</v>
      </c>
      <c r="FG10" s="14">
        <f t="shared" si="47"/>
        <v>0.66028190166446799</v>
      </c>
      <c r="FH10" s="22">
        <f t="shared" si="22"/>
        <v>3.7664636569880714</v>
      </c>
      <c r="FI10" s="62">
        <f t="shared" si="23"/>
        <v>187.8906445927243</v>
      </c>
      <c r="FJ10" s="62">
        <f ca="1">AVERAGE(OFFSET($FI$3,0,0,'Données projet'!$E$16+1,1))-AVERAGE(OFFSET($H$3,0,0,'Données projet'!$E$16+1,1))</f>
        <v>429.87867712133851</v>
      </c>
      <c r="FK10" s="62">
        <f t="shared" si="48"/>
        <v>182.81277865988014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projet'!$B$16,Paramètres!$A$1:$I$88,3,0)*0.475*44/12</f>
        <v>0</v>
      </c>
      <c r="FR10" s="23">
        <f>EXP(-LN(2)/25)*FR9+(1-EXP(-LN(2)/25))/(LN(2)/25)*Calculateur!FM10*Calculateur!FO10*VLOOKUP('Données projet'!$B$16,Paramètres!$A$1:$I$88,3,0)*0.475*44/12</f>
        <v>0</v>
      </c>
      <c r="FS10" s="23">
        <f>EXP(-LN(2)/2)*FS9+(1-EXP(-LN(2)/2))/(LN(2)/2)*FM10*FP10*VLOOKUP('Données projet'!$B$16,Paramètres!$A$1:$I$88,3,0)*0.475*44/12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6.0588235294117645</v>
      </c>
      <c r="FZ10" s="13">
        <f>IF('Données projet'!$A$244&gt;35,FZ9+FY10-GH9,IF(A10&lt;'Données projet'!$A$244,$FW$205^A10,IF(A10='Données projet'!$A$244,'Données projet'!$B$244,FZ9+FY10-GH9)))</f>
        <v>6.742412635640668</v>
      </c>
      <c r="GA10" s="18">
        <f>FZ10*VLOOKUP('Données projet'!$B$17,Paramètres!$A$1:$I$88,3,0)*VLOOKUP('Données projet'!$B$17,Paramètres!$A$1:$I$88,5,0)</f>
        <v>3.2431004777431616</v>
      </c>
      <c r="GB10" s="14">
        <f t="shared" si="49"/>
        <v>1.3032768410735873</v>
      </c>
      <c r="GC10" s="22">
        <f t="shared" si="25"/>
        <v>7.9182738302725042</v>
      </c>
      <c r="GD10" s="62">
        <f t="shared" si="26"/>
        <v>192.04245476600875</v>
      </c>
      <c r="GE10" s="62">
        <f ca="1">AVERAGE(OFFSET($GD$3,0,0,'Données projet'!$E$17+1,1))-AVERAGE(OFFSET($H$3,0,0,'Données projet'!$E$17+1,1))</f>
        <v>273.24375559399846</v>
      </c>
      <c r="GF10" s="62">
        <f t="shared" si="50"/>
        <v>270.77718895097848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projet'!$B$17,Paramètres!$A$1:$I$88,3,0)*0.475*44/12</f>
        <v>0</v>
      </c>
      <c r="GM10" s="23">
        <f>EXP(-LN(2)/25)*GM9+(1-EXP(-LN(2)/25))/(LN(2)/25)*Calculateur!GH10*Calculateur!GJ10*VLOOKUP('Données projet'!$B$17,Paramètres!$A$1:$I$88,3,0)*0.475*44/12</f>
        <v>0</v>
      </c>
      <c r="GN10" s="23">
        <f>EXP(-LN(2)/2)*GN9+(1-EXP(-LN(2)/2))/(LN(2)/2)*GH10*GK10*VLOOKUP('Données projet'!$B$17,Paramètres!$A$1:$I$88,3,0)*0.475*44/12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10</v>
      </c>
      <c r="N11" s="14">
        <f>IF('Données projet'!$A$36&gt;35,N10+M11-V10,IF(A11&lt;'Données projet'!$A$36,$K$205^A11,IF(A11='Données projet'!$A$36,'Données projet'!$B$36,N10+M11-V10)))</f>
        <v>5.0025105009790565</v>
      </c>
      <c r="O11" s="14">
        <f>N11*VLOOKUP('Données projet'!$B$9,Paramètres!$A$1:$I$88,3,0)*VLOOKUP('Données projet'!$B$9,Paramètres!$A$1:$I$88,5,0)</f>
        <v>2.7964033700472926</v>
      </c>
      <c r="P11" s="14">
        <f t="shared" si="33"/>
        <v>1.1433196377440471</v>
      </c>
      <c r="Q11" s="22">
        <f t="shared" si="2"/>
        <v>6.861684238569917</v>
      </c>
      <c r="R11" s="62">
        <f t="shared" si="0"/>
        <v>193.61495710479048</v>
      </c>
      <c r="S11" s="62">
        <f ca="1">AVERAGE(OFFSET($R$3,0,0,'Données projet'!$E$9+1,1))-AVERAGE(OFFSET($H$3,0,0,'Données projet'!$E$9+1,1))</f>
        <v>289.94242154211224</v>
      </c>
      <c r="T11" s="62">
        <f t="shared" si="34"/>
        <v>369.12599166143661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6.8965517241379309E-2</v>
      </c>
      <c r="AI11" s="14">
        <f>IF('Données projet'!$A$62&gt;35,AI10+AH11-AQ10,IF(A11&lt;'Données projet'!$A$62,$AF$205^A11,IF(A11='Données projet'!$A$62,'Données projet'!$B$62,AI10+AH11-AQ10)))</f>
        <v>1.2107173259617299</v>
      </c>
      <c r="AJ11" s="14">
        <f>AI11*VLOOKUP('Données projet'!$B$10,Paramètres!$A$1:$I$88,3,0)*VLOOKUP('Données projet'!$B$10,Paramètres!$A$1:$I$88,5,0)</f>
        <v>1.0954570365301732</v>
      </c>
      <c r="AK11" s="14">
        <f t="shared" si="35"/>
        <v>0.49950347687311569</v>
      </c>
      <c r="AL11" s="22">
        <f t="shared" si="4"/>
        <v>2.777889560844061</v>
      </c>
      <c r="AM11" s="62">
        <f t="shared" si="5"/>
        <v>189.53116242706463</v>
      </c>
      <c r="AN11" s="62">
        <f ca="1">AVERAGE(OFFSET($AM$3,0,0,'Données projet'!$E$10+1,1))-AVERAGE(OFFSET($H$3,0,0,'Données projet'!$E$10+1,1))</f>
        <v>518.31628039365785</v>
      </c>
      <c r="AO11" s="62">
        <f t="shared" si="36"/>
        <v>66.435071953154761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6.8965517241379309E-2</v>
      </c>
      <c r="BD11" s="13">
        <f>IF('Données projet'!$A$88&gt;35,BD10+BC11-BL10,IF(A11&lt;'Données projet'!$A$88,$BA$205^A11,IF(A11='Données projet'!$A$88,'Données projet'!$B$88,BD10+BC11-BL10)))</f>
        <v>1.2107173259617299</v>
      </c>
      <c r="BE11" s="14">
        <f>BD11*VLOOKUP('Données projet'!$B$11,Paramètres!$A$1:$I$88,3,0)*VLOOKUP('Données projet'!$B$11,Paramètres!$A$1:$I$88,5,0)</f>
        <v>1.2276673685251942</v>
      </c>
      <c r="BF11" s="14">
        <f t="shared" si="37"/>
        <v>0.55241286267169898</v>
      </c>
      <c r="BG11" s="22">
        <f t="shared" si="7"/>
        <v>3.1003064026679219</v>
      </c>
      <c r="BH11" s="62">
        <f t="shared" si="8"/>
        <v>189.85357926888847</v>
      </c>
      <c r="BI11" s="62">
        <f ca="1">AVERAGE(OFFSET($BH$3,0,0,'Données projet'!$E$11+1,1))-AVERAGE(OFFSET($H$3,0,0,'Données projet'!$E$11+1,1))</f>
        <v>570.2785736203931</v>
      </c>
      <c r="BJ11" s="62">
        <f t="shared" si="38"/>
        <v>67.677759965081719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2.9666666666666668</v>
      </c>
      <c r="BY11" s="13">
        <f>IF('Données projet'!$A$114&gt;35,BY10+BX11-CG10,IF(A11&lt;'Données projet'!$A$114,$BV$205^A11,IF(A11='Données projet'!$A$114,'Données projet'!$B$114,BY10+BX11-CG10)))</f>
        <v>10.821812341128419</v>
      </c>
      <c r="BZ11" s="14">
        <f>BY11*VLOOKUP('Données projet'!$B$12,Paramètres!$A$1:$I$88,3,0)*VLOOKUP('Données projet'!$B$12,Paramètres!$A$1:$I$88,5,0)</f>
        <v>6.4714437799947948</v>
      </c>
      <c r="CA11" s="14">
        <f t="shared" si="39"/>
        <v>2.3996765627619849</v>
      </c>
      <c r="CB11" s="22">
        <f t="shared" si="10"/>
        <v>15.450534596968057</v>
      </c>
      <c r="CC11" s="62">
        <f t="shared" si="11"/>
        <v>202.20380746318861</v>
      </c>
      <c r="CD11" s="62">
        <f ca="1">AVERAGE(OFFSET($CC$3,0,0,'Données projet'!$E$12+1,1))-AVERAGE(OFFSET($H$3,0,0,'Données projet'!$E$12+1,1))</f>
        <v>401.1031790385295</v>
      </c>
      <c r="CE11" s="62">
        <f t="shared" si="40"/>
        <v>402.09589424130615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projet'!$B$12,Paramètres!$A$1:$I$88,3,0)*0.475*44/12</f>
        <v>0</v>
      </c>
      <c r="CL11" s="23">
        <f>EXP(-LN(2)/25)*CL10+(1-EXP(-LN(2)/25))/(LN(2)/25)*Calculateur!CG11*Calculateur!CI11*VLOOKUP('Données projet'!$B$12,Paramètres!$A$1:$I$88,3,0)*0.475*44/12</f>
        <v>0</v>
      </c>
      <c r="CM11" s="23">
        <f>EXP(-LN(2)/2)*CM10+(1-EXP(-LN(2)/2))/(LN(2)/2)*CG11*CJ11*VLOOKUP('Données projet'!$B$12,Paramètres!$A$1:$I$88,3,0)*0.475*44/12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2.9666666666666668</v>
      </c>
      <c r="CT11" s="13">
        <f>IF('Données projet'!$A$140&gt;35,CT10+CS11-DB10,IF(A11&lt;'Données projet'!$A$140,$CQ$205^A11,IF(A11='Données projet'!$A$140,'Données projet'!$B$140,CT10+CS11-DB10)))</f>
        <v>10.821812341128419</v>
      </c>
      <c r="CU11" s="18">
        <f>CT11*VLOOKUP('Données projet'!$B$13,Paramètres!$A$1:$I$88,3,0)*VLOOKUP('Données projet'!$B$13,Paramètres!$A$1:$I$88,5,0)</f>
        <v>6.4714437799947948</v>
      </c>
      <c r="CV11" s="14">
        <f t="shared" si="41"/>
        <v>2.3996765627619849</v>
      </c>
      <c r="CW11" s="22">
        <f t="shared" si="13"/>
        <v>15.450534596968057</v>
      </c>
      <c r="CX11" s="62">
        <f t="shared" si="14"/>
        <v>202.20380746318861</v>
      </c>
      <c r="CY11" s="62">
        <f ca="1">AVERAGE(OFFSET($CX$3,0,0,'Données projet'!$E$13+1,1))-AVERAGE(OFFSET($H$3,0,0,'Données projet'!$E$13+1,1))</f>
        <v>401.1031790385295</v>
      </c>
      <c r="CZ11" s="62">
        <f t="shared" si="42"/>
        <v>402.09589424130615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projet'!$B$13,Paramètres!$A$1:$I$88,3,0)*0.475*44/12</f>
        <v>0</v>
      </c>
      <c r="DG11" s="23">
        <f>EXP(-LN(2)/25)*DG10+(1-EXP(-LN(2)/25))/(LN(2)/25)*Calculateur!DB11*Calculateur!DD11*VLOOKUP('Données projet'!$B$13,Paramètres!$A$1:$I$88,3,0)*0.475*44/12</f>
        <v>0</v>
      </c>
      <c r="DH11" s="23">
        <f>EXP(-LN(2)/2)*DH10+(1-EXP(-LN(2)/2))/(LN(2)/2)*DB11*DE11*VLOOKUP('Données projet'!$B$13,Paramètres!$A$1:$I$88,3,0)*0.475*44/12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6.4</v>
      </c>
      <c r="DO11" s="13">
        <f>IF('Données projet'!$A$166&gt;35,DO10+DN11-DW10,IF(A11&lt;'Données projet'!$A$166,$DL$205^A11,IF(A11='Données projet'!$A$166,'Données projet'!$B$166,DO10+DN11-DW10)))</f>
        <v>11.408047591737819</v>
      </c>
      <c r="DP11" s="18">
        <f>DO11*VLOOKUP('Données projet'!$B$14,Paramètres!$A$1:$I$88,3,0)*VLOOKUP('Données projet'!$B$14,Paramètres!$A$1:$I$88,5,0)</f>
        <v>4.5974431794703419</v>
      </c>
      <c r="DQ11" s="14">
        <f t="shared" si="43"/>
        <v>1.7739914803203072</v>
      </c>
      <c r="DR11" s="22">
        <f t="shared" si="16"/>
        <v>11.096915365802047</v>
      </c>
      <c r="DS11" s="62">
        <f t="shared" si="17"/>
        <v>197.85018823202262</v>
      </c>
      <c r="DT11" s="62">
        <f ca="1">AVERAGE(OFFSET($DS$3,0,0,'Données projet'!$E$14+1,1))-AVERAGE(OFFSET($H$3,0,0,'Données projet'!$E$14+1,1))</f>
        <v>432.59662347701629</v>
      </c>
      <c r="DU11" s="62">
        <f t="shared" si="44"/>
        <v>348.67401091099748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projet'!$B$14,Paramètres!$A$1:$I$88,3,0)*0.475*44/12</f>
        <v>0</v>
      </c>
      <c r="EB11" s="23">
        <f>EXP(-LN(2)/25)*EB10+(1-EXP(-LN(2)/25))/(LN(2)/25)*Calculateur!DW11*Calculateur!DY11*VLOOKUP('Données projet'!$B$14,Paramètres!$A$1:$I$88,3,0)*0.475*44/12</f>
        <v>0</v>
      </c>
      <c r="EC11" s="23">
        <f>EXP(-LN(2)/2)*EC10+(1-EXP(-LN(2)/2))/(LN(2)/2)*DW11*DZ11*VLOOKUP('Données projet'!$B$14,Paramètres!$A$1:$I$88,3,0)*0.475*44/12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6.666666666666667</v>
      </c>
      <c r="EJ11" s="13">
        <f>IF('Données projet'!$A$192&gt;35,EJ10+EI11-ER10,IF(A11&lt;'Données projet'!$A$192,$EG$205^A11,IF(A11='Données projet'!$A$192,'Données projet'!$B$192,EJ10+EI11-ER10)))</f>
        <v>11.659144011798327</v>
      </c>
      <c r="EK11" s="18">
        <f>EJ11*VLOOKUP('Données projet'!$B$15,Paramètres!$A$1:$I$88,3,0)*VLOOKUP('Données projet'!$B$15,Paramètres!$A$1:$I$88,5,0)</f>
        <v>5.153341653214861</v>
      </c>
      <c r="EL11" s="14">
        <f t="shared" si="45"/>
        <v>1.9622477904775792</v>
      </c>
      <c r="EM11" s="22">
        <f t="shared" si="19"/>
        <v>12.392984947764333</v>
      </c>
      <c r="EN11" s="62">
        <f t="shared" si="20"/>
        <v>199.1462578139849</v>
      </c>
      <c r="EO11" s="62">
        <f ca="1">AVERAGE(OFFSET($EN$3,0,0,'Données projet'!$E$15+1,1))-AVERAGE(OFFSET($H$3,0,0,'Données projet'!$E$15+1,1))</f>
        <v>582.26951914082088</v>
      </c>
      <c r="EP11" s="62">
        <f t="shared" si="46"/>
        <v>434.80429932654715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projet'!$B$15,Paramètres!$A$1:$I$88,3,0)*0.475*44/12</f>
        <v>0</v>
      </c>
      <c r="EW11" s="23">
        <f>EXP(-LN(2)/25)*EW10+(1-EXP(-LN(2)/25))/(LN(2)/25)*Calculateur!ER11*Calculateur!ET11*VLOOKUP('Données projet'!$B$15,Paramètres!$A$1:$I$88,3,0)*0.475*44/12</f>
        <v>0</v>
      </c>
      <c r="EX11" s="23">
        <f>EXP(-LN(2)/2)*EX10+(1-EXP(-LN(2)/2))/(LN(2)/2)*ER11*EU11*VLOOKUP('Données projet'!$B$15,Paramètres!$A$1:$I$88,3,0)*0.475*44/12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1.4</v>
      </c>
      <c r="FE11" s="13">
        <f>IF('Données projet'!$A$218&gt;35,FE10+FD11-FM10,IF(A11&lt;'Données projet'!$A$218,$FB$205^A11,IF(A11='Données projet'!$A$218,'Données projet'!$B$218,FE10+FD11-FM10)))</f>
        <v>3.7919553292794657</v>
      </c>
      <c r="FF11" s="18">
        <f>FE11*VLOOKUP('Données projet'!$B$16,Paramètres!$A$1:$I$88,3,0)*VLOOKUP('Données projet'!$B$16,Paramètres!$A$1:$I$88,5,0)</f>
        <v>1.7746350941027897</v>
      </c>
      <c r="FG11" s="14">
        <f t="shared" si="47"/>
        <v>0.76500598920549345</v>
      </c>
      <c r="FH11" s="22">
        <f t="shared" si="22"/>
        <v>4.42320822009526</v>
      </c>
      <c r="FI11" s="62">
        <f t="shared" si="23"/>
        <v>191.17648108631582</v>
      </c>
      <c r="FJ11" s="62">
        <f ca="1">AVERAGE(OFFSET($FI$3,0,0,'Données projet'!$E$16+1,1))-AVERAGE(OFFSET($H$3,0,0,'Données projet'!$E$16+1,1))</f>
        <v>429.87867712133851</v>
      </c>
      <c r="FK11" s="62">
        <f t="shared" si="48"/>
        <v>182.81277865988014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projet'!$B$16,Paramètres!$A$1:$I$88,3,0)*0.475*44/12</f>
        <v>0</v>
      </c>
      <c r="FR11" s="23">
        <f>EXP(-LN(2)/25)*FR10+(1-EXP(-LN(2)/25))/(LN(2)/25)*Calculateur!FM11*Calculateur!FO11*VLOOKUP('Données projet'!$B$16,Paramètres!$A$1:$I$88,3,0)*0.475*44/12</f>
        <v>0</v>
      </c>
      <c r="FS11" s="23">
        <f>EXP(-LN(2)/2)*FS10+(1-EXP(-LN(2)/2))/(LN(2)/2)*FM11*FP11*VLOOKUP('Données projet'!$B$16,Paramètres!$A$1:$I$88,3,0)*0.475*44/12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6.0588235294117645</v>
      </c>
      <c r="FZ11" s="13">
        <f>IF('Données projet'!$A$244&gt;35,FZ10+FY11-GH10,IF(A11&lt;'Données projet'!$A$244,$FW$205^A11,IF(A11='Données projet'!$A$244,'Données projet'!$B$244,FZ10+FY11-GH10)))</f>
        <v>8.8555903329626044</v>
      </c>
      <c r="GA11" s="18">
        <f>FZ11*VLOOKUP('Données projet'!$B$17,Paramètres!$A$1:$I$88,3,0)*VLOOKUP('Données projet'!$B$17,Paramètres!$A$1:$I$88,5,0)</f>
        <v>4.2595389501550125</v>
      </c>
      <c r="GB11" s="14">
        <f t="shared" si="49"/>
        <v>1.6582761432844035</v>
      </c>
      <c r="GC11" s="22">
        <f t="shared" si="25"/>
        <v>10.306861287740317</v>
      </c>
      <c r="GD11" s="62">
        <f t="shared" si="26"/>
        <v>197.06013415396086</v>
      </c>
      <c r="GE11" s="62">
        <f ca="1">AVERAGE(OFFSET($GD$3,0,0,'Données projet'!$E$17+1,1))-AVERAGE(OFFSET($H$3,0,0,'Données projet'!$E$17+1,1))</f>
        <v>273.24375559399846</v>
      </c>
      <c r="GF11" s="62">
        <f t="shared" si="50"/>
        <v>270.77718895097848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projet'!$B$17,Paramètres!$A$1:$I$88,3,0)*0.475*44/12</f>
        <v>0</v>
      </c>
      <c r="GM11" s="23">
        <f>EXP(-LN(2)/25)*GM10+(1-EXP(-LN(2)/25))/(LN(2)/25)*Calculateur!GH11*Calculateur!GJ11*VLOOKUP('Données projet'!$B$17,Paramètres!$A$1:$I$88,3,0)*0.475*44/12</f>
        <v>0</v>
      </c>
      <c r="GN11" s="23">
        <f>EXP(-LN(2)/2)*GN10+(1-EXP(-LN(2)/2))/(LN(2)/2)*GH11*GK11*VLOOKUP('Données projet'!$B$17,Paramètres!$A$1:$I$88,3,0)*0.475*44/12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10</v>
      </c>
      <c r="N12" s="14">
        <f>IF('Données projet'!$A$36&gt;35,N11+M12-V11,IF(A12&lt;'Données projet'!$A$36,$K$205^A12,IF(A12='Données projet'!$A$36,'Données projet'!$B$36,N11+M12-V11)))</f>
        <v>6.1176765298156166</v>
      </c>
      <c r="O12" s="14">
        <f>N12*VLOOKUP('Données projet'!$B$9,Paramètres!$A$1:$I$88,3,0)*VLOOKUP('Données projet'!$B$9,Paramètres!$A$1:$I$88,5,0)</f>
        <v>3.4197811801669302</v>
      </c>
      <c r="P12" s="14">
        <f t="shared" si="33"/>
        <v>1.3658184612620039</v>
      </c>
      <c r="Q12" s="22">
        <f t="shared" si="2"/>
        <v>8.3349193754887256</v>
      </c>
      <c r="R12" s="62">
        <f t="shared" si="0"/>
        <v>197.69287812804481</v>
      </c>
      <c r="S12" s="62">
        <f ca="1">AVERAGE(OFFSET($R$3,0,0,'Données projet'!$E$9+1,1))-AVERAGE(OFFSET($H$3,0,0,'Données projet'!$E$9+1,1))</f>
        <v>289.94242154211224</v>
      </c>
      <c r="T12" s="62">
        <f t="shared" si="34"/>
        <v>369.12599166143661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6.8965517241379309E-2</v>
      </c>
      <c r="AI12" s="14">
        <f>IF('Données projet'!$A$62&gt;35,AI11+AH12-AQ11,IF(A12&lt;'Données projet'!$A$62,$AF$205^A12,IF(A12='Données projet'!$A$62,'Données projet'!$B$62,AI11+AH12-AQ11)))</f>
        <v>1.240004045662586</v>
      </c>
      <c r="AJ12" s="14">
        <f>AI12*VLOOKUP('Données projet'!$B$10,Paramètres!$A$1:$I$88,3,0)*VLOOKUP('Données projet'!$B$10,Paramètres!$A$1:$I$88,5,0)</f>
        <v>1.1219556605155077</v>
      </c>
      <c r="AK12" s="14">
        <f t="shared" si="35"/>
        <v>0.5101649150618166</v>
      </c>
      <c r="AL12" s="22">
        <f t="shared" si="4"/>
        <v>2.8426100024638394</v>
      </c>
      <c r="AM12" s="62">
        <f t="shared" si="5"/>
        <v>192.2005687550199</v>
      </c>
      <c r="AN12" s="62">
        <f ca="1">AVERAGE(OFFSET($AM$3,0,0,'Données projet'!$E$10+1,1))-AVERAGE(OFFSET($H$3,0,0,'Données projet'!$E$10+1,1))</f>
        <v>518.31628039365785</v>
      </c>
      <c r="AO12" s="62">
        <f t="shared" si="36"/>
        <v>66.435071953154761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6.8965517241379309E-2</v>
      </c>
      <c r="BD12" s="13">
        <f>IF('Données projet'!$A$88&gt;35,BD11+BC12-BL11,IF(A12&lt;'Données projet'!$A$88,$BA$205^A12,IF(A12='Données projet'!$A$88,'Données projet'!$B$88,BD11+BC12-BL11)))</f>
        <v>1.240004045662586</v>
      </c>
      <c r="BE12" s="14">
        <f>BD12*VLOOKUP('Données projet'!$B$11,Paramètres!$A$1:$I$88,3,0)*VLOOKUP('Données projet'!$B$11,Paramètres!$A$1:$I$88,5,0)</f>
        <v>1.2573641023018622</v>
      </c>
      <c r="BF12" s="14">
        <f t="shared" si="37"/>
        <v>0.5642036026018511</v>
      </c>
      <c r="BG12" s="22">
        <f t="shared" si="7"/>
        <v>3.1725637527073007</v>
      </c>
      <c r="BH12" s="62">
        <f t="shared" si="8"/>
        <v>192.53052250526338</v>
      </c>
      <c r="BI12" s="62">
        <f ca="1">AVERAGE(OFFSET($BH$3,0,0,'Données projet'!$E$11+1,1))-AVERAGE(OFFSET($H$3,0,0,'Données projet'!$E$11+1,1))</f>
        <v>570.2785736203931</v>
      </c>
      <c r="BJ12" s="62">
        <f t="shared" si="38"/>
        <v>67.677759965081719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2.9666666666666668</v>
      </c>
      <c r="BY12" s="13">
        <f>IF('Données projet'!$A$114&gt;35,BY11+BX12-CG11,IF(A12&lt;'Données projet'!$A$114,$BV$205^A12,IF(A12='Données projet'!$A$114,'Données projet'!$B$114,BY11+BX12-CG11)))</f>
        <v>14.574293073631752</v>
      </c>
      <c r="BZ12" s="14">
        <f>BY12*VLOOKUP('Données projet'!$B$12,Paramètres!$A$1:$I$88,3,0)*VLOOKUP('Données projet'!$B$12,Paramètres!$A$1:$I$88,5,0)</f>
        <v>8.715427258031788</v>
      </c>
      <c r="CA12" s="14">
        <f t="shared" si="39"/>
        <v>3.1216998584718731</v>
      </c>
      <c r="CB12" s="22">
        <f t="shared" si="10"/>
        <v>20.616329727910539</v>
      </c>
      <c r="CC12" s="62">
        <f t="shared" si="11"/>
        <v>209.97428848046661</v>
      </c>
      <c r="CD12" s="62">
        <f ca="1">AVERAGE(OFFSET($CC$3,0,0,'Données projet'!$E$12+1,1))-AVERAGE(OFFSET($H$3,0,0,'Données projet'!$E$12+1,1))</f>
        <v>401.1031790385295</v>
      </c>
      <c r="CE12" s="62">
        <f t="shared" si="40"/>
        <v>402.09589424130615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projet'!$B$12,Paramètres!$A$1:$I$88,3,0)*0.475*44/12</f>
        <v>0</v>
      </c>
      <c r="CL12" s="23">
        <f>EXP(-LN(2)/25)*CL11+(1-EXP(-LN(2)/25))/(LN(2)/25)*Calculateur!CG12*Calculateur!CI12*VLOOKUP('Données projet'!$B$12,Paramètres!$A$1:$I$88,3,0)*0.475*44/12</f>
        <v>0</v>
      </c>
      <c r="CM12" s="23">
        <f>EXP(-LN(2)/2)*CM11+(1-EXP(-LN(2)/2))/(LN(2)/2)*CG12*CJ12*VLOOKUP('Données projet'!$B$12,Paramètres!$A$1:$I$88,3,0)*0.475*44/12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2.9666666666666668</v>
      </c>
      <c r="CT12" s="13">
        <f>IF('Données projet'!$A$140&gt;35,CT11+CS12-DB11,IF(A12&lt;'Données projet'!$A$140,$CQ$205^A12,IF(A12='Données projet'!$A$140,'Données projet'!$B$140,CT11+CS12-DB11)))</f>
        <v>14.574293073631752</v>
      </c>
      <c r="CU12" s="18">
        <f>CT12*VLOOKUP('Données projet'!$B$13,Paramètres!$A$1:$I$88,3,0)*VLOOKUP('Données projet'!$B$13,Paramètres!$A$1:$I$88,5,0)</f>
        <v>8.715427258031788</v>
      </c>
      <c r="CV12" s="14">
        <f t="shared" si="41"/>
        <v>3.1216998584718731</v>
      </c>
      <c r="CW12" s="22">
        <f t="shared" si="13"/>
        <v>20.616329727910539</v>
      </c>
      <c r="CX12" s="62">
        <f t="shared" si="14"/>
        <v>209.97428848046661</v>
      </c>
      <c r="CY12" s="62">
        <f ca="1">AVERAGE(OFFSET($CX$3,0,0,'Données projet'!$E$13+1,1))-AVERAGE(OFFSET($H$3,0,0,'Données projet'!$E$13+1,1))</f>
        <v>401.1031790385295</v>
      </c>
      <c r="CZ12" s="62">
        <f t="shared" si="42"/>
        <v>402.09589424130615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projet'!$B$13,Paramètres!$A$1:$I$88,3,0)*0.475*44/12</f>
        <v>0</v>
      </c>
      <c r="DG12" s="23">
        <f>EXP(-LN(2)/25)*DG11+(1-EXP(-LN(2)/25))/(LN(2)/25)*Calculateur!DB12*Calculateur!DD12*VLOOKUP('Données projet'!$B$13,Paramètres!$A$1:$I$88,3,0)*0.475*44/12</f>
        <v>0</v>
      </c>
      <c r="DH12" s="23">
        <f>EXP(-LN(2)/2)*DH11+(1-EXP(-LN(2)/2))/(LN(2)/2)*DB12*DE12*VLOOKUP('Données projet'!$B$13,Paramètres!$A$1:$I$88,3,0)*0.475*44/12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6.4</v>
      </c>
      <c r="DO12" s="13">
        <f>IF('Données projet'!$A$166&gt;35,DO11+DN12-DW11,IF(A12&lt;'Données projet'!$A$166,$DL$205^A12,IF(A12='Données projet'!$A$166,'Données projet'!$B$166,DO11+DN12-DW11)))</f>
        <v>15.465456359454103</v>
      </c>
      <c r="DP12" s="18">
        <f>DO12*VLOOKUP('Données projet'!$B$14,Paramètres!$A$1:$I$88,3,0)*VLOOKUP('Données projet'!$B$14,Paramètres!$A$1:$I$88,5,0)</f>
        <v>6.2325789128600038</v>
      </c>
      <c r="DQ12" s="14">
        <f t="shared" si="43"/>
        <v>2.3212425374979855</v>
      </c>
      <c r="DR12" s="22">
        <f t="shared" si="16"/>
        <v>14.89790569270683</v>
      </c>
      <c r="DS12" s="62">
        <f t="shared" si="17"/>
        <v>204.25586444526292</v>
      </c>
      <c r="DT12" s="62">
        <f ca="1">AVERAGE(OFFSET($DS$3,0,0,'Données projet'!$E$14+1,1))-AVERAGE(OFFSET($H$3,0,0,'Données projet'!$E$14+1,1))</f>
        <v>432.59662347701629</v>
      </c>
      <c r="DU12" s="62">
        <f t="shared" si="44"/>
        <v>348.67401091099748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projet'!$B$14,Paramètres!$A$1:$I$88,3,0)*0.475*44/12</f>
        <v>0</v>
      </c>
      <c r="EB12" s="23">
        <f>EXP(-LN(2)/25)*EB11+(1-EXP(-LN(2)/25))/(LN(2)/25)*Calculateur!DW12*Calculateur!DY12*VLOOKUP('Données projet'!$B$14,Paramètres!$A$1:$I$88,3,0)*0.475*44/12</f>
        <v>0</v>
      </c>
      <c r="EC12" s="23">
        <f>EXP(-LN(2)/2)*EC11+(1-EXP(-LN(2)/2))/(LN(2)/2)*DW12*DZ12*VLOOKUP('Données projet'!$B$14,Paramètres!$A$1:$I$88,3,0)*0.475*44/12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6.666666666666667</v>
      </c>
      <c r="EJ12" s="13">
        <f>IF('Données projet'!$A$192&gt;35,EJ11+EI12-ER11,IF(A12&lt;'Données projet'!$A$192,$EG$205^A12,IF(A12='Données projet'!$A$192,'Données projet'!$B$192,EJ11+EI12-ER11)))</f>
        <v>15.848931924611151</v>
      </c>
      <c r="EK12" s="18">
        <f>EJ12*VLOOKUP('Données projet'!$B$15,Paramètres!$A$1:$I$88,3,0)*VLOOKUP('Données projet'!$B$15,Paramètres!$A$1:$I$88,5,0)</f>
        <v>7.005227910678129</v>
      </c>
      <c r="EL12" s="14">
        <f t="shared" si="45"/>
        <v>2.5737548740149112</v>
      </c>
      <c r="EM12" s="22">
        <f t="shared" si="19"/>
        <v>16.68339501667371</v>
      </c>
      <c r="EN12" s="62">
        <f t="shared" si="20"/>
        <v>206.04135376922977</v>
      </c>
      <c r="EO12" s="62">
        <f ca="1">AVERAGE(OFFSET($EN$3,0,0,'Données projet'!$E$15+1,1))-AVERAGE(OFFSET($H$3,0,0,'Données projet'!$E$15+1,1))</f>
        <v>582.26951914082088</v>
      </c>
      <c r="EP12" s="62">
        <f t="shared" si="46"/>
        <v>434.80429932654715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projet'!$B$15,Paramètres!$A$1:$I$88,3,0)*0.475*44/12</f>
        <v>0</v>
      </c>
      <c r="EW12" s="23">
        <f>EXP(-LN(2)/25)*EW11+(1-EXP(-LN(2)/25))/(LN(2)/25)*Calculateur!ER12*Calculateur!ET12*VLOOKUP('Données projet'!$B$15,Paramètres!$A$1:$I$88,3,0)*0.475*44/12</f>
        <v>0</v>
      </c>
      <c r="EX12" s="23">
        <f>EXP(-LN(2)/2)*EX11+(1-EXP(-LN(2)/2))/(LN(2)/2)*ER12*EU12*VLOOKUP('Données projet'!$B$15,Paramètres!$A$1:$I$88,3,0)*0.475*44/12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1.4</v>
      </c>
      <c r="FE12" s="13">
        <f>IF('Données projet'!$A$218&gt;35,FE11+FD12-FM11,IF(A12&lt;'Données projet'!$A$218,$FB$205^A12,IF(A12='Données projet'!$A$218,'Données projet'!$B$218,FE11+FD12-FM11)))</f>
        <v>4.4794130829695789</v>
      </c>
      <c r="FF12" s="18">
        <f>FE12*VLOOKUP('Données projet'!$B$16,Paramètres!$A$1:$I$88,3,0)*VLOOKUP('Données projet'!$B$16,Paramètres!$A$1:$I$88,5,0)</f>
        <v>2.096365322829763</v>
      </c>
      <c r="FG12" s="14">
        <f t="shared" si="47"/>
        <v>0.88633985278862137</v>
      </c>
      <c r="FH12" s="22">
        <f t="shared" si="22"/>
        <v>5.1948781808686864</v>
      </c>
      <c r="FI12" s="62">
        <f t="shared" si="23"/>
        <v>194.55283693342477</v>
      </c>
      <c r="FJ12" s="62">
        <f ca="1">AVERAGE(OFFSET($FI$3,0,0,'Données projet'!$E$16+1,1))-AVERAGE(OFFSET($H$3,0,0,'Données projet'!$E$16+1,1))</f>
        <v>429.87867712133851</v>
      </c>
      <c r="FK12" s="62">
        <f t="shared" si="48"/>
        <v>182.81277865988014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projet'!$B$16,Paramètres!$A$1:$I$88,3,0)*0.475*44/12</f>
        <v>0</v>
      </c>
      <c r="FR12" s="23">
        <f>EXP(-LN(2)/25)*FR11+(1-EXP(-LN(2)/25))/(LN(2)/25)*Calculateur!FM12*Calculateur!FO12*VLOOKUP('Données projet'!$B$16,Paramètres!$A$1:$I$88,3,0)*0.475*44/12</f>
        <v>0</v>
      </c>
      <c r="FS12" s="23">
        <f>EXP(-LN(2)/2)*FS11+(1-EXP(-LN(2)/2))/(LN(2)/2)*FM12*FP12*VLOOKUP('Données projet'!$B$16,Paramètres!$A$1:$I$88,3,0)*0.475*44/12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6.0588235294117645</v>
      </c>
      <c r="FZ12" s="13">
        <f>IF('Données projet'!$A$244&gt;35,FZ11+FY12-GH11,IF(A12&lt;'Données projet'!$A$244,$FW$205^A12,IF(A12='Données projet'!$A$244,'Données projet'!$B$244,FZ11+FY12-GH11)))</f>
        <v>11.631071010208064</v>
      </c>
      <c r="GA12" s="18">
        <f>FZ12*VLOOKUP('Données projet'!$B$17,Paramètres!$A$1:$I$88,3,0)*VLOOKUP('Données projet'!$B$17,Paramètres!$A$1:$I$88,5,0)</f>
        <v>5.5945451559100787</v>
      </c>
      <c r="GB12" s="14">
        <f t="shared" si="49"/>
        <v>2.1099736301006886</v>
      </c>
      <c r="GC12" s="22">
        <f t="shared" si="25"/>
        <v>13.418703552302086</v>
      </c>
      <c r="GD12" s="62">
        <f t="shared" si="26"/>
        <v>202.77666230485815</v>
      </c>
      <c r="GE12" s="62">
        <f ca="1">AVERAGE(OFFSET($GD$3,0,0,'Données projet'!$E$17+1,1))-AVERAGE(OFFSET($H$3,0,0,'Données projet'!$E$17+1,1))</f>
        <v>273.24375559399846</v>
      </c>
      <c r="GF12" s="62">
        <f t="shared" si="50"/>
        <v>270.77718895097848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projet'!$B$17,Paramètres!$A$1:$I$88,3,0)*0.475*44/12</f>
        <v>0</v>
      </c>
      <c r="GM12" s="23">
        <f>EXP(-LN(2)/25)*GM11+(1-EXP(-LN(2)/25))/(LN(2)/25)*Calculateur!GH12*Calculateur!GJ12*VLOOKUP('Données projet'!$B$17,Paramètres!$A$1:$I$88,3,0)*0.475*44/12</f>
        <v>0</v>
      </c>
      <c r="GN12" s="23">
        <f>EXP(-LN(2)/2)*GN11+(1-EXP(-LN(2)/2))/(LN(2)/2)*GH12*GK12*VLOOKUP('Données projet'!$B$17,Paramètres!$A$1:$I$88,3,0)*0.475*44/12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10</v>
      </c>
      <c r="N13" s="14">
        <f>IF('Données projet'!$A$36&gt;35,N12+M13-V12,IF(A13&lt;'Données projet'!$A$36,$K$205^A13,IF(A13='Données projet'!$A$36,'Données projet'!$B$36,N12+M13-V12)))</f>
        <v>7.4814367938122466</v>
      </c>
      <c r="O13" s="14">
        <f>N13*VLOOKUP('Données projet'!$B$9,Paramètres!$A$1:$I$88,3,0)*VLOOKUP('Données projet'!$B$9,Paramètres!$A$1:$I$88,5,0)</f>
        <v>4.1821231677410458</v>
      </c>
      <c r="P13" s="14">
        <f t="shared" si="33"/>
        <v>1.63161727266835</v>
      </c>
      <c r="Q13" s="22">
        <f t="shared" si="2"/>
        <v>10.12559793371303</v>
      </c>
      <c r="R13" s="62">
        <f t="shared" si="0"/>
        <v>202.06425991875793</v>
      </c>
      <c r="S13" s="62">
        <f ca="1">AVERAGE(OFFSET($R$3,0,0,'Données projet'!$E$9+1,1))-AVERAGE(OFFSET($H$3,0,0,'Données projet'!$E$9+1,1))</f>
        <v>289.94242154211224</v>
      </c>
      <c r="T13" s="62">
        <f t="shared" si="34"/>
        <v>369.12599166143661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6.8965517241379309E-2</v>
      </c>
      <c r="AI13" s="14">
        <f>IF('Données projet'!$A$62&gt;35,AI12+AH13-AQ12,IF(A13&lt;'Données projet'!$A$62,$AF$205^A13,IF(A13='Données projet'!$A$62,'Données projet'!$B$62,AI12+AH13-AQ12)))</f>
        <v>1.2699991982341414</v>
      </c>
      <c r="AJ13" s="14">
        <f>AI13*VLOOKUP('Données projet'!$B$10,Paramètres!$A$1:$I$88,3,0)*VLOOKUP('Données projet'!$B$10,Paramètres!$A$1:$I$88,5,0)</f>
        <v>1.1490952745622511</v>
      </c>
      <c r="AK13" s="14">
        <f t="shared" si="35"/>
        <v>0.52105391175514115</v>
      </c>
      <c r="AL13" s="22">
        <f t="shared" si="4"/>
        <v>2.9088431661694578</v>
      </c>
      <c r="AM13" s="62">
        <f t="shared" si="5"/>
        <v>194.84750515121434</v>
      </c>
      <c r="AN13" s="62">
        <f ca="1">AVERAGE(OFFSET($AM$3,0,0,'Données projet'!$E$10+1,1))-AVERAGE(OFFSET($H$3,0,0,'Données projet'!$E$10+1,1))</f>
        <v>518.31628039365785</v>
      </c>
      <c r="AO13" s="62">
        <f t="shared" si="36"/>
        <v>66.435071953154761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6.8965517241379309E-2</v>
      </c>
      <c r="BD13" s="13">
        <f>IF('Données projet'!$A$88&gt;35,BD12+BC13-BL12,IF(A13&lt;'Données projet'!$A$88,$BA$205^A13,IF(A13='Données projet'!$A$88,'Données projet'!$B$88,BD12+BC13-BL12)))</f>
        <v>1.2699991982341414</v>
      </c>
      <c r="BE13" s="14">
        <f>BD13*VLOOKUP('Données projet'!$B$11,Paramètres!$A$1:$I$88,3,0)*VLOOKUP('Données projet'!$B$11,Paramètres!$A$1:$I$88,5,0)</f>
        <v>1.2877791870094195</v>
      </c>
      <c r="BF13" s="14">
        <f t="shared" si="37"/>
        <v>0.57624600493433786</v>
      </c>
      <c r="BG13" s="22">
        <f t="shared" si="7"/>
        <v>3.2465105426353773</v>
      </c>
      <c r="BH13" s="62">
        <f t="shared" si="8"/>
        <v>195.18517252768027</v>
      </c>
      <c r="BI13" s="62">
        <f ca="1">AVERAGE(OFFSET($BH$3,0,0,'Données projet'!$E$11+1,1))-AVERAGE(OFFSET($H$3,0,0,'Données projet'!$E$11+1,1))</f>
        <v>570.2785736203931</v>
      </c>
      <c r="BJ13" s="62">
        <f t="shared" si="38"/>
        <v>67.677759965081719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2.9666666666666668</v>
      </c>
      <c r="BY13" s="13">
        <f>IF('Données projet'!$A$114&gt;35,BY12+BX13-CG12,IF(A13&lt;'Données projet'!$A$114,$BV$205^A13,IF(A13='Données projet'!$A$114,'Données projet'!$B$114,BY12+BX13-CG12)))</f>
        <v>19.627952500048792</v>
      </c>
      <c r="BZ13" s="14">
        <f>BY13*VLOOKUP('Données projet'!$B$12,Paramètres!$A$1:$I$88,3,0)*VLOOKUP('Données projet'!$B$12,Paramètres!$A$1:$I$88,5,0)</f>
        <v>11.73751559502918</v>
      </c>
      <c r="CA13" s="14">
        <f t="shared" si="39"/>
        <v>4.0609681144558003</v>
      </c>
      <c r="CB13" s="22">
        <f t="shared" si="10"/>
        <v>27.515692460686338</v>
      </c>
      <c r="CC13" s="62">
        <f t="shared" si="11"/>
        <v>219.45435444573121</v>
      </c>
      <c r="CD13" s="62">
        <f ca="1">AVERAGE(OFFSET($CC$3,0,0,'Données projet'!$E$12+1,1))-AVERAGE(OFFSET($H$3,0,0,'Données projet'!$E$12+1,1))</f>
        <v>401.1031790385295</v>
      </c>
      <c r="CE13" s="62">
        <f t="shared" si="40"/>
        <v>402.09589424130615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projet'!$B$12,Paramètres!$A$1:$I$88,3,0)*0.475*44/12</f>
        <v>0</v>
      </c>
      <c r="CL13" s="23">
        <f>EXP(-LN(2)/25)*CL12+(1-EXP(-LN(2)/25))/(LN(2)/25)*Calculateur!CG13*Calculateur!CI13*VLOOKUP('Données projet'!$B$12,Paramètres!$A$1:$I$88,3,0)*0.475*44/12</f>
        <v>0</v>
      </c>
      <c r="CM13" s="23">
        <f>EXP(-LN(2)/2)*CM12+(1-EXP(-LN(2)/2))/(LN(2)/2)*CG13*CJ13*VLOOKUP('Données projet'!$B$12,Paramètres!$A$1:$I$88,3,0)*0.475*44/12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2.9666666666666668</v>
      </c>
      <c r="CT13" s="13">
        <f>IF('Données projet'!$A$140&gt;35,CT12+CS13-DB12,IF(A13&lt;'Données projet'!$A$140,$CQ$205^A13,IF(A13='Données projet'!$A$140,'Données projet'!$B$140,CT12+CS13-DB12)))</f>
        <v>19.627952500048792</v>
      </c>
      <c r="CU13" s="18">
        <f>CT13*VLOOKUP('Données projet'!$B$13,Paramètres!$A$1:$I$88,3,0)*VLOOKUP('Données projet'!$B$13,Paramètres!$A$1:$I$88,5,0)</f>
        <v>11.73751559502918</v>
      </c>
      <c r="CV13" s="14">
        <f t="shared" si="41"/>
        <v>4.0609681144558003</v>
      </c>
      <c r="CW13" s="22">
        <f t="shared" si="13"/>
        <v>27.515692460686338</v>
      </c>
      <c r="CX13" s="62">
        <f t="shared" si="14"/>
        <v>219.45435444573121</v>
      </c>
      <c r="CY13" s="62">
        <f ca="1">AVERAGE(OFFSET($CX$3,0,0,'Données projet'!$E$13+1,1))-AVERAGE(OFFSET($H$3,0,0,'Données projet'!$E$13+1,1))</f>
        <v>401.1031790385295</v>
      </c>
      <c r="CZ13" s="62">
        <f t="shared" si="42"/>
        <v>402.09589424130615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projet'!$B$13,Paramètres!$A$1:$I$88,3,0)*0.475*44/12</f>
        <v>0</v>
      </c>
      <c r="DG13" s="23">
        <f>EXP(-LN(2)/25)*DG12+(1-EXP(-LN(2)/25))/(LN(2)/25)*Calculateur!DB13*Calculateur!DD13*VLOOKUP('Données projet'!$B$13,Paramètres!$A$1:$I$88,3,0)*0.475*44/12</f>
        <v>0</v>
      </c>
      <c r="DH13" s="23">
        <f>EXP(-LN(2)/2)*DH12+(1-EXP(-LN(2)/2))/(LN(2)/2)*DB13*DE13*VLOOKUP('Données projet'!$B$13,Paramètres!$A$1:$I$88,3,0)*0.475*44/12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6.4</v>
      </c>
      <c r="DO13" s="13">
        <f>IF('Données projet'!$A$166&gt;35,DO12+DN13-DW12,IF(A13&lt;'Données projet'!$A$166,$DL$205^A13,IF(A13='Données projet'!$A$166,'Données projet'!$B$166,DO12+DN13-DW12)))</f>
        <v>20.965931153671175</v>
      </c>
      <c r="DP13" s="18">
        <f>DO13*VLOOKUP('Données projet'!$B$14,Paramètres!$A$1:$I$88,3,0)*VLOOKUP('Données projet'!$B$14,Paramètres!$A$1:$I$88,5,0)</f>
        <v>8.449270254929484</v>
      </c>
      <c r="DQ13" s="14">
        <f t="shared" si="43"/>
        <v>3.0373127366526087</v>
      </c>
      <c r="DR13" s="22">
        <f t="shared" si="16"/>
        <v>20.005798710338812</v>
      </c>
      <c r="DS13" s="62">
        <f t="shared" si="17"/>
        <v>211.9444606953837</v>
      </c>
      <c r="DT13" s="62">
        <f ca="1">AVERAGE(OFFSET($DS$3,0,0,'Données projet'!$E$14+1,1))-AVERAGE(OFFSET($H$3,0,0,'Données projet'!$E$14+1,1))</f>
        <v>432.59662347701629</v>
      </c>
      <c r="DU13" s="62">
        <f t="shared" si="44"/>
        <v>348.67401091099748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projet'!$B$14,Paramètres!$A$1:$I$88,3,0)*0.475*44/12</f>
        <v>0</v>
      </c>
      <c r="EB13" s="23">
        <f>EXP(-LN(2)/25)*EB12+(1-EXP(-LN(2)/25))/(LN(2)/25)*Calculateur!DW13*Calculateur!DY13*VLOOKUP('Données projet'!$B$14,Paramètres!$A$1:$I$88,3,0)*0.475*44/12</f>
        <v>0</v>
      </c>
      <c r="EC13" s="23">
        <f>EXP(-LN(2)/2)*EC12+(1-EXP(-LN(2)/2))/(LN(2)/2)*DW13*DZ13*VLOOKUP('Données projet'!$B$14,Paramètres!$A$1:$I$88,3,0)*0.475*44/12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6.666666666666667</v>
      </c>
      <c r="EJ13" s="13">
        <f>IF('Données projet'!$A$192&gt;35,EJ12+EI13-ER12,IF(A13&lt;'Données projet'!$A$192,$EG$205^A13,IF(A13='Données projet'!$A$192,'Données projet'!$B$192,EJ12+EI13-ER12)))</f>
        <v>21.54434690031886</v>
      </c>
      <c r="EK13" s="18">
        <f>EJ13*VLOOKUP('Données projet'!$B$15,Paramètres!$A$1:$I$88,3,0)*VLOOKUP('Données projet'!$B$15,Paramètres!$A$1:$I$88,5,0)</f>
        <v>9.5226013299409367</v>
      </c>
      <c r="EL13" s="14">
        <f t="shared" si="45"/>
        <v>3.3758295887306295</v>
      </c>
      <c r="EM13" s="22">
        <f t="shared" si="19"/>
        <v>22.464767183352976</v>
      </c>
      <c r="EN13" s="62">
        <f t="shared" si="20"/>
        <v>214.40342916839785</v>
      </c>
      <c r="EO13" s="62">
        <f ca="1">AVERAGE(OFFSET($EN$3,0,0,'Données projet'!$E$15+1,1))-AVERAGE(OFFSET($H$3,0,0,'Données projet'!$E$15+1,1))</f>
        <v>582.26951914082088</v>
      </c>
      <c r="EP13" s="62">
        <f t="shared" si="46"/>
        <v>434.80429932654715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projet'!$B$15,Paramètres!$A$1:$I$88,3,0)*0.475*44/12</f>
        <v>0</v>
      </c>
      <c r="EW13" s="23">
        <f>EXP(-LN(2)/25)*EW12+(1-EXP(-LN(2)/25))/(LN(2)/25)*Calculateur!ER13*Calculateur!ET13*VLOOKUP('Données projet'!$B$15,Paramètres!$A$1:$I$88,3,0)*0.475*44/12</f>
        <v>0</v>
      </c>
      <c r="EX13" s="23">
        <f>EXP(-LN(2)/2)*EX12+(1-EXP(-LN(2)/2))/(LN(2)/2)*ER13*EU13*VLOOKUP('Données projet'!$B$15,Paramètres!$A$1:$I$88,3,0)*0.475*44/12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1.4</v>
      </c>
      <c r="FE13" s="13">
        <f>IF('Données projet'!$A$218&gt;35,FE12+FD13-FM12,IF(A13&lt;'Données projet'!$A$218,$FB$205^A13,IF(A13='Données projet'!$A$218,'Données projet'!$B$218,FE12+FD13-FM12)))</f>
        <v>5.291502622129185</v>
      </c>
      <c r="FF13" s="18">
        <f>FE13*VLOOKUP('Données projet'!$B$16,Paramètres!$A$1:$I$88,3,0)*VLOOKUP('Données projet'!$B$16,Paramètres!$A$1:$I$88,5,0)</f>
        <v>2.4764232271564586</v>
      </c>
      <c r="FG13" s="14">
        <f t="shared" si="47"/>
        <v>1.026917887868104</v>
      </c>
      <c r="FH13" s="22">
        <f t="shared" si="22"/>
        <v>6.1016524420011136</v>
      </c>
      <c r="FI13" s="62">
        <f t="shared" si="23"/>
        <v>198.04031442704601</v>
      </c>
      <c r="FJ13" s="62">
        <f ca="1">AVERAGE(OFFSET($FI$3,0,0,'Données projet'!$E$16+1,1))-AVERAGE(OFFSET($H$3,0,0,'Données projet'!$E$16+1,1))</f>
        <v>429.87867712133851</v>
      </c>
      <c r="FK13" s="62">
        <f t="shared" si="48"/>
        <v>182.81277865988014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projet'!$B$16,Paramètres!$A$1:$I$88,3,0)*0.475*44/12</f>
        <v>0</v>
      </c>
      <c r="FR13" s="23">
        <f>EXP(-LN(2)/25)*FR12+(1-EXP(-LN(2)/25))/(LN(2)/25)*Calculateur!FM13*Calculateur!FO13*VLOOKUP('Données projet'!$B$16,Paramètres!$A$1:$I$88,3,0)*0.475*44/12</f>
        <v>0</v>
      </c>
      <c r="FS13" s="23">
        <f>EXP(-LN(2)/2)*FS12+(1-EXP(-LN(2)/2))/(LN(2)/2)*FM13*FP13*VLOOKUP('Données projet'!$B$16,Paramètres!$A$1:$I$88,3,0)*0.475*44/12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6.0588235294117645</v>
      </c>
      <c r="FZ13" s="13">
        <f>IF('Données projet'!$A$244&gt;35,FZ12+FY13-GH12,IF(A13&lt;'Données projet'!$A$244,$FW$205^A13,IF(A13='Données projet'!$A$244,'Données projet'!$B$244,FZ12+FY13-GH12)))</f>
        <v>15.276430792078479</v>
      </c>
      <c r="GA13" s="18">
        <f>FZ13*VLOOKUP('Données projet'!$B$17,Paramètres!$A$1:$I$88,3,0)*VLOOKUP('Données projet'!$B$17,Paramètres!$A$1:$I$88,5,0)</f>
        <v>7.3479632109897484</v>
      </c>
      <c r="GB13" s="14">
        <f t="shared" si="49"/>
        <v>2.6847088995097108</v>
      </c>
      <c r="GC13" s="22">
        <f t="shared" si="25"/>
        <v>17.473570592453221</v>
      </c>
      <c r="GD13" s="62">
        <f t="shared" si="26"/>
        <v>209.41223257749812</v>
      </c>
      <c r="GE13" s="62">
        <f ca="1">AVERAGE(OFFSET($GD$3,0,0,'Données projet'!$E$17+1,1))-AVERAGE(OFFSET($H$3,0,0,'Données projet'!$E$17+1,1))</f>
        <v>273.24375559399846</v>
      </c>
      <c r="GF13" s="62">
        <f t="shared" si="50"/>
        <v>270.77718895097848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projet'!$B$17,Paramètres!$A$1:$I$88,3,0)*0.475*44/12</f>
        <v>0</v>
      </c>
      <c r="GM13" s="23">
        <f>EXP(-LN(2)/25)*GM12+(1-EXP(-LN(2)/25))/(LN(2)/25)*Calculateur!GH13*Calculateur!GJ13*VLOOKUP('Données projet'!$B$17,Paramètres!$A$1:$I$88,3,0)*0.475*44/12</f>
        <v>0</v>
      </c>
      <c r="GN13" s="23">
        <f>EXP(-LN(2)/2)*GN12+(1-EXP(-LN(2)/2))/(LN(2)/2)*GH13*GK13*VLOOKUP('Données projet'!$B$17,Paramètres!$A$1:$I$88,3,0)*0.475*44/12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</v>
      </c>
      <c r="N14" s="14">
        <f>IF('Données projet'!$A$36&gt;35,N13+M14-V13,IF(A14&lt;'Données projet'!$A$36,$K$205^A14,IF(A14='Données projet'!$A$36,'Données projet'!$B$36,N13+M14-V13)))</f>
        <v>9.1492082373133616</v>
      </c>
      <c r="O14" s="14">
        <f>N14*VLOOKUP('Données projet'!$B$9,Paramètres!$A$1:$I$88,3,0)*VLOOKUP('Données projet'!$B$9,Paramètres!$A$1:$I$88,5,0)</f>
        <v>5.1144074046581691</v>
      </c>
      <c r="P14" s="14">
        <f t="shared" si="33"/>
        <v>1.9491425837148804</v>
      </c>
      <c r="Q14" s="22">
        <f t="shared" si="2"/>
        <v>12.302349563083061</v>
      </c>
      <c r="R14" s="62">
        <f t="shared" si="0"/>
        <v>206.79814817219719</v>
      </c>
      <c r="S14" s="62">
        <f ca="1">AVERAGE(OFFSET($R$3,0,0,'Données projet'!$E$9+1,1))-AVERAGE(OFFSET($H$3,0,0,'Données projet'!$E$9+1,1))</f>
        <v>289.94242154211224</v>
      </c>
      <c r="T14" s="62">
        <f t="shared" si="34"/>
        <v>369.12599166143661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6.8965517241379309E-2</v>
      </c>
      <c r="AI14" s="14">
        <f>IF('Données projet'!$A$62&gt;35,AI13+AH14-AQ13,IF(A14&lt;'Données projet'!$A$62,$AF$205^A14,IF(A14='Données projet'!$A$62,'Données projet'!$B$62,AI13+AH14-AQ13)))</f>
        <v>1.3007199203560043</v>
      </c>
      <c r="AJ14" s="14">
        <f>AI14*VLOOKUP('Données projet'!$B$10,Paramètres!$A$1:$I$88,3,0)*VLOOKUP('Données projet'!$B$10,Paramètres!$A$1:$I$88,5,0)</f>
        <v>1.1768913839381128</v>
      </c>
      <c r="AK14" s="14">
        <f t="shared" si="35"/>
        <v>0.53217532397820244</v>
      </c>
      <c r="AL14" s="22">
        <f t="shared" si="4"/>
        <v>2.9766245162875826</v>
      </c>
      <c r="AM14" s="62">
        <f t="shared" si="5"/>
        <v>197.47242312540172</v>
      </c>
      <c r="AN14" s="62">
        <f ca="1">AVERAGE(OFFSET($AM$3,0,0,'Données projet'!$E$10+1,1))-AVERAGE(OFFSET($H$3,0,0,'Données projet'!$E$10+1,1))</f>
        <v>518.31628039365785</v>
      </c>
      <c r="AO14" s="62">
        <f t="shared" si="36"/>
        <v>66.435071953154761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6.8965517241379309E-2</v>
      </c>
      <c r="BD14" s="13">
        <f>IF('Données projet'!$A$88&gt;35,BD13+BC14-BL13,IF(A14&lt;'Données projet'!$A$88,$BA$205^A14,IF(A14='Données projet'!$A$88,'Données projet'!$B$88,BD13+BC14-BL13)))</f>
        <v>1.3007199203560043</v>
      </c>
      <c r="BE14" s="14">
        <f>BD14*VLOOKUP('Données projet'!$B$11,Paramètres!$A$1:$I$88,3,0)*VLOOKUP('Données projet'!$B$11,Paramètres!$A$1:$I$88,5,0)</f>
        <v>1.3189299992409884</v>
      </c>
      <c r="BF14" s="14">
        <f t="shared" si="37"/>
        <v>0.58854544116960128</v>
      </c>
      <c r="BG14" s="22">
        <f t="shared" si="7"/>
        <v>3.3221863920484433</v>
      </c>
      <c r="BH14" s="62">
        <f t="shared" si="8"/>
        <v>197.81798500116258</v>
      </c>
      <c r="BI14" s="62">
        <f ca="1">AVERAGE(OFFSET($BH$3,0,0,'Données projet'!$E$11+1,1))-AVERAGE(OFFSET($H$3,0,0,'Données projet'!$E$11+1,1))</f>
        <v>570.2785736203931</v>
      </c>
      <c r="BJ14" s="62">
        <f t="shared" si="38"/>
        <v>67.677759965081719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2.9666666666666668</v>
      </c>
      <c r="BY14" s="13">
        <f>IF('Données projet'!$A$114&gt;35,BY13+BX14-CG13,IF(A14&lt;'Données projet'!$A$114,$BV$205^A14,IF(A14='Données projet'!$A$114,'Données projet'!$B$114,BY13+BX14-CG13)))</f>
        <v>26.433976412975348</v>
      </c>
      <c r="BZ14" s="14">
        <f>BY14*VLOOKUP('Données projet'!$B$12,Paramètres!$A$1:$I$88,3,0)*VLOOKUP('Données projet'!$B$12,Paramètres!$A$1:$I$88,5,0)</f>
        <v>15.807517894959259</v>
      </c>
      <c r="CA14" s="14">
        <f t="shared" si="39"/>
        <v>5.2828467739687062</v>
      </c>
      <c r="CB14" s="22">
        <f t="shared" si="10"/>
        <v>36.732385131716207</v>
      </c>
      <c r="CC14" s="62">
        <f t="shared" si="11"/>
        <v>231.22818374083033</v>
      </c>
      <c r="CD14" s="62">
        <f ca="1">AVERAGE(OFFSET($CC$3,0,0,'Données projet'!$E$12+1,1))-AVERAGE(OFFSET($H$3,0,0,'Données projet'!$E$12+1,1))</f>
        <v>401.1031790385295</v>
      </c>
      <c r="CE14" s="62">
        <f t="shared" si="40"/>
        <v>402.09589424130615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projet'!$B$12,Paramètres!$A$1:$I$88,3,0)*0.475*44/12</f>
        <v>0</v>
      </c>
      <c r="CL14" s="23">
        <f>EXP(-LN(2)/25)*CL13+(1-EXP(-LN(2)/25))/(LN(2)/25)*Calculateur!CG14*Calculateur!CI14*VLOOKUP('Données projet'!$B$12,Paramètres!$A$1:$I$88,3,0)*0.475*44/12</f>
        <v>0</v>
      </c>
      <c r="CM14" s="23">
        <f>EXP(-LN(2)/2)*CM13+(1-EXP(-LN(2)/2))/(LN(2)/2)*CG14*CJ14*VLOOKUP('Données projet'!$B$12,Paramètres!$A$1:$I$88,3,0)*0.475*44/12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2.9666666666666668</v>
      </c>
      <c r="CT14" s="13">
        <f>IF('Données projet'!$A$140&gt;35,CT13+CS14-DB13,IF(A14&lt;'Données projet'!$A$140,$CQ$205^A14,IF(A14='Données projet'!$A$140,'Données projet'!$B$140,CT13+CS14-DB13)))</f>
        <v>26.433976412975348</v>
      </c>
      <c r="CU14" s="18">
        <f>CT14*VLOOKUP('Données projet'!$B$13,Paramètres!$A$1:$I$88,3,0)*VLOOKUP('Données projet'!$B$13,Paramètres!$A$1:$I$88,5,0)</f>
        <v>15.807517894959259</v>
      </c>
      <c r="CV14" s="14">
        <f t="shared" si="41"/>
        <v>5.2828467739687062</v>
      </c>
      <c r="CW14" s="22">
        <f t="shared" si="13"/>
        <v>36.732385131716207</v>
      </c>
      <c r="CX14" s="62">
        <f t="shared" si="14"/>
        <v>231.22818374083033</v>
      </c>
      <c r="CY14" s="62">
        <f ca="1">AVERAGE(OFFSET($CX$3,0,0,'Données projet'!$E$13+1,1))-AVERAGE(OFFSET($H$3,0,0,'Données projet'!$E$13+1,1))</f>
        <v>401.1031790385295</v>
      </c>
      <c r="CZ14" s="62">
        <f t="shared" si="42"/>
        <v>402.09589424130615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projet'!$B$13,Paramètres!$A$1:$I$88,3,0)*0.475*44/12</f>
        <v>0</v>
      </c>
      <c r="DG14" s="23">
        <f>EXP(-LN(2)/25)*DG13+(1-EXP(-LN(2)/25))/(LN(2)/25)*Calculateur!DB14*Calculateur!DD14*VLOOKUP('Données projet'!$B$13,Paramètres!$A$1:$I$88,3,0)*0.475*44/12</f>
        <v>0</v>
      </c>
      <c r="DH14" s="23">
        <f>EXP(-LN(2)/2)*DH13+(1-EXP(-LN(2)/2))/(LN(2)/2)*DB14*DE14*VLOOKUP('Données projet'!$B$13,Paramètres!$A$1:$I$88,3,0)*0.475*44/12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6.4</v>
      </c>
      <c r="DO14" s="13">
        <f>IF('Données projet'!$A$166&gt;35,DO13+DN14-DW13,IF(A14&lt;'Données projet'!$A$166,$DL$205^A14,IF(A14='Données projet'!$A$166,'Données projet'!$B$166,DO13+DN14-DW13)))</f>
        <v>28.422715691268188</v>
      </c>
      <c r="DP14" s="18">
        <f>DO14*VLOOKUP('Données projet'!$B$14,Paramètres!$A$1:$I$88,3,0)*VLOOKUP('Données projet'!$B$14,Paramètres!$A$1:$I$88,5,0)</f>
        <v>11.45435442358108</v>
      </c>
      <c r="DQ14" s="14">
        <f t="shared" si="43"/>
        <v>3.9742803740689112</v>
      </c>
      <c r="DR14" s="22">
        <f t="shared" si="16"/>
        <v>26.871538939240398</v>
      </c>
      <c r="DS14" s="62">
        <f t="shared" si="17"/>
        <v>221.36733754835453</v>
      </c>
      <c r="DT14" s="62">
        <f ca="1">AVERAGE(OFFSET($DS$3,0,0,'Données projet'!$E$14+1,1))-AVERAGE(OFFSET($H$3,0,0,'Données projet'!$E$14+1,1))</f>
        <v>432.59662347701629</v>
      </c>
      <c r="DU14" s="62">
        <f t="shared" si="44"/>
        <v>348.67401091099748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projet'!$B$14,Paramètres!$A$1:$I$88,3,0)*0.475*44/12</f>
        <v>0</v>
      </c>
      <c r="EB14" s="23">
        <f>EXP(-LN(2)/25)*EB13+(1-EXP(-LN(2)/25))/(LN(2)/25)*Calculateur!DW14*Calculateur!DY14*VLOOKUP('Données projet'!$B$14,Paramètres!$A$1:$I$88,3,0)*0.475*44/12</f>
        <v>0</v>
      </c>
      <c r="EC14" s="23">
        <f>EXP(-LN(2)/2)*EC13+(1-EXP(-LN(2)/2))/(LN(2)/2)*DW14*DZ14*VLOOKUP('Données projet'!$B$14,Paramètres!$A$1:$I$88,3,0)*0.475*44/12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6.666666666666667</v>
      </c>
      <c r="EJ14" s="13">
        <f>IF('Données projet'!$A$192&gt;35,EJ13+EI14-ER13,IF(A14&lt;'Données projet'!$A$192,$EG$205^A14,IF(A14='Données projet'!$A$192,'Données projet'!$B$192,EJ13+EI14-ER13)))</f>
        <v>29.2864456462524</v>
      </c>
      <c r="EK14" s="18">
        <f>EJ14*VLOOKUP('Données projet'!$B$15,Paramètres!$A$1:$I$88,3,0)*VLOOKUP('Données projet'!$B$15,Paramètres!$A$1:$I$88,5,0)</f>
        <v>12.944608975643563</v>
      </c>
      <c r="EL14" s="14">
        <f t="shared" si="45"/>
        <v>4.4278596719553747</v>
      </c>
      <c r="EM14" s="22">
        <f t="shared" si="19"/>
        <v>30.257049561234812</v>
      </c>
      <c r="EN14" s="62">
        <f t="shared" si="20"/>
        <v>224.75284817034895</v>
      </c>
      <c r="EO14" s="62">
        <f ca="1">AVERAGE(OFFSET($EN$3,0,0,'Données projet'!$E$15+1,1))-AVERAGE(OFFSET($H$3,0,0,'Données projet'!$E$15+1,1))</f>
        <v>582.26951914082088</v>
      </c>
      <c r="EP14" s="62">
        <f t="shared" si="46"/>
        <v>434.80429932654715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projet'!$B$15,Paramètres!$A$1:$I$88,3,0)*0.475*44/12</f>
        <v>0</v>
      </c>
      <c r="EW14" s="23">
        <f>EXP(-LN(2)/25)*EW13+(1-EXP(-LN(2)/25))/(LN(2)/25)*Calculateur!ER14*Calculateur!ET14*VLOOKUP('Données projet'!$B$15,Paramètres!$A$1:$I$88,3,0)*0.475*44/12</f>
        <v>0</v>
      </c>
      <c r="EX14" s="23">
        <f>EXP(-LN(2)/2)*EX13+(1-EXP(-LN(2)/2))/(LN(2)/2)*ER14*EU14*VLOOKUP('Données projet'!$B$15,Paramètres!$A$1:$I$88,3,0)*0.475*44/12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1.4</v>
      </c>
      <c r="FE14" s="13">
        <f>IF('Données projet'!$A$218&gt;35,FE13+FD14-FM13,IF(A14&lt;'Données projet'!$A$218,$FB$205^A14,IF(A14='Données projet'!$A$218,'Données projet'!$B$218,FE13+FD14-FM13)))</f>
        <v>6.2508189089445931</v>
      </c>
      <c r="FF14" s="18">
        <f>FE14*VLOOKUP('Données projet'!$B$16,Paramètres!$A$1:$I$88,3,0)*VLOOKUP('Données projet'!$B$16,Paramètres!$A$1:$I$88,5,0)</f>
        <v>2.9253832493860692</v>
      </c>
      <c r="FG14" s="14">
        <f t="shared" si="47"/>
        <v>1.1897923184945451</v>
      </c>
      <c r="FH14" s="22">
        <f t="shared" si="22"/>
        <v>7.1672641140587361</v>
      </c>
      <c r="FI14" s="62">
        <f t="shared" si="23"/>
        <v>201.66306272317286</v>
      </c>
      <c r="FJ14" s="62">
        <f ca="1">AVERAGE(OFFSET($FI$3,0,0,'Données projet'!$E$16+1,1))-AVERAGE(OFFSET($H$3,0,0,'Données projet'!$E$16+1,1))</f>
        <v>429.87867712133851</v>
      </c>
      <c r="FK14" s="62">
        <f t="shared" si="48"/>
        <v>182.81277865988014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projet'!$B$16,Paramètres!$A$1:$I$88,3,0)*0.475*44/12</f>
        <v>0</v>
      </c>
      <c r="FR14" s="23">
        <f>EXP(-LN(2)/25)*FR13+(1-EXP(-LN(2)/25))/(LN(2)/25)*Calculateur!FM14*Calculateur!FO14*VLOOKUP('Données projet'!$B$16,Paramètres!$A$1:$I$88,3,0)*0.475*44/12</f>
        <v>0</v>
      </c>
      <c r="FS14" s="23">
        <f>EXP(-LN(2)/2)*FS13+(1-EXP(-LN(2)/2))/(LN(2)/2)*FM14*FP14*VLOOKUP('Données projet'!$B$16,Paramètres!$A$1:$I$88,3,0)*0.475*44/12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6.0588235294117645</v>
      </c>
      <c r="FZ14" s="13">
        <f>IF('Données projet'!$A$244&gt;35,FZ13+FY14-GH13,IF(A14&lt;'Données projet'!$A$244,$FW$205^A14,IF(A14='Données projet'!$A$244,'Données projet'!$B$244,FZ13+FY14-GH13)))</f>
        <v>20.064303411125749</v>
      </c>
      <c r="GA14" s="18">
        <f>FZ14*VLOOKUP('Données projet'!$B$17,Paramètres!$A$1:$I$88,3,0)*VLOOKUP('Données projet'!$B$17,Paramètres!$A$1:$I$88,5,0)</f>
        <v>9.6509299407514852</v>
      </c>
      <c r="GB14" s="14">
        <f t="shared" si="49"/>
        <v>3.4159961870057538</v>
      </c>
      <c r="GC14" s="22">
        <f t="shared" si="25"/>
        <v>22.758229672510524</v>
      </c>
      <c r="GD14" s="62">
        <f t="shared" si="26"/>
        <v>217.25402828162464</v>
      </c>
      <c r="GE14" s="62">
        <f ca="1">AVERAGE(OFFSET($GD$3,0,0,'Données projet'!$E$17+1,1))-AVERAGE(OFFSET($H$3,0,0,'Données projet'!$E$17+1,1))</f>
        <v>273.24375559399846</v>
      </c>
      <c r="GF14" s="62">
        <f t="shared" si="50"/>
        <v>270.77718895097848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projet'!$B$17,Paramètres!$A$1:$I$88,3,0)*0.475*44/12</f>
        <v>0</v>
      </c>
      <c r="GM14" s="23">
        <f>EXP(-LN(2)/25)*GM13+(1-EXP(-LN(2)/25))/(LN(2)/25)*Calculateur!GH14*Calculateur!GJ14*VLOOKUP('Données projet'!$B$17,Paramètres!$A$1:$I$88,3,0)*0.475*44/12</f>
        <v>0</v>
      </c>
      <c r="GN14" s="23">
        <f>EXP(-LN(2)/2)*GN13+(1-EXP(-LN(2)/2))/(LN(2)/2)*GH14*GK14*VLOOKUP('Données projet'!$B$17,Paramètres!$A$1:$I$88,3,0)*0.475*44/12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</v>
      </c>
      <c r="N15" s="14">
        <f>IF('Données projet'!$A$36&gt;35,N14+M15-V14,IF(A15&lt;'Données projet'!$A$36,$K$205^A15,IF(A15='Données projet'!$A$36,'Données projet'!$B$36,N14+M15-V14)))</f>
        <v>11.188761420661335</v>
      </c>
      <c r="O15" s="14">
        <f>N15*VLOOKUP('Données projet'!$B$9,Paramètres!$A$1:$I$88,3,0)*VLOOKUP('Données projet'!$B$9,Paramètres!$A$1:$I$88,5,0)</f>
        <v>6.2545176341496864</v>
      </c>
      <c r="P15" s="14">
        <f t="shared" si="33"/>
        <v>2.3284607703604241</v>
      </c>
      <c r="Q15" s="22">
        <f t="shared" si="2"/>
        <v>14.948687387855109</v>
      </c>
      <c r="R15" s="62">
        <f t="shared" si="0"/>
        <v>211.97846484058798</v>
      </c>
      <c r="S15" s="62">
        <f ca="1">AVERAGE(OFFSET($R$3,0,0,'Données projet'!$E$9+1,1))-AVERAGE(OFFSET($H$3,0,0,'Données projet'!$E$9+1,1))</f>
        <v>289.94242154211224</v>
      </c>
      <c r="T15" s="62">
        <f t="shared" si="34"/>
        <v>369.12599166143661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6.8965517241379309E-2</v>
      </c>
      <c r="AI15" s="14">
        <f>IF('Données projet'!$A$62&gt;35,AI14+AH15-AQ14,IF(A15&lt;'Données projet'!$A$62,$AF$205^A15,IF(A15='Données projet'!$A$62,'Données projet'!$B$62,AI14+AH15-AQ14)))</f>
        <v>1.3321837632365268</v>
      </c>
      <c r="AJ15" s="14">
        <f>AI15*VLOOKUP('Données projet'!$B$10,Paramètres!$A$1:$I$88,3,0)*VLOOKUP('Données projet'!$B$10,Paramètres!$A$1:$I$88,5,0)</f>
        <v>1.2053598689764093</v>
      </c>
      <c r="AK15" s="14">
        <f t="shared" si="35"/>
        <v>0.54353411242480765</v>
      </c>
      <c r="AL15" s="22">
        <f t="shared" si="4"/>
        <v>3.0459903509404529</v>
      </c>
      <c r="AM15" s="62">
        <f t="shared" si="5"/>
        <v>200.07576780367333</v>
      </c>
      <c r="AN15" s="62">
        <f ca="1">AVERAGE(OFFSET($AM$3,0,0,'Données projet'!$E$10+1,1))-AVERAGE(OFFSET($H$3,0,0,'Données projet'!$E$10+1,1))</f>
        <v>518.31628039365785</v>
      </c>
      <c r="AO15" s="62">
        <f t="shared" si="36"/>
        <v>66.435071953154761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6.8965517241379309E-2</v>
      </c>
      <c r="BD15" s="13">
        <f>IF('Données projet'!$A$88&gt;35,BD14+BC15-BL14,IF(A15&lt;'Données projet'!$A$88,$BA$205^A15,IF(A15='Données projet'!$A$88,'Données projet'!$B$88,BD14+BC15-BL14)))</f>
        <v>1.3321837632365268</v>
      </c>
      <c r="BE15" s="14">
        <f>BD15*VLOOKUP('Données projet'!$B$11,Paramètres!$A$1:$I$88,3,0)*VLOOKUP('Données projet'!$B$11,Paramètres!$A$1:$I$88,5,0)</f>
        <v>1.3508343359218382</v>
      </c>
      <c r="BF15" s="14">
        <f t="shared" si="37"/>
        <v>0.60110739745777619</v>
      </c>
      <c r="BG15" s="22">
        <f t="shared" si="7"/>
        <v>3.3996318523028286</v>
      </c>
      <c r="BH15" s="62">
        <f t="shared" si="8"/>
        <v>200.4294093050357</v>
      </c>
      <c r="BI15" s="62">
        <f ca="1">AVERAGE(OFFSET($BH$3,0,0,'Données projet'!$E$11+1,1))-AVERAGE(OFFSET($H$3,0,0,'Données projet'!$E$11+1,1))</f>
        <v>570.2785736203931</v>
      </c>
      <c r="BJ15" s="62">
        <f t="shared" si="38"/>
        <v>67.677759965081719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>
        <f>VLOOKUP(A15,'Données projet'!$A$113:$I$133,2,0)</f>
        <v>35.6</v>
      </c>
      <c r="BW15" s="13">
        <f>VLOOKUP(A15,'Données projet'!$A$113:$I$133,9,0)</f>
        <v>2.9666666666666668</v>
      </c>
      <c r="BX15" s="13">
        <f t="array" ref="BX15">INDEX(BW:BW,MIN(IF(ISNUMBER(BW15:BW211),ROW(BW15:BW211),"")))</f>
        <v>2.9666666666666668</v>
      </c>
      <c r="BY15" s="13">
        <f>IF('Données projet'!$A$114&gt;35,BY14+BX15-CG14,IF(A15&lt;'Données projet'!$A$114,$BV$205^A15,IF(A15='Données projet'!$A$114,'Données projet'!$B$114,BY14+BX15-CG14)))</f>
        <v>35.6</v>
      </c>
      <c r="BZ15" s="14">
        <f>BY15*VLOOKUP('Données projet'!$B$12,Paramètres!$A$1:$I$88,3,0)*VLOOKUP('Données projet'!$B$12,Paramètres!$A$1:$I$88,5,0)</f>
        <v>21.288800000000002</v>
      </c>
      <c r="CA15" s="14">
        <f t="shared" si="39"/>
        <v>6.8723686694032304</v>
      </c>
      <c r="CB15" s="22">
        <f t="shared" si="10"/>
        <v>49.047368765877287</v>
      </c>
      <c r="CC15" s="62">
        <f t="shared" si="11"/>
        <v>246.07714621861015</v>
      </c>
      <c r="CD15" s="62">
        <f ca="1">AVERAGE(OFFSET($CC$3,0,0,'Données projet'!$E$12+1,1))-AVERAGE(OFFSET($H$3,0,0,'Données projet'!$E$12+1,1))</f>
        <v>401.1031790385295</v>
      </c>
      <c r="CE15" s="62">
        <f t="shared" si="40"/>
        <v>402.09589424130615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projet'!$B$12,Paramètres!$A$1:$I$88,3,0)*0.475*44/12</f>
        <v>0</v>
      </c>
      <c r="CL15" s="23">
        <f>EXP(-LN(2)/25)*CL14+(1-EXP(-LN(2)/25))/(LN(2)/25)*Calculateur!CG15*Calculateur!CI15*VLOOKUP('Données projet'!$B$12,Paramètres!$A$1:$I$88,3,0)*0.475*44/12</f>
        <v>0</v>
      </c>
      <c r="CM15" s="23">
        <f>EXP(-LN(2)/2)*CM14+(1-EXP(-LN(2)/2))/(LN(2)/2)*CG15*CJ15*VLOOKUP('Données projet'!$B$12,Paramètres!$A$1:$I$88,3,0)*0.475*44/12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>
        <f>VLOOKUP(A15,'Données projet'!$A$139:$I$159,2,0)</f>
        <v>35.6</v>
      </c>
      <c r="CR15" s="13">
        <f>VLOOKUP(A15,'Données projet'!$A$139:$I$159,9,0)</f>
        <v>2.9666666666666668</v>
      </c>
      <c r="CS15" s="13">
        <f t="array" ref="CS15">INDEX(CR:CR,MIN(IF(ISNUMBER(CR15:CR211),ROW(CR15:CR211),"")))</f>
        <v>2.9666666666666668</v>
      </c>
      <c r="CT15" s="13">
        <f>IF('Données projet'!$A$140&gt;35,CT14+CS15-DB14,IF(A15&lt;'Données projet'!$A$140,$CQ$205^A15,IF(A15='Données projet'!$A$140,'Données projet'!$B$140,CT14+CS15-DB14)))</f>
        <v>35.6</v>
      </c>
      <c r="CU15" s="18">
        <f>CT15*VLOOKUP('Données projet'!$B$13,Paramètres!$A$1:$I$88,3,0)*VLOOKUP('Données projet'!$B$13,Paramètres!$A$1:$I$88,5,0)</f>
        <v>21.288800000000002</v>
      </c>
      <c r="CV15" s="14">
        <f t="shared" si="41"/>
        <v>6.8723686694032304</v>
      </c>
      <c r="CW15" s="22">
        <f t="shared" si="13"/>
        <v>49.047368765877287</v>
      </c>
      <c r="CX15" s="62">
        <f t="shared" si="14"/>
        <v>246.07714621861015</v>
      </c>
      <c r="CY15" s="62">
        <f ca="1">AVERAGE(OFFSET($CX$3,0,0,'Données projet'!$E$13+1,1))-AVERAGE(OFFSET($H$3,0,0,'Données projet'!$E$13+1,1))</f>
        <v>401.1031790385295</v>
      </c>
      <c r="CZ15" s="62">
        <f t="shared" si="42"/>
        <v>402.09589424130615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projet'!$B$13,Paramètres!$A$1:$I$88,3,0)*0.475*44/12</f>
        <v>0</v>
      </c>
      <c r="DG15" s="23">
        <f>EXP(-LN(2)/25)*DG14+(1-EXP(-LN(2)/25))/(LN(2)/25)*Calculateur!DB15*Calculateur!DD15*VLOOKUP('Données projet'!$B$13,Paramètres!$A$1:$I$88,3,0)*0.475*44/12</f>
        <v>0</v>
      </c>
      <c r="DH15" s="23">
        <f>EXP(-LN(2)/2)*DH14+(1-EXP(-LN(2)/2))/(LN(2)/2)*DB15*DE15*VLOOKUP('Données projet'!$B$13,Paramètres!$A$1:$I$88,3,0)*0.475*44/12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6.4</v>
      </c>
      <c r="DO15" s="13">
        <f>IF('Données projet'!$A$166&gt;35,DO14+DN15-DW14,IF(A15&lt;'Données projet'!$A$166,$DL$205^A15,IF(A15='Données projet'!$A$166,'Données projet'!$B$166,DO14+DN15-DW14)))</f>
        <v>38.531594964491077</v>
      </c>
      <c r="DP15" s="18">
        <f>DO15*VLOOKUP('Données projet'!$B$14,Paramètres!$A$1:$I$88,3,0)*VLOOKUP('Données projet'!$B$14,Paramètres!$A$1:$I$88,5,0)</f>
        <v>15.528232770689906</v>
      </c>
      <c r="DQ15" s="14">
        <f t="shared" si="43"/>
        <v>5.2002891572886663</v>
      </c>
      <c r="DR15" s="22">
        <f t="shared" si="16"/>
        <v>36.102175691229341</v>
      </c>
      <c r="DS15" s="62">
        <f t="shared" si="17"/>
        <v>233.13195314396222</v>
      </c>
      <c r="DT15" s="62">
        <f ca="1">AVERAGE(OFFSET($DS$3,0,0,'Données projet'!$E$14+1,1))-AVERAGE(OFFSET($H$3,0,0,'Données projet'!$E$14+1,1))</f>
        <v>432.59662347701629</v>
      </c>
      <c r="DU15" s="62">
        <f t="shared" si="44"/>
        <v>348.67401091099748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projet'!$B$14,Paramètres!$A$1:$I$88,3,0)*0.475*44/12</f>
        <v>0</v>
      </c>
      <c r="EB15" s="23">
        <f>EXP(-LN(2)/25)*EB14+(1-EXP(-LN(2)/25))/(LN(2)/25)*Calculateur!DW15*Calculateur!DY15*VLOOKUP('Données projet'!$B$14,Paramètres!$A$1:$I$88,3,0)*0.475*44/12</f>
        <v>0</v>
      </c>
      <c r="EC15" s="23">
        <f>EXP(-LN(2)/2)*EC14+(1-EXP(-LN(2)/2))/(LN(2)/2)*DW15*DZ15*VLOOKUP('Données projet'!$B$14,Paramètres!$A$1:$I$88,3,0)*0.475*44/12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6.666666666666667</v>
      </c>
      <c r="EJ15" s="13">
        <f>IF('Données projet'!$A$192&gt;35,EJ14+EI15-ER14,IF(A15&lt;'Données projet'!$A$192,$EG$205^A15,IF(A15='Données projet'!$A$192,'Données projet'!$B$192,EJ14+EI15-ER14)))</f>
        <v>39.810717055349777</v>
      </c>
      <c r="EK15" s="18">
        <f>EJ15*VLOOKUP('Données projet'!$B$15,Paramètres!$A$1:$I$88,3,0)*VLOOKUP('Données projet'!$B$15,Paramètres!$A$1:$I$88,5,0)</f>
        <v>17.596336938464603</v>
      </c>
      <c r="EL15" s="14">
        <f t="shared" si="45"/>
        <v>5.8077402188719276</v>
      </c>
      <c r="EM15" s="22">
        <f t="shared" si="19"/>
        <v>40.762101049027791</v>
      </c>
      <c r="EN15" s="62">
        <f t="shared" si="20"/>
        <v>237.79187850176066</v>
      </c>
      <c r="EO15" s="62">
        <f ca="1">AVERAGE(OFFSET($EN$3,0,0,'Données projet'!$E$15+1,1))-AVERAGE(OFFSET($H$3,0,0,'Données projet'!$E$15+1,1))</f>
        <v>582.26951914082088</v>
      </c>
      <c r="EP15" s="62">
        <f t="shared" si="46"/>
        <v>434.80429932654715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projet'!$B$15,Paramètres!$A$1:$I$88,3,0)*0.475*44/12</f>
        <v>0</v>
      </c>
      <c r="EW15" s="23">
        <f>EXP(-LN(2)/25)*EW14+(1-EXP(-LN(2)/25))/(LN(2)/25)*Calculateur!ER15*Calculateur!ET15*VLOOKUP('Données projet'!$B$15,Paramètres!$A$1:$I$88,3,0)*0.475*44/12</f>
        <v>0</v>
      </c>
      <c r="EX15" s="23">
        <f>EXP(-LN(2)/2)*EX14+(1-EXP(-LN(2)/2))/(LN(2)/2)*ER15*EU15*VLOOKUP('Données projet'!$B$15,Paramètres!$A$1:$I$88,3,0)*0.475*44/12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1.4</v>
      </c>
      <c r="FE15" s="13">
        <f>IF('Données projet'!$A$218&gt;35,FE14+FD15-FM14,IF(A15&lt;'Données projet'!$A$218,$FB$205^A15,IF(A15='Données projet'!$A$218,'Données projet'!$B$218,FE14+FD15-FM14)))</f>
        <v>7.3840532307432287</v>
      </c>
      <c r="FF15" s="18">
        <f>FE15*VLOOKUP('Données projet'!$B$16,Paramètres!$A$1:$I$88,3,0)*VLOOKUP('Données projet'!$B$16,Paramètres!$A$1:$I$88,5,0)</f>
        <v>3.455736911987831</v>
      </c>
      <c r="FG15" s="14">
        <f t="shared" si="47"/>
        <v>1.3784994670678521</v>
      </c>
      <c r="FH15" s="22">
        <f t="shared" si="22"/>
        <v>8.4196283601886481</v>
      </c>
      <c r="FI15" s="62">
        <f t="shared" si="23"/>
        <v>205.44940581292153</v>
      </c>
      <c r="FJ15" s="62">
        <f ca="1">AVERAGE(OFFSET($FI$3,0,0,'Données projet'!$E$16+1,1))-AVERAGE(OFFSET($H$3,0,0,'Données projet'!$E$16+1,1))</f>
        <v>429.87867712133851</v>
      </c>
      <c r="FK15" s="62">
        <f t="shared" si="48"/>
        <v>182.81277865988014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projet'!$B$16,Paramètres!$A$1:$I$88,3,0)*0.475*44/12</f>
        <v>0</v>
      </c>
      <c r="FR15" s="23">
        <f>EXP(-LN(2)/25)*FR14+(1-EXP(-LN(2)/25))/(LN(2)/25)*Calculateur!FM15*Calculateur!FO15*VLOOKUP('Données projet'!$B$16,Paramètres!$A$1:$I$88,3,0)*0.475*44/12</f>
        <v>0</v>
      </c>
      <c r="FS15" s="23">
        <f>EXP(-LN(2)/2)*FS14+(1-EXP(-LN(2)/2))/(LN(2)/2)*FM15*FP15*VLOOKUP('Données projet'!$B$16,Paramètres!$A$1:$I$88,3,0)*0.475*44/12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6.0588235294117645</v>
      </c>
      <c r="FZ15" s="13">
        <f>IF('Données projet'!$A$244&gt;35,FZ14+FY15-GH14,IF(A15&lt;'Données projet'!$A$244,$FW$205^A15,IF(A15='Données projet'!$A$244,'Données projet'!$B$244,FZ14+FY15-GH14)))</f>
        <v>26.35277028076915</v>
      </c>
      <c r="GA15" s="18">
        <f>FZ15*VLOOKUP('Données projet'!$B$17,Paramètres!$A$1:$I$88,3,0)*VLOOKUP('Données projet'!$B$17,Paramètres!$A$1:$I$88,5,0)</f>
        <v>12.675682505049961</v>
      </c>
      <c r="GB15" s="14">
        <f t="shared" si="49"/>
        <v>4.3464786635783428</v>
      </c>
      <c r="GC15" s="22">
        <f t="shared" si="25"/>
        <v>29.646930702027632</v>
      </c>
      <c r="GD15" s="62">
        <f t="shared" si="26"/>
        <v>226.67670815476049</v>
      </c>
      <c r="GE15" s="62">
        <f ca="1">AVERAGE(OFFSET($GD$3,0,0,'Données projet'!$E$17+1,1))-AVERAGE(OFFSET($H$3,0,0,'Données projet'!$E$17+1,1))</f>
        <v>273.24375559399846</v>
      </c>
      <c r="GF15" s="62">
        <f t="shared" si="50"/>
        <v>270.77718895097848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projet'!$B$17,Paramètres!$A$1:$I$88,3,0)*0.475*44/12</f>
        <v>0</v>
      </c>
      <c r="GM15" s="23">
        <f>EXP(-LN(2)/25)*GM14+(1-EXP(-LN(2)/25))/(LN(2)/25)*Calculateur!GH15*Calculateur!GJ15*VLOOKUP('Données projet'!$B$17,Paramètres!$A$1:$I$88,3,0)*0.475*44/12</f>
        <v>0</v>
      </c>
      <c r="GN15" s="23">
        <f>EXP(-LN(2)/2)*GN14+(1-EXP(-LN(2)/2))/(LN(2)/2)*GH15*GK15*VLOOKUP('Données projet'!$B$17,Paramètres!$A$1:$I$88,3,0)*0.475*44/12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</v>
      </c>
      <c r="N16" s="14">
        <f>IF('Données projet'!$A$36&gt;35,N15+M16-V15,IF(A16&lt;'Données projet'!$A$36,$K$205^A16,IF(A16='Données projet'!$A$36,'Données projet'!$B$36,N15+M16-V15)))</f>
        <v>13.682974404049702</v>
      </c>
      <c r="O16" s="14">
        <f>N16*VLOOKUP('Données projet'!$B$9,Paramètres!$A$1:$I$88,3,0)*VLOOKUP('Données projet'!$B$9,Paramètres!$A$1:$I$88,5,0)</f>
        <v>7.6487826918637829</v>
      </c>
      <c r="P16" s="14">
        <f t="shared" si="33"/>
        <v>2.7815972029989502</v>
      </c>
      <c r="Q16" s="22">
        <f t="shared" si="2"/>
        <v>18.166244983552591</v>
      </c>
      <c r="R16" s="62">
        <f t="shared" si="0"/>
        <v>217.7072452351714</v>
      </c>
      <c r="S16" s="62">
        <f ca="1">AVERAGE(OFFSET($R$3,0,0,'Données projet'!$E$9+1,1))-AVERAGE(OFFSET($H$3,0,0,'Données projet'!$E$9+1,1))</f>
        <v>289.94242154211224</v>
      </c>
      <c r="T16" s="62">
        <f t="shared" si="34"/>
        <v>369.12599166143661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6.8965517241379309E-2</v>
      </c>
      <c r="AI16" s="14">
        <f>IF('Données projet'!$A$62&gt;35,AI15+AH16-AQ15,IF(A16&lt;'Données projet'!$A$62,$AF$205^A16,IF(A16='Données projet'!$A$62,'Données projet'!$B$62,AI15+AH16-AQ15)))</f>
        <v>1.3644087026400724</v>
      </c>
      <c r="AJ16" s="14">
        <f>AI16*VLOOKUP('Données projet'!$B$10,Paramètres!$A$1:$I$88,3,0)*VLOOKUP('Données projet'!$B$10,Paramètres!$A$1:$I$88,5,0)</f>
        <v>1.2345169941487375</v>
      </c>
      <c r="AK16" s="14">
        <f t="shared" si="35"/>
        <v>0.55513534367017003</v>
      </c>
      <c r="AL16" s="22">
        <f t="shared" si="4"/>
        <v>3.1169778217012638</v>
      </c>
      <c r="AM16" s="62">
        <f t="shared" si="5"/>
        <v>202.65797807332007</v>
      </c>
      <c r="AN16" s="62">
        <f ca="1">AVERAGE(OFFSET($AM$3,0,0,'Données projet'!$E$10+1,1))-AVERAGE(OFFSET($H$3,0,0,'Données projet'!$E$10+1,1))</f>
        <v>518.31628039365785</v>
      </c>
      <c r="AO16" s="62">
        <f t="shared" si="36"/>
        <v>66.435071953154761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6.8965517241379309E-2</v>
      </c>
      <c r="BD16" s="13">
        <f>IF('Données projet'!$A$88&gt;35,BD15+BC16-BL15,IF(A16&lt;'Données projet'!$A$88,$BA$205^A16,IF(A16='Données projet'!$A$88,'Données projet'!$B$88,BD15+BC16-BL15)))</f>
        <v>1.3644087026400724</v>
      </c>
      <c r="BE16" s="14">
        <f>BD16*VLOOKUP('Données projet'!$B$11,Paramètres!$A$1:$I$88,3,0)*VLOOKUP('Données projet'!$B$11,Paramètres!$A$1:$I$88,5,0)</f>
        <v>1.3835104244770335</v>
      </c>
      <c r="BF16" s="14">
        <f t="shared" si="37"/>
        <v>0.6139374770457805</v>
      </c>
      <c r="BG16" s="22">
        <f t="shared" si="7"/>
        <v>3.478888428485567</v>
      </c>
      <c r="BH16" s="62">
        <f t="shared" si="8"/>
        <v>203.01988868010437</v>
      </c>
      <c r="BI16" s="62">
        <f ca="1">AVERAGE(OFFSET($BH$3,0,0,'Données projet'!$E$11+1,1))-AVERAGE(OFFSET($H$3,0,0,'Données projet'!$E$11+1,1))</f>
        <v>570.2785736203931</v>
      </c>
      <c r="BJ16" s="62">
        <f t="shared" si="38"/>
        <v>67.677759965081719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11.374999999999998</v>
      </c>
      <c r="BY16" s="13">
        <f>IF('Données projet'!$A$114&gt;35,BY15+BX16-CG15,IF(A16&lt;'Données projet'!$A$114,$BV$205^A16,IF(A16='Données projet'!$A$114,'Données projet'!$B$114,BY15+BX16-CG15)))</f>
        <v>46.975000000000001</v>
      </c>
      <c r="BZ16" s="14">
        <f>BY16*VLOOKUP('Données projet'!$B$12,Paramètres!$A$1:$I$88,3,0)*VLOOKUP('Données projet'!$B$12,Paramètres!$A$1:$I$88,5,0)</f>
        <v>28.091050000000006</v>
      </c>
      <c r="CA16" s="14">
        <f t="shared" si="39"/>
        <v>8.7802468431764513</v>
      </c>
      <c r="CB16" s="22">
        <f t="shared" si="10"/>
        <v>64.217508668532318</v>
      </c>
      <c r="CC16" s="62">
        <f t="shared" si="11"/>
        <v>263.75850892015114</v>
      </c>
      <c r="CD16" s="62">
        <f ca="1">AVERAGE(OFFSET($CC$3,0,0,'Données projet'!$E$12+1,1))-AVERAGE(OFFSET($H$3,0,0,'Données projet'!$E$12+1,1))</f>
        <v>401.1031790385295</v>
      </c>
      <c r="CE16" s="62">
        <f t="shared" si="40"/>
        <v>402.09589424130615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projet'!$B$12,Paramètres!$A$1:$I$88,3,0)*0.475*44/12</f>
        <v>0</v>
      </c>
      <c r="CL16" s="23">
        <f>EXP(-LN(2)/25)*CL15+(1-EXP(-LN(2)/25))/(LN(2)/25)*Calculateur!CG16*Calculateur!CI16*VLOOKUP('Données projet'!$B$12,Paramètres!$A$1:$I$88,3,0)*0.475*44/12</f>
        <v>0</v>
      </c>
      <c r="CM16" s="23">
        <f>EXP(-LN(2)/2)*CM15+(1-EXP(-LN(2)/2))/(LN(2)/2)*CG16*CJ16*VLOOKUP('Données projet'!$B$12,Paramètres!$A$1:$I$88,3,0)*0.475*44/12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11.374999999999998</v>
      </c>
      <c r="CT16" s="13">
        <f>IF('Données projet'!$A$140&gt;35,CT15+CS16-DB15,IF(A16&lt;'Données projet'!$A$140,$CQ$205^A16,IF(A16='Données projet'!$A$140,'Données projet'!$B$140,CT15+CS16-DB15)))</f>
        <v>46.975000000000001</v>
      </c>
      <c r="CU16" s="18">
        <f>CT16*VLOOKUP('Données projet'!$B$13,Paramètres!$A$1:$I$88,3,0)*VLOOKUP('Données projet'!$B$13,Paramètres!$A$1:$I$88,5,0)</f>
        <v>28.091050000000006</v>
      </c>
      <c r="CV16" s="14">
        <f t="shared" si="41"/>
        <v>8.7802468431764513</v>
      </c>
      <c r="CW16" s="22">
        <f t="shared" si="13"/>
        <v>64.217508668532318</v>
      </c>
      <c r="CX16" s="62">
        <f t="shared" si="14"/>
        <v>263.75850892015114</v>
      </c>
      <c r="CY16" s="62">
        <f ca="1">AVERAGE(OFFSET($CX$3,0,0,'Données projet'!$E$13+1,1))-AVERAGE(OFFSET($H$3,0,0,'Données projet'!$E$13+1,1))</f>
        <v>401.1031790385295</v>
      </c>
      <c r="CZ16" s="62">
        <f t="shared" si="42"/>
        <v>402.09589424130615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projet'!$B$13,Paramètres!$A$1:$I$88,3,0)*0.475*44/12</f>
        <v>0</v>
      </c>
      <c r="DG16" s="23">
        <f>EXP(-LN(2)/25)*DG15+(1-EXP(-LN(2)/25))/(LN(2)/25)*Calculateur!DB16*Calculateur!DD16*VLOOKUP('Données projet'!$B$13,Paramètres!$A$1:$I$88,3,0)*0.475*44/12</f>
        <v>0</v>
      </c>
      <c r="DH16" s="23">
        <f>EXP(-LN(2)/2)*DH15+(1-EXP(-LN(2)/2))/(LN(2)/2)*DB16*DE16*VLOOKUP('Données projet'!$B$13,Paramètres!$A$1:$I$88,3,0)*0.475*44/12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6.4</v>
      </c>
      <c r="DO16" s="13">
        <f>IF('Données projet'!$A$166&gt;35,DO15+DN16-DW15,IF(A16&lt;'Données projet'!$A$166,$DL$205^A16,IF(A16='Données projet'!$A$166,'Données projet'!$B$166,DO15+DN16-DW15)))</f>
        <v>52.235818231954077</v>
      </c>
      <c r="DP16" s="18">
        <f>DO16*VLOOKUP('Données projet'!$B$14,Paramètres!$A$1:$I$88,3,0)*VLOOKUP('Données projet'!$B$14,Paramètres!$A$1:$I$88,5,0)</f>
        <v>21.051034747477495</v>
      </c>
      <c r="DQ16" s="14">
        <f t="shared" si="43"/>
        <v>6.8045041552332988</v>
      </c>
      <c r="DR16" s="22">
        <f t="shared" si="16"/>
        <v>48.515063588887962</v>
      </c>
      <c r="DS16" s="62">
        <f t="shared" si="17"/>
        <v>248.05606384050677</v>
      </c>
      <c r="DT16" s="62">
        <f ca="1">AVERAGE(OFFSET($DS$3,0,0,'Données projet'!$E$14+1,1))-AVERAGE(OFFSET($H$3,0,0,'Données projet'!$E$14+1,1))</f>
        <v>432.59662347701629</v>
      </c>
      <c r="DU16" s="62">
        <f t="shared" si="44"/>
        <v>348.67401091099748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projet'!$B$14,Paramètres!$A$1:$I$88,3,0)*0.475*44/12</f>
        <v>0</v>
      </c>
      <c r="EB16" s="23">
        <f>EXP(-LN(2)/25)*EB15+(1-EXP(-LN(2)/25))/(LN(2)/25)*Calculateur!DW16*Calculateur!DY16*VLOOKUP('Données projet'!$B$14,Paramètres!$A$1:$I$88,3,0)*0.475*44/12</f>
        <v>0</v>
      </c>
      <c r="EC16" s="23">
        <f>EXP(-LN(2)/2)*EC15+(1-EXP(-LN(2)/2))/(LN(2)/2)*DW16*DZ16*VLOOKUP('Données projet'!$B$14,Paramètres!$A$1:$I$88,3,0)*0.475*44/12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6.666666666666667</v>
      </c>
      <c r="EJ16" s="13">
        <f>IF('Données projet'!$A$192&gt;35,EJ15+EI16-ER15,IF(A16&lt;'Données projet'!$A$192,$EG$205^A16,IF(A16='Données projet'!$A$192,'Données projet'!$B$192,EJ15+EI16-ER15)))</f>
        <v>54.11695265464644</v>
      </c>
      <c r="EK16" s="18">
        <f>EJ16*VLOOKUP('Données projet'!$B$15,Paramètres!$A$1:$I$88,3,0)*VLOOKUP('Données projet'!$B$15,Paramètres!$A$1:$I$88,5,0)</f>
        <v>23.919693073353731</v>
      </c>
      <c r="EL16" s="14">
        <f t="shared" si="45"/>
        <v>7.6176412417801824</v>
      </c>
      <c r="EM16" s="22">
        <f t="shared" si="19"/>
        <v>54.927523932191555</v>
      </c>
      <c r="EN16" s="62">
        <f t="shared" si="20"/>
        <v>254.46852418381036</v>
      </c>
      <c r="EO16" s="62">
        <f ca="1">AVERAGE(OFFSET($EN$3,0,0,'Données projet'!$E$15+1,1))-AVERAGE(OFFSET($H$3,0,0,'Données projet'!$E$15+1,1))</f>
        <v>582.26951914082088</v>
      </c>
      <c r="EP16" s="62">
        <f t="shared" si="46"/>
        <v>434.80429932654715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projet'!$B$15,Paramètres!$A$1:$I$88,3,0)*0.475*44/12</f>
        <v>0</v>
      </c>
      <c r="EW16" s="23">
        <f>EXP(-LN(2)/25)*EW15+(1-EXP(-LN(2)/25))/(LN(2)/25)*Calculateur!ER16*Calculateur!ET16*VLOOKUP('Données projet'!$B$15,Paramètres!$A$1:$I$88,3,0)*0.475*44/12</f>
        <v>0</v>
      </c>
      <c r="EX16" s="23">
        <f>EXP(-LN(2)/2)*EX15+(1-EXP(-LN(2)/2))/(LN(2)/2)*ER16*EU16*VLOOKUP('Données projet'!$B$15,Paramètres!$A$1:$I$88,3,0)*0.475*44/12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1.4</v>
      </c>
      <c r="FE16" s="13">
        <f>IF('Données projet'!$A$218&gt;35,FE15+FD16-FM15,IF(A16&lt;'Données projet'!$A$218,$FB$205^A16,IF(A16='Données projet'!$A$218,'Données projet'!$B$218,FE15+FD16-FM15)))</f>
        <v>8.7227358380880595</v>
      </c>
      <c r="FF16" s="18">
        <f>FE16*VLOOKUP('Données projet'!$B$16,Paramètres!$A$1:$I$88,3,0)*VLOOKUP('Données projet'!$B$16,Paramètres!$A$1:$I$88,5,0)</f>
        <v>4.0822403722252121</v>
      </c>
      <c r="FG16" s="14">
        <f t="shared" si="47"/>
        <v>1.5971365348120328</v>
      </c>
      <c r="FH16" s="22">
        <f t="shared" si="22"/>
        <v>9.891581446423201</v>
      </c>
      <c r="FI16" s="62">
        <f t="shared" si="23"/>
        <v>209.43258169804201</v>
      </c>
      <c r="FJ16" s="62">
        <f ca="1">AVERAGE(OFFSET($FI$3,0,0,'Données projet'!$E$16+1,1))-AVERAGE(OFFSET($H$3,0,0,'Données projet'!$E$16+1,1))</f>
        <v>429.87867712133851</v>
      </c>
      <c r="FK16" s="62">
        <f t="shared" si="48"/>
        <v>182.81277865988014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projet'!$B$16,Paramètres!$A$1:$I$88,3,0)*0.475*44/12</f>
        <v>0</v>
      </c>
      <c r="FR16" s="23">
        <f>EXP(-LN(2)/25)*FR15+(1-EXP(-LN(2)/25))/(LN(2)/25)*Calculateur!FM16*Calculateur!FO16*VLOOKUP('Données projet'!$B$16,Paramètres!$A$1:$I$88,3,0)*0.475*44/12</f>
        <v>0</v>
      </c>
      <c r="FS16" s="23">
        <f>EXP(-LN(2)/2)*FS15+(1-EXP(-LN(2)/2))/(LN(2)/2)*FM16*FP16*VLOOKUP('Données projet'!$B$16,Paramètres!$A$1:$I$88,3,0)*0.475*44/12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6.0588235294117645</v>
      </c>
      <c r="FZ16" s="13">
        <f>IF('Données projet'!$A$244&gt;35,FZ15+FY16-GH15,IF(A16&lt;'Données projet'!$A$244,$FW$205^A16,IF(A16='Données projet'!$A$244,'Données projet'!$B$244,FZ15+FY16-GH15)))</f>
        <v>34.612141136477412</v>
      </c>
      <c r="GA16" s="18">
        <f>FZ16*VLOOKUP('Données projet'!$B$17,Paramètres!$A$1:$I$88,3,0)*VLOOKUP('Données projet'!$B$17,Paramètres!$A$1:$I$88,5,0)</f>
        <v>16.648439886645637</v>
      </c>
      <c r="GB16" s="14">
        <f t="shared" si="49"/>
        <v>5.5304150645148118</v>
      </c>
      <c r="GC16" s="22">
        <f t="shared" si="25"/>
        <v>38.628172373271113</v>
      </c>
      <c r="GD16" s="62">
        <f t="shared" si="26"/>
        <v>238.16917262488994</v>
      </c>
      <c r="GE16" s="62">
        <f ca="1">AVERAGE(OFFSET($GD$3,0,0,'Données projet'!$E$17+1,1))-AVERAGE(OFFSET($H$3,0,0,'Données projet'!$E$17+1,1))</f>
        <v>273.24375559399846</v>
      </c>
      <c r="GF16" s="62">
        <f t="shared" si="50"/>
        <v>270.77718895097848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projet'!$B$17,Paramètres!$A$1:$I$88,3,0)*0.475*44/12</f>
        <v>0</v>
      </c>
      <c r="GM16" s="23">
        <f>EXP(-LN(2)/25)*GM15+(1-EXP(-LN(2)/25))/(LN(2)/25)*Calculateur!GH16*Calculateur!GJ16*VLOOKUP('Données projet'!$B$17,Paramètres!$A$1:$I$88,3,0)*0.475*44/12</f>
        <v>0</v>
      </c>
      <c r="GN16" s="23">
        <f>EXP(-LN(2)/2)*GN15+(1-EXP(-LN(2)/2))/(LN(2)/2)*GH16*GK16*VLOOKUP('Données projet'!$B$17,Paramètres!$A$1:$I$88,3,0)*0.475*44/12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</v>
      </c>
      <c r="N17" s="14">
        <f>IF('Données projet'!$A$36&gt;35,N16+M17-V16,IF(A17&lt;'Données projet'!$A$36,$K$205^A17,IF(A17='Données projet'!$A$36,'Données projet'!$B$36,N16+M17-V16)))</f>
        <v>16.733200530681533</v>
      </c>
      <c r="O17" s="14">
        <f>N17*VLOOKUP('Données projet'!$B$9,Paramètres!$A$1:$I$88,3,0)*VLOOKUP('Données projet'!$B$9,Paramètres!$A$1:$I$88,5,0)</f>
        <v>9.3538590966509769</v>
      </c>
      <c r="P17" s="14">
        <f t="shared" si="33"/>
        <v>3.3229174818925227</v>
      </c>
      <c r="Q17" s="22">
        <f t="shared" si="2"/>
        <v>22.078719207629931</v>
      </c>
      <c r="R17" s="62">
        <f t="shared" si="0"/>
        <v>224.10858097990314</v>
      </c>
      <c r="S17" s="62">
        <f ca="1">AVERAGE(OFFSET($R$3,0,0,'Données projet'!$E$9+1,1))-AVERAGE(OFFSET($H$3,0,0,'Données projet'!$E$9+1,1))</f>
        <v>289.94242154211224</v>
      </c>
      <c r="T17" s="62">
        <f t="shared" si="34"/>
        <v>369.12599166143661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6.8965517241379309E-2</v>
      </c>
      <c r="AI17" s="14">
        <f>IF('Données projet'!$A$62&gt;35,AI16+AH17-AQ16,IF(A17&lt;'Données projet'!$A$62,$AF$205^A17,IF(A17='Données projet'!$A$62,'Données projet'!$B$62,AI16+AH17-AQ16)))</f>
        <v>1.3974131491568407</v>
      </c>
      <c r="AJ17" s="14">
        <f>AI17*VLOOKUP('Données projet'!$B$10,Paramètres!$A$1:$I$88,3,0)*VLOOKUP('Données projet'!$B$10,Paramètres!$A$1:$I$88,5,0)</f>
        <v>1.2643794173571095</v>
      </c>
      <c r="AK17" s="14">
        <f t="shared" si="35"/>
        <v>0.56698419243084897</v>
      </c>
      <c r="AL17" s="22">
        <f t="shared" si="4"/>
        <v>3.1896249537140275</v>
      </c>
      <c r="AM17" s="62">
        <f t="shared" si="5"/>
        <v>205.21948672598722</v>
      </c>
      <c r="AN17" s="62">
        <f ca="1">AVERAGE(OFFSET($AM$3,0,0,'Données projet'!$E$10+1,1))-AVERAGE(OFFSET($H$3,0,0,'Données projet'!$E$10+1,1))</f>
        <v>518.31628039365785</v>
      </c>
      <c r="AO17" s="62">
        <f t="shared" si="36"/>
        <v>66.435071953154761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6.8965517241379309E-2</v>
      </c>
      <c r="BD17" s="13">
        <f>IF('Données projet'!$A$88&gt;35,BD16+BC17-BL16,IF(A17&lt;'Données projet'!$A$88,$BA$205^A17,IF(A17='Données projet'!$A$88,'Données projet'!$B$88,BD16+BC17-BL16)))</f>
        <v>1.3974131491568407</v>
      </c>
      <c r="BE17" s="14">
        <f>BD17*VLOOKUP('Données projet'!$B$11,Paramètres!$A$1:$I$88,3,0)*VLOOKUP('Données projet'!$B$11,Paramètres!$A$1:$I$88,5,0)</f>
        <v>1.4169769332450366</v>
      </c>
      <c r="BF17" s="14">
        <f t="shared" si="37"/>
        <v>0.62704140277663856</v>
      </c>
      <c r="BG17" s="22">
        <f t="shared" si="7"/>
        <v>3.5599986019044176</v>
      </c>
      <c r="BH17" s="62">
        <f t="shared" si="8"/>
        <v>205.58986037417762</v>
      </c>
      <c r="BI17" s="62">
        <f ca="1">AVERAGE(OFFSET($BH$3,0,0,'Données projet'!$E$11+1,1))-AVERAGE(OFFSET($H$3,0,0,'Données projet'!$E$11+1,1))</f>
        <v>570.2785736203931</v>
      </c>
      <c r="BJ17" s="62">
        <f t="shared" si="38"/>
        <v>67.677759965081719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11.374999999999998</v>
      </c>
      <c r="BY17" s="13">
        <f>IF('Données projet'!$A$114&gt;35,BY16+BX17-CG16,IF(A17&lt;'Données projet'!$A$114,$BV$205^A17,IF(A17='Données projet'!$A$114,'Données projet'!$B$114,BY16+BX17-CG16)))</f>
        <v>58.35</v>
      </c>
      <c r="BZ17" s="14">
        <f>BY17*VLOOKUP('Données projet'!$B$12,Paramètres!$A$1:$I$88,3,0)*VLOOKUP('Données projet'!$B$12,Paramètres!$A$1:$I$88,5,0)</f>
        <v>34.893300000000004</v>
      </c>
      <c r="CA17" s="14">
        <f t="shared" si="39"/>
        <v>10.634545537938871</v>
      </c>
      <c r="CB17" s="22">
        <f t="shared" si="10"/>
        <v>79.294330978576866</v>
      </c>
      <c r="CC17" s="62">
        <f t="shared" si="11"/>
        <v>281.32419275085005</v>
      </c>
      <c r="CD17" s="62">
        <f ca="1">AVERAGE(OFFSET($CC$3,0,0,'Données projet'!$E$12+1,1))-AVERAGE(OFFSET($H$3,0,0,'Données projet'!$E$12+1,1))</f>
        <v>401.1031790385295</v>
      </c>
      <c r="CE17" s="62">
        <f t="shared" si="40"/>
        <v>402.09589424130615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projet'!$B$12,Paramètres!$A$1:$I$88,3,0)*0.475*44/12</f>
        <v>0</v>
      </c>
      <c r="CL17" s="23">
        <f>EXP(-LN(2)/25)*CL16+(1-EXP(-LN(2)/25))/(LN(2)/25)*Calculateur!CG17*Calculateur!CI17*VLOOKUP('Données projet'!$B$12,Paramètres!$A$1:$I$88,3,0)*0.475*44/12</f>
        <v>0</v>
      </c>
      <c r="CM17" s="23">
        <f>EXP(-LN(2)/2)*CM16+(1-EXP(-LN(2)/2))/(LN(2)/2)*CG17*CJ17*VLOOKUP('Données projet'!$B$12,Paramètres!$A$1:$I$88,3,0)*0.475*44/12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11.374999999999998</v>
      </c>
      <c r="CT17" s="13">
        <f>IF('Données projet'!$A$140&gt;35,CT16+CS17-DB16,IF(A17&lt;'Données projet'!$A$140,$CQ$205^A17,IF(A17='Données projet'!$A$140,'Données projet'!$B$140,CT16+CS17-DB16)))</f>
        <v>58.35</v>
      </c>
      <c r="CU17" s="18">
        <f>CT17*VLOOKUP('Données projet'!$B$13,Paramètres!$A$1:$I$88,3,0)*VLOOKUP('Données projet'!$B$13,Paramètres!$A$1:$I$88,5,0)</f>
        <v>34.893300000000004</v>
      </c>
      <c r="CV17" s="14">
        <f t="shared" si="41"/>
        <v>10.634545537938871</v>
      </c>
      <c r="CW17" s="22">
        <f t="shared" si="13"/>
        <v>79.294330978576866</v>
      </c>
      <c r="CX17" s="62">
        <f t="shared" si="14"/>
        <v>281.32419275085005</v>
      </c>
      <c r="CY17" s="62">
        <f ca="1">AVERAGE(OFFSET($CX$3,0,0,'Données projet'!$E$13+1,1))-AVERAGE(OFFSET($H$3,0,0,'Données projet'!$E$13+1,1))</f>
        <v>401.1031790385295</v>
      </c>
      <c r="CZ17" s="62">
        <f t="shared" si="42"/>
        <v>402.09589424130615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projet'!$B$13,Paramètres!$A$1:$I$88,3,0)*0.475*44/12</f>
        <v>0</v>
      </c>
      <c r="DG17" s="23">
        <f>EXP(-LN(2)/25)*DG16+(1-EXP(-LN(2)/25))/(LN(2)/25)*Calculateur!DB17*Calculateur!DD17*VLOOKUP('Données projet'!$B$13,Paramètres!$A$1:$I$88,3,0)*0.475*44/12</f>
        <v>0</v>
      </c>
      <c r="DH17" s="23">
        <f>EXP(-LN(2)/2)*DH16+(1-EXP(-LN(2)/2))/(LN(2)/2)*DB17*DE17*VLOOKUP('Données projet'!$B$13,Paramètres!$A$1:$I$88,3,0)*0.475*44/12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6.4</v>
      </c>
      <c r="DO17" s="13">
        <f>IF('Données projet'!$A$166&gt;35,DO16+DN17-DW16,IF(A17&lt;'Données projet'!$A$166,$DL$205^A17,IF(A17='Données projet'!$A$166,'Données projet'!$B$166,DO16+DN17-DW16)))</f>
        <v>70.814112649016465</v>
      </c>
      <c r="DP17" s="18">
        <f>DO17*VLOOKUP('Données projet'!$B$14,Paramètres!$A$1:$I$88,3,0)*VLOOKUP('Données projet'!$B$14,Paramètres!$A$1:$I$88,5,0)</f>
        <v>28.538087397553639</v>
      </c>
      <c r="DQ17" s="14">
        <f t="shared" si="43"/>
        <v>8.903596588218921</v>
      </c>
      <c r="DR17" s="22">
        <f t="shared" si="16"/>
        <v>65.210932941887208</v>
      </c>
      <c r="DS17" s="62">
        <f t="shared" si="17"/>
        <v>267.24079471416042</v>
      </c>
      <c r="DT17" s="62">
        <f ca="1">AVERAGE(OFFSET($DS$3,0,0,'Données projet'!$E$14+1,1))-AVERAGE(OFFSET($H$3,0,0,'Données projet'!$E$14+1,1))</f>
        <v>432.59662347701629</v>
      </c>
      <c r="DU17" s="62">
        <f t="shared" si="44"/>
        <v>348.67401091099748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projet'!$B$14,Paramètres!$A$1:$I$88,3,0)*0.475*44/12</f>
        <v>0</v>
      </c>
      <c r="EB17" s="23">
        <f>EXP(-LN(2)/25)*EB16+(1-EXP(-LN(2)/25))/(LN(2)/25)*Calculateur!DW17*Calculateur!DY17*VLOOKUP('Données projet'!$B$14,Paramètres!$A$1:$I$88,3,0)*0.475*44/12</f>
        <v>0</v>
      </c>
      <c r="EC17" s="23">
        <f>EXP(-LN(2)/2)*EC16+(1-EXP(-LN(2)/2))/(LN(2)/2)*DW17*DZ17*VLOOKUP('Données projet'!$B$14,Paramètres!$A$1:$I$88,3,0)*0.475*44/12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6.666666666666667</v>
      </c>
      <c r="EJ17" s="13">
        <f>IF('Données projet'!$A$192&gt;35,EJ16+EI17-ER16,IF(A17&lt;'Données projet'!$A$192,$EG$205^A17,IF(A17='Données projet'!$A$192,'Données projet'!$B$192,EJ16+EI17-ER16)))</f>
        <v>73.56422544596424</v>
      </c>
      <c r="EK17" s="18">
        <f>EJ17*VLOOKUP('Données projet'!$B$15,Paramètres!$A$1:$I$88,3,0)*VLOOKUP('Données projet'!$B$15,Paramètres!$A$1:$I$88,5,0)</f>
        <v>32.515387647116199</v>
      </c>
      <c r="EL17" s="14">
        <f t="shared" si="45"/>
        <v>9.9915726085526533</v>
      </c>
      <c r="EM17" s="22">
        <f t="shared" si="19"/>
        <v>74.032955778623247</v>
      </c>
      <c r="EN17" s="62">
        <f t="shared" si="20"/>
        <v>276.06281755089645</v>
      </c>
      <c r="EO17" s="62">
        <f ca="1">AVERAGE(OFFSET($EN$3,0,0,'Données projet'!$E$15+1,1))-AVERAGE(OFFSET($H$3,0,0,'Données projet'!$E$15+1,1))</f>
        <v>582.26951914082088</v>
      </c>
      <c r="EP17" s="62">
        <f t="shared" si="46"/>
        <v>434.80429932654715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projet'!$B$15,Paramètres!$A$1:$I$88,3,0)*0.475*44/12</f>
        <v>0</v>
      </c>
      <c r="EW17" s="23">
        <f>EXP(-LN(2)/25)*EW16+(1-EXP(-LN(2)/25))/(LN(2)/25)*Calculateur!ER17*Calculateur!ET17*VLOOKUP('Données projet'!$B$15,Paramètres!$A$1:$I$88,3,0)*0.475*44/12</f>
        <v>0</v>
      </c>
      <c r="EX17" s="23">
        <f>EXP(-LN(2)/2)*EX16+(1-EXP(-LN(2)/2))/(LN(2)/2)*ER17*EU17*VLOOKUP('Données projet'!$B$15,Paramètres!$A$1:$I$88,3,0)*0.475*44/12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1.4</v>
      </c>
      <c r="FE17" s="13">
        <f>IF('Données projet'!$A$218&gt;35,FE16+FD17-FM16,IF(A17&lt;'Données projet'!$A$218,$FB$205^A17,IF(A17='Données projet'!$A$218,'Données projet'!$B$218,FE16+FD17-FM16)))</f>
        <v>10.304113218507704</v>
      </c>
      <c r="FF17" s="18">
        <f>FE17*VLOOKUP('Données projet'!$B$16,Paramètres!$A$1:$I$88,3,0)*VLOOKUP('Données projet'!$B$16,Paramètres!$A$1:$I$88,5,0)</f>
        <v>4.8223249862616049</v>
      </c>
      <c r="FG17" s="14">
        <f t="shared" si="47"/>
        <v>1.8504505600260996</v>
      </c>
      <c r="FH17" s="22">
        <f t="shared" si="22"/>
        <v>11.621750743117751</v>
      </c>
      <c r="FI17" s="62">
        <f t="shared" si="23"/>
        <v>213.65161251539095</v>
      </c>
      <c r="FJ17" s="62">
        <f ca="1">AVERAGE(OFFSET($FI$3,0,0,'Données projet'!$E$16+1,1))-AVERAGE(OFFSET($H$3,0,0,'Données projet'!$E$16+1,1))</f>
        <v>429.87867712133851</v>
      </c>
      <c r="FK17" s="62">
        <f t="shared" si="48"/>
        <v>182.81277865988014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projet'!$B$16,Paramètres!$A$1:$I$88,3,0)*0.475*44/12</f>
        <v>0</v>
      </c>
      <c r="FR17" s="23">
        <f>EXP(-LN(2)/25)*FR16+(1-EXP(-LN(2)/25))/(LN(2)/25)*Calculateur!FM17*Calculateur!FO17*VLOOKUP('Données projet'!$B$16,Paramètres!$A$1:$I$88,3,0)*0.475*44/12</f>
        <v>0</v>
      </c>
      <c r="FS17" s="23">
        <f>EXP(-LN(2)/2)*FS16+(1-EXP(-LN(2)/2))/(LN(2)/2)*FM17*FP17*VLOOKUP('Données projet'!$B$16,Paramètres!$A$1:$I$88,3,0)*0.475*44/12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6.0588235294117645</v>
      </c>
      <c r="FZ17" s="13">
        <f>IF('Données projet'!$A$244&gt;35,FZ16+FY17-GH16,IF(A17&lt;'Données projet'!$A$244,$FW$205^A17,IF(A17='Données projet'!$A$244,'Données projet'!$B$244,FZ16+FY17-GH16)))</f>
        <v>45.460128149246948</v>
      </c>
      <c r="GA17" s="18">
        <f>FZ17*VLOOKUP('Données projet'!$B$17,Paramètres!$A$1:$I$88,3,0)*VLOOKUP('Données projet'!$B$17,Paramètres!$A$1:$I$88,5,0)</f>
        <v>21.866321639787781</v>
      </c>
      <c r="GB17" s="14">
        <f t="shared" si="49"/>
        <v>7.0368436504947942</v>
      </c>
      <c r="GC17" s="22">
        <f t="shared" si="25"/>
        <v>50.339679547242149</v>
      </c>
      <c r="GD17" s="62">
        <f t="shared" si="26"/>
        <v>252.36954131951535</v>
      </c>
      <c r="GE17" s="62">
        <f ca="1">AVERAGE(OFFSET($GD$3,0,0,'Données projet'!$E$17+1,1))-AVERAGE(OFFSET($H$3,0,0,'Données projet'!$E$17+1,1))</f>
        <v>273.24375559399846</v>
      </c>
      <c r="GF17" s="62">
        <f t="shared" si="50"/>
        <v>270.77718895097848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projet'!$B$17,Paramètres!$A$1:$I$88,3,0)*0.475*44/12</f>
        <v>0</v>
      </c>
      <c r="GM17" s="23">
        <f>EXP(-LN(2)/25)*GM16+(1-EXP(-LN(2)/25))/(LN(2)/25)*Calculateur!GH17*Calculateur!GJ17*VLOOKUP('Données projet'!$B$17,Paramètres!$A$1:$I$88,3,0)*0.475*44/12</f>
        <v>0</v>
      </c>
      <c r="GN17" s="23">
        <f>EXP(-LN(2)/2)*GN16+(1-EXP(-LN(2)/2))/(LN(2)/2)*GH17*GK17*VLOOKUP('Données projet'!$B$17,Paramètres!$A$1:$I$88,3,0)*0.475*44/12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10</v>
      </c>
      <c r="N18" s="14">
        <f>IF('Données projet'!$A$36&gt;35,N17+M18-V17,IF(A18&lt;'Données projet'!$A$36,$K$205^A18,IF(A18='Données projet'!$A$36,'Données projet'!$B$36,N17+M18-V17)))</f>
        <v>20.463386960449924</v>
      </c>
      <c r="O18" s="14">
        <f>N18*VLOOKUP('Données projet'!$B$9,Paramètres!$A$1:$I$88,3,0)*VLOOKUP('Données projet'!$B$9,Paramètres!$A$1:$I$88,5,0)</f>
        <v>11.439033310891507</v>
      </c>
      <c r="P18" s="14">
        <f t="shared" si="33"/>
        <v>3.9695828639611657</v>
      </c>
      <c r="Q18" s="22">
        <f t="shared" si="2"/>
        <v>26.836673171201735</v>
      </c>
      <c r="R18" s="62">
        <f t="shared" si="0"/>
        <v>231.33342310408278</v>
      </c>
      <c r="S18" s="62">
        <f ca="1">AVERAGE(OFFSET($R$3,0,0,'Données projet'!$E$9+1,1))-AVERAGE(OFFSET($H$3,0,0,'Données projet'!$E$9+1,1))</f>
        <v>289.94242154211224</v>
      </c>
      <c r="T18" s="62">
        <f t="shared" si="34"/>
        <v>369.12599166143661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6.8965517241379309E-2</v>
      </c>
      <c r="AI18" s="14">
        <f>IF('Données projet'!$A$62&gt;35,AI17+AH18-AQ17,IF(A18&lt;'Données projet'!$A$62,$AF$205^A18,IF(A18='Données projet'!$A$62,'Données projet'!$B$62,AI17+AH18-AQ17)))</f>
        <v>1.4312159587211111</v>
      </c>
      <c r="AJ18" s="14">
        <f>AI18*VLOOKUP('Données projet'!$B$10,Paramètres!$A$1:$I$88,3,0)*VLOOKUP('Données projet'!$B$10,Paramètres!$A$1:$I$88,5,0)</f>
        <v>1.2949641994508612</v>
      </c>
      <c r="AK18" s="14">
        <f t="shared" si="35"/>
        <v>0.57908594387292645</v>
      </c>
      <c r="AL18" s="22">
        <f t="shared" si="4"/>
        <v>3.2639706662889298</v>
      </c>
      <c r="AM18" s="62">
        <f t="shared" si="5"/>
        <v>207.76072059916999</v>
      </c>
      <c r="AN18" s="62">
        <f ca="1">AVERAGE(OFFSET($AM$3,0,0,'Données projet'!$E$10+1,1))-AVERAGE(OFFSET($H$3,0,0,'Données projet'!$E$10+1,1))</f>
        <v>518.31628039365785</v>
      </c>
      <c r="AO18" s="62">
        <f t="shared" si="36"/>
        <v>66.435071953154761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6.8965517241379309E-2</v>
      </c>
      <c r="BD18" s="13">
        <f>IF('Données projet'!$A$88&gt;35,BD17+BC18-BL17,IF(A18&lt;'Données projet'!$A$88,$BA$205^A18,IF(A18='Données projet'!$A$88,'Données projet'!$B$88,BD17+BC18-BL17)))</f>
        <v>1.4312159587211111</v>
      </c>
      <c r="BE18" s="14">
        <f>BD18*VLOOKUP('Données projet'!$B$11,Paramètres!$A$1:$I$88,3,0)*VLOOKUP('Données projet'!$B$11,Paramètres!$A$1:$I$88,5,0)</f>
        <v>1.4512529821432067</v>
      </c>
      <c r="BF18" s="14">
        <f t="shared" si="37"/>
        <v>0.6404250196421476</v>
      </c>
      <c r="BG18" s="22">
        <f t="shared" si="7"/>
        <v>3.6430058531094924</v>
      </c>
      <c r="BH18" s="62">
        <f t="shared" si="8"/>
        <v>208.13975578599053</v>
      </c>
      <c r="BI18" s="62">
        <f ca="1">AVERAGE(OFFSET($BH$3,0,0,'Données projet'!$E$11+1,1))-AVERAGE(OFFSET($H$3,0,0,'Données projet'!$E$11+1,1))</f>
        <v>570.2785736203931</v>
      </c>
      <c r="BJ18" s="62">
        <f t="shared" si="38"/>
        <v>67.677759965081719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11.374999999999998</v>
      </c>
      <c r="BY18" s="13">
        <f>IF('Données projet'!$A$114&gt;35,BY17+BX18-CG17,IF(A18&lt;'Données projet'!$A$114,$BV$205^A18,IF(A18='Données projet'!$A$114,'Données projet'!$B$114,BY17+BX18-CG17)))</f>
        <v>69.724999999999994</v>
      </c>
      <c r="BZ18" s="14">
        <f>BY18*VLOOKUP('Données projet'!$B$12,Paramètres!$A$1:$I$88,3,0)*VLOOKUP('Données projet'!$B$12,Paramètres!$A$1:$I$88,5,0)</f>
        <v>41.695549999999997</v>
      </c>
      <c r="CA18" s="14">
        <f t="shared" si="39"/>
        <v>12.44696103243596</v>
      </c>
      <c r="CB18" s="22">
        <f t="shared" si="10"/>
        <v>94.298206714825952</v>
      </c>
      <c r="CC18" s="62">
        <f t="shared" si="11"/>
        <v>298.79495664770701</v>
      </c>
      <c r="CD18" s="62">
        <f ca="1">AVERAGE(OFFSET($CC$3,0,0,'Données projet'!$E$12+1,1))-AVERAGE(OFFSET($H$3,0,0,'Données projet'!$E$12+1,1))</f>
        <v>401.1031790385295</v>
      </c>
      <c r="CE18" s="62">
        <f t="shared" si="40"/>
        <v>402.09589424130615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projet'!$B$12,Paramètres!$A$1:$I$88,3,0)*0.475*44/12</f>
        <v>0</v>
      </c>
      <c r="CL18" s="23">
        <f>EXP(-LN(2)/25)*CL17+(1-EXP(-LN(2)/25))/(LN(2)/25)*Calculateur!CG18*Calculateur!CI18*VLOOKUP('Données projet'!$B$12,Paramètres!$A$1:$I$88,3,0)*0.475*44/12</f>
        <v>0</v>
      </c>
      <c r="CM18" s="23">
        <f>EXP(-LN(2)/2)*CM17+(1-EXP(-LN(2)/2))/(LN(2)/2)*CG18*CJ18*VLOOKUP('Données projet'!$B$12,Paramètres!$A$1:$I$88,3,0)*0.475*44/12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11.374999999999998</v>
      </c>
      <c r="CT18" s="13">
        <f>IF('Données projet'!$A$140&gt;35,CT17+CS18-DB17,IF(A18&lt;'Données projet'!$A$140,$CQ$205^A18,IF(A18='Données projet'!$A$140,'Données projet'!$B$140,CT17+CS18-DB17)))</f>
        <v>69.724999999999994</v>
      </c>
      <c r="CU18" s="18">
        <f>CT18*VLOOKUP('Données projet'!$B$13,Paramètres!$A$1:$I$88,3,0)*VLOOKUP('Données projet'!$B$13,Paramètres!$A$1:$I$88,5,0)</f>
        <v>41.695549999999997</v>
      </c>
      <c r="CV18" s="14">
        <f t="shared" si="41"/>
        <v>12.44696103243596</v>
      </c>
      <c r="CW18" s="22">
        <f t="shared" si="13"/>
        <v>94.298206714825952</v>
      </c>
      <c r="CX18" s="62">
        <f t="shared" si="14"/>
        <v>298.79495664770701</v>
      </c>
      <c r="CY18" s="62">
        <f ca="1">AVERAGE(OFFSET($CX$3,0,0,'Données projet'!$E$13+1,1))-AVERAGE(OFFSET($H$3,0,0,'Données projet'!$E$13+1,1))</f>
        <v>401.1031790385295</v>
      </c>
      <c r="CZ18" s="62">
        <f t="shared" si="42"/>
        <v>402.09589424130615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projet'!$B$13,Paramètres!$A$1:$I$88,3,0)*0.475*44/12</f>
        <v>0</v>
      </c>
      <c r="DG18" s="23">
        <f>EXP(-LN(2)/25)*DG17+(1-EXP(-LN(2)/25))/(LN(2)/25)*Calculateur!DB18*Calculateur!DD18*VLOOKUP('Données projet'!$B$13,Paramètres!$A$1:$I$88,3,0)*0.475*44/12</f>
        <v>0</v>
      </c>
      <c r="DH18" s="23">
        <f>EXP(-LN(2)/2)*DH17+(1-EXP(-LN(2)/2))/(LN(2)/2)*DB18*DE18*VLOOKUP('Données projet'!$B$13,Paramètres!$A$1:$I$88,3,0)*0.475*44/12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96</v>
      </c>
      <c r="DM18" s="13">
        <f>VLOOKUP(A18,'Données projet'!$A$165:$I$185,9,0)</f>
        <v>6.4</v>
      </c>
      <c r="DN18" s="13">
        <f t="array" ref="DN18">INDEX(DM:DM,MIN(IF(ISNUMBER(DM18:DM214),ROW(DM18:DM214),"")))</f>
        <v>6.4</v>
      </c>
      <c r="DO18" s="13">
        <f>IF('Données projet'!$A$166&gt;35,DO17+DN18-DW17,IF(A18&lt;'Données projet'!$A$166,$DL$205^A18,IF(A18='Données projet'!$A$166,'Données projet'!$B$166,DO17+DN18-DW17)))</f>
        <v>96</v>
      </c>
      <c r="DP18" s="18">
        <f>DO18*VLOOKUP('Données projet'!$B$14,Paramètres!$A$1:$I$88,3,0)*VLOOKUP('Données projet'!$B$14,Paramètres!$A$1:$I$88,5,0)</f>
        <v>38.687999999999995</v>
      </c>
      <c r="DQ18" s="14">
        <f t="shared" si="43"/>
        <v>11.650229083154349</v>
      </c>
      <c r="DR18" s="22">
        <f t="shared" si="16"/>
        <v>87.672415653160485</v>
      </c>
      <c r="DS18" s="62">
        <f t="shared" si="17"/>
        <v>292.16916558604152</v>
      </c>
      <c r="DT18" s="62">
        <f ca="1">AVERAGE(OFFSET($DS$3,0,0,'Données projet'!$E$14+1,1))-AVERAGE(OFFSET($H$3,0,0,'Données projet'!$E$14+1,1))</f>
        <v>432.59662347701629</v>
      </c>
      <c r="DU18" s="62">
        <f t="shared" si="44"/>
        <v>348.67401091099748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projet'!$B$14,Paramètres!$A$1:$I$88,3,0)*0.475*44/12</f>
        <v>0</v>
      </c>
      <c r="EB18" s="23">
        <f>EXP(-LN(2)/25)*EB17+(1-EXP(-LN(2)/25))/(LN(2)/25)*Calculateur!DW18*Calculateur!DY18*VLOOKUP('Données projet'!$B$14,Paramètres!$A$1:$I$88,3,0)*0.475*44/12</f>
        <v>0</v>
      </c>
      <c r="EC18" s="23">
        <f>EXP(-LN(2)/2)*EC17+(1-EXP(-LN(2)/2))/(LN(2)/2)*DW18*DZ18*VLOOKUP('Données projet'!$B$14,Paramètres!$A$1:$I$88,3,0)*0.475*44/12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100</v>
      </c>
      <c r="EH18" s="13">
        <f>VLOOKUP(A18,'Données projet'!$A$191:$I$211,9,0)</f>
        <v>6.666666666666667</v>
      </c>
      <c r="EI18" s="13">
        <f t="array" ref="EI18">INDEX(EH:EH,MIN(IF(ISNUMBER(EH18:EH214),ROW(EH18:EH214),"")))</f>
        <v>6.666666666666667</v>
      </c>
      <c r="EJ18" s="13">
        <f>IF('Données projet'!$A$192&gt;35,EJ17+EI18-ER17,IF(A18&lt;'Données projet'!$A$192,$EG$205^A18,IF(A18='Données projet'!$A$192,'Données projet'!$B$192,EJ17+EI18-ER17)))</f>
        <v>100</v>
      </c>
      <c r="EK18" s="18">
        <f>EJ18*VLOOKUP('Données projet'!$B$15,Paramètres!$A$1:$I$88,3,0)*VLOOKUP('Données projet'!$B$15,Paramètres!$A$1:$I$88,5,0)</f>
        <v>44.2</v>
      </c>
      <c r="EL18" s="14">
        <f t="shared" si="45"/>
        <v>13.105306488370367</v>
      </c>
      <c r="EM18" s="22">
        <f t="shared" si="19"/>
        <v>99.806742133911712</v>
      </c>
      <c r="EN18" s="62">
        <f t="shared" si="20"/>
        <v>304.30349206679273</v>
      </c>
      <c r="EO18" s="62">
        <f ca="1">AVERAGE(OFFSET($EN$3,0,0,'Données projet'!$E$15+1,1))-AVERAGE(OFFSET($H$3,0,0,'Données projet'!$E$15+1,1))</f>
        <v>582.26951914082088</v>
      </c>
      <c r="EP18" s="62">
        <f t="shared" si="46"/>
        <v>434.80429932654715</v>
      </c>
      <c r="EQ18" s="16">
        <f>IF(ISNA(VLOOKUP(A18,'Données projet'!$A$191:$I$211,3,0)),0,VLOOKUP(A18,'Données projet'!$A$191:$I$211,3,0))</f>
        <v>1</v>
      </c>
      <c r="ER18" s="16">
        <f>IF(ISNA(VLOOKUP(A18,'Données projet'!$A$191:$I$211,4,0)),0,VLOOKUP(A18,'Données projet'!$A$191:$I$211,4,0))</f>
        <v>13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0.55000000000000004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projet'!$B$15,Paramètres!$A$1:$I$88,3,0)*0.475*44/12</f>
        <v>0</v>
      </c>
      <c r="EW18" s="23">
        <f>EXP(-LN(2)/25)*EW17+(1-EXP(-LN(2)/25))/(LN(2)/25)*Calculateur!ER18*Calculateur!ET18*VLOOKUP('Données projet'!$B$15,Paramètres!$A$1:$I$88,3,0)*0.475*44/12</f>
        <v>4.1758348020479312</v>
      </c>
      <c r="EX18" s="23">
        <f>EXP(-LN(2)/2)*EX17+(1-EXP(-LN(2)/2))/(LN(2)/2)*ER18*EU18*VLOOKUP('Données projet'!$B$15,Paramètres!$A$1:$I$88,3,0)*0.475*44/12</f>
        <v>0</v>
      </c>
      <c r="EY18" s="24">
        <f t="shared" si="21"/>
        <v>4.1758348020479312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1.4</v>
      </c>
      <c r="FE18" s="13">
        <f>IF('Données projet'!$A$218&gt;35,FE17+FD18-FM17,IF(A18&lt;'Données projet'!$A$218,$FB$205^A18,IF(A18='Données projet'!$A$218,'Données projet'!$B$218,FE17+FD18-FM17)))</f>
        <v>12.172184414459773</v>
      </c>
      <c r="FF18" s="18">
        <f>FE18*VLOOKUP('Données projet'!$B$16,Paramètres!$A$1:$I$88,3,0)*VLOOKUP('Données projet'!$B$16,Paramètres!$A$1:$I$88,5,0)</f>
        <v>5.6965823059671736</v>
      </c>
      <c r="FG18" s="14">
        <f t="shared" si="47"/>
        <v>2.1439414855686696</v>
      </c>
      <c r="FH18" s="22">
        <f t="shared" si="22"/>
        <v>13.655578936924925</v>
      </c>
      <c r="FI18" s="62">
        <f t="shared" si="23"/>
        <v>218.15232886980596</v>
      </c>
      <c r="FJ18" s="62">
        <f ca="1">AVERAGE(OFFSET($FI$3,0,0,'Données projet'!$E$16+1,1))-AVERAGE(OFFSET($H$3,0,0,'Données projet'!$E$16+1,1))</f>
        <v>429.87867712133851</v>
      </c>
      <c r="FK18" s="62">
        <f t="shared" si="48"/>
        <v>182.81277865988014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projet'!$B$16,Paramètres!$A$1:$I$88,3,0)*0.475*44/12</f>
        <v>0</v>
      </c>
      <c r="FR18" s="23">
        <f>EXP(-LN(2)/25)*FR17+(1-EXP(-LN(2)/25))/(LN(2)/25)*Calculateur!FM18*Calculateur!FO18*VLOOKUP('Données projet'!$B$16,Paramètres!$A$1:$I$88,3,0)*0.475*44/12</f>
        <v>0</v>
      </c>
      <c r="FS18" s="23">
        <f>EXP(-LN(2)/2)*FS17+(1-EXP(-LN(2)/2))/(LN(2)/2)*FM18*FP18*VLOOKUP('Données projet'!$B$16,Paramètres!$A$1:$I$88,3,0)*0.475*44/12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6.0588235294117645</v>
      </c>
      <c r="FZ18" s="13">
        <f>IF('Données projet'!$A$244&gt;35,FZ17+FY18-GH17,IF(A18&lt;'Données projet'!$A$244,$FW$205^A18,IF(A18='Données projet'!$A$244,'Données projet'!$B$244,FZ17+FY18-GH17)))</f>
        <v>59.708044157024418</v>
      </c>
      <c r="GA18" s="18">
        <f>FZ18*VLOOKUP('Données projet'!$B$17,Paramètres!$A$1:$I$88,3,0)*VLOOKUP('Données projet'!$B$17,Paramètres!$A$1:$I$88,5,0)</f>
        <v>28.719569239528745</v>
      </c>
      <c r="GB18" s="14">
        <f t="shared" si="49"/>
        <v>8.9536079993759188</v>
      </c>
      <c r="GC18" s="22">
        <f t="shared" si="25"/>
        <v>65.614117024425624</v>
      </c>
      <c r="GD18" s="62">
        <f t="shared" si="26"/>
        <v>270.11086695730665</v>
      </c>
      <c r="GE18" s="62">
        <f ca="1">AVERAGE(OFFSET($GD$3,0,0,'Données projet'!$E$17+1,1))-AVERAGE(OFFSET($H$3,0,0,'Données projet'!$E$17+1,1))</f>
        <v>273.24375559399846</v>
      </c>
      <c r="GF18" s="62">
        <f t="shared" si="50"/>
        <v>270.77718895097848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projet'!$B$17,Paramètres!$A$1:$I$88,3,0)*0.475*44/12</f>
        <v>0</v>
      </c>
      <c r="GM18" s="23">
        <f>EXP(-LN(2)/25)*GM17+(1-EXP(-LN(2)/25))/(LN(2)/25)*Calculateur!GH18*Calculateur!GJ18*VLOOKUP('Données projet'!$B$17,Paramètres!$A$1:$I$88,3,0)*0.475*44/12</f>
        <v>0</v>
      </c>
      <c r="GN18" s="23">
        <f>EXP(-LN(2)/2)*GN17+(1-EXP(-LN(2)/2))/(LN(2)/2)*GH18*GK18*VLOOKUP('Données projet'!$B$17,Paramètres!$A$1:$I$88,3,0)*0.475*44/12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10</v>
      </c>
      <c r="N19" s="14">
        <f>IF('Données projet'!$A$36&gt;35,N18+M19-V18,IF(A19&lt;'Données projet'!$A$36,$K$205^A19,IF(A19='Données projet'!$A$36,'Données projet'!$B$36,N18+M19-V18)))</f>
        <v>25.025111312405731</v>
      </c>
      <c r="O19" s="14">
        <f>N19*VLOOKUP('Données projet'!$B$9,Paramètres!$A$1:$I$88,3,0)*VLOOKUP('Données projet'!$B$9,Paramètres!$A$1:$I$88,5,0)</f>
        <v>13.989037223634803</v>
      </c>
      <c r="P19" s="14">
        <f t="shared" si="33"/>
        <v>4.7420943191401852</v>
      </c>
      <c r="Q19" s="22">
        <f t="shared" si="2"/>
        <v>32.623387436999771</v>
      </c>
      <c r="R19" s="62">
        <f t="shared" si="0"/>
        <v>239.56543335911383</v>
      </c>
      <c r="S19" s="62">
        <f ca="1">AVERAGE(OFFSET($R$3,0,0,'Données projet'!$E$9+1,1))-AVERAGE(OFFSET($H$3,0,0,'Données projet'!$E$9+1,1))</f>
        <v>289.94242154211224</v>
      </c>
      <c r="T19" s="62">
        <f t="shared" si="34"/>
        <v>369.12599166143661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6.8965517241379309E-2</v>
      </c>
      <c r="AI19" s="14">
        <f>IF('Données projet'!$A$62&gt;35,AI18+AH19-AQ18,IF(A19&lt;'Données projet'!$A$62,$AF$205^A19,IF(A19='Données projet'!$A$62,'Données projet'!$B$62,AI18+AH19-AQ18)))</f>
        <v>1.4658364433839217</v>
      </c>
      <c r="AJ19" s="14">
        <f>AI19*VLOOKUP('Données projet'!$B$10,Paramètres!$A$1:$I$88,3,0)*VLOOKUP('Données projet'!$B$10,Paramètres!$A$1:$I$88,5,0)</f>
        <v>1.3262888139737723</v>
      </c>
      <c r="AK19" s="14">
        <f t="shared" si="35"/>
        <v>0.59144599596945091</v>
      </c>
      <c r="AL19" s="22">
        <f t="shared" si="4"/>
        <v>3.3400547939844469</v>
      </c>
      <c r="AM19" s="62">
        <f t="shared" si="5"/>
        <v>210.28210071609851</v>
      </c>
      <c r="AN19" s="62">
        <f ca="1">AVERAGE(OFFSET($AM$3,0,0,'Données projet'!$E$10+1,1))-AVERAGE(OFFSET($H$3,0,0,'Données projet'!$E$10+1,1))</f>
        <v>518.31628039365785</v>
      </c>
      <c r="AO19" s="62">
        <f t="shared" si="36"/>
        <v>66.435071953154761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6.8965517241379309E-2</v>
      </c>
      <c r="BD19" s="13">
        <f>IF('Données projet'!$A$88&gt;35,BD18+BC19-BL18,IF(A19&lt;'Données projet'!$A$88,$BA$205^A19,IF(A19='Données projet'!$A$88,'Données projet'!$B$88,BD18+BC19-BL18)))</f>
        <v>1.4658364433839217</v>
      </c>
      <c r="BE19" s="14">
        <f>BD19*VLOOKUP('Données projet'!$B$11,Paramètres!$A$1:$I$88,3,0)*VLOOKUP('Données projet'!$B$11,Paramètres!$A$1:$I$88,5,0)</f>
        <v>1.4863581535912966</v>
      </c>
      <c r="BF19" s="14">
        <f t="shared" si="37"/>
        <v>0.65409429739003155</v>
      </c>
      <c r="BG19" s="22">
        <f t="shared" si="7"/>
        <v>3.7279546854591459</v>
      </c>
      <c r="BH19" s="62">
        <f t="shared" si="8"/>
        <v>210.6700006075732</v>
      </c>
      <c r="BI19" s="62">
        <f ca="1">AVERAGE(OFFSET($BH$3,0,0,'Données projet'!$E$11+1,1))-AVERAGE(OFFSET($H$3,0,0,'Données projet'!$E$11+1,1))</f>
        <v>570.2785736203931</v>
      </c>
      <c r="BJ19" s="62">
        <f t="shared" si="38"/>
        <v>67.677759965081719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>
        <f>VLOOKUP(A19,'Données projet'!$A$113:$I$133,2,0)</f>
        <v>81.099999999999994</v>
      </c>
      <c r="BW19" s="13">
        <f>VLOOKUP(A19,'Données projet'!$A$113:$I$133,9,0)</f>
        <v>11.374999999999998</v>
      </c>
      <c r="BX19" s="13">
        <f t="array" ref="BX19">INDEX(BW:BW,MIN(IF(ISNUMBER(BW19:BW215),ROW(BW19:BW215),"")))</f>
        <v>11.374999999999998</v>
      </c>
      <c r="BY19" s="13">
        <f>IF('Données projet'!$A$114&gt;35,BY18+BX19-CG18,IF(A19&lt;'Données projet'!$A$114,$BV$205^A19,IF(A19='Données projet'!$A$114,'Données projet'!$B$114,BY18+BX19-CG18)))</f>
        <v>81.099999999999994</v>
      </c>
      <c r="BZ19" s="14">
        <f>BY19*VLOOKUP('Données projet'!$B$12,Paramètres!$A$1:$I$88,3,0)*VLOOKUP('Données projet'!$B$12,Paramètres!$A$1:$I$88,5,0)</f>
        <v>48.497799999999998</v>
      </c>
      <c r="CA19" s="14">
        <f t="shared" si="39"/>
        <v>14.225123901948342</v>
      </c>
      <c r="CB19" s="22">
        <f t="shared" si="10"/>
        <v>109.24242579589337</v>
      </c>
      <c r="CC19" s="62">
        <f t="shared" si="11"/>
        <v>316.18447171800744</v>
      </c>
      <c r="CD19" s="62">
        <f ca="1">AVERAGE(OFFSET($CC$3,0,0,'Données projet'!$E$12+1,1))-AVERAGE(OFFSET($H$3,0,0,'Données projet'!$E$12+1,1))</f>
        <v>401.1031790385295</v>
      </c>
      <c r="CE19" s="62">
        <f t="shared" si="40"/>
        <v>402.09589424130615</v>
      </c>
      <c r="CF19" s="16">
        <f>IF(ISNA(VLOOKUP(A19,'Données projet'!$A$113:$I$133,3,0)),0,VLOOKUP(A19,'Données projet'!$A$113:$I$133,3,0))</f>
        <v>1</v>
      </c>
      <c r="CG19" s="16">
        <f>IF(ISNA(VLOOKUP(A19,'Données projet'!$A$113:$I$133,4,0)),0,VLOOKUP(A19,'Données projet'!$A$113:$I$133,4,0))</f>
        <v>14.8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1</v>
      </c>
      <c r="CK19" s="23">
        <f>EXP(-LN(2)/35)*CK18+(1-EXP(-LN(2)/35))/(LN(2)/35)*CG19*CH19*VLOOKUP('Données projet'!$B$12,Paramètres!$A$1:$I$88,3,0)*0.475*44/12</f>
        <v>0</v>
      </c>
      <c r="CL19" s="23">
        <f>EXP(-LN(2)/25)*CL18+(1-EXP(-LN(2)/25))/(LN(2)/25)*Calculateur!CG19*Calculateur!CI19*VLOOKUP('Données projet'!$B$12,Paramètres!$A$1:$I$88,3,0)*0.475*44/12</f>
        <v>0</v>
      </c>
      <c r="CM19" s="23">
        <f>EXP(-LN(2)/2)*CM18+(1-EXP(-LN(2)/2))/(LN(2)/2)*CG19*CJ19*VLOOKUP('Données projet'!$B$12,Paramètres!$A$1:$I$88,3,0)*0.475*44/12</f>
        <v>10.020708726028236</v>
      </c>
      <c r="CN19" s="24">
        <f t="shared" si="12"/>
        <v>10.020708726028236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>
        <f>VLOOKUP(A19,'Données projet'!$A$139:$I$159,2,0)</f>
        <v>81.099999999999994</v>
      </c>
      <c r="CR19" s="13">
        <f>VLOOKUP(A19,'Données projet'!$A$139:$I$159,9,0)</f>
        <v>11.374999999999998</v>
      </c>
      <c r="CS19" s="13">
        <f t="array" ref="CS19">INDEX(CR:CR,MIN(IF(ISNUMBER(CR19:CR215),ROW(CR19:CR215),"")))</f>
        <v>11.374999999999998</v>
      </c>
      <c r="CT19" s="13">
        <f>IF('Données projet'!$A$140&gt;35,CT18+CS19-DB18,IF(A19&lt;'Données projet'!$A$140,$CQ$205^A19,IF(A19='Données projet'!$A$140,'Données projet'!$B$140,CT18+CS19-DB18)))</f>
        <v>81.099999999999994</v>
      </c>
      <c r="CU19" s="18">
        <f>CT19*VLOOKUP('Données projet'!$B$13,Paramètres!$A$1:$I$88,3,0)*VLOOKUP('Données projet'!$B$13,Paramètres!$A$1:$I$88,5,0)</f>
        <v>48.497799999999998</v>
      </c>
      <c r="CV19" s="14">
        <f t="shared" si="41"/>
        <v>14.225123901948342</v>
      </c>
      <c r="CW19" s="22">
        <f t="shared" si="13"/>
        <v>109.24242579589337</v>
      </c>
      <c r="CX19" s="62">
        <f t="shared" si="14"/>
        <v>316.18447171800744</v>
      </c>
      <c r="CY19" s="62">
        <f ca="1">AVERAGE(OFFSET($CX$3,0,0,'Données projet'!$E$13+1,1))-AVERAGE(OFFSET($H$3,0,0,'Données projet'!$E$13+1,1))</f>
        <v>401.1031790385295</v>
      </c>
      <c r="CZ19" s="62">
        <f t="shared" si="42"/>
        <v>402.09589424130615</v>
      </c>
      <c r="DA19" s="16">
        <f>IF(ISNA(VLOOKUP(A19,'Données projet'!$A$139:$I$159,3,0)),0,VLOOKUP(A19,'Données projet'!$A$139:$I$159,3,0))</f>
        <v>1</v>
      </c>
      <c r="DB19" s="16">
        <f>IF(ISNA(VLOOKUP(A19,'Données projet'!$A$139:$I$159,4,0)),0,VLOOKUP(A19,'Données projet'!$A$139:$I$159,4,0))</f>
        <v>14.8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1</v>
      </c>
      <c r="DF19" s="23">
        <f>EXP(-LN(2)/35)*DF18+(1-EXP(-LN(2)/35))/(LN(2)/35)*DB19*DC19*VLOOKUP('Données projet'!$B$13,Paramètres!$A$1:$I$88,3,0)*0.475*44/12</f>
        <v>0</v>
      </c>
      <c r="DG19" s="23">
        <f>EXP(-LN(2)/25)*DG18+(1-EXP(-LN(2)/25))/(LN(2)/25)*Calculateur!DB19*Calculateur!DD19*VLOOKUP('Données projet'!$B$13,Paramètres!$A$1:$I$88,3,0)*0.475*44/12</f>
        <v>0</v>
      </c>
      <c r="DH19" s="23">
        <f>EXP(-LN(2)/2)*DH18+(1-EXP(-LN(2)/2))/(LN(2)/2)*DB19*DE19*VLOOKUP('Données projet'!$B$13,Paramètres!$A$1:$I$88,3,0)*0.475*44/12</f>
        <v>10.020708726028236</v>
      </c>
      <c r="DI19" s="24">
        <f t="shared" si="15"/>
        <v>10.020708726028236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12.6</v>
      </c>
      <c r="DO19" s="13">
        <f>IF('Données projet'!$A$166&gt;35,DO18+DN19-DW18,IF(A19&lt;'Données projet'!$A$166,$DL$205^A19,IF(A19='Données projet'!$A$166,'Données projet'!$B$166,DO18+DN19-DW18)))</f>
        <v>108.6</v>
      </c>
      <c r="DP19" s="18">
        <f>DO19*VLOOKUP('Données projet'!$B$14,Paramètres!$A$1:$I$88,3,0)*VLOOKUP('Données projet'!$B$14,Paramètres!$A$1:$I$88,5,0)</f>
        <v>43.765799999999999</v>
      </c>
      <c r="DQ19" s="14">
        <f t="shared" si="43"/>
        <v>12.991486226903</v>
      </c>
      <c r="DR19" s="22">
        <f t="shared" si="16"/>
        <v>98.85227351185604</v>
      </c>
      <c r="DS19" s="62">
        <f t="shared" si="17"/>
        <v>305.79431943397009</v>
      </c>
      <c r="DT19" s="62">
        <f ca="1">AVERAGE(OFFSET($DS$3,0,0,'Données projet'!$E$14+1,1))-AVERAGE(OFFSET($H$3,0,0,'Données projet'!$E$14+1,1))</f>
        <v>432.59662347701629</v>
      </c>
      <c r="DU19" s="62">
        <f t="shared" si="44"/>
        <v>348.67401091099748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projet'!$B$14,Paramètres!$A$1:$I$88,3,0)*0.475*44/12</f>
        <v>0</v>
      </c>
      <c r="EB19" s="23">
        <f>EXP(-LN(2)/25)*EB18+(1-EXP(-LN(2)/25))/(LN(2)/25)*Calculateur!DW19*Calculateur!DY19*VLOOKUP('Données projet'!$B$14,Paramètres!$A$1:$I$88,3,0)*0.475*44/12</f>
        <v>0</v>
      </c>
      <c r="EC19" s="23">
        <f>EXP(-LN(2)/2)*EC18+(1-EXP(-LN(2)/2))/(LN(2)/2)*DW19*DZ19*VLOOKUP('Données projet'!$B$14,Paramètres!$A$1:$I$88,3,0)*0.475*44/12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13.6</v>
      </c>
      <c r="EJ19" s="13">
        <f>IF('Données projet'!$A$192&gt;35,EJ18+EI19-ER18,IF(A19&lt;'Données projet'!$A$192,$EG$205^A19,IF(A19='Données projet'!$A$192,'Données projet'!$B$192,EJ18+EI19-ER18)))</f>
        <v>100.6</v>
      </c>
      <c r="EK19" s="18">
        <f>EJ19*VLOOKUP('Données projet'!$B$15,Paramètres!$A$1:$I$88,3,0)*VLOOKUP('Données projet'!$B$15,Paramètres!$A$1:$I$88,5,0)</f>
        <v>44.465200000000003</v>
      </c>
      <c r="EL19" s="14">
        <f t="shared" si="45"/>
        <v>13.174761373150957</v>
      </c>
      <c r="EM19" s="22">
        <f t="shared" si="19"/>
        <v>100.38959939157125</v>
      </c>
      <c r="EN19" s="62">
        <f t="shared" si="20"/>
        <v>307.33164531368533</v>
      </c>
      <c r="EO19" s="62">
        <f ca="1">AVERAGE(OFFSET($EN$3,0,0,'Données projet'!$E$15+1,1))-AVERAGE(OFFSET($H$3,0,0,'Données projet'!$E$15+1,1))</f>
        <v>582.26951914082088</v>
      </c>
      <c r="EP19" s="62">
        <f t="shared" si="46"/>
        <v>434.80429932654715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projet'!$B$15,Paramètres!$A$1:$I$88,3,0)*0.475*44/12</f>
        <v>0</v>
      </c>
      <c r="EW19" s="23">
        <f>EXP(-LN(2)/25)*EW18+(1-EXP(-LN(2)/25))/(LN(2)/25)*Calculateur!ER19*Calculateur!ET19*VLOOKUP('Données projet'!$B$15,Paramètres!$A$1:$I$88,3,0)*0.475*44/12</f>
        <v>4.0616463797883222</v>
      </c>
      <c r="EX19" s="23">
        <f>EXP(-LN(2)/2)*EX18+(1-EXP(-LN(2)/2))/(LN(2)/2)*ER19*EU19*VLOOKUP('Données projet'!$B$15,Paramètres!$A$1:$I$88,3,0)*0.475*44/12</f>
        <v>0</v>
      </c>
      <c r="EY19" s="24">
        <f t="shared" si="21"/>
        <v>4.0616463797883222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1.4</v>
      </c>
      <c r="FE19" s="13">
        <f>IF('Données projet'!$A$218&gt;35,FE18+FD19-FM18,IF(A19&lt;'Données projet'!$A$218,$FB$205^A19,IF(A19='Données projet'!$A$218,'Données projet'!$B$218,FE18+FD19-FM18)))</f>
        <v>14.378925219250942</v>
      </c>
      <c r="FF19" s="18">
        <f>FE19*VLOOKUP('Données projet'!$B$16,Paramètres!$A$1:$I$88,3,0)*VLOOKUP('Données projet'!$B$16,Paramètres!$A$1:$I$88,5,0)</f>
        <v>6.7293370026094408</v>
      </c>
      <c r="FG19" s="14">
        <f t="shared" si="47"/>
        <v>2.4839815733728994</v>
      </c>
      <c r="FH19" s="22">
        <f t="shared" si="22"/>
        <v>16.04652985316924</v>
      </c>
      <c r="FI19" s="62">
        <f t="shared" si="23"/>
        <v>222.98857577528329</v>
      </c>
      <c r="FJ19" s="62">
        <f ca="1">AVERAGE(OFFSET($FI$3,0,0,'Données projet'!$E$16+1,1))-AVERAGE(OFFSET($H$3,0,0,'Données projet'!$E$16+1,1))</f>
        <v>429.87867712133851</v>
      </c>
      <c r="FK19" s="62">
        <f t="shared" si="48"/>
        <v>182.81277865988014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projet'!$B$16,Paramètres!$A$1:$I$88,3,0)*0.475*44/12</f>
        <v>0</v>
      </c>
      <c r="FR19" s="23">
        <f>EXP(-LN(2)/25)*FR18+(1-EXP(-LN(2)/25))/(LN(2)/25)*Calculateur!FM19*Calculateur!FO19*VLOOKUP('Données projet'!$B$16,Paramètres!$A$1:$I$88,3,0)*0.475*44/12</f>
        <v>0</v>
      </c>
      <c r="FS19" s="23">
        <f>EXP(-LN(2)/2)*FS18+(1-EXP(-LN(2)/2))/(LN(2)/2)*FM19*FP19*VLOOKUP('Données projet'!$B$16,Paramètres!$A$1:$I$88,3,0)*0.475*44/12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6.0588235294117645</v>
      </c>
      <c r="FZ19" s="13">
        <f>IF('Données projet'!$A$244&gt;35,FZ18+FY19-GH18,IF(A19&lt;'Données projet'!$A$244,$FW$205^A19,IF(A19='Données projet'!$A$244,'Données projet'!$B$244,FZ18+FY19-GH18)))</f>
        <v>78.42148014526073</v>
      </c>
      <c r="GA19" s="18">
        <f>FZ19*VLOOKUP('Données projet'!$B$17,Paramètres!$A$1:$I$88,3,0)*VLOOKUP('Données projet'!$B$17,Paramètres!$A$1:$I$88,5,0)</f>
        <v>37.720731949870412</v>
      </c>
      <c r="GB19" s="14">
        <f t="shared" si="49"/>
        <v>11.392479382549801</v>
      </c>
      <c r="GC19" s="22">
        <f t="shared" si="25"/>
        <v>85.53884307063187</v>
      </c>
      <c r="GD19" s="62">
        <f t="shared" si="26"/>
        <v>292.48088899274592</v>
      </c>
      <c r="GE19" s="62">
        <f ca="1">AVERAGE(OFFSET($GD$3,0,0,'Données projet'!$E$17+1,1))-AVERAGE(OFFSET($H$3,0,0,'Données projet'!$E$17+1,1))</f>
        <v>273.24375559399846</v>
      </c>
      <c r="GF19" s="62">
        <f t="shared" si="50"/>
        <v>270.77718895097848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projet'!$B$17,Paramètres!$A$1:$I$88,3,0)*0.475*44/12</f>
        <v>0</v>
      </c>
      <c r="GM19" s="23">
        <f>EXP(-LN(2)/25)*GM18+(1-EXP(-LN(2)/25))/(LN(2)/25)*Calculateur!GH19*Calculateur!GJ19*VLOOKUP('Données projet'!$B$17,Paramètres!$A$1:$I$88,3,0)*0.475*44/12</f>
        <v>0</v>
      </c>
      <c r="GN19" s="23">
        <f>EXP(-LN(2)/2)*GN18+(1-EXP(-LN(2)/2))/(LN(2)/2)*GH19*GK19*VLOOKUP('Données projet'!$B$17,Paramètres!$A$1:$I$88,3,0)*0.475*44/12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10</v>
      </c>
      <c r="N20" s="14">
        <f>IF('Données projet'!$A$36&gt;35,N19+M20-V19,IF(A20&lt;'Données projet'!$A$36,$K$205^A20,IF(A20='Données projet'!$A$36,'Données projet'!$B$36,N19+M20-V19)))</f>
        <v>30.603741081995736</v>
      </c>
      <c r="O20" s="14">
        <f>N20*VLOOKUP('Données projet'!$B$9,Paramètres!$A$1:$I$88,3,0)*VLOOKUP('Données projet'!$B$9,Paramètres!$A$1:$I$88,5,0)</f>
        <v>17.107491264835616</v>
      </c>
      <c r="P20" s="14">
        <f t="shared" si="33"/>
        <v>5.6649424643026176</v>
      </c>
      <c r="Q20" s="22">
        <f t="shared" si="2"/>
        <v>39.66198874491576</v>
      </c>
      <c r="R20" s="62">
        <f t="shared" si="0"/>
        <v>249.02811306078848</v>
      </c>
      <c r="S20" s="62">
        <f ca="1">AVERAGE(OFFSET($R$3,0,0,'Données projet'!$E$9+1,1))-AVERAGE(OFFSET($H$3,0,0,'Données projet'!$E$9+1,1))</f>
        <v>289.94242154211224</v>
      </c>
      <c r="T20" s="62">
        <f t="shared" si="34"/>
        <v>369.12599166143661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6.8965517241379309E-2</v>
      </c>
      <c r="AI20" s="14">
        <f>IF('Données projet'!$A$62&gt;35,AI19+AH20-AQ19,IF(A20&lt;'Données projet'!$A$62,$AF$205^A20,IF(A20='Données projet'!$A$62,'Données projet'!$B$62,AI19+AH20-AQ19)))</f>
        <v>1.5012943823463329</v>
      </c>
      <c r="AJ20" s="14">
        <f>AI20*VLOOKUP('Données projet'!$B$10,Paramètres!$A$1:$I$88,3,0)*VLOOKUP('Données projet'!$B$10,Paramètres!$A$1:$I$88,5,0)</f>
        <v>1.3583711571469621</v>
      </c>
      <c r="AK20" s="14">
        <f t="shared" si="35"/>
        <v>0.60406986190819556</v>
      </c>
      <c r="AL20" s="22">
        <f t="shared" si="4"/>
        <v>3.4179181081877323</v>
      </c>
      <c r="AM20" s="62">
        <f t="shared" si="5"/>
        <v>212.78404242406046</v>
      </c>
      <c r="AN20" s="62">
        <f ca="1">AVERAGE(OFFSET($AM$3,0,0,'Données projet'!$E$10+1,1))-AVERAGE(OFFSET($H$3,0,0,'Données projet'!$E$10+1,1))</f>
        <v>518.31628039365785</v>
      </c>
      <c r="AO20" s="62">
        <f t="shared" si="36"/>
        <v>66.435071953154761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6.8965517241379309E-2</v>
      </c>
      <c r="BD20" s="13">
        <f>IF('Données projet'!$A$88&gt;35,BD19+BC20-BL19,IF(A20&lt;'Données projet'!$A$88,$BA$205^A20,IF(A20='Données projet'!$A$88,'Données projet'!$B$88,BD19+BC20-BL19)))</f>
        <v>1.5012943823463329</v>
      </c>
      <c r="BE20" s="14">
        <f>BD20*VLOOKUP('Données projet'!$B$11,Paramètres!$A$1:$I$88,3,0)*VLOOKUP('Données projet'!$B$11,Paramètres!$A$1:$I$88,5,0)</f>
        <v>1.5223125036991818</v>
      </c>
      <c r="BF20" s="14">
        <f t="shared" si="37"/>
        <v>0.6680553331867396</v>
      </c>
      <c r="BG20" s="22">
        <f t="shared" si="7"/>
        <v>3.8148906492429799</v>
      </c>
      <c r="BH20" s="62">
        <f t="shared" si="8"/>
        <v>213.18101496511571</v>
      </c>
      <c r="BI20" s="62">
        <f ca="1">AVERAGE(OFFSET($BH$3,0,0,'Données projet'!$E$11+1,1))-AVERAGE(OFFSET($H$3,0,0,'Données projet'!$E$11+1,1))</f>
        <v>570.2785736203931</v>
      </c>
      <c r="BJ20" s="62">
        <f t="shared" si="38"/>
        <v>67.677759965081719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16.974999999999998</v>
      </c>
      <c r="BY20" s="13">
        <f>IF('Données projet'!$A$114&gt;35,BY19+BX20-CG19,IF(A20&lt;'Données projet'!$A$114,$BV$205^A20,IF(A20='Données projet'!$A$114,'Données projet'!$B$114,BY19+BX20-CG19)))</f>
        <v>83.274999999999991</v>
      </c>
      <c r="BZ20" s="14">
        <f>BY20*VLOOKUP('Données projet'!$B$12,Paramètres!$A$1:$I$88,3,0)*VLOOKUP('Données projet'!$B$12,Paramètres!$A$1:$I$88,5,0)</f>
        <v>49.798450000000003</v>
      </c>
      <c r="CA20" s="14">
        <f t="shared" si="39"/>
        <v>14.561696267260677</v>
      </c>
      <c r="CB20" s="22">
        <f t="shared" si="10"/>
        <v>112.09392141547899</v>
      </c>
      <c r="CC20" s="62">
        <f t="shared" si="11"/>
        <v>321.46004573135173</v>
      </c>
      <c r="CD20" s="62">
        <f ca="1">AVERAGE(OFFSET($CC$3,0,0,'Données projet'!$E$12+1,1))-AVERAGE(OFFSET($H$3,0,0,'Données projet'!$E$12+1,1))</f>
        <v>401.1031790385295</v>
      </c>
      <c r="CE20" s="62">
        <f t="shared" si="40"/>
        <v>402.09589424130615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projet'!$B$12,Paramètres!$A$1:$I$88,3,0)*0.475*44/12</f>
        <v>0</v>
      </c>
      <c r="CL20" s="23">
        <f>EXP(-LN(2)/25)*CL19+(1-EXP(-LN(2)/25))/(LN(2)/25)*Calculateur!CG20*Calculateur!CI20*VLOOKUP('Données projet'!$B$12,Paramètres!$A$1:$I$88,3,0)*0.475*44/12</f>
        <v>0</v>
      </c>
      <c r="CM20" s="23">
        <f>EXP(-LN(2)/2)*CM19+(1-EXP(-LN(2)/2))/(LN(2)/2)*CG20*CJ20*VLOOKUP('Données projet'!$B$12,Paramètres!$A$1:$I$88,3,0)*0.475*44/12</f>
        <v>7.0857110924697757</v>
      </c>
      <c r="CN20" s="24">
        <f t="shared" si="12"/>
        <v>7.0857110924697757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16.974999999999998</v>
      </c>
      <c r="CT20" s="13">
        <f>IF('Données projet'!$A$140&gt;35,CT19+CS20-DB19,IF(A20&lt;'Données projet'!$A$140,$CQ$205^A20,IF(A20='Données projet'!$A$140,'Données projet'!$B$140,CT19+CS20-DB19)))</f>
        <v>83.274999999999991</v>
      </c>
      <c r="CU20" s="18">
        <f>CT20*VLOOKUP('Données projet'!$B$13,Paramètres!$A$1:$I$88,3,0)*VLOOKUP('Données projet'!$B$13,Paramètres!$A$1:$I$88,5,0)</f>
        <v>49.798450000000003</v>
      </c>
      <c r="CV20" s="14">
        <f t="shared" si="41"/>
        <v>14.561696267260677</v>
      </c>
      <c r="CW20" s="22">
        <f t="shared" si="13"/>
        <v>112.09392141547899</v>
      </c>
      <c r="CX20" s="62">
        <f t="shared" si="14"/>
        <v>321.46004573135173</v>
      </c>
      <c r="CY20" s="62">
        <f ca="1">AVERAGE(OFFSET($CX$3,0,0,'Données projet'!$E$13+1,1))-AVERAGE(OFFSET($H$3,0,0,'Données projet'!$E$13+1,1))</f>
        <v>401.1031790385295</v>
      </c>
      <c r="CZ20" s="62">
        <f t="shared" si="42"/>
        <v>402.09589424130615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projet'!$B$13,Paramètres!$A$1:$I$88,3,0)*0.475*44/12</f>
        <v>0</v>
      </c>
      <c r="DG20" s="23">
        <f>EXP(-LN(2)/25)*DG19+(1-EXP(-LN(2)/25))/(LN(2)/25)*Calculateur!DB20*Calculateur!DD20*VLOOKUP('Données projet'!$B$13,Paramètres!$A$1:$I$88,3,0)*0.475*44/12</f>
        <v>0</v>
      </c>
      <c r="DH20" s="23">
        <f>EXP(-LN(2)/2)*DH19+(1-EXP(-LN(2)/2))/(LN(2)/2)*DB20*DE20*VLOOKUP('Données projet'!$B$13,Paramètres!$A$1:$I$88,3,0)*0.475*44/12</f>
        <v>7.0857110924697757</v>
      </c>
      <c r="DI20" s="24">
        <f t="shared" si="15"/>
        <v>7.0857110924697757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12.6</v>
      </c>
      <c r="DO20" s="13">
        <f>IF('Données projet'!$A$166&gt;35,DO19+DN20-DW19,IF(A20&lt;'Données projet'!$A$166,$DL$205^A20,IF(A20='Données projet'!$A$166,'Données projet'!$B$166,DO19+DN20-DW19)))</f>
        <v>121.19999999999999</v>
      </c>
      <c r="DP20" s="18">
        <f>DO20*VLOOKUP('Données projet'!$B$14,Paramètres!$A$1:$I$88,3,0)*VLOOKUP('Données projet'!$B$14,Paramètres!$A$1:$I$88,5,0)</f>
        <v>48.843599999999995</v>
      </c>
      <c r="DQ20" s="14">
        <f t="shared" si="43"/>
        <v>14.31470882643448</v>
      </c>
      <c r="DR20" s="22">
        <f t="shared" si="16"/>
        <v>110.00072120604004</v>
      </c>
      <c r="DS20" s="62">
        <f t="shared" si="17"/>
        <v>319.36684552191275</v>
      </c>
      <c r="DT20" s="62">
        <f ca="1">AVERAGE(OFFSET($DS$3,0,0,'Données projet'!$E$14+1,1))-AVERAGE(OFFSET($H$3,0,0,'Données projet'!$E$14+1,1))</f>
        <v>432.59662347701629</v>
      </c>
      <c r="DU20" s="62">
        <f t="shared" si="44"/>
        <v>348.67401091099748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projet'!$B$14,Paramètres!$A$1:$I$88,3,0)*0.475*44/12</f>
        <v>0</v>
      </c>
      <c r="EB20" s="23">
        <f>EXP(-LN(2)/25)*EB19+(1-EXP(-LN(2)/25))/(LN(2)/25)*Calculateur!DW20*Calculateur!DY20*VLOOKUP('Données projet'!$B$14,Paramètres!$A$1:$I$88,3,0)*0.475*44/12</f>
        <v>0</v>
      </c>
      <c r="EC20" s="23">
        <f>EXP(-LN(2)/2)*EC19+(1-EXP(-LN(2)/2))/(LN(2)/2)*DW20*DZ20*VLOOKUP('Données projet'!$B$14,Paramètres!$A$1:$I$88,3,0)*0.475*44/12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13.6</v>
      </c>
      <c r="EJ20" s="13">
        <f>IF('Données projet'!$A$192&gt;35,EJ19+EI20-ER19,IF(A20&lt;'Données projet'!$A$192,$EG$205^A20,IF(A20='Données projet'!$A$192,'Données projet'!$B$192,EJ19+EI20-ER19)))</f>
        <v>114.19999999999999</v>
      </c>
      <c r="EK20" s="18">
        <f>EJ20*VLOOKUP('Données projet'!$B$15,Paramètres!$A$1:$I$88,3,0)*VLOOKUP('Données projet'!$B$15,Paramètres!$A$1:$I$88,5,0)</f>
        <v>50.476399999999998</v>
      </c>
      <c r="EL20" s="14">
        <f t="shared" si="45"/>
        <v>14.736724056523251</v>
      </c>
      <c r="EM20" s="22">
        <f t="shared" si="19"/>
        <v>113.57952439844463</v>
      </c>
      <c r="EN20" s="62">
        <f t="shared" si="20"/>
        <v>322.94564871431737</v>
      </c>
      <c r="EO20" s="62">
        <f ca="1">AVERAGE(OFFSET($EN$3,0,0,'Données projet'!$E$15+1,1))-AVERAGE(OFFSET($H$3,0,0,'Données projet'!$E$15+1,1))</f>
        <v>582.26951914082088</v>
      </c>
      <c r="EP20" s="62">
        <f t="shared" si="46"/>
        <v>434.80429932654715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projet'!$B$15,Paramètres!$A$1:$I$88,3,0)*0.475*44/12</f>
        <v>0</v>
      </c>
      <c r="EW20" s="23">
        <f>EXP(-LN(2)/25)*EW19+(1-EXP(-LN(2)/25))/(LN(2)/25)*Calculateur!ER20*Calculateur!ET20*VLOOKUP('Données projet'!$B$15,Paramètres!$A$1:$I$88,3,0)*0.475*44/12</f>
        <v>3.9505804459403104</v>
      </c>
      <c r="EX20" s="23">
        <f>EXP(-LN(2)/2)*EX19+(1-EXP(-LN(2)/2))/(LN(2)/2)*ER20*EU20*VLOOKUP('Données projet'!$B$15,Paramètres!$A$1:$I$88,3,0)*0.475*44/12</f>
        <v>0</v>
      </c>
      <c r="EY20" s="24">
        <f t="shared" si="21"/>
        <v>3.9505804459403104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1.4</v>
      </c>
      <c r="FE20" s="13">
        <f>IF('Données projet'!$A$218&gt;35,FE19+FD20-FM19,IF(A20&lt;'Données projet'!$A$218,$FB$205^A20,IF(A20='Données projet'!$A$218,'Données projet'!$B$218,FE19+FD20-FM19)))</f>
        <v>16.985734312010656</v>
      </c>
      <c r="FF20" s="18">
        <f>FE20*VLOOKUP('Données projet'!$B$16,Paramètres!$A$1:$I$88,3,0)*VLOOKUP('Données projet'!$B$16,Paramètres!$A$1:$I$88,5,0)</f>
        <v>7.9493236580209867</v>
      </c>
      <c r="FG20" s="14">
        <f t="shared" si="47"/>
        <v>2.8779537587144066</v>
      </c>
      <c r="FH20" s="22">
        <f t="shared" si="22"/>
        <v>18.857508167480809</v>
      </c>
      <c r="FI20" s="62">
        <f t="shared" si="23"/>
        <v>228.22363248335353</v>
      </c>
      <c r="FJ20" s="62">
        <f ca="1">AVERAGE(OFFSET($FI$3,0,0,'Données projet'!$E$16+1,1))-AVERAGE(OFFSET($H$3,0,0,'Données projet'!$E$16+1,1))</f>
        <v>429.87867712133851</v>
      </c>
      <c r="FK20" s="62">
        <f t="shared" si="48"/>
        <v>182.81277865988014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projet'!$B$16,Paramètres!$A$1:$I$88,3,0)*0.475*44/12</f>
        <v>0</v>
      </c>
      <c r="FR20" s="23">
        <f>EXP(-LN(2)/25)*FR19+(1-EXP(-LN(2)/25))/(LN(2)/25)*Calculateur!FM20*Calculateur!FO20*VLOOKUP('Données projet'!$B$16,Paramètres!$A$1:$I$88,3,0)*0.475*44/12</f>
        <v>0</v>
      </c>
      <c r="FS20" s="23">
        <f>EXP(-LN(2)/2)*FS19+(1-EXP(-LN(2)/2))/(LN(2)/2)*FM20*FP20*VLOOKUP('Données projet'!$B$16,Paramètres!$A$1:$I$88,3,0)*0.475*44/12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>
        <f>VLOOKUP(A20,'Données projet'!$A$243:$I$263,2,0)</f>
        <v>103</v>
      </c>
      <c r="FX20" s="13">
        <f>VLOOKUP(A20,'Données projet'!$A$243:$I$263,9,0)</f>
        <v>6.0588235294117645</v>
      </c>
      <c r="FY20" s="13">
        <f t="array" ref="FY20">INDEX(FX:FX,MIN(IF(ISNUMBER(FX20:FX216),ROW(FX20:FX216),"")))</f>
        <v>6.0588235294117645</v>
      </c>
      <c r="FZ20" s="13">
        <f>IF('Données projet'!$A$244&gt;35,FZ19+FY20-GH19,IF(A20&lt;'Données projet'!$A$244,$FW$205^A20,IF(A20='Données projet'!$A$244,'Données projet'!$B$244,FZ19+FY20-GH19)))</f>
        <v>103</v>
      </c>
      <c r="GA20" s="18">
        <f>FZ20*VLOOKUP('Données projet'!$B$17,Paramètres!$A$1:$I$88,3,0)*VLOOKUP('Données projet'!$B$17,Paramètres!$A$1:$I$88,5,0)</f>
        <v>49.542999999999999</v>
      </c>
      <c r="GB20" s="14">
        <f t="shared" si="49"/>
        <v>14.49567442430679</v>
      </c>
      <c r="GC20" s="22">
        <f t="shared" si="25"/>
        <v>111.53402462233431</v>
      </c>
      <c r="GD20" s="62">
        <f t="shared" si="26"/>
        <v>320.90014893820705</v>
      </c>
      <c r="GE20" s="62">
        <f ca="1">AVERAGE(OFFSET($GD$3,0,0,'Données projet'!$E$17+1,1))-AVERAGE(OFFSET($H$3,0,0,'Données projet'!$E$17+1,1))</f>
        <v>273.24375559399846</v>
      </c>
      <c r="GF20" s="62">
        <f t="shared" si="50"/>
        <v>270.77718895097848</v>
      </c>
      <c r="GG20" s="16">
        <f>IF(ISNA(VLOOKUP(A20,'Données projet'!$A$243:$I$263,3,0)),0,VLOOKUP(A20,'Données projet'!$A$243:$I$263,3,0))</f>
        <v>1</v>
      </c>
      <c r="GH20" s="16">
        <f>IF(ISNA(VLOOKUP(A20,'Données projet'!$A$243:$I$263,4,0)),0,VLOOKUP(A20,'Données projet'!$A$243:$I$263,4,0))</f>
        <v>15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0.55000000000000004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projet'!$B$17,Paramètres!$A$1:$I$88,3,0)*0.475*44/12</f>
        <v>0</v>
      </c>
      <c r="GM20" s="23">
        <f>EXP(-LN(2)/25)*GM19+(1-EXP(-LN(2)/25))/(LN(2)/25)*Calculateur!GH20*Calculateur!GJ20*VLOOKUP('Données projet'!$B$17,Paramètres!$A$1:$I$88,3,0)*0.475*44/12</f>
        <v>5.24341247768462</v>
      </c>
      <c r="GN20" s="23">
        <f>EXP(-LN(2)/2)*GN19+(1-EXP(-LN(2)/2))/(LN(2)/2)*GH20*GK20*VLOOKUP('Données projet'!$B$17,Paramètres!$A$1:$I$88,3,0)*0.475*44/12</f>
        <v>0</v>
      </c>
      <c r="GO20" s="23">
        <f t="shared" si="27"/>
        <v>5.24341247768462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10</v>
      </c>
      <c r="N21" s="14">
        <f>IF('Données projet'!$A$36&gt;35,N20+M21-V20,IF(A21&lt;'Données projet'!$A$36,$K$205^A21,IF(A21='Données projet'!$A$36,'Données projet'!$B$36,N20+M21-V20)))</f>
        <v>37.425966123456845</v>
      </c>
      <c r="O21" s="14">
        <f>N21*VLOOKUP('Données projet'!$B$9,Paramètres!$A$1:$I$88,3,0)*VLOOKUP('Données projet'!$B$9,Paramètres!$A$1:$I$88,5,0)</f>
        <v>20.92111506301238</v>
      </c>
      <c r="P21" s="14">
        <f t="shared" si="33"/>
        <v>6.7673839793379962</v>
      </c>
      <c r="Q21" s="22">
        <f t="shared" si="2"/>
        <v>48.224135832093566</v>
      </c>
      <c r="R21" s="62">
        <f t="shared" si="0"/>
        <v>259.99348902409668</v>
      </c>
      <c r="S21" s="62">
        <f ca="1">AVERAGE(OFFSET($R$3,0,0,'Données projet'!$E$9+1,1))-AVERAGE(OFFSET($H$3,0,0,'Données projet'!$E$9+1,1))</f>
        <v>289.94242154211224</v>
      </c>
      <c r="T21" s="62">
        <f t="shared" si="34"/>
        <v>369.12599166143661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6.8965517241379309E-2</v>
      </c>
      <c r="AI21" s="14">
        <f>IF('Données projet'!$A$62&gt;35,AI20+AH21-AQ20,IF(A21&lt;'Données projet'!$A$62,$AF$205^A21,IF(A21='Données projet'!$A$62,'Données projet'!$B$62,AI20+AH21-AQ20)))</f>
        <v>1.5376100332595806</v>
      </c>
      <c r="AJ21" s="14">
        <f>AI21*VLOOKUP('Données projet'!$B$10,Paramètres!$A$1:$I$88,3,0)*VLOOKUP('Données projet'!$B$10,Paramètres!$A$1:$I$88,5,0)</f>
        <v>1.3912295580932685</v>
      </c>
      <c r="AK21" s="14">
        <f t="shared" si="35"/>
        <v>0.61696317255081046</v>
      </c>
      <c r="AL21" s="22">
        <f t="shared" si="4"/>
        <v>3.4976023392051037</v>
      </c>
      <c r="AM21" s="62">
        <f t="shared" si="5"/>
        <v>215.26695553120823</v>
      </c>
      <c r="AN21" s="62">
        <f ca="1">AVERAGE(OFFSET($AM$3,0,0,'Données projet'!$E$10+1,1))-AVERAGE(OFFSET($H$3,0,0,'Données projet'!$E$10+1,1))</f>
        <v>518.31628039365785</v>
      </c>
      <c r="AO21" s="62">
        <f t="shared" si="36"/>
        <v>66.435071953154761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6.8965517241379309E-2</v>
      </c>
      <c r="BD21" s="13">
        <f>IF('Données projet'!$A$88&gt;35,BD20+BC21-BL20,IF(A21&lt;'Données projet'!$A$88,$BA$205^A21,IF(A21='Données projet'!$A$88,'Données projet'!$B$88,BD20+BC21-BL20)))</f>
        <v>1.5376100332595806</v>
      </c>
      <c r="BE21" s="14">
        <f>BD21*VLOOKUP('Données projet'!$B$11,Paramètres!$A$1:$I$88,3,0)*VLOOKUP('Données projet'!$B$11,Paramètres!$A$1:$I$88,5,0)</f>
        <v>1.5591365737252147</v>
      </c>
      <c r="BF21" s="14">
        <f t="shared" si="37"/>
        <v>0.6823143543370801</v>
      </c>
      <c r="BG21" s="22">
        <f t="shared" si="7"/>
        <v>3.9038603663751634</v>
      </c>
      <c r="BH21" s="62">
        <f t="shared" si="8"/>
        <v>215.67321355837828</v>
      </c>
      <c r="BI21" s="62">
        <f ca="1">AVERAGE(OFFSET($BH$3,0,0,'Données projet'!$E$11+1,1))-AVERAGE(OFFSET($H$3,0,0,'Données projet'!$E$11+1,1))</f>
        <v>570.2785736203931</v>
      </c>
      <c r="BJ21" s="62">
        <f t="shared" si="38"/>
        <v>67.677759965081719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16.974999999999998</v>
      </c>
      <c r="BY21" s="13">
        <f>IF('Données projet'!$A$114&gt;35,BY20+BX21-CG20,IF(A21&lt;'Données projet'!$A$114,$BV$205^A21,IF(A21='Données projet'!$A$114,'Données projet'!$B$114,BY20+BX21-CG20)))</f>
        <v>100.24999999999999</v>
      </c>
      <c r="BZ21" s="14">
        <f>BY21*VLOOKUP('Données projet'!$B$12,Paramètres!$A$1:$I$88,3,0)*VLOOKUP('Données projet'!$B$12,Paramètres!$A$1:$I$88,5,0)</f>
        <v>59.949499999999993</v>
      </c>
      <c r="CA21" s="14">
        <f t="shared" si="39"/>
        <v>17.155500402424575</v>
      </c>
      <c r="CB21" s="22">
        <f t="shared" si="10"/>
        <v>134.29120903422276</v>
      </c>
      <c r="CC21" s="62">
        <f t="shared" si="11"/>
        <v>346.0605622262259</v>
      </c>
      <c r="CD21" s="62">
        <f ca="1">AVERAGE(OFFSET($CC$3,0,0,'Données projet'!$E$12+1,1))-AVERAGE(OFFSET($H$3,0,0,'Données projet'!$E$12+1,1))</f>
        <v>401.1031790385295</v>
      </c>
      <c r="CE21" s="62">
        <f t="shared" si="40"/>
        <v>402.09589424130615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projet'!$B$12,Paramètres!$A$1:$I$88,3,0)*0.475*44/12</f>
        <v>0</v>
      </c>
      <c r="CL21" s="23">
        <f>EXP(-LN(2)/25)*CL20+(1-EXP(-LN(2)/25))/(LN(2)/25)*Calculateur!CG21*Calculateur!CI21*VLOOKUP('Données projet'!$B$12,Paramètres!$A$1:$I$88,3,0)*0.475*44/12</f>
        <v>0</v>
      </c>
      <c r="CM21" s="23">
        <f>EXP(-LN(2)/2)*CM20+(1-EXP(-LN(2)/2))/(LN(2)/2)*CG21*CJ21*VLOOKUP('Données projet'!$B$12,Paramètres!$A$1:$I$88,3,0)*0.475*44/12</f>
        <v>5.0103543630141187</v>
      </c>
      <c r="CN21" s="24">
        <f t="shared" si="12"/>
        <v>5.0103543630141187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16.974999999999998</v>
      </c>
      <c r="CT21" s="13">
        <f>IF('Données projet'!$A$140&gt;35,CT20+CS21-DB20,IF(A21&lt;'Données projet'!$A$140,$CQ$205^A21,IF(A21='Données projet'!$A$140,'Données projet'!$B$140,CT20+CS21-DB20)))</f>
        <v>100.24999999999999</v>
      </c>
      <c r="CU21" s="18">
        <f>CT21*VLOOKUP('Données projet'!$B$13,Paramètres!$A$1:$I$88,3,0)*VLOOKUP('Données projet'!$B$13,Paramètres!$A$1:$I$88,5,0)</f>
        <v>59.949499999999993</v>
      </c>
      <c r="CV21" s="14">
        <f t="shared" si="41"/>
        <v>17.155500402424575</v>
      </c>
      <c r="CW21" s="22">
        <f t="shared" si="13"/>
        <v>134.29120903422276</v>
      </c>
      <c r="CX21" s="62">
        <f t="shared" si="14"/>
        <v>346.0605622262259</v>
      </c>
      <c r="CY21" s="62">
        <f ca="1">AVERAGE(OFFSET($CX$3,0,0,'Données projet'!$E$13+1,1))-AVERAGE(OFFSET($H$3,0,0,'Données projet'!$E$13+1,1))</f>
        <v>401.1031790385295</v>
      </c>
      <c r="CZ21" s="62">
        <f t="shared" si="42"/>
        <v>402.09589424130615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projet'!$B$13,Paramètres!$A$1:$I$88,3,0)*0.475*44/12</f>
        <v>0</v>
      </c>
      <c r="DG21" s="23">
        <f>EXP(-LN(2)/25)*DG20+(1-EXP(-LN(2)/25))/(LN(2)/25)*Calculateur!DB21*Calculateur!DD21*VLOOKUP('Données projet'!$B$13,Paramètres!$A$1:$I$88,3,0)*0.475*44/12</f>
        <v>0</v>
      </c>
      <c r="DH21" s="23">
        <f>EXP(-LN(2)/2)*DH20+(1-EXP(-LN(2)/2))/(LN(2)/2)*DB21*DE21*VLOOKUP('Données projet'!$B$13,Paramètres!$A$1:$I$88,3,0)*0.475*44/12</f>
        <v>5.0103543630141187</v>
      </c>
      <c r="DI21" s="24">
        <f t="shared" si="15"/>
        <v>5.0103543630141187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12.6</v>
      </c>
      <c r="DO21" s="13">
        <f>IF('Données projet'!$A$166&gt;35,DO20+DN21-DW20,IF(A21&lt;'Données projet'!$A$166,$DL$205^A21,IF(A21='Données projet'!$A$166,'Données projet'!$B$166,DO20+DN21-DW20)))</f>
        <v>133.79999999999998</v>
      </c>
      <c r="DP21" s="18">
        <f>DO21*VLOOKUP('Données projet'!$B$14,Paramètres!$A$1:$I$88,3,0)*VLOOKUP('Données projet'!$B$14,Paramètres!$A$1:$I$88,5,0)</f>
        <v>53.921399999999991</v>
      </c>
      <c r="DQ21" s="14">
        <f t="shared" si="43"/>
        <v>15.621985323792435</v>
      </c>
      <c r="DR21" s="22">
        <f t="shared" si="16"/>
        <v>121.12139610560513</v>
      </c>
      <c r="DS21" s="62">
        <f t="shared" si="17"/>
        <v>332.89074929760824</v>
      </c>
      <c r="DT21" s="62">
        <f ca="1">AVERAGE(OFFSET($DS$3,0,0,'Données projet'!$E$14+1,1))-AVERAGE(OFFSET($H$3,0,0,'Données projet'!$E$14+1,1))</f>
        <v>432.59662347701629</v>
      </c>
      <c r="DU21" s="62">
        <f t="shared" si="44"/>
        <v>348.67401091099748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projet'!$B$14,Paramètres!$A$1:$I$88,3,0)*0.475*44/12</f>
        <v>0</v>
      </c>
      <c r="EB21" s="23">
        <f>EXP(-LN(2)/25)*EB20+(1-EXP(-LN(2)/25))/(LN(2)/25)*Calculateur!DW21*Calculateur!DY21*VLOOKUP('Données projet'!$B$14,Paramètres!$A$1:$I$88,3,0)*0.475*44/12</f>
        <v>0</v>
      </c>
      <c r="EC21" s="23">
        <f>EXP(-LN(2)/2)*EC20+(1-EXP(-LN(2)/2))/(LN(2)/2)*DW21*DZ21*VLOOKUP('Données projet'!$B$14,Paramètres!$A$1:$I$88,3,0)*0.475*44/12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13.6</v>
      </c>
      <c r="EJ21" s="13">
        <f>IF('Données projet'!$A$192&gt;35,EJ20+EI21-ER20,IF(A21&lt;'Données projet'!$A$192,$EG$205^A21,IF(A21='Données projet'!$A$192,'Données projet'!$B$192,EJ20+EI21-ER20)))</f>
        <v>127.79999999999998</v>
      </c>
      <c r="EK21" s="18">
        <f>EJ21*VLOOKUP('Données projet'!$B$15,Paramètres!$A$1:$I$88,3,0)*VLOOKUP('Données projet'!$B$15,Paramètres!$A$1:$I$88,5,0)</f>
        <v>56.4876</v>
      </c>
      <c r="EL21" s="14">
        <f t="shared" si="45"/>
        <v>16.277130466327527</v>
      </c>
      <c r="EM21" s="22">
        <f t="shared" si="19"/>
        <v>126.73190556218712</v>
      </c>
      <c r="EN21" s="62">
        <f t="shared" si="20"/>
        <v>338.50125875419025</v>
      </c>
      <c r="EO21" s="62">
        <f ca="1">AVERAGE(OFFSET($EN$3,0,0,'Données projet'!$E$15+1,1))-AVERAGE(OFFSET($H$3,0,0,'Données projet'!$E$15+1,1))</f>
        <v>582.26951914082088</v>
      </c>
      <c r="EP21" s="62">
        <f t="shared" si="46"/>
        <v>434.80429932654715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projet'!$B$15,Paramètres!$A$1:$I$88,3,0)*0.475*44/12</f>
        <v>0</v>
      </c>
      <c r="EW21" s="23">
        <f>EXP(-LN(2)/25)*EW20+(1-EXP(-LN(2)/25))/(LN(2)/25)*Calculateur!ER21*Calculateur!ET21*VLOOKUP('Données projet'!$B$15,Paramètres!$A$1:$I$88,3,0)*0.475*44/12</f>
        <v>3.842551615894076</v>
      </c>
      <c r="EX21" s="23">
        <f>EXP(-LN(2)/2)*EX20+(1-EXP(-LN(2)/2))/(LN(2)/2)*ER21*EU21*VLOOKUP('Données projet'!$B$15,Paramètres!$A$1:$I$88,3,0)*0.475*44/12</f>
        <v>0</v>
      </c>
      <c r="EY21" s="24">
        <f t="shared" si="21"/>
        <v>3.842551615894076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1.4</v>
      </c>
      <c r="FE21" s="13">
        <f>IF('Données projet'!$A$218&gt;35,FE20+FD21-FM20,IF(A21&lt;'Données projet'!$A$218,$FB$205^A21,IF(A21='Données projet'!$A$218,'Données projet'!$B$218,FE20+FD21-FM20)))</f>
        <v>20.065141567879031</v>
      </c>
      <c r="FF21" s="18">
        <f>FE21*VLOOKUP('Données projet'!$B$16,Paramètres!$A$1:$I$88,3,0)*VLOOKUP('Données projet'!$B$16,Paramètres!$A$1:$I$88,5,0)</f>
        <v>9.3904862537673868</v>
      </c>
      <c r="FG21" s="14">
        <f t="shared" si="47"/>
        <v>3.3344119481738947</v>
      </c>
      <c r="FH21" s="22">
        <f t="shared" si="22"/>
        <v>22.162531035047731</v>
      </c>
      <c r="FI21" s="62">
        <f t="shared" si="23"/>
        <v>233.93188422705083</v>
      </c>
      <c r="FJ21" s="62">
        <f ca="1">AVERAGE(OFFSET($FI$3,0,0,'Données projet'!$E$16+1,1))-AVERAGE(OFFSET($H$3,0,0,'Données projet'!$E$16+1,1))</f>
        <v>429.87867712133851</v>
      </c>
      <c r="FK21" s="62">
        <f t="shared" si="48"/>
        <v>182.81277865988014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projet'!$B$16,Paramètres!$A$1:$I$88,3,0)*0.475*44/12</f>
        <v>0</v>
      </c>
      <c r="FR21" s="23">
        <f>EXP(-LN(2)/25)*FR20+(1-EXP(-LN(2)/25))/(LN(2)/25)*Calculateur!FM21*Calculateur!FO21*VLOOKUP('Données projet'!$B$16,Paramètres!$A$1:$I$88,3,0)*0.475*44/12</f>
        <v>0</v>
      </c>
      <c r="FS21" s="23">
        <f>EXP(-LN(2)/2)*FS20+(1-EXP(-LN(2)/2))/(LN(2)/2)*FM21*FP21*VLOOKUP('Données projet'!$B$16,Paramètres!$A$1:$I$88,3,0)*0.475*44/12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11.333333333333334</v>
      </c>
      <c r="FZ21" s="13">
        <f>IF('Données projet'!$A$244&gt;35,FZ20+FY21-GH20,IF(A21&lt;'Données projet'!$A$244,$FW$205^A21,IF(A21='Données projet'!$A$244,'Données projet'!$B$244,FZ20+FY21-GH20)))</f>
        <v>99.333333333333329</v>
      </c>
      <c r="GA21" s="18">
        <f>FZ21*VLOOKUP('Données projet'!$B$17,Paramètres!$A$1:$I$88,3,0)*VLOOKUP('Données projet'!$B$17,Paramètres!$A$1:$I$88,5,0)</f>
        <v>47.779333333333334</v>
      </c>
      <c r="GB21" s="14">
        <f t="shared" si="49"/>
        <v>14.038755313257377</v>
      </c>
      <c r="GC21" s="22">
        <f t="shared" si="25"/>
        <v>107.66650439281216</v>
      </c>
      <c r="GD21" s="62">
        <f t="shared" si="26"/>
        <v>319.43585758481527</v>
      </c>
      <c r="GE21" s="62">
        <f ca="1">AVERAGE(OFFSET($GD$3,0,0,'Données projet'!$E$17+1,1))-AVERAGE(OFFSET($H$3,0,0,'Données projet'!$E$17+1,1))</f>
        <v>273.24375559399846</v>
      </c>
      <c r="GF21" s="62">
        <f t="shared" si="50"/>
        <v>270.77718895097848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projet'!$B$17,Paramètres!$A$1:$I$88,3,0)*0.475*44/12</f>
        <v>0</v>
      </c>
      <c r="GM21" s="23">
        <f>EXP(-LN(2)/25)*GM20+(1-EXP(-LN(2)/25))/(LN(2)/25)*Calculateur!GH21*Calculateur!GJ21*VLOOKUP('Données projet'!$B$17,Paramètres!$A$1:$I$88,3,0)*0.475*44/12</f>
        <v>5.1000310877432558</v>
      </c>
      <c r="GN21" s="23">
        <f>EXP(-LN(2)/2)*GN20+(1-EXP(-LN(2)/2))/(LN(2)/2)*GH21*GK21*VLOOKUP('Données projet'!$B$17,Paramètres!$A$1:$I$88,3,0)*0.475*44/12</f>
        <v>0</v>
      </c>
      <c r="GO21" s="23">
        <f t="shared" si="27"/>
        <v>5.1000310877432558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10</v>
      </c>
      <c r="N22" s="14">
        <f>IF('Données projet'!$A$36&gt;35,N21+M22-V21,IF(A22&lt;'Données projet'!$A$36,$K$205^A22,IF(A22='Données projet'!$A$36,'Données projet'!$B$36,N21+M22-V21)))</f>
        <v>45.769010282804174</v>
      </c>
      <c r="O22" s="14">
        <f>N22*VLOOKUP('Données projet'!$B$9,Paramètres!$A$1:$I$88,3,0)*VLOOKUP('Données projet'!$B$9,Paramètres!$A$1:$I$88,5,0)</f>
        <v>25.584876748087531</v>
      </c>
      <c r="P22" s="14">
        <f t="shared" si="33"/>
        <v>8.0843691197909529</v>
      </c>
      <c r="Q22" s="22">
        <f t="shared" si="2"/>
        <v>58.640603219888362</v>
      </c>
      <c r="R22" s="62">
        <f t="shared" si="0"/>
        <v>272.79269746291186</v>
      </c>
      <c r="S22" s="62">
        <f ca="1">AVERAGE(OFFSET($R$3,0,0,'Données projet'!$E$9+1,1))-AVERAGE(OFFSET($H$3,0,0,'Données projet'!$E$9+1,1))</f>
        <v>289.94242154211224</v>
      </c>
      <c r="T22" s="62">
        <f t="shared" si="34"/>
        <v>369.12599166143661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6.8965517241379309E-2</v>
      </c>
      <c r="AI22" s="14">
        <f>IF('Données projet'!$A$62&gt;35,AI21+AH22-AQ21,IF(A22&lt;'Données projet'!$A$62,$AF$205^A22,IF(A22='Données projet'!$A$62,'Données projet'!$B$62,AI21+AH22-AQ21)))</f>
        <v>1.5748041437985758</v>
      </c>
      <c r="AJ22" s="14">
        <f>AI22*VLOOKUP('Données projet'!$B$10,Paramètres!$A$1:$I$88,3,0)*VLOOKUP('Données projet'!$B$10,Paramètres!$A$1:$I$88,5,0)</f>
        <v>1.4248827893089513</v>
      </c>
      <c r="AK22" s="14">
        <f t="shared" si="35"/>
        <v>0.63013167894446309</v>
      </c>
      <c r="AL22" s="22">
        <f t="shared" si="4"/>
        <v>3.579150198874697</v>
      </c>
      <c r="AM22" s="62">
        <f t="shared" si="5"/>
        <v>217.73124444189821</v>
      </c>
      <c r="AN22" s="62">
        <f ca="1">AVERAGE(OFFSET($AM$3,0,0,'Données projet'!$E$10+1,1))-AVERAGE(OFFSET($H$3,0,0,'Données projet'!$E$10+1,1))</f>
        <v>518.31628039365785</v>
      </c>
      <c r="AO22" s="62">
        <f t="shared" si="36"/>
        <v>66.435071953154761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6.8965517241379309E-2</v>
      </c>
      <c r="BD22" s="13">
        <f>IF('Données projet'!$A$88&gt;35,BD21+BC22-BL21,IF(A22&lt;'Données projet'!$A$88,$BA$205^A22,IF(A22='Données projet'!$A$88,'Données projet'!$B$88,BD21+BC22-BL21)))</f>
        <v>1.5748041437985758</v>
      </c>
      <c r="BE22" s="14">
        <f>BD22*VLOOKUP('Données projet'!$B$11,Paramètres!$A$1:$I$88,3,0)*VLOOKUP('Données projet'!$B$11,Paramètres!$A$1:$I$88,5,0)</f>
        <v>1.5968514018117561</v>
      </c>
      <c r="BF22" s="14">
        <f t="shared" si="37"/>
        <v>0.69687772106190493</v>
      </c>
      <c r="BG22" s="22">
        <f t="shared" si="7"/>
        <v>3.9949115556716261</v>
      </c>
      <c r="BH22" s="62">
        <f t="shared" si="8"/>
        <v>218.14700579869515</v>
      </c>
      <c r="BI22" s="62">
        <f ca="1">AVERAGE(OFFSET($BH$3,0,0,'Données projet'!$E$11+1,1))-AVERAGE(OFFSET($H$3,0,0,'Données projet'!$E$11+1,1))</f>
        <v>570.2785736203931</v>
      </c>
      <c r="BJ22" s="62">
        <f t="shared" si="38"/>
        <v>67.677759965081719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16.974999999999998</v>
      </c>
      <c r="BY22" s="13">
        <f>IF('Données projet'!$A$114&gt;35,BY21+BX22-CG21,IF(A22&lt;'Données projet'!$A$114,$BV$205^A22,IF(A22='Données projet'!$A$114,'Données projet'!$B$114,BY21+BX22-CG21)))</f>
        <v>117.22499999999998</v>
      </c>
      <c r="BZ22" s="14">
        <f>BY22*VLOOKUP('Données projet'!$B$12,Paramètres!$A$1:$I$88,3,0)*VLOOKUP('Données projet'!$B$12,Paramètres!$A$1:$I$88,5,0)</f>
        <v>70.100549999999984</v>
      </c>
      <c r="CA22" s="14">
        <f t="shared" si="39"/>
        <v>19.698425593816768</v>
      </c>
      <c r="CB22" s="22">
        <f t="shared" si="10"/>
        <v>156.39988249256416</v>
      </c>
      <c r="CC22" s="62">
        <f t="shared" si="11"/>
        <v>370.55197673558769</v>
      </c>
      <c r="CD22" s="62">
        <f ca="1">AVERAGE(OFFSET($CC$3,0,0,'Données projet'!$E$12+1,1))-AVERAGE(OFFSET($H$3,0,0,'Données projet'!$E$12+1,1))</f>
        <v>401.1031790385295</v>
      </c>
      <c r="CE22" s="62">
        <f t="shared" si="40"/>
        <v>402.09589424130615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projet'!$B$12,Paramètres!$A$1:$I$88,3,0)*0.475*44/12</f>
        <v>0</v>
      </c>
      <c r="CL22" s="23">
        <f>EXP(-LN(2)/25)*CL21+(1-EXP(-LN(2)/25))/(LN(2)/25)*Calculateur!CG22*Calculateur!CI22*VLOOKUP('Données projet'!$B$12,Paramètres!$A$1:$I$88,3,0)*0.475*44/12</f>
        <v>0</v>
      </c>
      <c r="CM22" s="23">
        <f>EXP(-LN(2)/2)*CM21+(1-EXP(-LN(2)/2))/(LN(2)/2)*CG22*CJ22*VLOOKUP('Données projet'!$B$12,Paramètres!$A$1:$I$88,3,0)*0.475*44/12</f>
        <v>3.5428555462348883</v>
      </c>
      <c r="CN22" s="24">
        <f t="shared" si="12"/>
        <v>3.5428555462348883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16.974999999999998</v>
      </c>
      <c r="CT22" s="13">
        <f>IF('Données projet'!$A$140&gt;35,CT21+CS22-DB21,IF(A22&lt;'Données projet'!$A$140,$CQ$205^A22,IF(A22='Données projet'!$A$140,'Données projet'!$B$140,CT21+CS22-DB21)))</f>
        <v>117.22499999999998</v>
      </c>
      <c r="CU22" s="18">
        <f>CT22*VLOOKUP('Données projet'!$B$13,Paramètres!$A$1:$I$88,3,0)*VLOOKUP('Données projet'!$B$13,Paramètres!$A$1:$I$88,5,0)</f>
        <v>70.100549999999984</v>
      </c>
      <c r="CV22" s="14">
        <f t="shared" si="41"/>
        <v>19.698425593816768</v>
      </c>
      <c r="CW22" s="22">
        <f t="shared" si="13"/>
        <v>156.39988249256416</v>
      </c>
      <c r="CX22" s="62">
        <f t="shared" si="14"/>
        <v>370.55197673558769</v>
      </c>
      <c r="CY22" s="62">
        <f ca="1">AVERAGE(OFFSET($CX$3,0,0,'Données projet'!$E$13+1,1))-AVERAGE(OFFSET($H$3,0,0,'Données projet'!$E$13+1,1))</f>
        <v>401.1031790385295</v>
      </c>
      <c r="CZ22" s="62">
        <f t="shared" si="42"/>
        <v>402.09589424130615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projet'!$B$13,Paramètres!$A$1:$I$88,3,0)*0.475*44/12</f>
        <v>0</v>
      </c>
      <c r="DG22" s="23">
        <f>EXP(-LN(2)/25)*DG21+(1-EXP(-LN(2)/25))/(LN(2)/25)*Calculateur!DB22*Calculateur!DD22*VLOOKUP('Données projet'!$B$13,Paramètres!$A$1:$I$88,3,0)*0.475*44/12</f>
        <v>0</v>
      </c>
      <c r="DH22" s="23">
        <f>EXP(-LN(2)/2)*DH21+(1-EXP(-LN(2)/2))/(LN(2)/2)*DB22*DE22*VLOOKUP('Données projet'!$B$13,Paramètres!$A$1:$I$88,3,0)*0.475*44/12</f>
        <v>3.5428555462348883</v>
      </c>
      <c r="DI22" s="24">
        <f t="shared" si="15"/>
        <v>3.5428555462348883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12.6</v>
      </c>
      <c r="DO22" s="13">
        <f>IF('Données projet'!$A$166&gt;35,DO21+DN22-DW21,IF(A22&lt;'Données projet'!$A$166,$DL$205^A22,IF(A22='Données projet'!$A$166,'Données projet'!$B$166,DO21+DN22-DW21)))</f>
        <v>146.39999999999998</v>
      </c>
      <c r="DP22" s="18">
        <f>DO22*VLOOKUP('Données projet'!$B$14,Paramètres!$A$1:$I$88,3,0)*VLOOKUP('Données projet'!$B$14,Paramètres!$A$1:$I$88,5,0)</f>
        <v>58.999199999999995</v>
      </c>
      <c r="DQ22" s="14">
        <f t="shared" si="43"/>
        <v>16.914988195097422</v>
      </c>
      <c r="DR22" s="22">
        <f t="shared" si="16"/>
        <v>132.21721110646129</v>
      </c>
      <c r="DS22" s="62">
        <f t="shared" si="17"/>
        <v>346.36930534948482</v>
      </c>
      <c r="DT22" s="62">
        <f ca="1">AVERAGE(OFFSET($DS$3,0,0,'Données projet'!$E$14+1,1))-AVERAGE(OFFSET($H$3,0,0,'Données projet'!$E$14+1,1))</f>
        <v>432.59662347701629</v>
      </c>
      <c r="DU22" s="62">
        <f t="shared" si="44"/>
        <v>348.67401091099748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projet'!$B$14,Paramètres!$A$1:$I$88,3,0)*0.475*44/12</f>
        <v>0</v>
      </c>
      <c r="EB22" s="23">
        <f>EXP(-LN(2)/25)*EB21+(1-EXP(-LN(2)/25))/(LN(2)/25)*Calculateur!DW22*Calculateur!DY22*VLOOKUP('Données projet'!$B$14,Paramètres!$A$1:$I$88,3,0)*0.475*44/12</f>
        <v>0</v>
      </c>
      <c r="EC22" s="23">
        <f>EXP(-LN(2)/2)*EC21+(1-EXP(-LN(2)/2))/(LN(2)/2)*DW22*DZ22*VLOOKUP('Données projet'!$B$14,Paramètres!$A$1:$I$88,3,0)*0.475*44/12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13.6</v>
      </c>
      <c r="EJ22" s="13">
        <f>IF('Données projet'!$A$192&gt;35,EJ21+EI22-ER21,IF(A22&lt;'Données projet'!$A$192,$EG$205^A22,IF(A22='Données projet'!$A$192,'Données projet'!$B$192,EJ21+EI22-ER21)))</f>
        <v>141.39999999999998</v>
      </c>
      <c r="EK22" s="18">
        <f>EJ22*VLOOKUP('Données projet'!$B$15,Paramètres!$A$1:$I$88,3,0)*VLOOKUP('Données projet'!$B$15,Paramètres!$A$1:$I$88,5,0)</f>
        <v>62.498799999999996</v>
      </c>
      <c r="EL22" s="14">
        <f t="shared" si="45"/>
        <v>17.798535956040041</v>
      </c>
      <c r="EM22" s="22">
        <f t="shared" si="19"/>
        <v>139.85119345676972</v>
      </c>
      <c r="EN22" s="62">
        <f t="shared" si="20"/>
        <v>354.00328769979325</v>
      </c>
      <c r="EO22" s="62">
        <f ca="1">AVERAGE(OFFSET($EN$3,0,0,'Données projet'!$E$15+1,1))-AVERAGE(OFFSET($H$3,0,0,'Données projet'!$E$15+1,1))</f>
        <v>582.26951914082088</v>
      </c>
      <c r="EP22" s="62">
        <f t="shared" si="46"/>
        <v>434.80429932654715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projet'!$B$15,Paramètres!$A$1:$I$88,3,0)*0.475*44/12</f>
        <v>0</v>
      </c>
      <c r="EW22" s="23">
        <f>EXP(-LN(2)/25)*EW21+(1-EXP(-LN(2)/25))/(LN(2)/25)*Calculateur!ER22*Calculateur!ET22*VLOOKUP('Données projet'!$B$15,Paramètres!$A$1:$I$88,3,0)*0.475*44/12</f>
        <v>3.7374768398864453</v>
      </c>
      <c r="EX22" s="23">
        <f>EXP(-LN(2)/2)*EX21+(1-EXP(-LN(2)/2))/(LN(2)/2)*ER22*EU22*VLOOKUP('Données projet'!$B$15,Paramètres!$A$1:$I$88,3,0)*0.475*44/12</f>
        <v>0</v>
      </c>
      <c r="EY22" s="24">
        <f t="shared" si="21"/>
        <v>3.7374768398864453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1.4</v>
      </c>
      <c r="FE22" s="13">
        <f>IF('Données projet'!$A$218&gt;35,FE21+FD22-FM21,IF(A22&lt;'Données projet'!$A$218,$FB$205^A22,IF(A22='Données projet'!$A$218,'Données projet'!$B$218,FE21+FD22-FM21)))</f>
        <v>23.702826074133306</v>
      </c>
      <c r="FF22" s="18">
        <f>FE22*VLOOKUP('Données projet'!$B$16,Paramètres!$A$1:$I$88,3,0)*VLOOKUP('Données projet'!$B$16,Paramètres!$A$1:$I$88,5,0)</f>
        <v>11.092922602694387</v>
      </c>
      <c r="FG22" s="14">
        <f t="shared" si="47"/>
        <v>3.8632667416767035</v>
      </c>
      <c r="FH22" s="22">
        <f t="shared" si="22"/>
        <v>26.048696441446314</v>
      </c>
      <c r="FI22" s="62">
        <f t="shared" si="23"/>
        <v>240.20079068446984</v>
      </c>
      <c r="FJ22" s="62">
        <f ca="1">AVERAGE(OFFSET($FI$3,0,0,'Données projet'!$E$16+1,1))-AVERAGE(OFFSET($H$3,0,0,'Données projet'!$E$16+1,1))</f>
        <v>429.87867712133851</v>
      </c>
      <c r="FK22" s="62">
        <f t="shared" si="48"/>
        <v>182.81277865988014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projet'!$B$16,Paramètres!$A$1:$I$88,3,0)*0.475*44/12</f>
        <v>0</v>
      </c>
      <c r="FR22" s="23">
        <f>EXP(-LN(2)/25)*FR21+(1-EXP(-LN(2)/25))/(LN(2)/25)*Calculateur!FM22*Calculateur!FO22*VLOOKUP('Données projet'!$B$16,Paramètres!$A$1:$I$88,3,0)*0.475*44/12</f>
        <v>0</v>
      </c>
      <c r="FS22" s="23">
        <f>EXP(-LN(2)/2)*FS21+(1-EXP(-LN(2)/2))/(LN(2)/2)*FM22*FP22*VLOOKUP('Données projet'!$B$16,Paramètres!$A$1:$I$88,3,0)*0.475*44/12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11.333333333333334</v>
      </c>
      <c r="FZ22" s="13">
        <f>IF('Données projet'!$A$244&gt;35,FZ21+FY22-GH21,IF(A22&lt;'Données projet'!$A$244,$FW$205^A22,IF(A22='Données projet'!$A$244,'Données projet'!$B$244,FZ21+FY22-GH21)))</f>
        <v>110.66666666666666</v>
      </c>
      <c r="GA22" s="18">
        <f>FZ22*VLOOKUP('Données projet'!$B$17,Paramètres!$A$1:$I$88,3,0)*VLOOKUP('Données projet'!$B$17,Paramètres!$A$1:$I$88,5,0)</f>
        <v>53.230666666666664</v>
      </c>
      <c r="GB22" s="14">
        <f t="shared" si="49"/>
        <v>15.445028870651258</v>
      </c>
      <c r="GC22" s="22">
        <f t="shared" si="25"/>
        <v>119.61016972749536</v>
      </c>
      <c r="GD22" s="62">
        <f t="shared" si="26"/>
        <v>333.76226397051892</v>
      </c>
      <c r="GE22" s="62">
        <f ca="1">AVERAGE(OFFSET($GD$3,0,0,'Données projet'!$E$17+1,1))-AVERAGE(OFFSET($H$3,0,0,'Données projet'!$E$17+1,1))</f>
        <v>273.24375559399846</v>
      </c>
      <c r="GF22" s="62">
        <f t="shared" si="50"/>
        <v>270.77718895097848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projet'!$B$17,Paramètres!$A$1:$I$88,3,0)*0.475*44/12</f>
        <v>0</v>
      </c>
      <c r="GM22" s="23">
        <f>EXP(-LN(2)/25)*GM21+(1-EXP(-LN(2)/25))/(LN(2)/25)*Calculateur!GH22*Calculateur!GJ22*VLOOKUP('Données projet'!$B$17,Paramètres!$A$1:$I$88,3,0)*0.475*44/12</f>
        <v>4.9605704694499382</v>
      </c>
      <c r="GN22" s="23">
        <f>EXP(-LN(2)/2)*GN21+(1-EXP(-LN(2)/2))/(LN(2)/2)*GH22*GK22*VLOOKUP('Données projet'!$B$17,Paramètres!$A$1:$I$88,3,0)*0.475*44/12</f>
        <v>0</v>
      </c>
      <c r="GO22" s="23">
        <f t="shared" si="27"/>
        <v>4.9605704694499382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10</v>
      </c>
      <c r="N23" s="14">
        <f>IF('Données projet'!$A$36&gt;35,N22+M23-V22,IF(A23&lt;'Données projet'!$A$36,$K$205^A23,IF(A23='Données projet'!$A$36,'Données projet'!$B$36,N22+M23-V22)))</f>
        <v>55.97189649980767</v>
      </c>
      <c r="O23" s="14">
        <f>N23*VLOOKUP('Données projet'!$B$9,Paramètres!$A$1:$I$88,3,0)*VLOOKUP('Données projet'!$B$9,Paramètres!$A$1:$I$88,5,0)</f>
        <v>31.288290143392487</v>
      </c>
      <c r="P23" s="14">
        <f t="shared" si="33"/>
        <v>9.6576497306161446</v>
      </c>
      <c r="Q23" s="22">
        <f t="shared" si="2"/>
        <v>71.314178613898363</v>
      </c>
      <c r="R23" s="62">
        <f t="shared" si="0"/>
        <v>287.82888150079407</v>
      </c>
      <c r="S23" s="62">
        <f ca="1">AVERAGE(OFFSET($R$3,0,0,'Données projet'!$E$9+1,1))-AVERAGE(OFFSET($H$3,0,0,'Données projet'!$E$9+1,1))</f>
        <v>289.94242154211224</v>
      </c>
      <c r="T23" s="62">
        <f t="shared" si="34"/>
        <v>369.12599166143661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6.8965517241379309E-2</v>
      </c>
      <c r="AI23" s="14">
        <f>IF('Données projet'!$A$62&gt;35,AI22+AH23-AQ22,IF(A23&lt;'Données projet'!$A$62,$AF$205^A23,IF(A23='Données projet'!$A$62,'Données projet'!$B$62,AI22+AH23-AQ22)))</f>
        <v>1.612897963515362</v>
      </c>
      <c r="AJ23" s="14">
        <f>AI23*VLOOKUP('Données projet'!$B$10,Paramètres!$A$1:$I$88,3,0)*VLOOKUP('Données projet'!$B$10,Paramètres!$A$1:$I$88,5,0)</f>
        <v>1.4593500773886994</v>
      </c>
      <c r="AK23" s="14">
        <f t="shared" si="35"/>
        <v>0.64358125488708506</v>
      </c>
      <c r="AL23" s="22">
        <f t="shared" si="4"/>
        <v>3.6626054037136577</v>
      </c>
      <c r="AM23" s="62">
        <f t="shared" si="5"/>
        <v>220.17730829060937</v>
      </c>
      <c r="AN23" s="62">
        <f ca="1">AVERAGE(OFFSET($AM$3,0,0,'Données projet'!$E$10+1,1))-AVERAGE(OFFSET($H$3,0,0,'Données projet'!$E$10+1,1))</f>
        <v>518.31628039365785</v>
      </c>
      <c r="AO23" s="62">
        <f t="shared" si="36"/>
        <v>66.435071953154761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6.8965517241379309E-2</v>
      </c>
      <c r="BD23" s="13">
        <f>IF('Données projet'!$A$88&gt;35,BD22+BC23-BL22,IF(A23&lt;'Données projet'!$A$88,$BA$205^A23,IF(A23='Données projet'!$A$88,'Données projet'!$B$88,BD22+BC23-BL22)))</f>
        <v>1.612897963515362</v>
      </c>
      <c r="BE23" s="14">
        <f>BD23*VLOOKUP('Données projet'!$B$11,Paramètres!$A$1:$I$88,3,0)*VLOOKUP('Données projet'!$B$11,Paramètres!$A$1:$I$88,5,0)</f>
        <v>1.6354785350045773</v>
      </c>
      <c r="BF23" s="14">
        <f t="shared" si="37"/>
        <v>0.71175192933507703</v>
      </c>
      <c r="BG23" s="22">
        <f t="shared" si="7"/>
        <v>4.0880930587248976</v>
      </c>
      <c r="BH23" s="62">
        <f t="shared" si="8"/>
        <v>220.60279594562061</v>
      </c>
      <c r="BI23" s="62">
        <f ca="1">AVERAGE(OFFSET($BH$3,0,0,'Données projet'!$E$11+1,1))-AVERAGE(OFFSET($H$3,0,0,'Données projet'!$E$11+1,1))</f>
        <v>570.2785736203931</v>
      </c>
      <c r="BJ23" s="62">
        <f t="shared" si="38"/>
        <v>67.677759965081719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134.19999999999999</v>
      </c>
      <c r="BW23" s="13">
        <f>VLOOKUP(A23,'Données projet'!$A$113:$I$133,9,0)</f>
        <v>16.974999999999998</v>
      </c>
      <c r="BX23" s="13">
        <f t="array" ref="BX23">INDEX(BW:BW,MIN(IF(ISNUMBER(BW23:BW219),ROW(BW23:BW219),"")))</f>
        <v>16.974999999999998</v>
      </c>
      <c r="BY23" s="13">
        <f>IF('Données projet'!$A$114&gt;35,BY22+BX23-CG22,IF(A23&lt;'Données projet'!$A$114,$BV$205^A23,IF(A23='Données projet'!$A$114,'Données projet'!$B$114,BY22+BX23-CG22)))</f>
        <v>134.19999999999999</v>
      </c>
      <c r="BZ23" s="14">
        <f>BY23*VLOOKUP('Données projet'!$B$12,Paramètres!$A$1:$I$88,3,0)*VLOOKUP('Données projet'!$B$12,Paramètres!$A$1:$I$88,5,0)</f>
        <v>80.251599999999996</v>
      </c>
      <c r="CA23" s="14">
        <f t="shared" si="39"/>
        <v>22.19869038970787</v>
      </c>
      <c r="CB23" s="22">
        <f t="shared" si="10"/>
        <v>178.43425576207457</v>
      </c>
      <c r="CC23" s="62">
        <f t="shared" si="11"/>
        <v>394.94895864897029</v>
      </c>
      <c r="CD23" s="62">
        <f ca="1">AVERAGE(OFFSET($CC$3,0,0,'Données projet'!$E$12+1,1))-AVERAGE(OFFSET($H$3,0,0,'Données projet'!$E$12+1,1))</f>
        <v>401.1031790385295</v>
      </c>
      <c r="CE23" s="62">
        <f t="shared" si="40"/>
        <v>402.09589424130615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22.1</v>
      </c>
      <c r="CH23" s="17">
        <f>IF(ISNA(VLOOKUP(A23,'Données projet'!$A$113:$I$133,5,0)),0%,VLOOKUP(A23,'Données projet'!$A$113:$I$133,5,0)*VLOOKUP('Données projet'!$B$12,Paramètres!$A$1:$I$88,7,0))</f>
        <v>0.1125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0.75</v>
      </c>
      <c r="CK23" s="23">
        <f>EXP(-LN(2)/35)*CK22+(1-EXP(-LN(2)/35))/(LN(2)/35)*CG23*CH23*VLOOKUP('Données projet'!$B$12,Paramètres!$A$1:$I$88,3,0)*0.475*44/12</f>
        <v>1.9723061846472609</v>
      </c>
      <c r="CL23" s="23">
        <f>EXP(-LN(2)/25)*CL22+(1-EXP(-LN(2)/25))/(LN(2)/25)*Calculateur!CG23*Calculateur!CI23*VLOOKUP('Données projet'!$B$12,Paramètres!$A$1:$I$88,3,0)*0.475*44/12</f>
        <v>0</v>
      </c>
      <c r="CM23" s="23">
        <f>EXP(-LN(2)/2)*CM22+(1-EXP(-LN(2)/2))/(LN(2)/2)*CG23*CJ23*VLOOKUP('Données projet'!$B$12,Paramètres!$A$1:$I$88,3,0)*0.475*44/12</f>
        <v>13.727693879744763</v>
      </c>
      <c r="CN23" s="24">
        <f t="shared" si="12"/>
        <v>15.700000064392023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134.19999999999999</v>
      </c>
      <c r="CR23" s="13">
        <f>VLOOKUP(A23,'Données projet'!$A$139:$I$159,9,0)</f>
        <v>16.974999999999998</v>
      </c>
      <c r="CS23" s="13">
        <f t="array" ref="CS23">INDEX(CR:CR,MIN(IF(ISNUMBER(CR23:CR219),ROW(CR23:CR219),"")))</f>
        <v>16.974999999999998</v>
      </c>
      <c r="CT23" s="13">
        <f>IF('Données projet'!$A$140&gt;35,CT22+CS23-DB22,IF(A23&lt;'Données projet'!$A$140,$CQ$205^A23,IF(A23='Données projet'!$A$140,'Données projet'!$B$140,CT22+CS23-DB22)))</f>
        <v>134.19999999999999</v>
      </c>
      <c r="CU23" s="18">
        <f>CT23*VLOOKUP('Données projet'!$B$13,Paramètres!$A$1:$I$88,3,0)*VLOOKUP('Données projet'!$B$13,Paramètres!$A$1:$I$88,5,0)</f>
        <v>80.251599999999996</v>
      </c>
      <c r="CV23" s="14">
        <f t="shared" si="41"/>
        <v>22.19869038970787</v>
      </c>
      <c r="CW23" s="22">
        <f t="shared" si="13"/>
        <v>178.43425576207457</v>
      </c>
      <c r="CX23" s="62">
        <f t="shared" si="14"/>
        <v>394.94895864897029</v>
      </c>
      <c r="CY23" s="62">
        <f ca="1">AVERAGE(OFFSET($CX$3,0,0,'Données projet'!$E$13+1,1))-AVERAGE(OFFSET($H$3,0,0,'Données projet'!$E$13+1,1))</f>
        <v>401.1031790385295</v>
      </c>
      <c r="CZ23" s="62">
        <f t="shared" si="42"/>
        <v>402.09589424130615</v>
      </c>
      <c r="DA23" s="16">
        <f>IF(ISNA(VLOOKUP(A23,'Données projet'!$A$139:$I$159,3,0)),0,VLOOKUP(A23,'Données projet'!$A$139:$I$159,3,0))</f>
        <v>2</v>
      </c>
      <c r="DB23" s="16">
        <f>IF(ISNA(VLOOKUP(A23,'Données projet'!$A$139:$I$159,4,0)),0,VLOOKUP(A23,'Données projet'!$A$139:$I$159,4,0))</f>
        <v>22.1</v>
      </c>
      <c r="DC23" s="17">
        <f>IF(ISNA(VLOOKUP(A23,'Données projet'!$A$139:$I$159,5,0)),0%,VLOOKUP(A23,'Données projet'!$A$139:$I$159,5,0)*VLOOKUP('Données projet'!$B$13,Paramètres!$A$1:$I$88,7,0))</f>
        <v>0.1125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0.75</v>
      </c>
      <c r="DF23" s="23">
        <f>EXP(-LN(2)/35)*DF22+(1-EXP(-LN(2)/35))/(LN(2)/35)*DB23*DC23*VLOOKUP('Données projet'!$B$13,Paramètres!$A$1:$I$88,3,0)*0.475*44/12</f>
        <v>1.9723061846472609</v>
      </c>
      <c r="DG23" s="23">
        <f>EXP(-LN(2)/25)*DG22+(1-EXP(-LN(2)/25))/(LN(2)/25)*Calculateur!DB23*Calculateur!DD23*VLOOKUP('Données projet'!$B$13,Paramètres!$A$1:$I$88,3,0)*0.475*44/12</f>
        <v>0</v>
      </c>
      <c r="DH23" s="23">
        <f>EXP(-LN(2)/2)*DH22+(1-EXP(-LN(2)/2))/(LN(2)/2)*DB23*DE23*VLOOKUP('Données projet'!$B$13,Paramètres!$A$1:$I$88,3,0)*0.475*44/12</f>
        <v>13.727693879744763</v>
      </c>
      <c r="DI23" s="24">
        <f t="shared" si="15"/>
        <v>15.700000064392023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159</v>
      </c>
      <c r="DM23" s="13">
        <f>VLOOKUP(A23,'Données projet'!$A$165:$I$185,9,0)</f>
        <v>12.6</v>
      </c>
      <c r="DN23" s="13">
        <f t="array" ref="DN23">INDEX(DM:DM,MIN(IF(ISNUMBER(DM23:DM219),ROW(DM23:DM219),"")))</f>
        <v>12.6</v>
      </c>
      <c r="DO23" s="13">
        <f>IF('Données projet'!$A$166&gt;35,DO22+DN23-DW22,IF(A23&lt;'Données projet'!$A$166,$DL$205^A23,IF(A23='Données projet'!$A$166,'Données projet'!$B$166,DO22+DN23-DW22)))</f>
        <v>158.99999999999997</v>
      </c>
      <c r="DP23" s="18">
        <f>DO23*VLOOKUP('Données projet'!$B$14,Paramètres!$A$1:$I$88,3,0)*VLOOKUP('Données projet'!$B$14,Paramètres!$A$1:$I$88,5,0)</f>
        <v>64.076999999999998</v>
      </c>
      <c r="DQ23" s="14">
        <f t="shared" si="43"/>
        <v>18.19508558302471</v>
      </c>
      <c r="DR23" s="22">
        <f t="shared" si="16"/>
        <v>143.29054905710137</v>
      </c>
      <c r="DS23" s="62">
        <f t="shared" si="17"/>
        <v>359.80525194399706</v>
      </c>
      <c r="DT23" s="62">
        <f ca="1">AVERAGE(OFFSET($DS$3,0,0,'Données projet'!$E$14+1,1))-AVERAGE(OFFSET($H$3,0,0,'Données projet'!$E$14+1,1))</f>
        <v>432.59662347701629</v>
      </c>
      <c r="DU23" s="62">
        <f t="shared" si="44"/>
        <v>348.67401091099748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72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0.55000000000000004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projet'!$B$14,Paramètres!$A$1:$I$88,3,0)*0.475*44/12</f>
        <v>0</v>
      </c>
      <c r="EB23" s="23">
        <f>EXP(-LN(2)/25)*EB22+(1-EXP(-LN(2)/25))/(LN(2)/25)*Calculateur!DW23*Calculateur!DY23*VLOOKUP('Données projet'!$B$14,Paramètres!$A$1:$I$88,3,0)*0.475*44/12</f>
        <v>21.087020991337063</v>
      </c>
      <c r="EC23" s="23">
        <f>EXP(-LN(2)/2)*EC22+(1-EXP(-LN(2)/2))/(LN(2)/2)*DW23*DZ23*VLOOKUP('Données projet'!$B$14,Paramètres!$A$1:$I$88,3,0)*0.475*44/12</f>
        <v>0</v>
      </c>
      <c r="ED23" s="24">
        <f t="shared" si="18"/>
        <v>21.087020991337063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155</v>
      </c>
      <c r="EH23" s="13">
        <f>VLOOKUP(A23,'Données projet'!$A$191:$I$211,9,0)</f>
        <v>13.6</v>
      </c>
      <c r="EI23" s="13">
        <f t="array" ref="EI23">INDEX(EH:EH,MIN(IF(ISNUMBER(EH23:EH219),ROW(EH23:EH219),"")))</f>
        <v>13.6</v>
      </c>
      <c r="EJ23" s="13">
        <f>IF('Données projet'!$A$192&gt;35,EJ22+EI23-ER22,IF(A23&lt;'Données projet'!$A$192,$EG$205^A23,IF(A23='Données projet'!$A$192,'Données projet'!$B$192,EJ22+EI23-ER22)))</f>
        <v>154.99999999999997</v>
      </c>
      <c r="EK23" s="18">
        <f>EJ23*VLOOKUP('Données projet'!$B$15,Paramètres!$A$1:$I$88,3,0)*VLOOKUP('Données projet'!$B$15,Paramètres!$A$1:$I$88,5,0)</f>
        <v>68.509999999999991</v>
      </c>
      <c r="EL23" s="14">
        <f t="shared" si="45"/>
        <v>19.302975994019384</v>
      </c>
      <c r="EM23" s="22">
        <f t="shared" si="19"/>
        <v>152.94093318958377</v>
      </c>
      <c r="EN23" s="62">
        <f t="shared" si="20"/>
        <v>369.45563607647949</v>
      </c>
      <c r="EO23" s="62">
        <f ca="1">AVERAGE(OFFSET($EN$3,0,0,'Données projet'!$E$15+1,1))-AVERAGE(OFFSET($H$3,0,0,'Données projet'!$E$15+1,1))</f>
        <v>582.26951914082088</v>
      </c>
      <c r="EP23" s="62">
        <f t="shared" si="46"/>
        <v>434.80429932654715</v>
      </c>
      <c r="EQ23" s="16">
        <f>IF(ISNA(VLOOKUP(A23,'Données projet'!$A$191:$I$211,3,0)),0,VLOOKUP(A23,'Données projet'!$A$191:$I$211,3,0))</f>
        <v>2</v>
      </c>
      <c r="ER23" s="16">
        <f>IF(ISNA(VLOOKUP(A23,'Données projet'!$A$191:$I$211,4,0)),0,VLOOKUP(A23,'Données projet'!$A$191:$I$211,4,0))</f>
        <v>105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0.55000000000000004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projet'!$B$15,Paramètres!$A$1:$I$88,3,0)*0.475*44/12</f>
        <v>0</v>
      </c>
      <c r="EW23" s="23">
        <f>EXP(-LN(2)/25)*EW22+(1-EXP(-LN(2)/25))/(LN(2)/25)*Calculateur!ER23*Calculateur!ET23*VLOOKUP('Données projet'!$B$15,Paramètres!$A$1:$I$88,3,0)*0.475*44/12</f>
        <v>37.363171817233827</v>
      </c>
      <c r="EX23" s="23">
        <f>EXP(-LN(2)/2)*EX22+(1-EXP(-LN(2)/2))/(LN(2)/2)*ER23*EU23*VLOOKUP('Données projet'!$B$15,Paramètres!$A$1:$I$88,3,0)*0.475*44/12</f>
        <v>0</v>
      </c>
      <c r="EY23" s="24">
        <f t="shared" si="21"/>
        <v>37.363171817233827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28</v>
      </c>
      <c r="FC23" s="13">
        <f>VLOOKUP(A23,'Données projet'!$A$217:$I$237,9,0)</f>
        <v>1.4</v>
      </c>
      <c r="FD23" s="13">
        <f t="array" ref="FD23">INDEX(FC:FC,MIN(IF(ISNUMBER(FC23:FC219),ROW(FC23:FC219),"")))</f>
        <v>1.4</v>
      </c>
      <c r="FE23" s="13">
        <f>IF('Données projet'!$A$218&gt;35,FE22+FD23-FM22,IF(A23&lt;'Données projet'!$A$218,$FB$205^A23,IF(A23='Données projet'!$A$218,'Données projet'!$B$218,FE22+FD23-FM22)))</f>
        <v>28</v>
      </c>
      <c r="FF23" s="18">
        <f>FE23*VLOOKUP('Données projet'!$B$16,Paramètres!$A$1:$I$88,3,0)*VLOOKUP('Données projet'!$B$16,Paramètres!$A$1:$I$88,5,0)</f>
        <v>13.104000000000001</v>
      </c>
      <c r="FG23" s="14">
        <f t="shared" si="47"/>
        <v>4.4760006109979793</v>
      </c>
      <c r="FH23" s="22">
        <f t="shared" si="22"/>
        <v>30.618501064154817</v>
      </c>
      <c r="FI23" s="62">
        <f t="shared" si="23"/>
        <v>247.13320395105055</v>
      </c>
      <c r="FJ23" s="62">
        <f ca="1">AVERAGE(OFFSET($FI$3,0,0,'Données projet'!$E$16+1,1))-AVERAGE(OFFSET($H$3,0,0,'Données projet'!$E$16+1,1))</f>
        <v>429.87867712133851</v>
      </c>
      <c r="FK23" s="62">
        <f t="shared" si="48"/>
        <v>182.81277865988014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projet'!$B$16,Paramètres!$A$1:$I$88,3,0)*0.475*44/12</f>
        <v>0</v>
      </c>
      <c r="FR23" s="23">
        <f>EXP(-LN(2)/25)*FR22+(1-EXP(-LN(2)/25))/(LN(2)/25)*Calculateur!FM23*Calculateur!FO23*VLOOKUP('Données projet'!$B$16,Paramètres!$A$1:$I$88,3,0)*0.475*44/12</f>
        <v>0</v>
      </c>
      <c r="FS23" s="23">
        <f>EXP(-LN(2)/2)*FS22+(1-EXP(-LN(2)/2))/(LN(2)/2)*FM23*FP23*VLOOKUP('Données projet'!$B$16,Paramètres!$A$1:$I$88,3,0)*0.475*44/12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122</v>
      </c>
      <c r="FX23" s="13">
        <f>VLOOKUP(A23,'Données projet'!$A$243:$I$263,9,0)</f>
        <v>11.333333333333334</v>
      </c>
      <c r="FY23" s="13">
        <f t="array" ref="FY23">INDEX(FX:FX,MIN(IF(ISNUMBER(FX23:FX219),ROW(FX23:FX219),"")))</f>
        <v>11.333333333333334</v>
      </c>
      <c r="FZ23" s="13">
        <f>IF('Données projet'!$A$244&gt;35,FZ22+FY23-GH22,IF(A23&lt;'Données projet'!$A$244,$FW$205^A23,IF(A23='Données projet'!$A$244,'Données projet'!$B$244,FZ22+FY23-GH22)))</f>
        <v>121.99999999999999</v>
      </c>
      <c r="GA23" s="18">
        <f>FZ23*VLOOKUP('Données projet'!$B$17,Paramètres!$A$1:$I$88,3,0)*VLOOKUP('Données projet'!$B$17,Paramètres!$A$1:$I$88,5,0)</f>
        <v>58.681999999999995</v>
      </c>
      <c r="GB23" s="14">
        <f t="shared" si="49"/>
        <v>16.834607713213749</v>
      </c>
      <c r="GC23" s="22">
        <f t="shared" si="25"/>
        <v>131.52475843384727</v>
      </c>
      <c r="GD23" s="62">
        <f t="shared" si="26"/>
        <v>348.03946132074299</v>
      </c>
      <c r="GE23" s="62">
        <f ca="1">AVERAGE(OFFSET($GD$3,0,0,'Données projet'!$E$17+1,1))-AVERAGE(OFFSET($H$3,0,0,'Données projet'!$E$17+1,1))</f>
        <v>273.24375559399846</v>
      </c>
      <c r="GF23" s="62">
        <f t="shared" si="50"/>
        <v>270.77718895097848</v>
      </c>
      <c r="GG23" s="16">
        <f>IF(ISNA(VLOOKUP(A23,'Données projet'!$A$243:$I$263,3,0)),0,VLOOKUP(A23,'Données projet'!$A$243:$I$263,3,0))</f>
        <v>2</v>
      </c>
      <c r="GH23" s="16">
        <f>IF(ISNA(VLOOKUP(A23,'Données projet'!$A$243:$I$263,4,0)),0,VLOOKUP(A23,'Données projet'!$A$243:$I$263,4,0))</f>
        <v>15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0.55000000000000004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projet'!$B$17,Paramètres!$A$1:$I$88,3,0)*0.475*44/12</f>
        <v>0</v>
      </c>
      <c r="GM23" s="23">
        <f>EXP(-LN(2)/25)*GM22+(1-EXP(-LN(2)/25))/(LN(2)/25)*Calculateur!GH23*Calculateur!GJ23*VLOOKUP('Données projet'!$B$17,Paramètres!$A$1:$I$88,3,0)*0.475*44/12</f>
        <v>10.068335886782386</v>
      </c>
      <c r="GN23" s="23">
        <f>EXP(-LN(2)/2)*GN22+(1-EXP(-LN(2)/2))/(LN(2)/2)*GH23*GK23*VLOOKUP('Données projet'!$B$17,Paramètres!$A$1:$I$88,3,0)*0.475*44/12</f>
        <v>0</v>
      </c>
      <c r="GO23" s="23">
        <f t="shared" si="27"/>
        <v>10.068335886782386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10</v>
      </c>
      <c r="N24" s="14">
        <f>IF('Données projet'!$A$36&gt;35,N23+M24-V23,IF(A24&lt;'Données projet'!$A$36,$K$205^A24,IF(A24='Données projet'!$A$36,'Données projet'!$B$36,N23+M24-V23)))</f>
        <v>68.449223140886275</v>
      </c>
      <c r="O24" s="14">
        <f>N24*VLOOKUP('Données projet'!$B$9,Paramètres!$A$1:$I$88,3,0)*VLOOKUP('Données projet'!$B$9,Paramètres!$A$1:$I$88,5,0)</f>
        <v>38.263115735755427</v>
      </c>
      <c r="P24" s="14">
        <f t="shared" si="33"/>
        <v>11.537102887959403</v>
      </c>
      <c r="Q24" s="22">
        <f t="shared" si="2"/>
        <v>86.735380769636649</v>
      </c>
      <c r="R24" s="62">
        <f t="shared" si="0"/>
        <v>305.59290914551104</v>
      </c>
      <c r="S24" s="62">
        <f ca="1">AVERAGE(OFFSET($R$3,0,0,'Données projet'!$E$9+1,1))-AVERAGE(OFFSET($H$3,0,0,'Données projet'!$E$9+1,1))</f>
        <v>289.94242154211224</v>
      </c>
      <c r="T24" s="62">
        <f t="shared" si="34"/>
        <v>369.12599166143661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6.8965517241379309E-2</v>
      </c>
      <c r="AI24" s="14">
        <f>IF('Données projet'!$A$62&gt;35,AI23+AH24-AQ23,IF(A24&lt;'Données projet'!$A$62,$AF$205^A24,IF(A24='Données projet'!$A$62,'Données projet'!$B$62,AI23+AH24-AQ23)))</f>
        <v>1.6519132559793015</v>
      </c>
      <c r="AJ24" s="14">
        <f>AI24*VLOOKUP('Données projet'!$B$10,Paramètres!$A$1:$I$88,3,0)*VLOOKUP('Données projet'!$B$10,Paramètres!$A$1:$I$88,5,0)</f>
        <v>1.494651114010072</v>
      </c>
      <c r="AK24" s="14">
        <f t="shared" si="35"/>
        <v>0.65731789954737485</v>
      </c>
      <c r="AL24" s="22">
        <f t="shared" si="4"/>
        <v>3.7480126986125533</v>
      </c>
      <c r="AM24" s="62">
        <f t="shared" si="5"/>
        <v>222.60554107448692</v>
      </c>
      <c r="AN24" s="62">
        <f ca="1">AVERAGE(OFFSET($AM$3,0,0,'Données projet'!$E$10+1,1))-AVERAGE(OFFSET($H$3,0,0,'Données projet'!$E$10+1,1))</f>
        <v>518.31628039365785</v>
      </c>
      <c r="AO24" s="62">
        <f t="shared" si="36"/>
        <v>66.435071953154761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6.8965517241379309E-2</v>
      </c>
      <c r="BD24" s="13">
        <f>IF('Données projet'!$A$88&gt;35,BD23+BC24-BL23,IF(A24&lt;'Données projet'!$A$88,$BA$205^A24,IF(A24='Données projet'!$A$88,'Données projet'!$B$88,BD23+BC24-BL23)))</f>
        <v>1.6519132559793015</v>
      </c>
      <c r="BE24" s="14">
        <f>BD24*VLOOKUP('Données projet'!$B$11,Paramètres!$A$1:$I$88,3,0)*VLOOKUP('Données projet'!$B$11,Paramètres!$A$1:$I$88,5,0)</f>
        <v>1.6750400415630118</v>
      </c>
      <c r="BF24" s="14">
        <f t="shared" si="37"/>
        <v>0.72694361378099337</v>
      </c>
      <c r="BG24" s="22">
        <f t="shared" si="7"/>
        <v>4.1834548663908091</v>
      </c>
      <c r="BH24" s="62">
        <f t="shared" si="8"/>
        <v>223.04098324226518</v>
      </c>
      <c r="BI24" s="62">
        <f ca="1">AVERAGE(OFFSET($BH$3,0,0,'Données projet'!$E$11+1,1))-AVERAGE(OFFSET($H$3,0,0,'Données projet'!$E$11+1,1))</f>
        <v>570.2785736203931</v>
      </c>
      <c r="BJ24" s="62">
        <f t="shared" si="38"/>
        <v>67.677759965081719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20.350000000000001</v>
      </c>
      <c r="BY24" s="13">
        <f>IF('Données projet'!$A$114&gt;35,BY23+BX24-CG23,IF(A24&lt;'Données projet'!$A$114,$BV$205^A24,IF(A24='Données projet'!$A$114,'Données projet'!$B$114,BY23+BX24-CG23)))</f>
        <v>132.44999999999999</v>
      </c>
      <c r="BZ24" s="14">
        <f>BY24*VLOOKUP('Données projet'!$B$12,Paramètres!$A$1:$I$88,3,0)*VLOOKUP('Données projet'!$B$12,Paramètres!$A$1:$I$88,5,0)</f>
        <v>79.205100000000002</v>
      </c>
      <c r="CA24" s="14">
        <f t="shared" si="39"/>
        <v>21.942714133656914</v>
      </c>
      <c r="CB24" s="22">
        <f t="shared" si="10"/>
        <v>176.16577628278574</v>
      </c>
      <c r="CC24" s="62">
        <f t="shared" si="11"/>
        <v>395.02330465866009</v>
      </c>
      <c r="CD24" s="62">
        <f ca="1">AVERAGE(OFFSET($CC$3,0,0,'Données projet'!$E$12+1,1))-AVERAGE(OFFSET($H$3,0,0,'Données projet'!$E$12+1,1))</f>
        <v>401.1031790385295</v>
      </c>
      <c r="CE24" s="62">
        <f t="shared" si="40"/>
        <v>402.09589424130615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projet'!$B$12,Paramètres!$A$1:$I$88,3,0)*0.475*44/12</f>
        <v>1.9336304633543155</v>
      </c>
      <c r="CL24" s="23">
        <f>EXP(-LN(2)/25)*CL23+(1-EXP(-LN(2)/25))/(LN(2)/25)*Calculateur!CG24*Calculateur!CI24*VLOOKUP('Données projet'!$B$12,Paramètres!$A$1:$I$88,3,0)*0.475*44/12</f>
        <v>0</v>
      </c>
      <c r="CM24" s="23">
        <f>EXP(-LN(2)/2)*CM23+(1-EXP(-LN(2)/2))/(LN(2)/2)*CG24*CJ24*VLOOKUP('Données projet'!$B$12,Paramètres!$A$1:$I$88,3,0)*0.475*44/12</f>
        <v>9.7069454324205875</v>
      </c>
      <c r="CN24" s="24">
        <f t="shared" si="12"/>
        <v>11.640575895774903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20.350000000000001</v>
      </c>
      <c r="CT24" s="13">
        <f>IF('Données projet'!$A$140&gt;35,CT23+CS24-DB23,IF(A24&lt;'Données projet'!$A$140,$CQ$205^A24,IF(A24='Données projet'!$A$140,'Données projet'!$B$140,CT23+CS24-DB23)))</f>
        <v>132.44999999999999</v>
      </c>
      <c r="CU24" s="18">
        <f>CT24*VLOOKUP('Données projet'!$B$13,Paramètres!$A$1:$I$88,3,0)*VLOOKUP('Données projet'!$B$13,Paramètres!$A$1:$I$88,5,0)</f>
        <v>79.205100000000002</v>
      </c>
      <c r="CV24" s="14">
        <f t="shared" si="41"/>
        <v>21.942714133656914</v>
      </c>
      <c r="CW24" s="22">
        <f t="shared" si="13"/>
        <v>176.16577628278574</v>
      </c>
      <c r="CX24" s="62">
        <f t="shared" si="14"/>
        <v>395.02330465866009</v>
      </c>
      <c r="CY24" s="62">
        <f ca="1">AVERAGE(OFFSET($CX$3,0,0,'Données projet'!$E$13+1,1))-AVERAGE(OFFSET($H$3,0,0,'Données projet'!$E$13+1,1))</f>
        <v>401.1031790385295</v>
      </c>
      <c r="CZ24" s="62">
        <f t="shared" si="42"/>
        <v>402.09589424130615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projet'!$B$13,Paramètres!$A$1:$I$88,3,0)*0.475*44/12</f>
        <v>1.9336304633543155</v>
      </c>
      <c r="DG24" s="23">
        <f>EXP(-LN(2)/25)*DG23+(1-EXP(-LN(2)/25))/(LN(2)/25)*Calculateur!DB24*Calculateur!DD24*VLOOKUP('Données projet'!$B$13,Paramètres!$A$1:$I$88,3,0)*0.475*44/12</f>
        <v>0</v>
      </c>
      <c r="DH24" s="23">
        <f>EXP(-LN(2)/2)*DH23+(1-EXP(-LN(2)/2))/(LN(2)/2)*DB24*DE24*VLOOKUP('Données projet'!$B$13,Paramètres!$A$1:$I$88,3,0)*0.475*44/12</f>
        <v>9.7069454324205875</v>
      </c>
      <c r="DI24" s="24">
        <f t="shared" si="15"/>
        <v>11.640575895774903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30.8</v>
      </c>
      <c r="DO24" s="13">
        <f>IF('Données projet'!$A$166&gt;35,DO23+DN24-DW23,IF(A24&lt;'Données projet'!$A$166,$DL$205^A24,IF(A24='Données projet'!$A$166,'Données projet'!$B$166,DO23+DN24-DW23)))</f>
        <v>117.79999999999998</v>
      </c>
      <c r="DP24" s="18">
        <f>DO24*VLOOKUP('Données projet'!$B$14,Paramètres!$A$1:$I$88,3,0)*VLOOKUP('Données projet'!$B$14,Paramètres!$A$1:$I$88,5,0)</f>
        <v>47.473399999999991</v>
      </c>
      <c r="DQ24" s="14">
        <f t="shared" si="43"/>
        <v>13.95929811918977</v>
      </c>
      <c r="DR24" s="22">
        <f t="shared" si="16"/>
        <v>106.99528255758882</v>
      </c>
      <c r="DS24" s="62">
        <f t="shared" si="17"/>
        <v>325.85281093346322</v>
      </c>
      <c r="DT24" s="62">
        <f ca="1">AVERAGE(OFFSET($DS$3,0,0,'Données projet'!$E$14+1,1))-AVERAGE(OFFSET($H$3,0,0,'Données projet'!$E$14+1,1))</f>
        <v>432.59662347701629</v>
      </c>
      <c r="DU24" s="62">
        <f t="shared" si="44"/>
        <v>348.67401091099748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projet'!$B$14,Paramètres!$A$1:$I$88,3,0)*0.475*44/12</f>
        <v>0</v>
      </c>
      <c r="EB24" s="23">
        <f>EXP(-LN(2)/25)*EB23+(1-EXP(-LN(2)/25))/(LN(2)/25)*Calculateur!DW24*Calculateur!DY24*VLOOKUP('Données projet'!$B$14,Paramètres!$A$1:$I$88,3,0)*0.475*44/12</f>
        <v>20.510395293410713</v>
      </c>
      <c r="EC24" s="23">
        <f>EXP(-LN(2)/2)*EC23+(1-EXP(-LN(2)/2))/(LN(2)/2)*DW24*DZ24*VLOOKUP('Données projet'!$B$14,Paramètres!$A$1:$I$88,3,0)*0.475*44/12</f>
        <v>0</v>
      </c>
      <c r="ED24" s="24">
        <f t="shared" si="18"/>
        <v>20.510395293410713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43.4</v>
      </c>
      <c r="EJ24" s="13">
        <f>IF('Données projet'!$A$192&gt;35,EJ23+EI24-ER23,IF(A24&lt;'Données projet'!$A$192,$EG$205^A24,IF(A24='Données projet'!$A$192,'Données projet'!$B$192,EJ23+EI24-ER23)))</f>
        <v>93.399999999999977</v>
      </c>
      <c r="EK24" s="18">
        <f>EJ24*VLOOKUP('Données projet'!$B$15,Paramètres!$A$1:$I$88,3,0)*VLOOKUP('Données projet'!$B$15,Paramètres!$A$1:$I$88,5,0)</f>
        <v>41.282799999999995</v>
      </c>
      <c r="EL24" s="14">
        <f t="shared" si="45"/>
        <v>12.338026022809686</v>
      </c>
      <c r="EM24" s="22">
        <f t="shared" si="19"/>
        <v>93.389605323060195</v>
      </c>
      <c r="EN24" s="62">
        <f t="shared" si="20"/>
        <v>312.24713369893459</v>
      </c>
      <c r="EO24" s="62">
        <f ca="1">AVERAGE(OFFSET($EN$3,0,0,'Données projet'!$E$15+1,1))-AVERAGE(OFFSET($H$3,0,0,'Données projet'!$E$15+1,1))</f>
        <v>582.26951914082088</v>
      </c>
      <c r="EP24" s="62">
        <f t="shared" si="46"/>
        <v>434.80429932654715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projet'!$B$15,Paramètres!$A$1:$I$88,3,0)*0.475*44/12</f>
        <v>0</v>
      </c>
      <c r="EW24" s="23">
        <f>EXP(-LN(2)/25)*EW23+(1-EXP(-LN(2)/25))/(LN(2)/25)*Calculateur!ER24*Calculateur!ET24*VLOOKUP('Données projet'!$B$15,Paramètres!$A$1:$I$88,3,0)*0.475*44/12</f>
        <v>36.341473919047758</v>
      </c>
      <c r="EX24" s="23">
        <f>EXP(-LN(2)/2)*EX23+(1-EXP(-LN(2)/2))/(LN(2)/2)*ER24*EU24*VLOOKUP('Données projet'!$B$15,Paramètres!$A$1:$I$88,3,0)*0.475*44/12</f>
        <v>0</v>
      </c>
      <c r="EY24" s="24">
        <f t="shared" si="21"/>
        <v>36.341473919047758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9.3000000000000007</v>
      </c>
      <c r="FE24" s="13">
        <f>IF('Données projet'!$A$218&gt;35,FE23+FD24-FM23,IF(A24&lt;'Données projet'!$A$218,$FB$205^A24,IF(A24='Données projet'!$A$218,'Données projet'!$B$218,FE23+FD24-FM23)))</f>
        <v>37.299999999999997</v>
      </c>
      <c r="FF24" s="18">
        <f>FE24*VLOOKUP('Données projet'!$B$16,Paramètres!$A$1:$I$88,3,0)*VLOOKUP('Données projet'!$B$16,Paramètres!$A$1:$I$88,5,0)</f>
        <v>17.456399999999999</v>
      </c>
      <c r="FG24" s="14">
        <f t="shared" si="47"/>
        <v>5.7669106730837063</v>
      </c>
      <c r="FH24" s="22">
        <f t="shared" si="22"/>
        <v>40.447266088954116</v>
      </c>
      <c r="FI24" s="62">
        <f t="shared" si="23"/>
        <v>259.30479446482849</v>
      </c>
      <c r="FJ24" s="62">
        <f ca="1">AVERAGE(OFFSET($FI$3,0,0,'Données projet'!$E$16+1,1))-AVERAGE(OFFSET($H$3,0,0,'Données projet'!$E$16+1,1))</f>
        <v>429.87867712133851</v>
      </c>
      <c r="FK24" s="62">
        <f t="shared" si="48"/>
        <v>182.81277865988014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projet'!$B$16,Paramètres!$A$1:$I$88,3,0)*0.475*44/12</f>
        <v>0</v>
      </c>
      <c r="FR24" s="23">
        <f>EXP(-LN(2)/25)*FR23+(1-EXP(-LN(2)/25))/(LN(2)/25)*Calculateur!FM24*Calculateur!FO24*VLOOKUP('Données projet'!$B$16,Paramètres!$A$1:$I$88,3,0)*0.475*44/12</f>
        <v>0</v>
      </c>
      <c r="FS24" s="23">
        <f>EXP(-LN(2)/2)*FS23+(1-EXP(-LN(2)/2))/(LN(2)/2)*FM24*FP24*VLOOKUP('Données projet'!$B$16,Paramètres!$A$1:$I$88,3,0)*0.475*44/12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12.2</v>
      </c>
      <c r="FZ24" s="13">
        <f>IF('Données projet'!$A$244&gt;35,FZ23+FY24-GH23,IF(A24&lt;'Données projet'!$A$244,$FW$205^A24,IF(A24='Données projet'!$A$244,'Données projet'!$B$244,FZ23+FY24-GH23)))</f>
        <v>119.19999999999999</v>
      </c>
      <c r="GA24" s="18">
        <f>FZ24*VLOOKUP('Données projet'!$B$17,Paramètres!$A$1:$I$88,3,0)*VLOOKUP('Données projet'!$B$17,Paramètres!$A$1:$I$88,5,0)</f>
        <v>57.335199999999993</v>
      </c>
      <c r="GB24" s="14">
        <f t="shared" si="49"/>
        <v>16.492752951273467</v>
      </c>
      <c r="GC24" s="22">
        <f t="shared" si="25"/>
        <v>128.58368472346794</v>
      </c>
      <c r="GD24" s="62">
        <f t="shared" si="26"/>
        <v>347.44121309934235</v>
      </c>
      <c r="GE24" s="62">
        <f ca="1">AVERAGE(OFFSET($GD$3,0,0,'Données projet'!$E$17+1,1))-AVERAGE(OFFSET($H$3,0,0,'Données projet'!$E$17+1,1))</f>
        <v>273.24375559399846</v>
      </c>
      <c r="GF24" s="62">
        <f t="shared" si="50"/>
        <v>270.77718895097848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projet'!$B$17,Paramètres!$A$1:$I$88,3,0)*0.475*44/12</f>
        <v>0</v>
      </c>
      <c r="GM24" s="23">
        <f>EXP(-LN(2)/25)*GM23+(1-EXP(-LN(2)/25))/(LN(2)/25)*Calculateur!GH24*Calculateur!GJ24*VLOOKUP('Données projet'!$B$17,Paramètres!$A$1:$I$88,3,0)*0.475*44/12</f>
        <v>9.7930167124875478</v>
      </c>
      <c r="GN24" s="23">
        <f>EXP(-LN(2)/2)*GN23+(1-EXP(-LN(2)/2))/(LN(2)/2)*GH24*GK24*VLOOKUP('Données projet'!$B$17,Paramètres!$A$1:$I$88,3,0)*0.475*44/12</f>
        <v>0</v>
      </c>
      <c r="GO24" s="23">
        <f t="shared" si="27"/>
        <v>9.7930167124875478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10</v>
      </c>
      <c r="N25" s="14">
        <f>IF('Données projet'!$A$36&gt;35,N24+M25-V24,IF(A25&lt;'Données projet'!$A$36,$K$205^A25,IF(A25='Données projet'!$A$36,'Données projet'!$B$36,N24+M25-V24)))</f>
        <v>83.708011369722698</v>
      </c>
      <c r="O25" s="14">
        <f>N25*VLOOKUP('Données projet'!$B$9,Paramètres!$A$1:$I$88,3,0)*VLOOKUP('Données projet'!$B$9,Paramètres!$A$1:$I$88,5,0)</f>
        <v>46.79277835567499</v>
      </c>
      <c r="P25" s="14">
        <f t="shared" si="33"/>
        <v>13.782312131843014</v>
      </c>
      <c r="Q25" s="22">
        <f t="shared" si="2"/>
        <v>105.50161593242717</v>
      </c>
      <c r="R25" s="62">
        <f t="shared" si="0"/>
        <v>326.68252983589559</v>
      </c>
      <c r="S25" s="62">
        <f ca="1">AVERAGE(OFFSET($R$3,0,0,'Données projet'!$E$9+1,1))-AVERAGE(OFFSET($H$3,0,0,'Données projet'!$E$9+1,1))</f>
        <v>289.94242154211224</v>
      </c>
      <c r="T25" s="62">
        <f t="shared" si="34"/>
        <v>369.12599166143661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6.8965517241379309E-2</v>
      </c>
      <c r="AI25" s="14">
        <f>IF('Données projet'!$A$62&gt;35,AI24+AH25-AQ24,IF(A25&lt;'Données projet'!$A$62,$AF$205^A25,IF(A25='Données projet'!$A$62,'Données projet'!$B$62,AI24+AH25-AQ24)))</f>
        <v>1.69187231121093</v>
      </c>
      <c r="AJ25" s="14">
        <f>AI25*VLOOKUP('Données projet'!$B$10,Paramètres!$A$1:$I$88,3,0)*VLOOKUP('Données projet'!$B$10,Paramètres!$A$1:$I$88,5,0)</f>
        <v>1.5308060671836494</v>
      </c>
      <c r="AK25" s="14">
        <f t="shared" si="35"/>
        <v>0.67134774014071918</v>
      </c>
      <c r="AL25" s="22">
        <f t="shared" si="4"/>
        <v>3.835417881089942</v>
      </c>
      <c r="AM25" s="62">
        <f t="shared" si="5"/>
        <v>225.01633178455833</v>
      </c>
      <c r="AN25" s="62">
        <f ca="1">AVERAGE(OFFSET($AM$3,0,0,'Données projet'!$E$10+1,1))-AVERAGE(OFFSET($H$3,0,0,'Données projet'!$E$10+1,1))</f>
        <v>518.31628039365785</v>
      </c>
      <c r="AO25" s="62">
        <f t="shared" si="36"/>
        <v>66.435071953154761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6.8965517241379309E-2</v>
      </c>
      <c r="BD25" s="13">
        <f>IF('Données projet'!$A$88&gt;35,BD24+BC25-BL24,IF(A25&lt;'Données projet'!$A$88,$BA$205^A25,IF(A25='Données projet'!$A$88,'Données projet'!$B$88,BD24+BC25-BL24)))</f>
        <v>1.69187231121093</v>
      </c>
      <c r="BE25" s="14">
        <f>BD25*VLOOKUP('Données projet'!$B$11,Paramètres!$A$1:$I$88,3,0)*VLOOKUP('Données projet'!$B$11,Paramètres!$A$1:$I$88,5,0)</f>
        <v>1.7155585235678832</v>
      </c>
      <c r="BF25" s="14">
        <f t="shared" si="37"/>
        <v>0.74245955063395297</v>
      </c>
      <c r="BG25" s="22">
        <f t="shared" si="7"/>
        <v>4.281048145901531</v>
      </c>
      <c r="BH25" s="62">
        <f t="shared" si="8"/>
        <v>225.46196204936993</v>
      </c>
      <c r="BI25" s="62">
        <f ca="1">AVERAGE(OFFSET($BH$3,0,0,'Données projet'!$E$11+1,1))-AVERAGE(OFFSET($H$3,0,0,'Données projet'!$E$11+1,1))</f>
        <v>570.2785736203931</v>
      </c>
      <c r="BJ25" s="62">
        <f t="shared" si="38"/>
        <v>67.677759965081719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20.350000000000001</v>
      </c>
      <c r="BY25" s="13">
        <f>IF('Données projet'!$A$114&gt;35,BY24+BX25-CG24,IF(A25&lt;'Données projet'!$A$114,$BV$205^A25,IF(A25='Données projet'!$A$114,'Données projet'!$B$114,BY24+BX25-CG24)))</f>
        <v>152.79999999999998</v>
      </c>
      <c r="BZ25" s="14">
        <f>BY25*VLOOKUP('Données projet'!$B$12,Paramètres!$A$1:$I$88,3,0)*VLOOKUP('Données projet'!$B$12,Paramètres!$A$1:$I$88,5,0)</f>
        <v>91.374399999999994</v>
      </c>
      <c r="CA25" s="14">
        <f t="shared" si="39"/>
        <v>24.896404233831635</v>
      </c>
      <c r="CB25" s="22">
        <f t="shared" si="10"/>
        <v>202.50498404059007</v>
      </c>
      <c r="CC25" s="62">
        <f t="shared" si="11"/>
        <v>423.68589794405847</v>
      </c>
      <c r="CD25" s="62">
        <f ca="1">AVERAGE(OFFSET($CC$3,0,0,'Données projet'!$E$12+1,1))-AVERAGE(OFFSET($H$3,0,0,'Données projet'!$E$12+1,1))</f>
        <v>401.1031790385295</v>
      </c>
      <c r="CE25" s="62">
        <f t="shared" si="40"/>
        <v>402.09589424130615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projet'!$B$12,Paramètres!$A$1:$I$88,3,0)*0.475*44/12</f>
        <v>1.8957131493660642</v>
      </c>
      <c r="CL25" s="23">
        <f>EXP(-LN(2)/25)*CL24+(1-EXP(-LN(2)/25))/(LN(2)/25)*Calculateur!CG25*Calculateur!CI25*VLOOKUP('Données projet'!$B$12,Paramètres!$A$1:$I$88,3,0)*0.475*44/12</f>
        <v>0</v>
      </c>
      <c r="CM25" s="23">
        <f>EXP(-LN(2)/2)*CM24+(1-EXP(-LN(2)/2))/(LN(2)/2)*CG25*CJ25*VLOOKUP('Données projet'!$B$12,Paramètres!$A$1:$I$88,3,0)*0.475*44/12</f>
        <v>6.8638469398723814</v>
      </c>
      <c r="CN25" s="24">
        <f t="shared" si="12"/>
        <v>8.7595600892384446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20.350000000000001</v>
      </c>
      <c r="CT25" s="13">
        <f>IF('Données projet'!$A$140&gt;35,CT24+CS25-DB24,IF(A25&lt;'Données projet'!$A$140,$CQ$205^A25,IF(A25='Données projet'!$A$140,'Données projet'!$B$140,CT24+CS25-DB24)))</f>
        <v>152.79999999999998</v>
      </c>
      <c r="CU25" s="18">
        <f>CT25*VLOOKUP('Données projet'!$B$13,Paramètres!$A$1:$I$88,3,0)*VLOOKUP('Données projet'!$B$13,Paramètres!$A$1:$I$88,5,0)</f>
        <v>91.374399999999994</v>
      </c>
      <c r="CV25" s="14">
        <f t="shared" si="41"/>
        <v>24.896404233831635</v>
      </c>
      <c r="CW25" s="22">
        <f t="shared" si="13"/>
        <v>202.50498404059007</v>
      </c>
      <c r="CX25" s="62">
        <f t="shared" si="14"/>
        <v>423.68589794405847</v>
      </c>
      <c r="CY25" s="62">
        <f ca="1">AVERAGE(OFFSET($CX$3,0,0,'Données projet'!$E$13+1,1))-AVERAGE(OFFSET($H$3,0,0,'Données projet'!$E$13+1,1))</f>
        <v>401.1031790385295</v>
      </c>
      <c r="CZ25" s="62">
        <f t="shared" si="42"/>
        <v>402.09589424130615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projet'!$B$13,Paramètres!$A$1:$I$88,3,0)*0.475*44/12</f>
        <v>1.8957131493660642</v>
      </c>
      <c r="DG25" s="23">
        <f>EXP(-LN(2)/25)*DG24+(1-EXP(-LN(2)/25))/(LN(2)/25)*Calculateur!DB25*Calculateur!DD25*VLOOKUP('Données projet'!$B$13,Paramètres!$A$1:$I$88,3,0)*0.475*44/12</f>
        <v>0</v>
      </c>
      <c r="DH25" s="23">
        <f>EXP(-LN(2)/2)*DH24+(1-EXP(-LN(2)/2))/(LN(2)/2)*DB25*DE25*VLOOKUP('Données projet'!$B$13,Paramètres!$A$1:$I$88,3,0)*0.475*44/12</f>
        <v>6.8638469398723814</v>
      </c>
      <c r="DI25" s="24">
        <f t="shared" si="15"/>
        <v>8.7595600892384446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30.8</v>
      </c>
      <c r="DO25" s="13">
        <f>IF('Données projet'!$A$166&gt;35,DO24+DN25-DW24,IF(A25&lt;'Données projet'!$A$166,$DL$205^A25,IF(A25='Données projet'!$A$166,'Données projet'!$B$166,DO24+DN25-DW24)))</f>
        <v>148.6</v>
      </c>
      <c r="DP25" s="18">
        <f>DO25*VLOOKUP('Données projet'!$B$14,Paramètres!$A$1:$I$88,3,0)*VLOOKUP('Données projet'!$B$14,Paramètres!$A$1:$I$88,5,0)</f>
        <v>59.885799999999996</v>
      </c>
      <c r="DQ25" s="14">
        <f t="shared" si="43"/>
        <v>17.139392468789964</v>
      </c>
      <c r="DR25" s="22">
        <f t="shared" si="16"/>
        <v>134.15221021647582</v>
      </c>
      <c r="DS25" s="62">
        <f t="shared" si="17"/>
        <v>355.33312411994422</v>
      </c>
      <c r="DT25" s="62">
        <f ca="1">AVERAGE(OFFSET($DS$3,0,0,'Données projet'!$E$14+1,1))-AVERAGE(OFFSET($H$3,0,0,'Données projet'!$E$14+1,1))</f>
        <v>432.59662347701629</v>
      </c>
      <c r="DU25" s="62">
        <f t="shared" si="44"/>
        <v>348.67401091099748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projet'!$B$14,Paramètres!$A$1:$I$88,3,0)*0.475*44/12</f>
        <v>0</v>
      </c>
      <c r="EB25" s="23">
        <f>EXP(-LN(2)/25)*EB24+(1-EXP(-LN(2)/25))/(LN(2)/25)*Calculateur!DW25*Calculateur!DY25*VLOOKUP('Données projet'!$B$14,Paramètres!$A$1:$I$88,3,0)*0.475*44/12</f>
        <v>19.949537455517586</v>
      </c>
      <c r="EC25" s="23">
        <f>EXP(-LN(2)/2)*EC24+(1-EXP(-LN(2)/2))/(LN(2)/2)*DW25*DZ25*VLOOKUP('Données projet'!$B$14,Paramètres!$A$1:$I$88,3,0)*0.475*44/12</f>
        <v>0</v>
      </c>
      <c r="ED25" s="24">
        <f t="shared" si="18"/>
        <v>19.949537455517586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43.4</v>
      </c>
      <c r="EJ25" s="13">
        <f>IF('Données projet'!$A$192&gt;35,EJ24+EI25-ER24,IF(A25&lt;'Données projet'!$A$192,$EG$205^A25,IF(A25='Données projet'!$A$192,'Données projet'!$B$192,EJ24+EI25-ER24)))</f>
        <v>136.79999999999998</v>
      </c>
      <c r="EK25" s="18">
        <f>EJ25*VLOOKUP('Données projet'!$B$15,Paramètres!$A$1:$I$88,3,0)*VLOOKUP('Données projet'!$B$15,Paramètres!$A$1:$I$88,5,0)</f>
        <v>60.465600000000002</v>
      </c>
      <c r="EL25" s="14">
        <f t="shared" si="45"/>
        <v>17.28593428824821</v>
      </c>
      <c r="EM25" s="22">
        <f t="shared" si="19"/>
        <v>135.41725555203229</v>
      </c>
      <c r="EN25" s="62">
        <f t="shared" si="20"/>
        <v>356.59816945550068</v>
      </c>
      <c r="EO25" s="62">
        <f ca="1">AVERAGE(OFFSET($EN$3,0,0,'Données projet'!$E$15+1,1))-AVERAGE(OFFSET($H$3,0,0,'Données projet'!$E$15+1,1))</f>
        <v>582.26951914082088</v>
      </c>
      <c r="EP25" s="62">
        <f t="shared" si="46"/>
        <v>434.80429932654715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projet'!$B$15,Paramètres!$A$1:$I$88,3,0)*0.475*44/12</f>
        <v>0</v>
      </c>
      <c r="EW25" s="23">
        <f>EXP(-LN(2)/25)*EW24+(1-EXP(-LN(2)/25))/(LN(2)/25)*Calculateur!ER25*Calculateur!ET25*VLOOKUP('Données projet'!$B$15,Paramètres!$A$1:$I$88,3,0)*0.475*44/12</f>
        <v>35.347714403616344</v>
      </c>
      <c r="EX25" s="23">
        <f>EXP(-LN(2)/2)*EX24+(1-EXP(-LN(2)/2))/(LN(2)/2)*ER25*EU25*VLOOKUP('Données projet'!$B$15,Paramètres!$A$1:$I$88,3,0)*0.475*44/12</f>
        <v>0</v>
      </c>
      <c r="EY25" s="24">
        <f t="shared" si="21"/>
        <v>35.347714403616344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9.3000000000000007</v>
      </c>
      <c r="FE25" s="13">
        <f>IF('Données projet'!$A$218&gt;35,FE24+FD25-FM24,IF(A25&lt;'Données projet'!$A$218,$FB$205^A25,IF(A25='Données projet'!$A$218,'Données projet'!$B$218,FE24+FD25-FM24)))</f>
        <v>46.599999999999994</v>
      </c>
      <c r="FF25" s="18">
        <f>FE25*VLOOKUP('Données projet'!$B$16,Paramètres!$A$1:$I$88,3,0)*VLOOKUP('Données projet'!$B$16,Paramètres!$A$1:$I$88,5,0)</f>
        <v>21.808799999999994</v>
      </c>
      <c r="FG25" s="14">
        <f t="shared" si="47"/>
        <v>7.0204846906618394</v>
      </c>
      <c r="FH25" s="22">
        <f t="shared" si="22"/>
        <v>50.211004169569357</v>
      </c>
      <c r="FI25" s="62">
        <f t="shared" si="23"/>
        <v>271.39191807303774</v>
      </c>
      <c r="FJ25" s="62">
        <f ca="1">AVERAGE(OFFSET($FI$3,0,0,'Données projet'!$E$16+1,1))-AVERAGE(OFFSET($H$3,0,0,'Données projet'!$E$16+1,1))</f>
        <v>429.87867712133851</v>
      </c>
      <c r="FK25" s="62">
        <f t="shared" si="48"/>
        <v>182.81277865988014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projet'!$B$16,Paramètres!$A$1:$I$88,3,0)*0.475*44/12</f>
        <v>0</v>
      </c>
      <c r="FR25" s="23">
        <f>EXP(-LN(2)/25)*FR24+(1-EXP(-LN(2)/25))/(LN(2)/25)*Calculateur!FM25*Calculateur!FO25*VLOOKUP('Données projet'!$B$16,Paramètres!$A$1:$I$88,3,0)*0.475*44/12</f>
        <v>0</v>
      </c>
      <c r="FS25" s="23">
        <f>EXP(-LN(2)/2)*FS24+(1-EXP(-LN(2)/2))/(LN(2)/2)*FM25*FP25*VLOOKUP('Données projet'!$B$16,Paramètres!$A$1:$I$88,3,0)*0.475*44/12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12.2</v>
      </c>
      <c r="FZ25" s="13">
        <f>IF('Données projet'!$A$244&gt;35,FZ24+FY25-GH24,IF(A25&lt;'Données projet'!$A$244,$FW$205^A25,IF(A25='Données projet'!$A$244,'Données projet'!$B$244,FZ24+FY25-GH24)))</f>
        <v>131.39999999999998</v>
      </c>
      <c r="GA25" s="18">
        <f>FZ25*VLOOKUP('Données projet'!$B$17,Paramètres!$A$1:$I$88,3,0)*VLOOKUP('Données projet'!$B$17,Paramètres!$A$1:$I$88,5,0)</f>
        <v>63.203399999999988</v>
      </c>
      <c r="GB25" s="14">
        <f t="shared" si="49"/>
        <v>17.975721010690933</v>
      </c>
      <c r="GC25" s="22">
        <f t="shared" si="25"/>
        <v>141.38696909362002</v>
      </c>
      <c r="GD25" s="62">
        <f t="shared" si="26"/>
        <v>362.56788299708842</v>
      </c>
      <c r="GE25" s="62">
        <f ca="1">AVERAGE(OFFSET($GD$3,0,0,'Données projet'!$E$17+1,1))-AVERAGE(OFFSET($H$3,0,0,'Données projet'!$E$17+1,1))</f>
        <v>273.24375559399846</v>
      </c>
      <c r="GF25" s="62">
        <f t="shared" si="50"/>
        <v>270.77718895097848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projet'!$B$17,Paramètres!$A$1:$I$88,3,0)*0.475*44/12</f>
        <v>0</v>
      </c>
      <c r="GM25" s="23">
        <f>EXP(-LN(2)/25)*GM24+(1-EXP(-LN(2)/25))/(LN(2)/25)*Calculateur!GH25*Calculateur!GJ25*VLOOKUP('Données projet'!$B$17,Paramètres!$A$1:$I$88,3,0)*0.475*44/12</f>
        <v>9.5252261554922093</v>
      </c>
      <c r="GN25" s="23">
        <f>EXP(-LN(2)/2)*GN24+(1-EXP(-LN(2)/2))/(LN(2)/2)*GH25*GK25*VLOOKUP('Données projet'!$B$17,Paramètres!$A$1:$I$88,3,0)*0.475*44/12</f>
        <v>0</v>
      </c>
      <c r="GO25" s="23">
        <f t="shared" si="27"/>
        <v>9.5252261554922093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10</v>
      </c>
      <c r="N26" s="14">
        <f>IF('Données projet'!$A$36&gt;35,N25+M26-V25,IF(A26&lt;'Données projet'!$A$36,$K$205^A26,IF(A26='Données projet'!$A$36,'Données projet'!$B$36,N25+M26-V25)))</f>
        <v>102.36830815524864</v>
      </c>
      <c r="O26" s="14">
        <f>N26*VLOOKUP('Données projet'!$B$9,Paramètres!$A$1:$I$88,3,0)*VLOOKUP('Données projet'!$B$9,Paramètres!$A$1:$I$88,5,0)</f>
        <v>57.223884258783997</v>
      </c>
      <c r="P26" s="14">
        <f t="shared" si="33"/>
        <v>16.464456418932429</v>
      </c>
      <c r="Q26" s="22">
        <f t="shared" si="2"/>
        <v>128.34052668035611</v>
      </c>
      <c r="R26" s="62">
        <f t="shared" si="0"/>
        <v>351.82572338990258</v>
      </c>
      <c r="S26" s="62">
        <f ca="1">AVERAGE(OFFSET($R$3,0,0,'Données projet'!$E$9+1,1))-AVERAGE(OFFSET($H$3,0,0,'Données projet'!$E$9+1,1))</f>
        <v>289.94242154211224</v>
      </c>
      <c r="T26" s="62">
        <f t="shared" si="34"/>
        <v>369.12599166143661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6.8965517241379309E-2</v>
      </c>
      <c r="AI26" s="14">
        <f>IF('Données projet'!$A$62&gt;35,AI25+AH26-AQ25,IF(A26&lt;'Données projet'!$A$62,$AF$205^A26,IF(A26='Données projet'!$A$62,'Données projet'!$B$62,AI25+AH26-AQ25)))</f>
        <v>1.7327979584165771</v>
      </c>
      <c r="AJ26" s="14">
        <f>AI26*VLOOKUP('Données projet'!$B$10,Paramètres!$A$1:$I$88,3,0)*VLOOKUP('Données projet'!$B$10,Paramètres!$A$1:$I$88,5,0)</f>
        <v>1.5678355927753187</v>
      </c>
      <c r="AK26" s="14">
        <f t="shared" si="35"/>
        <v>0.68567703466223162</v>
      </c>
      <c r="AL26" s="22">
        <f t="shared" si="4"/>
        <v>3.9248678261204</v>
      </c>
      <c r="AM26" s="62">
        <f t="shared" si="5"/>
        <v>227.41006453566689</v>
      </c>
      <c r="AN26" s="62">
        <f ca="1">AVERAGE(OFFSET($AM$3,0,0,'Données projet'!$E$10+1,1))-AVERAGE(OFFSET($H$3,0,0,'Données projet'!$E$10+1,1))</f>
        <v>518.31628039365785</v>
      </c>
      <c r="AO26" s="62">
        <f t="shared" si="36"/>
        <v>66.435071953154761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6.8965517241379309E-2</v>
      </c>
      <c r="BD26" s="13">
        <f>IF('Données projet'!$A$88&gt;35,BD25+BC26-BL25,IF(A26&lt;'Données projet'!$A$88,$BA$205^A26,IF(A26='Données projet'!$A$88,'Données projet'!$B$88,BD25+BC26-BL25)))</f>
        <v>1.7327979584165771</v>
      </c>
      <c r="BE26" s="14">
        <f>BD26*VLOOKUP('Données projet'!$B$11,Paramètres!$A$1:$I$88,3,0)*VLOOKUP('Données projet'!$B$11,Paramètres!$A$1:$I$88,5,0)</f>
        <v>1.7570571298344095</v>
      </c>
      <c r="BF26" s="14">
        <f t="shared" si="37"/>
        <v>0.75830666076068676</v>
      </c>
      <c r="BG26" s="22">
        <f t="shared" si="7"/>
        <v>4.3809252686197926</v>
      </c>
      <c r="BH26" s="62">
        <f t="shared" si="8"/>
        <v>227.86612197816629</v>
      </c>
      <c r="BI26" s="62">
        <f ca="1">AVERAGE(OFFSET($BH$3,0,0,'Données projet'!$E$11+1,1))-AVERAGE(OFFSET($H$3,0,0,'Données projet'!$E$11+1,1))</f>
        <v>570.2785736203931</v>
      </c>
      <c r="BJ26" s="62">
        <f t="shared" si="38"/>
        <v>67.677759965081719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20.350000000000001</v>
      </c>
      <c r="BY26" s="13">
        <f>IF('Données projet'!$A$114&gt;35,BY25+BX26-CG25,IF(A26&lt;'Données projet'!$A$114,$BV$205^A26,IF(A26='Données projet'!$A$114,'Données projet'!$B$114,BY25+BX26-CG25)))</f>
        <v>173.14999999999998</v>
      </c>
      <c r="BZ26" s="14">
        <f>BY26*VLOOKUP('Données projet'!$B$12,Paramètres!$A$1:$I$88,3,0)*VLOOKUP('Données projet'!$B$12,Paramètres!$A$1:$I$88,5,0)</f>
        <v>103.54369999999999</v>
      </c>
      <c r="CA26" s="14">
        <f t="shared" si="39"/>
        <v>27.804516563236298</v>
      </c>
      <c r="CB26" s="22">
        <f t="shared" si="10"/>
        <v>228.76481051430321</v>
      </c>
      <c r="CC26" s="62">
        <f t="shared" si="11"/>
        <v>452.25000722384971</v>
      </c>
      <c r="CD26" s="62">
        <f ca="1">AVERAGE(OFFSET($CC$3,0,0,'Données projet'!$E$12+1,1))-AVERAGE(OFFSET($H$3,0,0,'Données projet'!$E$12+1,1))</f>
        <v>401.1031790385295</v>
      </c>
      <c r="CE26" s="62">
        <f t="shared" si="40"/>
        <v>402.09589424130615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projet'!$B$12,Paramètres!$A$1:$I$88,3,0)*0.475*44/12</f>
        <v>1.8585393707778446</v>
      </c>
      <c r="CL26" s="23">
        <f>EXP(-LN(2)/25)*CL25+(1-EXP(-LN(2)/25))/(LN(2)/25)*Calculateur!CG26*Calculateur!CI26*VLOOKUP('Données projet'!$B$12,Paramètres!$A$1:$I$88,3,0)*0.475*44/12</f>
        <v>0</v>
      </c>
      <c r="CM26" s="23">
        <f>EXP(-LN(2)/2)*CM25+(1-EXP(-LN(2)/2))/(LN(2)/2)*CG26*CJ26*VLOOKUP('Données projet'!$B$12,Paramètres!$A$1:$I$88,3,0)*0.475*44/12</f>
        <v>4.8534727162102937</v>
      </c>
      <c r="CN26" s="24">
        <f t="shared" si="12"/>
        <v>6.7120120869881381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20.350000000000001</v>
      </c>
      <c r="CT26" s="13">
        <f>IF('Données projet'!$A$140&gt;35,CT25+CS26-DB25,IF(A26&lt;'Données projet'!$A$140,$CQ$205^A26,IF(A26='Données projet'!$A$140,'Données projet'!$B$140,CT25+CS26-DB25)))</f>
        <v>173.14999999999998</v>
      </c>
      <c r="CU26" s="18">
        <f>CT26*VLOOKUP('Données projet'!$B$13,Paramètres!$A$1:$I$88,3,0)*VLOOKUP('Données projet'!$B$13,Paramètres!$A$1:$I$88,5,0)</f>
        <v>103.54369999999999</v>
      </c>
      <c r="CV26" s="14">
        <f t="shared" si="41"/>
        <v>27.804516563236298</v>
      </c>
      <c r="CW26" s="22">
        <f t="shared" si="13"/>
        <v>228.76481051430321</v>
      </c>
      <c r="CX26" s="62">
        <f t="shared" si="14"/>
        <v>452.25000722384971</v>
      </c>
      <c r="CY26" s="62">
        <f ca="1">AVERAGE(OFFSET($CX$3,0,0,'Données projet'!$E$13+1,1))-AVERAGE(OFFSET($H$3,0,0,'Données projet'!$E$13+1,1))</f>
        <v>401.1031790385295</v>
      </c>
      <c r="CZ26" s="62">
        <f t="shared" si="42"/>
        <v>402.09589424130615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projet'!$B$13,Paramètres!$A$1:$I$88,3,0)*0.475*44/12</f>
        <v>1.8585393707778446</v>
      </c>
      <c r="DG26" s="23">
        <f>EXP(-LN(2)/25)*DG25+(1-EXP(-LN(2)/25))/(LN(2)/25)*Calculateur!DB26*Calculateur!DD26*VLOOKUP('Données projet'!$B$13,Paramètres!$A$1:$I$88,3,0)*0.475*44/12</f>
        <v>0</v>
      </c>
      <c r="DH26" s="23">
        <f>EXP(-LN(2)/2)*DH25+(1-EXP(-LN(2)/2))/(LN(2)/2)*DB26*DE26*VLOOKUP('Données projet'!$B$13,Paramètres!$A$1:$I$88,3,0)*0.475*44/12</f>
        <v>4.8534727162102937</v>
      </c>
      <c r="DI26" s="24">
        <f t="shared" si="15"/>
        <v>6.7120120869881381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30.8</v>
      </c>
      <c r="DO26" s="13">
        <f>IF('Données projet'!$A$166&gt;35,DO25+DN26-DW25,IF(A26&lt;'Données projet'!$A$166,$DL$205^A26,IF(A26='Données projet'!$A$166,'Données projet'!$B$166,DO25+DN26-DW25)))</f>
        <v>179.4</v>
      </c>
      <c r="DP26" s="18">
        <f>DO26*VLOOKUP('Données projet'!$B$14,Paramètres!$A$1:$I$88,3,0)*VLOOKUP('Données projet'!$B$14,Paramètres!$A$1:$I$88,5,0)</f>
        <v>72.298200000000008</v>
      </c>
      <c r="DQ26" s="14">
        <f t="shared" si="43"/>
        <v>20.243104193750582</v>
      </c>
      <c r="DR26" s="22">
        <f t="shared" si="16"/>
        <v>161.17610480411562</v>
      </c>
      <c r="DS26" s="62">
        <f t="shared" si="17"/>
        <v>384.66130151366212</v>
      </c>
      <c r="DT26" s="62">
        <f ca="1">AVERAGE(OFFSET($DS$3,0,0,'Données projet'!$E$14+1,1))-AVERAGE(OFFSET($H$3,0,0,'Données projet'!$E$14+1,1))</f>
        <v>432.59662347701629</v>
      </c>
      <c r="DU26" s="62">
        <f t="shared" si="44"/>
        <v>348.67401091099748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projet'!$B$14,Paramètres!$A$1:$I$88,3,0)*0.475*44/12</f>
        <v>0</v>
      </c>
      <c r="EB26" s="23">
        <f>EXP(-LN(2)/25)*EB25+(1-EXP(-LN(2)/25))/(LN(2)/25)*Calculateur!DW26*Calculateur!DY26*VLOOKUP('Données projet'!$B$14,Paramètres!$A$1:$I$88,3,0)*0.475*44/12</f>
        <v>19.40401630469588</v>
      </c>
      <c r="EC26" s="23">
        <f>EXP(-LN(2)/2)*EC25+(1-EXP(-LN(2)/2))/(LN(2)/2)*DW26*DZ26*VLOOKUP('Données projet'!$B$14,Paramètres!$A$1:$I$88,3,0)*0.475*44/12</f>
        <v>0</v>
      </c>
      <c r="ED26" s="24">
        <f t="shared" si="18"/>
        <v>19.40401630469588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43.4</v>
      </c>
      <c r="EJ26" s="13">
        <f>IF('Données projet'!$A$192&gt;35,EJ25+EI26-ER25,IF(A26&lt;'Données projet'!$A$192,$EG$205^A26,IF(A26='Données projet'!$A$192,'Données projet'!$B$192,EJ25+EI26-ER25)))</f>
        <v>180.2</v>
      </c>
      <c r="EK26" s="18">
        <f>EJ26*VLOOKUP('Données projet'!$B$15,Paramètres!$A$1:$I$88,3,0)*VLOOKUP('Données projet'!$B$15,Paramètres!$A$1:$I$88,5,0)</f>
        <v>79.648400000000009</v>
      </c>
      <c r="EL26" s="14">
        <f t="shared" si="45"/>
        <v>22.051194075073628</v>
      </c>
      <c r="EM26" s="22">
        <f t="shared" si="19"/>
        <v>177.12679301408659</v>
      </c>
      <c r="EN26" s="62">
        <f t="shared" si="20"/>
        <v>400.61198972363309</v>
      </c>
      <c r="EO26" s="62">
        <f ca="1">AVERAGE(OFFSET($EN$3,0,0,'Données projet'!$E$15+1,1))-AVERAGE(OFFSET($H$3,0,0,'Données projet'!$E$15+1,1))</f>
        <v>582.26951914082088</v>
      </c>
      <c r="EP26" s="62">
        <f t="shared" si="46"/>
        <v>434.80429932654715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projet'!$B$15,Paramètres!$A$1:$I$88,3,0)*0.475*44/12</f>
        <v>0</v>
      </c>
      <c r="EW26" s="23">
        <f>EXP(-LN(2)/25)*EW25+(1-EXP(-LN(2)/25))/(LN(2)/25)*Calculateur!ER26*Calculateur!ET26*VLOOKUP('Données projet'!$B$15,Paramètres!$A$1:$I$88,3,0)*0.475*44/12</f>
        <v>34.381129294393943</v>
      </c>
      <c r="EX26" s="23">
        <f>EXP(-LN(2)/2)*EX25+(1-EXP(-LN(2)/2))/(LN(2)/2)*ER26*EU26*VLOOKUP('Données projet'!$B$15,Paramètres!$A$1:$I$88,3,0)*0.475*44/12</f>
        <v>0</v>
      </c>
      <c r="EY26" s="24">
        <f t="shared" si="21"/>
        <v>34.381129294393943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9.3000000000000007</v>
      </c>
      <c r="FE26" s="13">
        <f>IF('Données projet'!$A$218&gt;35,FE25+FD26-FM25,IF(A26&lt;'Données projet'!$A$218,$FB$205^A26,IF(A26='Données projet'!$A$218,'Données projet'!$B$218,FE25+FD26-FM25)))</f>
        <v>55.899999999999991</v>
      </c>
      <c r="FF26" s="18">
        <f>FE26*VLOOKUP('Données projet'!$B$16,Paramètres!$A$1:$I$88,3,0)*VLOOKUP('Données projet'!$B$16,Paramètres!$A$1:$I$88,5,0)</f>
        <v>26.161199999999994</v>
      </c>
      <c r="FG26" s="14">
        <f t="shared" si="47"/>
        <v>8.2450705120606234</v>
      </c>
      <c r="FH26" s="22">
        <f t="shared" si="22"/>
        <v>59.924254475172233</v>
      </c>
      <c r="FI26" s="62">
        <f t="shared" si="23"/>
        <v>283.40945118471871</v>
      </c>
      <c r="FJ26" s="62">
        <f ca="1">AVERAGE(OFFSET($FI$3,0,0,'Données projet'!$E$16+1,1))-AVERAGE(OFFSET($H$3,0,0,'Données projet'!$E$16+1,1))</f>
        <v>429.87867712133851</v>
      </c>
      <c r="FK26" s="62">
        <f t="shared" si="48"/>
        <v>182.81277865988014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projet'!$B$16,Paramètres!$A$1:$I$88,3,0)*0.475*44/12</f>
        <v>0</v>
      </c>
      <c r="FR26" s="23">
        <f>EXP(-LN(2)/25)*FR25+(1-EXP(-LN(2)/25))/(LN(2)/25)*Calculateur!FM26*Calculateur!FO26*VLOOKUP('Données projet'!$B$16,Paramètres!$A$1:$I$88,3,0)*0.475*44/12</f>
        <v>0</v>
      </c>
      <c r="FS26" s="23">
        <f>EXP(-LN(2)/2)*FS25+(1-EXP(-LN(2)/2))/(LN(2)/2)*FM26*FP26*VLOOKUP('Données projet'!$B$16,Paramètres!$A$1:$I$88,3,0)*0.475*44/12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12.2</v>
      </c>
      <c r="FZ26" s="13">
        <f>IF('Données projet'!$A$244&gt;35,FZ25+FY26-GH25,IF(A26&lt;'Données projet'!$A$244,$FW$205^A26,IF(A26='Données projet'!$A$244,'Données projet'!$B$244,FZ25+FY26-GH25)))</f>
        <v>143.59999999999997</v>
      </c>
      <c r="GA26" s="18">
        <f>FZ26*VLOOKUP('Données projet'!$B$17,Paramètres!$A$1:$I$88,3,0)*VLOOKUP('Données projet'!$B$17,Paramètres!$A$1:$I$88,5,0)</f>
        <v>69.071599999999975</v>
      </c>
      <c r="GB26" s="14">
        <f t="shared" si="49"/>
        <v>19.442724281304439</v>
      </c>
      <c r="GC26" s="22">
        <f t="shared" si="25"/>
        <v>154.16244812327184</v>
      </c>
      <c r="GD26" s="62">
        <f t="shared" si="26"/>
        <v>377.64764483281834</v>
      </c>
      <c r="GE26" s="62">
        <f ca="1">AVERAGE(OFFSET($GD$3,0,0,'Données projet'!$E$17+1,1))-AVERAGE(OFFSET($H$3,0,0,'Données projet'!$E$17+1,1))</f>
        <v>273.24375559399846</v>
      </c>
      <c r="GF26" s="62">
        <f t="shared" si="50"/>
        <v>270.77718895097848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projet'!$B$17,Paramètres!$A$1:$I$88,3,0)*0.475*44/12</f>
        <v>0</v>
      </c>
      <c r="GM26" s="23">
        <f>EXP(-LN(2)/25)*GM25+(1-EXP(-LN(2)/25))/(LN(2)/25)*Calculateur!GH26*Calculateur!GJ26*VLOOKUP('Données projet'!$B$17,Paramètres!$A$1:$I$88,3,0)*0.475*44/12</f>
        <v>9.2647583453604021</v>
      </c>
      <c r="GN26" s="23">
        <f>EXP(-LN(2)/2)*GN25+(1-EXP(-LN(2)/2))/(LN(2)/2)*GH26*GK26*VLOOKUP('Données projet'!$B$17,Paramètres!$A$1:$I$88,3,0)*0.475*44/12</f>
        <v>0</v>
      </c>
      <c r="GO26" s="23">
        <f t="shared" si="27"/>
        <v>9.2647583453604021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10</v>
      </c>
      <c r="N27" s="14">
        <f>IF('Données projet'!$A$36&gt;35,N26+M27-V26,IF(A27&lt;'Données projet'!$A$36,$K$205^A27,IF(A27='Données projet'!$A$36,'Données projet'!$B$36,N26+M27-V26)))</f>
        <v>125.18838212847945</v>
      </c>
      <c r="O27" s="14">
        <f>N27*VLOOKUP('Données projet'!$B$9,Paramètres!$A$1:$I$88,3,0)*VLOOKUP('Données projet'!$B$9,Paramètres!$A$1:$I$88,5,0)</f>
        <v>69.980305609820007</v>
      </c>
      <c r="P27" s="14">
        <f t="shared" si="33"/>
        <v>19.668566680086911</v>
      </c>
      <c r="Q27" s="22">
        <f t="shared" si="2"/>
        <v>156.13845257158786</v>
      </c>
      <c r="R27" s="62">
        <f t="shared" si="0"/>
        <v>381.90916075520767</v>
      </c>
      <c r="S27" s="62">
        <f ca="1">AVERAGE(OFFSET($R$3,0,0,'Données projet'!$E$9+1,1))-AVERAGE(OFFSET($H$3,0,0,'Données projet'!$E$9+1,1))</f>
        <v>289.94242154211224</v>
      </c>
      <c r="T27" s="62">
        <f t="shared" si="34"/>
        <v>369.12599166143661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6.8965517241379309E-2</v>
      </c>
      <c r="AI27" s="14">
        <f>IF('Données projet'!$A$62&gt;35,AI26+AH27-AQ26,IF(A27&lt;'Données projet'!$A$62,$AF$205^A27,IF(A27='Données projet'!$A$62,'Données projet'!$B$62,AI26+AH27-AQ26)))</f>
        <v>1.7747135790310344</v>
      </c>
      <c r="AJ27" s="14">
        <f>AI27*VLOOKUP('Données projet'!$B$10,Paramètres!$A$1:$I$88,3,0)*VLOOKUP('Données projet'!$B$10,Paramètres!$A$1:$I$88,5,0)</f>
        <v>1.6057608463072799</v>
      </c>
      <c r="AK27" s="14">
        <f t="shared" si="35"/>
        <v>0.70031217467812434</v>
      </c>
      <c r="AL27" s="22">
        <f t="shared" si="4"/>
        <v>4.0164105115495783</v>
      </c>
      <c r="AM27" s="62">
        <f t="shared" si="5"/>
        <v>229.78711869516937</v>
      </c>
      <c r="AN27" s="62">
        <f ca="1">AVERAGE(OFFSET($AM$3,0,0,'Données projet'!$E$10+1,1))-AVERAGE(OFFSET($H$3,0,0,'Données projet'!$E$10+1,1))</f>
        <v>518.31628039365785</v>
      </c>
      <c r="AO27" s="62">
        <f t="shared" si="36"/>
        <v>66.435071953154761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6.8965517241379309E-2</v>
      </c>
      <c r="BD27" s="13">
        <f>IF('Données projet'!$A$88&gt;35,BD26+BC27-BL26,IF(A27&lt;'Données projet'!$A$88,$BA$205^A27,IF(A27='Données projet'!$A$88,'Données projet'!$B$88,BD26+BC27-BL26)))</f>
        <v>1.7747135790310344</v>
      </c>
      <c r="BE27" s="14">
        <f>BD27*VLOOKUP('Données projet'!$B$11,Paramètres!$A$1:$I$88,3,0)*VLOOKUP('Données projet'!$B$11,Paramètres!$A$1:$I$88,5,0)</f>
        <v>1.7995595691374691</v>
      </c>
      <c r="BF27" s="14">
        <f t="shared" si="37"/>
        <v>0.77449201274740365</v>
      </c>
      <c r="BG27" s="22">
        <f t="shared" si="7"/>
        <v>4.4831398384494863</v>
      </c>
      <c r="BH27" s="62">
        <f t="shared" si="8"/>
        <v>230.25384802206929</v>
      </c>
      <c r="BI27" s="62">
        <f ca="1">AVERAGE(OFFSET($BH$3,0,0,'Données projet'!$E$11+1,1))-AVERAGE(OFFSET($H$3,0,0,'Données projet'!$E$11+1,1))</f>
        <v>570.2785736203931</v>
      </c>
      <c r="BJ27" s="62">
        <f t="shared" si="38"/>
        <v>67.677759965081719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>
        <f>VLOOKUP(A27,'Données projet'!$A$113:$I$133,2,0)</f>
        <v>193.5</v>
      </c>
      <c r="BW27" s="13">
        <f>VLOOKUP(A27,'Données projet'!$A$113:$I$133,9,0)</f>
        <v>20.350000000000001</v>
      </c>
      <c r="BX27" s="13">
        <f t="array" ref="BX27">INDEX(BW:BW,MIN(IF(ISNUMBER(BW27:BW223),ROW(BW27:BW223),"")))</f>
        <v>20.350000000000001</v>
      </c>
      <c r="BY27" s="13">
        <f>IF('Données projet'!$A$114&gt;35,BY26+BX27-CG26,IF(A27&lt;'Données projet'!$A$114,$BV$205^A27,IF(A27='Données projet'!$A$114,'Données projet'!$B$114,BY26+BX27-CG26)))</f>
        <v>193.49999999999997</v>
      </c>
      <c r="BZ27" s="14">
        <f>BY27*VLOOKUP('Données projet'!$B$12,Paramètres!$A$1:$I$88,3,0)*VLOOKUP('Données projet'!$B$12,Paramètres!$A$1:$I$88,5,0)</f>
        <v>115.71299999999999</v>
      </c>
      <c r="CA27" s="14">
        <f t="shared" si="39"/>
        <v>30.673019842466044</v>
      </c>
      <c r="CB27" s="22">
        <f t="shared" si="10"/>
        <v>254.95565122562832</v>
      </c>
      <c r="CC27" s="62">
        <f t="shared" si="11"/>
        <v>480.72635940924812</v>
      </c>
      <c r="CD27" s="62">
        <f ca="1">AVERAGE(OFFSET($CC$3,0,0,'Données projet'!$E$12+1,1))-AVERAGE(OFFSET($H$3,0,0,'Données projet'!$E$12+1,1))</f>
        <v>401.1031790385295</v>
      </c>
      <c r="CE27" s="62">
        <f t="shared" si="40"/>
        <v>402.09589424130615</v>
      </c>
      <c r="CF27" s="16">
        <f>IF(ISNA(VLOOKUP(A27,'Données projet'!$A$113:$I$133,3,0)),0,VLOOKUP(A27,'Données projet'!$A$113:$I$133,3,0))</f>
        <v>3</v>
      </c>
      <c r="CG27" s="16">
        <f>IF(ISNA(VLOOKUP(A27,'Données projet'!$A$113:$I$133,4,0)),0,VLOOKUP(A27,'Données projet'!$A$113:$I$133,4,0))</f>
        <v>30.8</v>
      </c>
      <c r="CH27" s="17">
        <f>IF(ISNA(VLOOKUP(A27,'Données projet'!$A$113:$I$133,5,0)),0%,VLOOKUP(A27,'Données projet'!$A$113:$I$133,5,0)*VLOOKUP('Données projet'!$B$12,Paramètres!$A$1:$I$88,7,0))</f>
        <v>0.1125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0.75</v>
      </c>
      <c r="CK27" s="23">
        <f>EXP(-LN(2)/35)*CK26+(1-EXP(-LN(2)/35))/(LN(2)/35)*CG27*CH27*VLOOKUP('Données projet'!$B$12,Paramètres!$A$1:$I$88,3,0)*0.475*44/12</f>
        <v>4.5708289584965822</v>
      </c>
      <c r="CL27" s="23">
        <f>EXP(-LN(2)/25)*CL26+(1-EXP(-LN(2)/25))/(LN(2)/25)*Calculateur!CG27*Calculateur!CI27*VLOOKUP('Données projet'!$B$12,Paramètres!$A$1:$I$88,3,0)*0.475*44/12</f>
        <v>0</v>
      </c>
      <c r="CM27" s="23">
        <f>EXP(-LN(2)/2)*CM26+(1-EXP(-LN(2)/2))/(LN(2)/2)*CG27*CJ27*VLOOKUP('Données projet'!$B$12,Paramètres!$A$1:$I$88,3,0)*0.475*44/12</f>
        <v>19.072353981507284</v>
      </c>
      <c r="CN27" s="24">
        <f t="shared" si="12"/>
        <v>23.643182940003868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>
        <f>VLOOKUP(A27,'Données projet'!$A$139:$I$159,2,0)</f>
        <v>193.5</v>
      </c>
      <c r="CR27" s="13">
        <f>VLOOKUP(A27,'Données projet'!$A$139:$I$159,9,0)</f>
        <v>20.350000000000001</v>
      </c>
      <c r="CS27" s="13">
        <f t="array" ref="CS27">INDEX(CR:CR,MIN(IF(ISNUMBER(CR27:CR223),ROW(CR27:CR223),"")))</f>
        <v>20.350000000000001</v>
      </c>
      <c r="CT27" s="13">
        <f>IF('Données projet'!$A$140&gt;35,CT26+CS27-DB26,IF(A27&lt;'Données projet'!$A$140,$CQ$205^A27,IF(A27='Données projet'!$A$140,'Données projet'!$B$140,CT26+CS27-DB26)))</f>
        <v>193.49999999999997</v>
      </c>
      <c r="CU27" s="18">
        <f>CT27*VLOOKUP('Données projet'!$B$13,Paramètres!$A$1:$I$88,3,0)*VLOOKUP('Données projet'!$B$13,Paramètres!$A$1:$I$88,5,0)</f>
        <v>115.71299999999999</v>
      </c>
      <c r="CV27" s="14">
        <f t="shared" si="41"/>
        <v>30.673019842466044</v>
      </c>
      <c r="CW27" s="22">
        <f t="shared" si="13"/>
        <v>254.95565122562832</v>
      </c>
      <c r="CX27" s="62">
        <f t="shared" si="14"/>
        <v>480.72635940924812</v>
      </c>
      <c r="CY27" s="62">
        <f ca="1">AVERAGE(OFFSET($CX$3,0,0,'Données projet'!$E$13+1,1))-AVERAGE(OFFSET($H$3,0,0,'Données projet'!$E$13+1,1))</f>
        <v>401.1031790385295</v>
      </c>
      <c r="CZ27" s="62">
        <f t="shared" si="42"/>
        <v>402.09589424130615</v>
      </c>
      <c r="DA27" s="16">
        <f>IF(ISNA(VLOOKUP(A27,'Données projet'!$A$139:$I$159,3,0)),0,VLOOKUP(A27,'Données projet'!$A$139:$I$159,3,0))</f>
        <v>3</v>
      </c>
      <c r="DB27" s="16">
        <f>IF(ISNA(VLOOKUP(A27,'Données projet'!$A$139:$I$159,4,0)),0,VLOOKUP(A27,'Données projet'!$A$139:$I$159,4,0))</f>
        <v>30.8</v>
      </c>
      <c r="DC27" s="17">
        <f>IF(ISNA(VLOOKUP(A27,'Données projet'!$A$139:$I$159,5,0)),0%,VLOOKUP(A27,'Données projet'!$A$139:$I$159,5,0)*VLOOKUP('Données projet'!$B$13,Paramètres!$A$1:$I$88,7,0))</f>
        <v>0.1125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0.75</v>
      </c>
      <c r="DF27" s="23">
        <f>EXP(-LN(2)/35)*DF26+(1-EXP(-LN(2)/35))/(LN(2)/35)*DB27*DC27*VLOOKUP('Données projet'!$B$13,Paramètres!$A$1:$I$88,3,0)*0.475*44/12</f>
        <v>4.5708289584965822</v>
      </c>
      <c r="DG27" s="23">
        <f>EXP(-LN(2)/25)*DG26+(1-EXP(-LN(2)/25))/(LN(2)/25)*Calculateur!DB27*Calculateur!DD27*VLOOKUP('Données projet'!$B$13,Paramètres!$A$1:$I$88,3,0)*0.475*44/12</f>
        <v>0</v>
      </c>
      <c r="DH27" s="23">
        <f>EXP(-LN(2)/2)*DH26+(1-EXP(-LN(2)/2))/(LN(2)/2)*DB27*DE27*VLOOKUP('Données projet'!$B$13,Paramètres!$A$1:$I$88,3,0)*0.475*44/12</f>
        <v>19.072353981507284</v>
      </c>
      <c r="DI27" s="24">
        <f t="shared" si="15"/>
        <v>23.643182940003868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30.8</v>
      </c>
      <c r="DO27" s="13">
        <f>IF('Données projet'!$A$166&gt;35,DO26+DN27-DW26,IF(A27&lt;'Données projet'!$A$166,$DL$205^A27,IF(A27='Données projet'!$A$166,'Données projet'!$B$166,DO26+DN27-DW26)))</f>
        <v>210.20000000000002</v>
      </c>
      <c r="DP27" s="18">
        <f>DO27*VLOOKUP('Données projet'!$B$14,Paramètres!$A$1:$I$88,3,0)*VLOOKUP('Données projet'!$B$14,Paramètres!$A$1:$I$88,5,0)</f>
        <v>84.710600000000014</v>
      </c>
      <c r="DQ27" s="14">
        <f t="shared" si="43"/>
        <v>23.285087148309362</v>
      </c>
      <c r="DR27" s="22">
        <f t="shared" si="16"/>
        <v>188.09248844997217</v>
      </c>
      <c r="DS27" s="62">
        <f t="shared" si="17"/>
        <v>413.863196633592</v>
      </c>
      <c r="DT27" s="62">
        <f ca="1">AVERAGE(OFFSET($DS$3,0,0,'Données projet'!$E$14+1,1))-AVERAGE(OFFSET($H$3,0,0,'Données projet'!$E$14+1,1))</f>
        <v>432.59662347701629</v>
      </c>
      <c r="DU27" s="62">
        <f t="shared" si="44"/>
        <v>348.67401091099748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projet'!$B$14,Paramètres!$A$1:$I$88,3,0)*0.475*44/12</f>
        <v>0</v>
      </c>
      <c r="EB27" s="23">
        <f>EXP(-LN(2)/25)*EB26+(1-EXP(-LN(2)/25))/(LN(2)/25)*Calculateur!DW27*Calculateur!DY27*VLOOKUP('Données projet'!$B$14,Paramètres!$A$1:$I$88,3,0)*0.475*44/12</f>
        <v>18.873412458431101</v>
      </c>
      <c r="EC27" s="23">
        <f>EXP(-LN(2)/2)*EC26+(1-EXP(-LN(2)/2))/(LN(2)/2)*DW27*DZ27*VLOOKUP('Données projet'!$B$14,Paramètres!$A$1:$I$88,3,0)*0.475*44/12</f>
        <v>0</v>
      </c>
      <c r="ED27" s="24">
        <f t="shared" si="18"/>
        <v>18.873412458431101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43.4</v>
      </c>
      <c r="EJ27" s="13">
        <f>IF('Données projet'!$A$192&gt;35,EJ26+EI27-ER26,IF(A27&lt;'Données projet'!$A$192,$EG$205^A27,IF(A27='Données projet'!$A$192,'Données projet'!$B$192,EJ26+EI27-ER26)))</f>
        <v>223.6</v>
      </c>
      <c r="EK27" s="18">
        <f>EJ27*VLOOKUP('Données projet'!$B$15,Paramètres!$A$1:$I$88,3,0)*VLOOKUP('Données projet'!$B$15,Paramètres!$A$1:$I$88,5,0)</f>
        <v>98.83120000000001</v>
      </c>
      <c r="EL27" s="14">
        <f t="shared" si="45"/>
        <v>26.683356823121375</v>
      </c>
      <c r="EM27" s="22">
        <f t="shared" si="19"/>
        <v>218.60451980026974</v>
      </c>
      <c r="EN27" s="62">
        <f t="shared" si="20"/>
        <v>444.37522798388954</v>
      </c>
      <c r="EO27" s="62">
        <f ca="1">AVERAGE(OFFSET($EN$3,0,0,'Données projet'!$E$15+1,1))-AVERAGE(OFFSET($H$3,0,0,'Données projet'!$E$15+1,1))</f>
        <v>582.26951914082088</v>
      </c>
      <c r="EP27" s="62">
        <f t="shared" si="46"/>
        <v>434.80429932654715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projet'!$B$15,Paramètres!$A$1:$I$88,3,0)*0.475*44/12</f>
        <v>0</v>
      </c>
      <c r="EW27" s="23">
        <f>EXP(-LN(2)/25)*EW26+(1-EXP(-LN(2)/25))/(LN(2)/25)*Calculateur!ER27*Calculateur!ET27*VLOOKUP('Données projet'!$B$15,Paramètres!$A$1:$I$88,3,0)*0.475*44/12</f>
        <v>33.440975505813732</v>
      </c>
      <c r="EX27" s="23">
        <f>EXP(-LN(2)/2)*EX26+(1-EXP(-LN(2)/2))/(LN(2)/2)*ER27*EU27*VLOOKUP('Données projet'!$B$15,Paramètres!$A$1:$I$88,3,0)*0.475*44/12</f>
        <v>0</v>
      </c>
      <c r="EY27" s="24">
        <f t="shared" si="21"/>
        <v>33.440975505813732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9.3000000000000007</v>
      </c>
      <c r="FE27" s="13">
        <f>IF('Données projet'!$A$218&gt;35,FE26+FD27-FM26,IF(A27&lt;'Données projet'!$A$218,$FB$205^A27,IF(A27='Données projet'!$A$218,'Données projet'!$B$218,FE26+FD27-FM26)))</f>
        <v>65.199999999999989</v>
      </c>
      <c r="FF27" s="18">
        <f>FE27*VLOOKUP('Données projet'!$B$16,Paramètres!$A$1:$I$88,3,0)*VLOOKUP('Données projet'!$B$16,Paramètres!$A$1:$I$88,5,0)</f>
        <v>30.513599999999993</v>
      </c>
      <c r="FG27" s="14">
        <f t="shared" si="47"/>
        <v>9.4460551368326566</v>
      </c>
      <c r="FH27" s="22">
        <f t="shared" si="22"/>
        <v>69.596399363316863</v>
      </c>
      <c r="FI27" s="62">
        <f t="shared" si="23"/>
        <v>295.36710754693667</v>
      </c>
      <c r="FJ27" s="62">
        <f ca="1">AVERAGE(OFFSET($FI$3,0,0,'Données projet'!$E$16+1,1))-AVERAGE(OFFSET($H$3,0,0,'Données projet'!$E$16+1,1))</f>
        <v>429.87867712133851</v>
      </c>
      <c r="FK27" s="62">
        <f t="shared" si="48"/>
        <v>182.81277865988014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projet'!$B$16,Paramètres!$A$1:$I$88,3,0)*0.475*44/12</f>
        <v>0</v>
      </c>
      <c r="FR27" s="23">
        <f>EXP(-LN(2)/25)*FR26+(1-EXP(-LN(2)/25))/(LN(2)/25)*Calculateur!FM27*Calculateur!FO27*VLOOKUP('Données projet'!$B$16,Paramètres!$A$1:$I$88,3,0)*0.475*44/12</f>
        <v>0</v>
      </c>
      <c r="FS27" s="23">
        <f>EXP(-LN(2)/2)*FS26+(1-EXP(-LN(2)/2))/(LN(2)/2)*FM27*FP27*VLOOKUP('Données projet'!$B$16,Paramètres!$A$1:$I$88,3,0)*0.475*44/12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12.2</v>
      </c>
      <c r="FZ27" s="13">
        <f>IF('Données projet'!$A$244&gt;35,FZ26+FY27-GH26,IF(A27&lt;'Données projet'!$A$244,$FW$205^A27,IF(A27='Données projet'!$A$244,'Données projet'!$B$244,FZ26+FY27-GH26)))</f>
        <v>155.79999999999995</v>
      </c>
      <c r="GA27" s="18">
        <f>FZ27*VLOOKUP('Données projet'!$B$17,Paramètres!$A$1:$I$88,3,0)*VLOOKUP('Données projet'!$B$17,Paramètres!$A$1:$I$88,5,0)</f>
        <v>74.939799999999977</v>
      </c>
      <c r="GB27" s="14">
        <f t="shared" si="49"/>
        <v>20.895273311763642</v>
      </c>
      <c r="GC27" s="22">
        <f t="shared" si="25"/>
        <v>166.91275268465498</v>
      </c>
      <c r="GD27" s="62">
        <f t="shared" si="26"/>
        <v>392.68346086827478</v>
      </c>
      <c r="GE27" s="62">
        <f ca="1">AVERAGE(OFFSET($GD$3,0,0,'Données projet'!$E$17+1,1))-AVERAGE(OFFSET($H$3,0,0,'Données projet'!$E$17+1,1))</f>
        <v>273.24375559399846</v>
      </c>
      <c r="GF27" s="62">
        <f t="shared" si="50"/>
        <v>270.77718895097848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projet'!$B$17,Paramètres!$A$1:$I$88,3,0)*0.475*44/12</f>
        <v>0</v>
      </c>
      <c r="GM27" s="23">
        <f>EXP(-LN(2)/25)*GM26+(1-EXP(-LN(2)/25))/(LN(2)/25)*Calculateur!GH27*Calculateur!GJ27*VLOOKUP('Données projet'!$B$17,Paramètres!$A$1:$I$88,3,0)*0.475*44/12</f>
        <v>9.0114130411940554</v>
      </c>
      <c r="GN27" s="23">
        <f>EXP(-LN(2)/2)*GN26+(1-EXP(-LN(2)/2))/(LN(2)/2)*GH27*GK27*VLOOKUP('Données projet'!$B$17,Paramètres!$A$1:$I$88,3,0)*0.475*44/12</f>
        <v>0</v>
      </c>
      <c r="GO27" s="23">
        <f t="shared" si="27"/>
        <v>9.0114130411940554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10</v>
      </c>
      <c r="N28" s="14">
        <f>IF('Données projet'!$A$36&gt;35,N27+M28-V27,IF(A28&lt;'Données projet'!$A$36,$K$205^A28,IF(A28='Données projet'!$A$36,'Données projet'!$B$36,N27+M28-V27)))</f>
        <v>153.09553613192782</v>
      </c>
      <c r="O28" s="14">
        <f>N28*VLOOKUP('Données projet'!$B$9,Paramètres!$A$1:$I$88,3,0)*VLOOKUP('Données projet'!$B$9,Paramètres!$A$1:$I$88,5,0)</f>
        <v>85.580404697747653</v>
      </c>
      <c r="P28" s="14">
        <f t="shared" si="33"/>
        <v>23.496221521421425</v>
      </c>
      <c r="Q28" s="22">
        <f t="shared" si="2"/>
        <v>189.97512399838612</v>
      </c>
      <c r="R28" s="62">
        <f t="shared" si="0"/>
        <v>418.01289796471826</v>
      </c>
      <c r="S28" s="62">
        <f ca="1">AVERAGE(OFFSET($R$3,0,0,'Données projet'!$E$9+1,1))-AVERAGE(OFFSET($H$3,0,0,'Données projet'!$E$9+1,1))</f>
        <v>289.94242154211224</v>
      </c>
      <c r="T28" s="62">
        <f t="shared" si="34"/>
        <v>369.12599166143661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6.8965517241379309E-2</v>
      </c>
      <c r="AI28" s="14">
        <f>IF('Données projet'!$A$62&gt;35,AI27+AH28-AQ27,IF(A28&lt;'Données projet'!$A$62,$AF$205^A28,IF(A28='Données projet'!$A$62,'Données projet'!$B$62,AI27+AH28-AQ27)))</f>
        <v>1.8176431200757193</v>
      </c>
      <c r="AJ28" s="14">
        <f>AI28*VLOOKUP('Données projet'!$B$10,Paramètres!$A$1:$I$88,3,0)*VLOOKUP('Données projet'!$B$10,Paramètres!$A$1:$I$88,5,0)</f>
        <v>1.644603495044511</v>
      </c>
      <c r="AK28" s="14">
        <f t="shared" si="35"/>
        <v>0.71525968817665841</v>
      </c>
      <c r="AL28" s="22">
        <f t="shared" si="4"/>
        <v>4.1100950441102029</v>
      </c>
      <c r="AM28" s="62">
        <f t="shared" si="5"/>
        <v>232.14786901044232</v>
      </c>
      <c r="AN28" s="62">
        <f ca="1">AVERAGE(OFFSET($AM$3,0,0,'Données projet'!$E$10+1,1))-AVERAGE(OFFSET($H$3,0,0,'Données projet'!$E$10+1,1))</f>
        <v>518.31628039365785</v>
      </c>
      <c r="AO28" s="62">
        <f t="shared" si="36"/>
        <v>66.435071953154761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6.8965517241379309E-2</v>
      </c>
      <c r="BD28" s="13">
        <f>IF('Données projet'!$A$88&gt;35,BD27+BC28-BL27,IF(A28&lt;'Données projet'!$A$88,$BA$205^A28,IF(A28='Données projet'!$A$88,'Données projet'!$B$88,BD27+BC28-BL27)))</f>
        <v>1.8176431200757193</v>
      </c>
      <c r="BE28" s="14">
        <f>BD28*VLOOKUP('Données projet'!$B$11,Paramètres!$A$1:$I$88,3,0)*VLOOKUP('Données projet'!$B$11,Paramètres!$A$1:$I$88,5,0)</f>
        <v>1.8430901237567794</v>
      </c>
      <c r="BF28" s="14">
        <f t="shared" si="37"/>
        <v>0.79102282605272622</v>
      </c>
      <c r="BG28" s="22">
        <f t="shared" si="7"/>
        <v>4.587746720918223</v>
      </c>
      <c r="BH28" s="62">
        <f t="shared" si="8"/>
        <v>232.62552068725034</v>
      </c>
      <c r="BI28" s="62">
        <f ca="1">AVERAGE(OFFSET($BH$3,0,0,'Données projet'!$E$11+1,1))-AVERAGE(OFFSET($H$3,0,0,'Données projet'!$E$11+1,1))</f>
        <v>570.2785736203931</v>
      </c>
      <c r="BJ28" s="62">
        <f t="shared" si="38"/>
        <v>67.677759965081719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0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24.025000000000006</v>
      </c>
      <c r="BY28" s="13">
        <f>IF('Données projet'!$A$114&gt;35,BY27+BX28-CG27,IF(A28&lt;'Données projet'!$A$114,$BV$205^A28,IF(A28='Données projet'!$A$114,'Données projet'!$B$114,BY27+BX28-CG27)))</f>
        <v>186.72499999999997</v>
      </c>
      <c r="BZ28" s="14">
        <f>BY28*VLOOKUP('Données projet'!$B$12,Paramètres!$A$1:$I$88,3,0)*VLOOKUP('Données projet'!$B$12,Paramètres!$A$1:$I$88,5,0)</f>
        <v>111.66154999999999</v>
      </c>
      <c r="CA28" s="14">
        <f t="shared" si="39"/>
        <v>29.722116482119834</v>
      </c>
      <c r="CB28" s="22">
        <f t="shared" si="10"/>
        <v>246.24321912302534</v>
      </c>
      <c r="CC28" s="62">
        <f t="shared" si="11"/>
        <v>474.28099308935748</v>
      </c>
      <c r="CD28" s="62">
        <f ca="1">AVERAGE(OFFSET($CC$3,0,0,'Données projet'!$E$12+1,1))-AVERAGE(OFFSET($H$3,0,0,'Données projet'!$E$12+1,1))</f>
        <v>401.1031790385295</v>
      </c>
      <c r="CE28" s="62">
        <f t="shared" si="40"/>
        <v>402.09589424130615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projet'!$B$12,Paramètres!$A$1:$I$88,3,0)*0.475*44/12</f>
        <v>4.4811977905508433</v>
      </c>
      <c r="CL28" s="23">
        <f>EXP(-LN(2)/25)*CL27+(1-EXP(-LN(2)/25))/(LN(2)/25)*Calculateur!CG28*Calculateur!CI28*VLOOKUP('Données projet'!$B$12,Paramètres!$A$1:$I$88,3,0)*0.475*44/12</f>
        <v>0</v>
      </c>
      <c r="CM28" s="23">
        <f>EXP(-LN(2)/2)*CM27+(1-EXP(-LN(2)/2))/(LN(2)/2)*CG28*CJ28*VLOOKUP('Données projet'!$B$12,Paramètres!$A$1:$I$88,3,0)*0.475*44/12</f>
        <v>13.486190833514051</v>
      </c>
      <c r="CN28" s="24">
        <f t="shared" si="12"/>
        <v>17.967388624064895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24.025000000000006</v>
      </c>
      <c r="CT28" s="13">
        <f>IF('Données projet'!$A$140&gt;35,CT27+CS28-DB27,IF(A28&lt;'Données projet'!$A$140,$CQ$205^A28,IF(A28='Données projet'!$A$140,'Données projet'!$B$140,CT27+CS28-DB27)))</f>
        <v>186.72499999999997</v>
      </c>
      <c r="CU28" s="18">
        <f>CT28*VLOOKUP('Données projet'!$B$13,Paramètres!$A$1:$I$88,3,0)*VLOOKUP('Données projet'!$B$13,Paramètres!$A$1:$I$88,5,0)</f>
        <v>111.66154999999999</v>
      </c>
      <c r="CV28" s="14">
        <f t="shared" si="41"/>
        <v>29.722116482119834</v>
      </c>
      <c r="CW28" s="22">
        <f t="shared" si="13"/>
        <v>246.24321912302534</v>
      </c>
      <c r="CX28" s="62">
        <f t="shared" si="14"/>
        <v>474.28099308935748</v>
      </c>
      <c r="CY28" s="62">
        <f ca="1">AVERAGE(OFFSET($CX$3,0,0,'Données projet'!$E$13+1,1))-AVERAGE(OFFSET($H$3,0,0,'Données projet'!$E$13+1,1))</f>
        <v>401.1031790385295</v>
      </c>
      <c r="CZ28" s="62">
        <f t="shared" si="42"/>
        <v>402.09589424130615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projet'!$B$13,Paramètres!$A$1:$I$88,3,0)*0.475*44/12</f>
        <v>4.4811977905508433</v>
      </c>
      <c r="DG28" s="23">
        <f>EXP(-LN(2)/25)*DG27+(1-EXP(-LN(2)/25))/(LN(2)/25)*Calculateur!DB28*Calculateur!DD28*VLOOKUP('Données projet'!$B$13,Paramètres!$A$1:$I$88,3,0)*0.475*44/12</f>
        <v>0</v>
      </c>
      <c r="DH28" s="23">
        <f>EXP(-LN(2)/2)*DH27+(1-EXP(-LN(2)/2))/(LN(2)/2)*DB28*DE28*VLOOKUP('Données projet'!$B$13,Paramètres!$A$1:$I$88,3,0)*0.475*44/12</f>
        <v>13.486190833514051</v>
      </c>
      <c r="DI28" s="24">
        <f t="shared" si="15"/>
        <v>17.967388624064895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241</v>
      </c>
      <c r="DM28" s="13">
        <f>VLOOKUP(A28,'Données projet'!$A$165:$I$185,9,0)</f>
        <v>30.8</v>
      </c>
      <c r="DN28" s="13">
        <f t="array" ref="DN28">INDEX(DM:DM,MIN(IF(ISNUMBER(DM28:DM224),ROW(DM28:DM224),"")))</f>
        <v>30.8</v>
      </c>
      <c r="DO28" s="13">
        <f>IF('Données projet'!$A$166&gt;35,DO27+DN28-DW27,IF(A28&lt;'Données projet'!$A$166,$DL$205^A28,IF(A28='Données projet'!$A$166,'Données projet'!$B$166,DO27+DN28-DW27)))</f>
        <v>241.00000000000003</v>
      </c>
      <c r="DP28" s="18">
        <f>DO28*VLOOKUP('Données projet'!$B$14,Paramètres!$A$1:$I$88,3,0)*VLOOKUP('Données projet'!$B$14,Paramètres!$A$1:$I$88,5,0)</f>
        <v>97.123000000000019</v>
      </c>
      <c r="DQ28" s="14">
        <f t="shared" si="43"/>
        <v>26.275431840972171</v>
      </c>
      <c r="DR28" s="22">
        <f t="shared" si="16"/>
        <v>214.91893545635992</v>
      </c>
      <c r="DS28" s="62">
        <f t="shared" si="17"/>
        <v>442.95670942269203</v>
      </c>
      <c r="DT28" s="62">
        <f ca="1">AVERAGE(OFFSET($DS$3,0,0,'Données projet'!$E$14+1,1))-AVERAGE(OFFSET($H$3,0,0,'Données projet'!$E$14+1,1))</f>
        <v>432.59662347701629</v>
      </c>
      <c r="DU28" s="62">
        <f t="shared" si="44"/>
        <v>348.67401091099748</v>
      </c>
      <c r="DV28" s="16">
        <f>IF(ISNA(VLOOKUP(A28,'Données projet'!$A$165:$I$185,3,0)),0,VLOOKUP(A28,'Données projet'!$A$165:$I$185,3,0))</f>
        <v>2</v>
      </c>
      <c r="DW28" s="16">
        <f>IF(ISNA(VLOOKUP(A28,'Données projet'!$A$165:$I$185,4,0)),0,VLOOKUP(A28,'Données projet'!$A$165:$I$185,4,0))</f>
        <v>84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0.55000000000000004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projet'!$B$14,Paramètres!$A$1:$I$88,3,0)*0.475*44/12</f>
        <v>0</v>
      </c>
      <c r="EB28" s="23">
        <f>EXP(-LN(2)/25)*EB27+(1-EXP(-LN(2)/25))/(LN(2)/25)*Calculateur!DW28*Calculateur!DY28*VLOOKUP('Données projet'!$B$14,Paramètres!$A$1:$I$88,3,0)*0.475*44/12</f>
        <v>42.958842492138913</v>
      </c>
      <c r="EC28" s="23">
        <f>EXP(-LN(2)/2)*EC27+(1-EXP(-LN(2)/2))/(LN(2)/2)*DW28*DZ28*VLOOKUP('Données projet'!$B$14,Paramètres!$A$1:$I$88,3,0)*0.475*44/12</f>
        <v>0</v>
      </c>
      <c r="ED28" s="24">
        <f t="shared" si="18"/>
        <v>42.958842492138913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267</v>
      </c>
      <c r="EH28" s="13">
        <f>VLOOKUP(A28,'Données projet'!$A$191:$I$211,9,0)</f>
        <v>43.4</v>
      </c>
      <c r="EI28" s="13">
        <f t="array" ref="EI28">INDEX(EH:EH,MIN(IF(ISNUMBER(EH28:EH224),ROW(EH28:EH224),"")))</f>
        <v>43.4</v>
      </c>
      <c r="EJ28" s="13">
        <f>IF('Données projet'!$A$192&gt;35,EJ27+EI28-ER27,IF(A28&lt;'Données projet'!$A$192,$EG$205^A28,IF(A28='Données projet'!$A$192,'Données projet'!$B$192,EJ27+EI28-ER27)))</f>
        <v>267</v>
      </c>
      <c r="EK28" s="18">
        <f>EJ28*VLOOKUP('Données projet'!$B$15,Paramètres!$A$1:$I$88,3,0)*VLOOKUP('Données projet'!$B$15,Paramètres!$A$1:$I$88,5,0)</f>
        <v>118.01400000000001</v>
      </c>
      <c r="EL28" s="14">
        <f t="shared" si="45"/>
        <v>31.211348475126677</v>
      </c>
      <c r="EM28" s="22">
        <f t="shared" si="19"/>
        <v>259.9008152608456</v>
      </c>
      <c r="EN28" s="62">
        <f t="shared" si="20"/>
        <v>487.93858922717772</v>
      </c>
      <c r="EO28" s="62">
        <f ca="1">AVERAGE(OFFSET($EN$3,0,0,'Données projet'!$E$15+1,1))-AVERAGE(OFFSET($H$3,0,0,'Données projet'!$E$15+1,1))</f>
        <v>582.26951914082088</v>
      </c>
      <c r="EP28" s="62">
        <f t="shared" si="46"/>
        <v>434.80429932654715</v>
      </c>
      <c r="EQ28" s="16">
        <f>IF(ISNA(VLOOKUP(A28,'Données projet'!$A$191:$I$211,3,0)),0,VLOOKUP(A28,'Données projet'!$A$191:$I$211,3,0))</f>
        <v>3</v>
      </c>
      <c r="ER28" s="16">
        <f>IF(ISNA(VLOOKUP(A28,'Données projet'!$A$191:$I$211,4,0)),0,VLOOKUP(A28,'Données projet'!$A$191:$I$211,4,0))</f>
        <v>105</v>
      </c>
      <c r="ES28" s="17">
        <f>IF(ISNA(VLOOKUP(A28,'Données projet'!$A$191:$I$211,5,0)),0%,VLOOKUP(A28,'Données projet'!$A$191:$I$211,5,0)*VLOOKUP('Données projet'!$B$15,Paramètres!$A$1:$I$88,7,0))</f>
        <v>0.13750000000000001</v>
      </c>
      <c r="ET28" s="17">
        <f>IF(ISNA(VLOOKUP(A28,'Données projet'!$A$191:$I$211,6,0)),0%,VLOOKUP(A28,'Données projet'!$A$191:$I$211,6,0)*VLOOKUP('Données projet'!$B$15,Paramètres!$A$1:$I$88,7,0))</f>
        <v>0.41250000000000003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projet'!$B$15,Paramètres!$A$1:$I$88,3,0)*0.475*44/12</f>
        <v>8.4653052518304985</v>
      </c>
      <c r="EW28" s="23">
        <f>EXP(-LN(2)/25)*EW27+(1-EXP(-LN(2)/25))/(LN(2)/25)*Calculateur!ER28*Calculateur!ET28*VLOOKUP('Données projet'!$B$15,Paramètres!$A$1:$I$88,3,0)*0.475*44/12</f>
        <v>57.822452630582376</v>
      </c>
      <c r="EX28" s="23">
        <f>EXP(-LN(2)/2)*EX27+(1-EXP(-LN(2)/2))/(LN(2)/2)*ER28*EU28*VLOOKUP('Données projet'!$B$15,Paramètres!$A$1:$I$88,3,0)*0.475*44/12</f>
        <v>0</v>
      </c>
      <c r="EY28" s="24">
        <f t="shared" si="21"/>
        <v>66.287757882412876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9.3000000000000007</v>
      </c>
      <c r="FE28" s="13">
        <f>IF('Données projet'!$A$218&gt;35,FE27+FD28-FM27,IF(A28&lt;'Données projet'!$A$218,$FB$205^A28,IF(A28='Données projet'!$A$218,'Données projet'!$B$218,FE27+FD28-FM27)))</f>
        <v>74.499999999999986</v>
      </c>
      <c r="FF28" s="18">
        <f>FE28*VLOOKUP('Données projet'!$B$16,Paramètres!$A$1:$I$88,3,0)*VLOOKUP('Données projet'!$B$16,Paramètres!$A$1:$I$88,5,0)</f>
        <v>34.865999999999993</v>
      </c>
      <c r="FG28" s="14">
        <f t="shared" si="47"/>
        <v>10.627193376648185</v>
      </c>
      <c r="FH28" s="22">
        <f t="shared" si="22"/>
        <v>79.233978464328899</v>
      </c>
      <c r="FI28" s="62">
        <f t="shared" si="23"/>
        <v>307.27175243066102</v>
      </c>
      <c r="FJ28" s="62">
        <f ca="1">AVERAGE(OFFSET($FI$3,0,0,'Données projet'!$E$16+1,1))-AVERAGE(OFFSET($H$3,0,0,'Données projet'!$E$16+1,1))</f>
        <v>429.87867712133851</v>
      </c>
      <c r="FK28" s="62">
        <f t="shared" si="48"/>
        <v>182.81277865988014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projet'!$B$16,Paramètres!$A$1:$I$88,3,0)*0.475*44/12</f>
        <v>0</v>
      </c>
      <c r="FR28" s="23">
        <f>EXP(-LN(2)/25)*FR27+(1-EXP(-LN(2)/25))/(LN(2)/25)*Calculateur!FM28*Calculateur!FO28*VLOOKUP('Données projet'!$B$16,Paramètres!$A$1:$I$88,3,0)*0.475*44/12</f>
        <v>0</v>
      </c>
      <c r="FS28" s="23">
        <f>EXP(-LN(2)/2)*FS27+(1-EXP(-LN(2)/2))/(LN(2)/2)*FM28*FP28*VLOOKUP('Données projet'!$B$16,Paramètres!$A$1:$I$88,3,0)*0.475*44/12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168</v>
      </c>
      <c r="FX28" s="13">
        <f>VLOOKUP(A28,'Données projet'!$A$243:$I$263,9,0)</f>
        <v>12.2</v>
      </c>
      <c r="FY28" s="13">
        <f t="array" ref="FY28">INDEX(FX:FX,MIN(IF(ISNUMBER(FX28:FX224),ROW(FX28:FX224),"")))</f>
        <v>12.2</v>
      </c>
      <c r="FZ28" s="13">
        <f>IF('Données projet'!$A$244&gt;35,FZ27+FY28-GH27,IF(A28&lt;'Données projet'!$A$244,$FW$205^A28,IF(A28='Données projet'!$A$244,'Données projet'!$B$244,FZ27+FY28-GH27)))</f>
        <v>167.99999999999994</v>
      </c>
      <c r="GA28" s="18">
        <f>FZ28*VLOOKUP('Données projet'!$B$17,Paramètres!$A$1:$I$88,3,0)*VLOOKUP('Données projet'!$B$17,Paramètres!$A$1:$I$88,5,0)</f>
        <v>80.807999999999964</v>
      </c>
      <c r="GB28" s="14">
        <f t="shared" si="49"/>
        <v>22.334628633536209</v>
      </c>
      <c r="GC28" s="22">
        <f t="shared" si="25"/>
        <v>179.64007820340882</v>
      </c>
      <c r="GD28" s="62">
        <f t="shared" si="26"/>
        <v>407.67785216974096</v>
      </c>
      <c r="GE28" s="62">
        <f ca="1">AVERAGE(OFFSET($GD$3,0,0,'Données projet'!$E$17+1,1))-AVERAGE(OFFSET($H$3,0,0,'Données projet'!$E$17+1,1))</f>
        <v>273.24375559399846</v>
      </c>
      <c r="GF28" s="62">
        <f t="shared" si="50"/>
        <v>270.77718895097848</v>
      </c>
      <c r="GG28" s="16">
        <f>IF(ISNA(VLOOKUP(A28,'Données projet'!$A$243:$I$263,3,0)),0,VLOOKUP(A28,'Données projet'!$A$243:$I$263,3,0))</f>
        <v>3</v>
      </c>
      <c r="GH28" s="16">
        <f>IF(ISNA(VLOOKUP(A28,'Données projet'!$A$243:$I$263,4,0)),0,VLOOKUP(A28,'Données projet'!$A$243:$I$263,4,0))</f>
        <v>36</v>
      </c>
      <c r="GI28" s="17">
        <f>IF(ISNA(VLOOKUP(A28,'Données projet'!$A$243:$I$263,5,0)),0%,VLOOKUP(A28,'Données projet'!$A$243:$I$263,5,0)*VLOOKUP('Données projet'!$B$17,Paramètres!$A$1:$I$88,7,0))</f>
        <v>0.16500000000000001</v>
      </c>
      <c r="GJ28" s="17">
        <f>IF(ISNA(VLOOKUP(A28,'Données projet'!$A$243:$I$263,6,0)),0%,VLOOKUP(A28,'Données projet'!$A$243:$I$263,6,0)*VLOOKUP('Données projet'!$B$17,Paramètres!$A$1:$I$88,7,0))</f>
        <v>0.38500000000000001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projet'!$B$17,Paramètres!$A$1:$I$88,3,0)*0.475*44/12</f>
        <v>3.7901803682145281</v>
      </c>
      <c r="GM28" s="23">
        <f>EXP(-LN(2)/25)*GM27+(1-EXP(-LN(2)/25))/(LN(2)/25)*Calculateur!GH28*Calculateur!GJ28*VLOOKUP('Données projet'!$B$17,Paramètres!$A$1:$I$88,3,0)*0.475*44/12</f>
        <v>17.573928440203147</v>
      </c>
      <c r="GN28" s="23">
        <f>EXP(-LN(2)/2)*GN27+(1-EXP(-LN(2)/2))/(LN(2)/2)*GH28*GK28*VLOOKUP('Données projet'!$B$17,Paramètres!$A$1:$I$88,3,0)*0.475*44/12</f>
        <v>0</v>
      </c>
      <c r="GO28" s="23">
        <f t="shared" si="27"/>
        <v>21.364108808417676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10</v>
      </c>
      <c r="N29" s="14">
        <f>IF('Données projet'!$A$36&gt;35,N28+M29-V28,IF(A29&lt;'Données projet'!$A$36,$K$205^A29,IF(A29='Données projet'!$A$36,'Données projet'!$B$36,N28+M29-V28)))</f>
        <v>187.22378854187932</v>
      </c>
      <c r="O29" s="14">
        <f>N29*VLOOKUP('Données projet'!$B$9,Paramètres!$A$1:$I$88,3,0)*VLOOKUP('Données projet'!$B$9,Paramètres!$A$1:$I$88,5,0)</f>
        <v>104.65809779491053</v>
      </c>
      <c r="P29" s="14">
        <f t="shared" si="33"/>
        <v>28.068767529595519</v>
      </c>
      <c r="Q29" s="22">
        <f t="shared" si="2"/>
        <v>231.16595710684797</v>
      </c>
      <c r="R29" s="62">
        <f t="shared" si="0"/>
        <v>461.45267115603815</v>
      </c>
      <c r="S29" s="62">
        <f ca="1">AVERAGE(OFFSET($R$3,0,0,'Données projet'!$E$9+1,1))-AVERAGE(OFFSET($H$3,0,0,'Données projet'!$E$9+1,1))</f>
        <v>289.94242154211224</v>
      </c>
      <c r="T29" s="62">
        <f t="shared" si="34"/>
        <v>369.12599166143661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6.8965517241379309E-2</v>
      </c>
      <c r="AI29" s="14">
        <f>IF('Données projet'!$A$62&gt;35,AI28+AH29-AQ28,IF(A29&lt;'Données projet'!$A$62,$AF$205^A29,IF(A29='Données projet'!$A$62,'Données projet'!$B$62,AI28+AH29-AQ28)))</f>
        <v>1.861611107839966</v>
      </c>
      <c r="AJ29" s="14">
        <f>AI29*VLOOKUP('Données projet'!$B$10,Paramètres!$A$1:$I$88,3,0)*VLOOKUP('Données projet'!$B$10,Paramètres!$A$1:$I$88,5,0)</f>
        <v>1.6843857303736012</v>
      </c>
      <c r="AK29" s="14">
        <f t="shared" si="35"/>
        <v>0.73052624247994702</v>
      </c>
      <c r="AL29" s="22">
        <f t="shared" si="4"/>
        <v>4.205971686053263</v>
      </c>
      <c r="AM29" s="62">
        <f t="shared" si="5"/>
        <v>234.49268573524344</v>
      </c>
      <c r="AN29" s="62">
        <f ca="1">AVERAGE(OFFSET($AM$3,0,0,'Données projet'!$E$10+1,1))-AVERAGE(OFFSET($H$3,0,0,'Données projet'!$E$10+1,1))</f>
        <v>518.31628039365785</v>
      </c>
      <c r="AO29" s="62">
        <f t="shared" si="36"/>
        <v>66.435071953154761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6.8965517241379309E-2</v>
      </c>
      <c r="BD29" s="13">
        <f>IF('Données projet'!$A$88&gt;35,BD28+BC29-BL28,IF(A29&lt;'Données projet'!$A$88,$BA$205^A29,IF(A29='Données projet'!$A$88,'Données projet'!$B$88,BD28+BC29-BL28)))</f>
        <v>1.861611107839966</v>
      </c>
      <c r="BE29" s="14">
        <f>BD29*VLOOKUP('Données projet'!$B$11,Paramètres!$A$1:$I$88,3,0)*VLOOKUP('Données projet'!$B$11,Paramètres!$A$1:$I$88,5,0)</f>
        <v>1.8876736633497258</v>
      </c>
      <c r="BF29" s="14">
        <f t="shared" si="37"/>
        <v>0.80790647422792194</v>
      </c>
      <c r="BG29" s="22">
        <f t="shared" si="7"/>
        <v>4.6948020729477369</v>
      </c>
      <c r="BH29" s="62">
        <f t="shared" si="8"/>
        <v>234.98151612213792</v>
      </c>
      <c r="BI29" s="62">
        <f ca="1">AVERAGE(OFFSET($BH$3,0,0,'Données projet'!$E$11+1,1))-AVERAGE(OFFSET($H$3,0,0,'Données projet'!$E$11+1,1))</f>
        <v>570.2785736203931</v>
      </c>
      <c r="BJ29" s="62">
        <f t="shared" si="38"/>
        <v>67.677759965081719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0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24.025000000000006</v>
      </c>
      <c r="BY29" s="13">
        <f>IF('Données projet'!$A$114&gt;35,BY28+BX29-CG28,IF(A29&lt;'Données projet'!$A$114,$BV$205^A29,IF(A29='Données projet'!$A$114,'Données projet'!$B$114,BY28+BX29-CG28)))</f>
        <v>210.74999999999997</v>
      </c>
      <c r="BZ29" s="14">
        <f>BY29*VLOOKUP('Données projet'!$B$12,Paramètres!$A$1:$I$88,3,0)*VLOOKUP('Données projet'!$B$12,Paramètres!$A$1:$I$88,5,0)</f>
        <v>126.02849999999999</v>
      </c>
      <c r="CA29" s="14">
        <f t="shared" si="39"/>
        <v>33.077011758290247</v>
      </c>
      <c r="CB29" s="22">
        <f t="shared" si="10"/>
        <v>277.1087663123555</v>
      </c>
      <c r="CC29" s="62">
        <f t="shared" si="11"/>
        <v>507.39548036154565</v>
      </c>
      <c r="CD29" s="62">
        <f ca="1">AVERAGE(OFFSET($CC$3,0,0,'Données projet'!$E$12+1,1))-AVERAGE(OFFSET($H$3,0,0,'Données projet'!$E$12+1,1))</f>
        <v>401.1031790385295</v>
      </c>
      <c r="CE29" s="62">
        <f t="shared" si="40"/>
        <v>402.09589424130615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projet'!$B$12,Paramètres!$A$1:$I$88,3,0)*0.475*44/12</f>
        <v>4.3933242351389064</v>
      </c>
      <c r="CL29" s="23">
        <f>EXP(-LN(2)/25)*CL28+(1-EXP(-LN(2)/25))/(LN(2)/25)*Calculateur!CG29*Calculateur!CI29*VLOOKUP('Données projet'!$B$12,Paramètres!$A$1:$I$88,3,0)*0.475*44/12</f>
        <v>0</v>
      </c>
      <c r="CM29" s="23">
        <f>EXP(-LN(2)/2)*CM28+(1-EXP(-LN(2)/2))/(LN(2)/2)*CG29*CJ29*VLOOKUP('Données projet'!$B$12,Paramètres!$A$1:$I$88,3,0)*0.475*44/12</f>
        <v>9.5361769907536438</v>
      </c>
      <c r="CN29" s="24">
        <f t="shared" si="12"/>
        <v>13.929501225892551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24.025000000000006</v>
      </c>
      <c r="CT29" s="13">
        <f>IF('Données projet'!$A$140&gt;35,CT28+CS29-DB28,IF(A29&lt;'Données projet'!$A$140,$CQ$205^A29,IF(A29='Données projet'!$A$140,'Données projet'!$B$140,CT28+CS29-DB28)))</f>
        <v>210.74999999999997</v>
      </c>
      <c r="CU29" s="18">
        <f>CT29*VLOOKUP('Données projet'!$B$13,Paramètres!$A$1:$I$88,3,0)*VLOOKUP('Données projet'!$B$13,Paramètres!$A$1:$I$88,5,0)</f>
        <v>126.02849999999999</v>
      </c>
      <c r="CV29" s="14">
        <f t="shared" si="41"/>
        <v>33.077011758290247</v>
      </c>
      <c r="CW29" s="22">
        <f t="shared" si="13"/>
        <v>277.1087663123555</v>
      </c>
      <c r="CX29" s="62">
        <f t="shared" si="14"/>
        <v>507.39548036154565</v>
      </c>
      <c r="CY29" s="62">
        <f ca="1">AVERAGE(OFFSET($CX$3,0,0,'Données projet'!$E$13+1,1))-AVERAGE(OFFSET($H$3,0,0,'Données projet'!$E$13+1,1))</f>
        <v>401.1031790385295</v>
      </c>
      <c r="CZ29" s="62">
        <f t="shared" si="42"/>
        <v>402.09589424130615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projet'!$B$13,Paramètres!$A$1:$I$88,3,0)*0.475*44/12</f>
        <v>4.3933242351389064</v>
      </c>
      <c r="DG29" s="23">
        <f>EXP(-LN(2)/25)*DG28+(1-EXP(-LN(2)/25))/(LN(2)/25)*Calculateur!DB29*Calculateur!DD29*VLOOKUP('Données projet'!$B$13,Paramètres!$A$1:$I$88,3,0)*0.475*44/12</f>
        <v>0</v>
      </c>
      <c r="DH29" s="23">
        <f>EXP(-LN(2)/2)*DH28+(1-EXP(-LN(2)/2))/(LN(2)/2)*DB29*DE29*VLOOKUP('Données projet'!$B$13,Paramètres!$A$1:$I$88,3,0)*0.475*44/12</f>
        <v>9.5361769907536438</v>
      </c>
      <c r="DI29" s="24">
        <f t="shared" si="15"/>
        <v>13.929501225892551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34.799999999999997</v>
      </c>
      <c r="DO29" s="13">
        <f>IF('Données projet'!$A$166&gt;35,DO28+DN29-DW28,IF(A29&lt;'Données projet'!$A$166,$DL$205^A29,IF(A29='Données projet'!$A$166,'Données projet'!$B$166,DO28+DN29-DW28)))</f>
        <v>191.8</v>
      </c>
      <c r="DP29" s="18">
        <f>DO29*VLOOKUP('Données projet'!$B$14,Paramètres!$A$1:$I$88,3,0)*VLOOKUP('Données projet'!$B$14,Paramètres!$A$1:$I$88,5,0)</f>
        <v>77.295400000000015</v>
      </c>
      <c r="DQ29" s="14">
        <f t="shared" si="43"/>
        <v>21.474577550046636</v>
      </c>
      <c r="DR29" s="22">
        <f t="shared" si="16"/>
        <v>172.02437756633125</v>
      </c>
      <c r="DS29" s="62">
        <f t="shared" si="17"/>
        <v>402.31109161552143</v>
      </c>
      <c r="DT29" s="62">
        <f ca="1">AVERAGE(OFFSET($DS$3,0,0,'Données projet'!$E$14+1,1))-AVERAGE(OFFSET($H$3,0,0,'Données projet'!$E$14+1,1))</f>
        <v>432.59662347701629</v>
      </c>
      <c r="DU29" s="62">
        <f t="shared" si="44"/>
        <v>348.67401091099748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projet'!$B$14,Paramètres!$A$1:$I$88,3,0)*0.475*44/12</f>
        <v>0</v>
      </c>
      <c r="EB29" s="23">
        <f>EXP(-LN(2)/25)*EB28+(1-EXP(-LN(2)/25))/(LN(2)/25)*Calculateur!DW29*Calculateur!DY29*VLOOKUP('Données projet'!$B$14,Paramètres!$A$1:$I$88,3,0)*0.475*44/12</f>
        <v>41.78413068508403</v>
      </c>
      <c r="EC29" s="23">
        <f>EXP(-LN(2)/2)*EC28+(1-EXP(-LN(2)/2))/(LN(2)/2)*DW29*DZ29*VLOOKUP('Données projet'!$B$14,Paramètres!$A$1:$I$88,3,0)*0.475*44/12</f>
        <v>0</v>
      </c>
      <c r="ED29" s="24">
        <f t="shared" si="18"/>
        <v>41.78413068508403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46.2</v>
      </c>
      <c r="EJ29" s="13">
        <f>IF('Données projet'!$A$192&gt;35,EJ28+EI29-ER28,IF(A29&lt;'Données projet'!$A$192,$EG$205^A29,IF(A29='Données projet'!$A$192,'Données projet'!$B$192,EJ28+EI29-ER28)))</f>
        <v>208.2</v>
      </c>
      <c r="EK29" s="18">
        <f>EJ29*VLOOKUP('Données projet'!$B$15,Paramètres!$A$1:$I$88,3,0)*VLOOKUP('Données projet'!$B$15,Paramètres!$A$1:$I$88,5,0)</f>
        <v>92.0244</v>
      </c>
      <c r="EL29" s="14">
        <f t="shared" si="45"/>
        <v>25.052827657434516</v>
      </c>
      <c r="EM29" s="22">
        <f t="shared" si="19"/>
        <v>203.90950483669846</v>
      </c>
      <c r="EN29" s="62">
        <f t="shared" si="20"/>
        <v>434.19621888588864</v>
      </c>
      <c r="EO29" s="62">
        <f ca="1">AVERAGE(OFFSET($EN$3,0,0,'Données projet'!$E$15+1,1))-AVERAGE(OFFSET($H$3,0,0,'Données projet'!$E$15+1,1))</f>
        <v>582.26951914082088</v>
      </c>
      <c r="EP29" s="62">
        <f t="shared" si="46"/>
        <v>434.80429932654715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projet'!$B$15,Paramètres!$A$1:$I$88,3,0)*0.475*44/12</f>
        <v>8.2993057791684706</v>
      </c>
      <c r="EW29" s="23">
        <f>EXP(-LN(2)/25)*EW28+(1-EXP(-LN(2)/25))/(LN(2)/25)*Calculateur!ER29*Calculateur!ET29*VLOOKUP('Données projet'!$B$15,Paramètres!$A$1:$I$88,3,0)*0.475*44/12</f>
        <v>56.241294622648475</v>
      </c>
      <c r="EX29" s="23">
        <f>EXP(-LN(2)/2)*EX28+(1-EXP(-LN(2)/2))/(LN(2)/2)*ER29*EU29*VLOOKUP('Données projet'!$B$15,Paramètres!$A$1:$I$88,3,0)*0.475*44/12</f>
        <v>0</v>
      </c>
      <c r="EY29" s="24">
        <f t="shared" si="21"/>
        <v>64.540600401816945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9.3000000000000007</v>
      </c>
      <c r="FE29" s="13">
        <f>IF('Données projet'!$A$218&gt;35,FE28+FD29-FM28,IF(A29&lt;'Données projet'!$A$218,$FB$205^A29,IF(A29='Données projet'!$A$218,'Données projet'!$B$218,FE28+FD29-FM28)))</f>
        <v>83.799999999999983</v>
      </c>
      <c r="FF29" s="18">
        <f>FE29*VLOOKUP('Données projet'!$B$16,Paramètres!$A$1:$I$88,3,0)*VLOOKUP('Données projet'!$B$16,Paramètres!$A$1:$I$88,5,0)</f>
        <v>39.218399999999988</v>
      </c>
      <c r="FG29" s="14">
        <f t="shared" si="47"/>
        <v>11.7912464178037</v>
      </c>
      <c r="FH29" s="22">
        <f t="shared" si="22"/>
        <v>88.841800844341421</v>
      </c>
      <c r="FI29" s="62">
        <f t="shared" si="23"/>
        <v>319.12851489353159</v>
      </c>
      <c r="FJ29" s="62">
        <f ca="1">AVERAGE(OFFSET($FI$3,0,0,'Données projet'!$E$16+1,1))-AVERAGE(OFFSET($H$3,0,0,'Données projet'!$E$16+1,1))</f>
        <v>429.87867712133851</v>
      </c>
      <c r="FK29" s="62">
        <f t="shared" si="48"/>
        <v>182.81277865988014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projet'!$B$16,Paramètres!$A$1:$I$88,3,0)*0.475*44/12</f>
        <v>0</v>
      </c>
      <c r="FR29" s="23">
        <f>EXP(-LN(2)/25)*FR28+(1-EXP(-LN(2)/25))/(LN(2)/25)*Calculateur!FM29*Calculateur!FO29*VLOOKUP('Données projet'!$B$16,Paramètres!$A$1:$I$88,3,0)*0.475*44/12</f>
        <v>0</v>
      </c>
      <c r="FS29" s="23">
        <f>EXP(-LN(2)/2)*FS28+(1-EXP(-LN(2)/2))/(LN(2)/2)*FM29*FP29*VLOOKUP('Données projet'!$B$16,Paramètres!$A$1:$I$88,3,0)*0.475*44/12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14</v>
      </c>
      <c r="FZ29" s="13">
        <f>IF('Données projet'!$A$244&gt;35,FZ28+FY29-GH28,IF(A29&lt;'Données projet'!$A$244,$FW$205^A29,IF(A29='Données projet'!$A$244,'Données projet'!$B$244,FZ28+FY29-GH28)))</f>
        <v>145.99999999999994</v>
      </c>
      <c r="GA29" s="18">
        <f>FZ29*VLOOKUP('Données projet'!$B$17,Paramètres!$A$1:$I$88,3,0)*VLOOKUP('Données projet'!$B$17,Paramètres!$A$1:$I$88,5,0)</f>
        <v>70.225999999999985</v>
      </c>
      <c r="GB29" s="14">
        <f t="shared" si="49"/>
        <v>19.729570803453036</v>
      </c>
      <c r="GC29" s="22">
        <f t="shared" si="25"/>
        <v>156.6726191493473</v>
      </c>
      <c r="GD29" s="62">
        <f t="shared" si="26"/>
        <v>386.95933319853748</v>
      </c>
      <c r="GE29" s="62">
        <f ca="1">AVERAGE(OFFSET($GD$3,0,0,'Données projet'!$E$17+1,1))-AVERAGE(OFFSET($H$3,0,0,'Données projet'!$E$17+1,1))</f>
        <v>273.24375559399846</v>
      </c>
      <c r="GF29" s="62">
        <f t="shared" si="50"/>
        <v>270.77718895097848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projet'!$B$17,Paramètres!$A$1:$I$88,3,0)*0.475*44/12</f>
        <v>3.7158572429755963</v>
      </c>
      <c r="GM29" s="23">
        <f>EXP(-LN(2)/25)*GM28+(1-EXP(-LN(2)/25))/(LN(2)/25)*Calculateur!GH29*Calculateur!GJ29*VLOOKUP('Données projet'!$B$17,Paramètres!$A$1:$I$88,3,0)*0.475*44/12</f>
        <v>17.093368442833061</v>
      </c>
      <c r="GN29" s="23">
        <f>EXP(-LN(2)/2)*GN28+(1-EXP(-LN(2)/2))/(LN(2)/2)*GH29*GK29*VLOOKUP('Données projet'!$B$17,Paramètres!$A$1:$I$88,3,0)*0.475*44/12</f>
        <v>0</v>
      </c>
      <c r="GO29" s="23">
        <f t="shared" si="27"/>
        <v>20.809225685808656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10</v>
      </c>
      <c r="N30" s="14">
        <f>IF('Données projet'!$A$36&gt;35,N29+M30-V29,IF(A30&lt;'Données projet'!$A$36,$K$205^A30,IF(A30='Données projet'!$A$36,'Données projet'!$B$36,N29+M30-V29)))</f>
        <v>228.9599545591463</v>
      </c>
      <c r="O30" s="14">
        <f>N30*VLOOKUP('Données projet'!$B$9,Paramètres!$A$1:$I$88,3,0)*VLOOKUP('Données projet'!$B$9,Paramètres!$A$1:$I$88,5,0)</f>
        <v>127.98861459856278</v>
      </c>
      <c r="P30" s="14">
        <f t="shared" si="33"/>
        <v>33.531166273359695</v>
      </c>
      <c r="Q30" s="22">
        <f t="shared" si="2"/>
        <v>281.31361835193161</v>
      </c>
      <c r="R30" s="62">
        <f t="shared" si="0"/>
        <v>513.83146122449511</v>
      </c>
      <c r="S30" s="62">
        <f ca="1">AVERAGE(OFFSET($R$3,0,0,'Données projet'!$E$9+1,1))-AVERAGE(OFFSET($H$3,0,0,'Données projet'!$E$9+1,1))</f>
        <v>289.94242154211224</v>
      </c>
      <c r="T30" s="62">
        <f t="shared" si="34"/>
        <v>369.12599166143661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6.8965517241379309E-2</v>
      </c>
      <c r="AI30" s="14">
        <f>IF('Données projet'!$A$62&gt;35,AI29+AH30-AQ29,IF(A30&lt;'Données projet'!$A$62,$AF$205^A30,IF(A30='Données projet'!$A$62,'Données projet'!$B$62,AI29+AH30-AQ29)))</f>
        <v>1.9066426618932633</v>
      </c>
      <c r="AJ30" s="14">
        <f>AI30*VLOOKUP('Données projet'!$B$10,Paramètres!$A$1:$I$88,3,0)*VLOOKUP('Données projet'!$B$10,Paramètres!$A$1:$I$88,5,0)</f>
        <v>1.7251302804810245</v>
      </c>
      <c r="AK30" s="14">
        <f t="shared" si="35"/>
        <v>0.7461186472179071</v>
      </c>
      <c r="AL30" s="22">
        <f t="shared" si="4"/>
        <v>4.3040918824089731</v>
      </c>
      <c r="AM30" s="62">
        <f t="shared" si="5"/>
        <v>236.82193475497249</v>
      </c>
      <c r="AN30" s="62">
        <f ca="1">AVERAGE(OFFSET($AM$3,0,0,'Données projet'!$E$10+1,1))-AVERAGE(OFFSET($H$3,0,0,'Données projet'!$E$10+1,1))</f>
        <v>518.31628039365785</v>
      </c>
      <c r="AO30" s="62">
        <f t="shared" si="36"/>
        <v>66.435071953154761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6.8965517241379309E-2</v>
      </c>
      <c r="BD30" s="13">
        <f>IF('Données projet'!$A$88&gt;35,BD29+BC30-BL29,IF(A30&lt;'Données projet'!$A$88,$BA$205^A30,IF(A30='Données projet'!$A$88,'Données projet'!$B$88,BD29+BC30-BL29)))</f>
        <v>1.9066426618932633</v>
      </c>
      <c r="BE30" s="14">
        <f>BD30*VLOOKUP('Données projet'!$B$11,Paramètres!$A$1:$I$88,3,0)*VLOOKUP('Données projet'!$B$11,Paramètres!$A$1:$I$88,5,0)</f>
        <v>1.933335659159769</v>
      </c>
      <c r="BF30" s="14">
        <f t="shared" si="37"/>
        <v>0.82515048820586734</v>
      </c>
      <c r="BG30" s="22">
        <f t="shared" si="7"/>
        <v>4.8043633733284841</v>
      </c>
      <c r="BH30" s="62">
        <f t="shared" si="8"/>
        <v>237.32220624589198</v>
      </c>
      <c r="BI30" s="62">
        <f ca="1">AVERAGE(OFFSET($BH$3,0,0,'Données projet'!$E$11+1,1))-AVERAGE(OFFSET($H$3,0,0,'Données projet'!$E$11+1,1))</f>
        <v>570.2785736203931</v>
      </c>
      <c r="BJ30" s="62">
        <f t="shared" si="38"/>
        <v>67.677759965081719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0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24.025000000000006</v>
      </c>
      <c r="BY30" s="13">
        <f>IF('Données projet'!$A$114&gt;35,BY29+BX30-CG29,IF(A30&lt;'Données projet'!$A$114,$BV$205^A30,IF(A30='Données projet'!$A$114,'Données projet'!$B$114,BY29+BX30-CG29)))</f>
        <v>234.77499999999998</v>
      </c>
      <c r="BZ30" s="14">
        <f>BY30*VLOOKUP('Données projet'!$B$12,Paramètres!$A$1:$I$88,3,0)*VLOOKUP('Données projet'!$B$12,Paramètres!$A$1:$I$88,5,0)</f>
        <v>140.39545000000001</v>
      </c>
      <c r="CA30" s="14">
        <f t="shared" si="39"/>
        <v>36.387582659740175</v>
      </c>
      <c r="CB30" s="22">
        <f t="shared" si="10"/>
        <v>307.89711521571411</v>
      </c>
      <c r="CC30" s="62">
        <f t="shared" si="11"/>
        <v>540.41495808827767</v>
      </c>
      <c r="CD30" s="62">
        <f ca="1">AVERAGE(OFFSET($CC$3,0,0,'Données projet'!$E$12+1,1))-AVERAGE(OFFSET($H$3,0,0,'Données projet'!$E$12+1,1))</f>
        <v>401.1031790385295</v>
      </c>
      <c r="CE30" s="62">
        <f t="shared" si="40"/>
        <v>402.09589424130615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projet'!$B$12,Paramètres!$A$1:$I$88,3,0)*0.475*44/12</f>
        <v>4.3071738265510211</v>
      </c>
      <c r="CL30" s="23">
        <f>EXP(-LN(2)/25)*CL29+(1-EXP(-LN(2)/25))/(LN(2)/25)*Calculateur!CG30*Calculateur!CI30*VLOOKUP('Données projet'!$B$12,Paramètres!$A$1:$I$88,3,0)*0.475*44/12</f>
        <v>0</v>
      </c>
      <c r="CM30" s="23">
        <f>EXP(-LN(2)/2)*CM29+(1-EXP(-LN(2)/2))/(LN(2)/2)*CG30*CJ30*VLOOKUP('Données projet'!$B$12,Paramètres!$A$1:$I$88,3,0)*0.475*44/12</f>
        <v>6.7430954167570265</v>
      </c>
      <c r="CN30" s="24">
        <f t="shared" si="12"/>
        <v>11.050269243308048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24.025000000000006</v>
      </c>
      <c r="CT30" s="13">
        <f>IF('Données projet'!$A$140&gt;35,CT29+CS30-DB29,IF(A30&lt;'Données projet'!$A$140,$CQ$205^A30,IF(A30='Données projet'!$A$140,'Données projet'!$B$140,CT29+CS30-DB29)))</f>
        <v>234.77499999999998</v>
      </c>
      <c r="CU30" s="18">
        <f>CT30*VLOOKUP('Données projet'!$B$13,Paramètres!$A$1:$I$88,3,0)*VLOOKUP('Données projet'!$B$13,Paramètres!$A$1:$I$88,5,0)</f>
        <v>140.39545000000001</v>
      </c>
      <c r="CV30" s="14">
        <f t="shared" si="41"/>
        <v>36.387582659740175</v>
      </c>
      <c r="CW30" s="22">
        <f t="shared" si="13"/>
        <v>307.89711521571411</v>
      </c>
      <c r="CX30" s="62">
        <f t="shared" si="14"/>
        <v>540.41495808827767</v>
      </c>
      <c r="CY30" s="62">
        <f ca="1">AVERAGE(OFFSET($CX$3,0,0,'Données projet'!$E$13+1,1))-AVERAGE(OFFSET($H$3,0,0,'Données projet'!$E$13+1,1))</f>
        <v>401.1031790385295</v>
      </c>
      <c r="CZ30" s="62">
        <f t="shared" si="42"/>
        <v>402.09589424130615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projet'!$B$13,Paramètres!$A$1:$I$88,3,0)*0.475*44/12</f>
        <v>4.3071738265510211</v>
      </c>
      <c r="DG30" s="23">
        <f>EXP(-LN(2)/25)*DG29+(1-EXP(-LN(2)/25))/(LN(2)/25)*Calculateur!DB30*Calculateur!DD30*VLOOKUP('Données projet'!$B$13,Paramètres!$A$1:$I$88,3,0)*0.475*44/12</f>
        <v>0</v>
      </c>
      <c r="DH30" s="23">
        <f>EXP(-LN(2)/2)*DH29+(1-EXP(-LN(2)/2))/(LN(2)/2)*DB30*DE30*VLOOKUP('Données projet'!$B$13,Paramètres!$A$1:$I$88,3,0)*0.475*44/12</f>
        <v>6.7430954167570265</v>
      </c>
      <c r="DI30" s="24">
        <f t="shared" si="15"/>
        <v>11.050269243308048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34.799999999999997</v>
      </c>
      <c r="DO30" s="13">
        <f>IF('Données projet'!$A$166&gt;35,DO29+DN30-DW29,IF(A30&lt;'Données projet'!$A$166,$DL$205^A30,IF(A30='Données projet'!$A$166,'Données projet'!$B$166,DO29+DN30-DW29)))</f>
        <v>226.60000000000002</v>
      </c>
      <c r="DP30" s="18">
        <f>DO30*VLOOKUP('Données projet'!$B$14,Paramètres!$A$1:$I$88,3,0)*VLOOKUP('Données projet'!$B$14,Paramètres!$A$1:$I$88,5,0)</f>
        <v>91.319800000000015</v>
      </c>
      <c r="DQ30" s="14">
        <f t="shared" si="43"/>
        <v>24.88325878118571</v>
      </c>
      <c r="DR30" s="22">
        <f t="shared" si="16"/>
        <v>202.38699404389845</v>
      </c>
      <c r="DS30" s="62">
        <f t="shared" si="17"/>
        <v>434.90483691646193</v>
      </c>
      <c r="DT30" s="62">
        <f ca="1">AVERAGE(OFFSET($DS$3,0,0,'Données projet'!$E$14+1,1))-AVERAGE(OFFSET($H$3,0,0,'Données projet'!$E$14+1,1))</f>
        <v>432.59662347701629</v>
      </c>
      <c r="DU30" s="62">
        <f t="shared" si="44"/>
        <v>348.67401091099748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projet'!$B$14,Paramètres!$A$1:$I$88,3,0)*0.475*44/12</f>
        <v>0</v>
      </c>
      <c r="EB30" s="23">
        <f>EXP(-LN(2)/25)*EB29+(1-EXP(-LN(2)/25))/(LN(2)/25)*Calculateur!DW30*Calculateur!DY30*VLOOKUP('Données projet'!$B$14,Paramètres!$A$1:$I$88,3,0)*0.475*44/12</f>
        <v>40.641541434168474</v>
      </c>
      <c r="EC30" s="23">
        <f>EXP(-LN(2)/2)*EC29+(1-EXP(-LN(2)/2))/(LN(2)/2)*DW30*DZ30*VLOOKUP('Données projet'!$B$14,Paramètres!$A$1:$I$88,3,0)*0.475*44/12</f>
        <v>0</v>
      </c>
      <c r="ED30" s="24">
        <f t="shared" si="18"/>
        <v>40.641541434168474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46.2</v>
      </c>
      <c r="EJ30" s="13">
        <f>IF('Données projet'!$A$192&gt;35,EJ29+EI30-ER29,IF(A30&lt;'Données projet'!$A$192,$EG$205^A30,IF(A30='Données projet'!$A$192,'Données projet'!$B$192,EJ29+EI30-ER29)))</f>
        <v>254.39999999999998</v>
      </c>
      <c r="EK30" s="18">
        <f>EJ30*VLOOKUP('Données projet'!$B$15,Paramètres!$A$1:$I$88,3,0)*VLOOKUP('Données projet'!$B$15,Paramètres!$A$1:$I$88,5,0)</f>
        <v>112.4448</v>
      </c>
      <c r="EL30" s="14">
        <f t="shared" si="45"/>
        <v>29.906259525899941</v>
      </c>
      <c r="EM30" s="22">
        <f t="shared" si="19"/>
        <v>247.92809534094238</v>
      </c>
      <c r="EN30" s="62">
        <f t="shared" si="20"/>
        <v>480.44593821350588</v>
      </c>
      <c r="EO30" s="62">
        <f ca="1">AVERAGE(OFFSET($EN$3,0,0,'Données projet'!$E$15+1,1))-AVERAGE(OFFSET($H$3,0,0,'Données projet'!$E$15+1,1))</f>
        <v>582.26951914082088</v>
      </c>
      <c r="EP30" s="62">
        <f t="shared" si="46"/>
        <v>434.80429932654715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projet'!$B$15,Paramètres!$A$1:$I$88,3,0)*0.475*44/12</f>
        <v>8.1365614549156628</v>
      </c>
      <c r="EW30" s="23">
        <f>EXP(-LN(2)/25)*EW29+(1-EXP(-LN(2)/25))/(LN(2)/25)*Calculateur!ER30*Calculateur!ET30*VLOOKUP('Données projet'!$B$15,Paramètres!$A$1:$I$88,3,0)*0.475*44/12</f>
        <v>54.703373463591006</v>
      </c>
      <c r="EX30" s="23">
        <f>EXP(-LN(2)/2)*EX29+(1-EXP(-LN(2)/2))/(LN(2)/2)*ER30*EU30*VLOOKUP('Données projet'!$B$15,Paramètres!$A$1:$I$88,3,0)*0.475*44/12</f>
        <v>0</v>
      </c>
      <c r="EY30" s="24">
        <f t="shared" si="21"/>
        <v>62.839934918506671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9.3000000000000007</v>
      </c>
      <c r="FE30" s="13">
        <f>IF('Données projet'!$A$218&gt;35,FE29+FD30-FM29,IF(A30&lt;'Données projet'!$A$218,$FB$205^A30,IF(A30='Données projet'!$A$218,'Données projet'!$B$218,FE29+FD30-FM29)))</f>
        <v>93.09999999999998</v>
      </c>
      <c r="FF30" s="18">
        <f>FE30*VLOOKUP('Données projet'!$B$16,Paramètres!$A$1:$I$88,3,0)*VLOOKUP('Données projet'!$B$16,Paramètres!$A$1:$I$88,5,0)</f>
        <v>43.570799999999991</v>
      </c>
      <c r="FG30" s="14">
        <f t="shared" si="47"/>
        <v>12.940326634618197</v>
      </c>
      <c r="FH30" s="22">
        <f t="shared" si="22"/>
        <v>98.42354555529333</v>
      </c>
      <c r="FI30" s="62">
        <f t="shared" si="23"/>
        <v>330.94138842785685</v>
      </c>
      <c r="FJ30" s="62">
        <f ca="1">AVERAGE(OFFSET($FI$3,0,0,'Données projet'!$E$16+1,1))-AVERAGE(OFFSET($H$3,0,0,'Données projet'!$E$16+1,1))</f>
        <v>429.87867712133851</v>
      </c>
      <c r="FK30" s="62">
        <f t="shared" si="48"/>
        <v>182.81277865988014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projet'!$B$16,Paramètres!$A$1:$I$88,3,0)*0.475*44/12</f>
        <v>0</v>
      </c>
      <c r="FR30" s="23">
        <f>EXP(-LN(2)/25)*FR29+(1-EXP(-LN(2)/25))/(LN(2)/25)*Calculateur!FM30*Calculateur!FO30*VLOOKUP('Données projet'!$B$16,Paramètres!$A$1:$I$88,3,0)*0.475*44/12</f>
        <v>0</v>
      </c>
      <c r="FS30" s="23">
        <f>EXP(-LN(2)/2)*FS29+(1-EXP(-LN(2)/2))/(LN(2)/2)*FM30*FP30*VLOOKUP('Données projet'!$B$16,Paramètres!$A$1:$I$88,3,0)*0.475*44/12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14</v>
      </c>
      <c r="FZ30" s="13">
        <f>IF('Données projet'!$A$244&gt;35,FZ29+FY30-GH29,IF(A30&lt;'Données projet'!$A$244,$FW$205^A30,IF(A30='Données projet'!$A$244,'Données projet'!$B$244,FZ29+FY30-GH29)))</f>
        <v>159.99999999999994</v>
      </c>
      <c r="GA30" s="18">
        <f>FZ30*VLOOKUP('Données projet'!$B$17,Paramètres!$A$1:$I$88,3,0)*VLOOKUP('Données projet'!$B$17,Paramètres!$A$1:$I$88,5,0)</f>
        <v>76.95999999999998</v>
      </c>
      <c r="GB30" s="14">
        <f t="shared" si="49"/>
        <v>21.392220726743766</v>
      </c>
      <c r="GC30" s="22">
        <f t="shared" si="25"/>
        <v>171.29678443241201</v>
      </c>
      <c r="GD30" s="62">
        <f t="shared" si="26"/>
        <v>403.81462730497549</v>
      </c>
      <c r="GE30" s="62">
        <f ca="1">AVERAGE(OFFSET($GD$3,0,0,'Données projet'!$E$17+1,1))-AVERAGE(OFFSET($H$3,0,0,'Données projet'!$E$17+1,1))</f>
        <v>273.24375559399846</v>
      </c>
      <c r="GF30" s="62">
        <f t="shared" si="50"/>
        <v>270.77718895097848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projet'!$B$17,Paramètres!$A$1:$I$88,3,0)*0.475*44/12</f>
        <v>3.6429915488899698</v>
      </c>
      <c r="GM30" s="23">
        <f>EXP(-LN(2)/25)*GM29+(1-EXP(-LN(2)/25))/(LN(2)/25)*Calculateur!GH30*Calculateur!GJ30*VLOOKUP('Données projet'!$B$17,Paramètres!$A$1:$I$88,3,0)*0.475*44/12</f>
        <v>16.625949383862611</v>
      </c>
      <c r="GN30" s="23">
        <f>EXP(-LN(2)/2)*GN29+(1-EXP(-LN(2)/2))/(LN(2)/2)*GH30*GK30*VLOOKUP('Données projet'!$B$17,Paramètres!$A$1:$I$88,3,0)*0.475*44/12</f>
        <v>0</v>
      </c>
      <c r="GO30" s="23">
        <f t="shared" si="27"/>
        <v>20.268940932752582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>
        <f>VLOOKUP(A31,'Données projet'!$A$35:$I$55,2,0)</f>
        <v>280</v>
      </c>
      <c r="L31" s="13">
        <f>VLOOKUP(A31,'Données projet'!$A$35:$I$55,9,0)</f>
        <v>10</v>
      </c>
      <c r="M31" s="13">
        <f t="array" ref="M31">INDEX(L:L,MIN(IF(ISNUMBER(L31:L227),ROW(L31:L227),"")))</f>
        <v>10</v>
      </c>
      <c r="N31" s="14">
        <f>IF('Données projet'!$A$36&gt;35,N30+M31-V30,IF(A31&lt;'Données projet'!$A$36,$K$205^A31,IF(A31='Données projet'!$A$36,'Données projet'!$B$36,N30+M31-V30)))</f>
        <v>280</v>
      </c>
      <c r="O31" s="14">
        <f>N31*VLOOKUP('Données projet'!$B$9,Paramètres!$A$1:$I$88,3,0)*VLOOKUP('Données projet'!$B$9,Paramètres!$A$1:$I$88,5,0)</f>
        <v>156.51999999999998</v>
      </c>
      <c r="P31" s="14">
        <f t="shared" si="33"/>
        <v>40.056589961286939</v>
      </c>
      <c r="Q31" s="22">
        <f t="shared" si="2"/>
        <v>342.37089418257466</v>
      </c>
      <c r="R31" s="62">
        <f t="shared" si="0"/>
        <v>577.10236360455872</v>
      </c>
      <c r="S31" s="62">
        <f ca="1">AVERAGE(OFFSET($R$3,0,0,'Données projet'!$E$9+1,1))-AVERAGE(OFFSET($H$3,0,0,'Données projet'!$E$9+1,1))</f>
        <v>289.94242154211224</v>
      </c>
      <c r="T31" s="62">
        <f t="shared" si="34"/>
        <v>369.12599166143661</v>
      </c>
      <c r="U31" s="16">
        <f>IF(ISNA(VLOOKUP(A31,'Données projet'!$A$35:$I$55,3,0)),0,VLOOKUP(A31,'Données projet'!$A$35:$I$55,3,0))</f>
        <v>1</v>
      </c>
      <c r="V31" s="16">
        <f>IF(ISNA(VLOOKUP(A31,'Données projet'!$A$35:$I$55,4,0)),0,VLOOKUP(A31,'Données projet'!$A$35:$I$55,4,0))</f>
        <v>64</v>
      </c>
      <c r="W31" s="17">
        <f>IF(ISNA(VLOOKUP(A31,'Données projet'!$A$35:$I$55,5,0)),0%,VLOOKUP(A31,'Données projet'!$A$35:$I$55,5,0)*VLOOKUP('Données projet'!$B$9,Paramètres!$A$1:$I$88,7,0))</f>
        <v>0.16500000000000001</v>
      </c>
      <c r="X31" s="17">
        <f>IF(ISNA(VLOOKUP(A31,'Données projet'!$A$35:$I$55,6,0)),0%,VLOOKUP(A31,'Données projet'!$A$35:$I$55,6,0)*VLOOKUP('Données projet'!$B$9,Paramètres!$A$1:$I$88,7,0))</f>
        <v>0.38500000000000001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7.8307630430378259</v>
      </c>
      <c r="AA31" s="23">
        <f>EXP(-LN(2)/25)*AA30+(1-EXP(-LN(2)/25))/(LN(2)/25)*Calculateur!V31*Calculateur!X31*VLOOKUP('Données projet'!$B$9,Paramètres!$A$1:$I$88,3,0)*0.475*44/12</f>
        <v>18.199837472093062</v>
      </c>
      <c r="AB31" s="23">
        <f>EXP(-LN(2)/2)*AB30+(1-EXP(-LN(2)/2))/(LN(2)/2)*V31*Y31*VLOOKUP('Données projet'!$B$9,Paramètres!$A$1:$I$88,3,0)*0.475*44/12</f>
        <v>0</v>
      </c>
      <c r="AC31" s="24">
        <f t="shared" si="3"/>
        <v>26.030600515130889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6.8965517241379309E-2</v>
      </c>
      <c r="AI31" s="14">
        <f>IF('Données projet'!$A$62&gt;35,AI30+AH31-AQ30,IF(A31&lt;'Données projet'!$A$62,$AF$205^A31,IF(A31='Données projet'!$A$62,'Données projet'!$B$62,AI30+AH31-AQ30)))</f>
        <v>1.9527635094364388</v>
      </c>
      <c r="AJ31" s="14">
        <f>AI31*VLOOKUP('Données projet'!$B$10,Paramètres!$A$1:$I$88,3,0)*VLOOKUP('Données projet'!$B$10,Paramètres!$A$1:$I$88,5,0)</f>
        <v>1.7668604233380896</v>
      </c>
      <c r="AK31" s="14">
        <f t="shared" si="35"/>
        <v>0.76204385736568658</v>
      </c>
      <c r="AL31" s="22">
        <f t="shared" si="4"/>
        <v>4.4045082888924094</v>
      </c>
      <c r="AM31" s="62">
        <f t="shared" si="5"/>
        <v>239.13597771087649</v>
      </c>
      <c r="AN31" s="62">
        <f ca="1">AVERAGE(OFFSET($AM$3,0,0,'Données projet'!$E$10+1,1))-AVERAGE(OFFSET($H$3,0,0,'Données projet'!$E$10+1,1))</f>
        <v>518.31628039365785</v>
      </c>
      <c r="AO31" s="62">
        <f t="shared" si="36"/>
        <v>66.435071953154761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6.8965517241379309E-2</v>
      </c>
      <c r="BD31" s="13">
        <f>IF('Données projet'!$A$88&gt;35,BD30+BC31-BL30,IF(A31&lt;'Données projet'!$A$88,$BA$205^A31,IF(A31='Données projet'!$A$88,'Données projet'!$B$88,BD30+BC31-BL30)))</f>
        <v>1.9527635094364388</v>
      </c>
      <c r="BE31" s="14">
        <f>BD31*VLOOKUP('Données projet'!$B$11,Paramètres!$A$1:$I$88,3,0)*VLOOKUP('Données projet'!$B$11,Paramètres!$A$1:$I$88,5,0)</f>
        <v>1.980102198568549</v>
      </c>
      <c r="BF31" s="14">
        <f t="shared" si="37"/>
        <v>0.84276255966021274</v>
      </c>
      <c r="BG31" s="22">
        <f t="shared" si="7"/>
        <v>4.9164894539150934</v>
      </c>
      <c r="BH31" s="62">
        <f t="shared" si="8"/>
        <v>239.64795887589918</v>
      </c>
      <c r="BI31" s="62">
        <f ca="1">AVERAGE(OFFSET($BH$3,0,0,'Données projet'!$E$11+1,1))-AVERAGE(OFFSET($H$3,0,0,'Données projet'!$E$11+1,1))</f>
        <v>570.2785736203931</v>
      </c>
      <c r="BJ31" s="62">
        <f t="shared" si="38"/>
        <v>67.677759965081719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0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>
        <f>VLOOKUP(A31,'Données projet'!$A$113:$I$133,2,0)</f>
        <v>258.8</v>
      </c>
      <c r="BW31" s="13">
        <f>VLOOKUP(A31,'Données projet'!$A$113:$I$133,9,0)</f>
        <v>24.025000000000006</v>
      </c>
      <c r="BX31" s="13">
        <f t="array" ref="BX31">INDEX(BW:BW,MIN(IF(ISNUMBER(BW31:BW227),ROW(BW31:BW227),"")))</f>
        <v>24.025000000000006</v>
      </c>
      <c r="BY31" s="13">
        <f>IF('Données projet'!$A$114&gt;35,BY30+BX31-CG30,IF(A31&lt;'Données projet'!$A$114,$BV$205^A31,IF(A31='Données projet'!$A$114,'Données projet'!$B$114,BY30+BX31-CG30)))</f>
        <v>258.79999999999995</v>
      </c>
      <c r="BZ31" s="14">
        <f>BY31*VLOOKUP('Données projet'!$B$12,Paramètres!$A$1:$I$88,3,0)*VLOOKUP('Données projet'!$B$12,Paramètres!$A$1:$I$88,5,0)</f>
        <v>154.76239999999999</v>
      </c>
      <c r="CA31" s="14">
        <f t="shared" si="39"/>
        <v>39.658881513644829</v>
      </c>
      <c r="CB31" s="22">
        <f t="shared" si="10"/>
        <v>338.61706530293139</v>
      </c>
      <c r="CC31" s="62">
        <f t="shared" si="11"/>
        <v>573.34853472491545</v>
      </c>
      <c r="CD31" s="62">
        <f ca="1">AVERAGE(OFFSET($CC$3,0,0,'Données projet'!$E$12+1,1))-AVERAGE(OFFSET($H$3,0,0,'Données projet'!$E$12+1,1))</f>
        <v>401.1031790385295</v>
      </c>
      <c r="CE31" s="62">
        <f t="shared" si="40"/>
        <v>402.09589424130615</v>
      </c>
      <c r="CF31" s="16">
        <f>IF(ISNA(VLOOKUP(A31,'Données projet'!$A$113:$I$133,3,0)),0,VLOOKUP(A31,'Données projet'!$A$113:$I$133,3,0))</f>
        <v>4</v>
      </c>
      <c r="CG31" s="16">
        <f>IF(ISNA(VLOOKUP(A31,'Données projet'!$A$113:$I$133,4,0)),0,VLOOKUP(A31,'Données projet'!$A$113:$I$133,4,0))</f>
        <v>35.4</v>
      </c>
      <c r="CH31" s="17">
        <f>IF(ISNA(VLOOKUP(A31,'Données projet'!$A$113:$I$133,5,0)),0%,VLOOKUP(A31,'Données projet'!$A$113:$I$133,5,0)*VLOOKUP('Données projet'!$B$12,Paramètres!$A$1:$I$88,7,0))</f>
        <v>0.18000000000000002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0.6</v>
      </c>
      <c r="CK31" s="23">
        <f>EXP(-LN(2)/35)*CK30+(1-EXP(-LN(2)/35))/(LN(2)/35)*CG31*CH31*VLOOKUP('Données projet'!$B$12,Paramètres!$A$1:$I$88,3,0)*0.475*44/12</f>
        <v>9.2775282635453138</v>
      </c>
      <c r="CL31" s="23">
        <f>EXP(-LN(2)/25)*CL30+(1-EXP(-LN(2)/25))/(LN(2)/25)*Calculateur!CG31*Calculateur!CI31*VLOOKUP('Données projet'!$B$12,Paramètres!$A$1:$I$88,3,0)*0.475*44/12</f>
        <v>0</v>
      </c>
      <c r="CM31" s="23">
        <f>EXP(-LN(2)/2)*CM30+(1-EXP(-LN(2)/2))/(LN(2)/2)*CG31*CJ31*VLOOKUP('Données projet'!$B$12,Paramètres!$A$1:$I$88,3,0)*0.475*44/12</f>
        <v>19.14915966705518</v>
      </c>
      <c r="CN31" s="24">
        <f t="shared" si="12"/>
        <v>28.426687930600494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>
        <f>VLOOKUP(A31,'Données projet'!$A$139:$I$159,2,0)</f>
        <v>258.8</v>
      </c>
      <c r="CR31" s="13">
        <f>VLOOKUP(A31,'Données projet'!$A$139:$I$159,9,0)</f>
        <v>24.025000000000006</v>
      </c>
      <c r="CS31" s="13">
        <f t="array" ref="CS31">INDEX(CR:CR,MIN(IF(ISNUMBER(CR31:CR227),ROW(CR31:CR227),"")))</f>
        <v>24.025000000000006</v>
      </c>
      <c r="CT31" s="13">
        <f>IF('Données projet'!$A$140&gt;35,CT30+CS31-DB30,IF(A31&lt;'Données projet'!$A$140,$CQ$205^A31,IF(A31='Données projet'!$A$140,'Données projet'!$B$140,CT30+CS31-DB30)))</f>
        <v>258.79999999999995</v>
      </c>
      <c r="CU31" s="18">
        <f>CT31*VLOOKUP('Données projet'!$B$13,Paramètres!$A$1:$I$88,3,0)*VLOOKUP('Données projet'!$B$13,Paramètres!$A$1:$I$88,5,0)</f>
        <v>154.76239999999999</v>
      </c>
      <c r="CV31" s="14">
        <f t="shared" si="41"/>
        <v>39.658881513644829</v>
      </c>
      <c r="CW31" s="22">
        <f t="shared" si="13"/>
        <v>338.61706530293139</v>
      </c>
      <c r="CX31" s="62">
        <f t="shared" si="14"/>
        <v>573.34853472491545</v>
      </c>
      <c r="CY31" s="62">
        <f ca="1">AVERAGE(OFFSET($CX$3,0,0,'Données projet'!$E$13+1,1))-AVERAGE(OFFSET($H$3,0,0,'Données projet'!$E$13+1,1))</f>
        <v>401.1031790385295</v>
      </c>
      <c r="CZ31" s="62">
        <f t="shared" si="42"/>
        <v>402.09589424130615</v>
      </c>
      <c r="DA31" s="16">
        <f>IF(ISNA(VLOOKUP(A31,'Données projet'!$A$139:$I$159,3,0)),0,VLOOKUP(A31,'Données projet'!$A$139:$I$159,3,0))</f>
        <v>4</v>
      </c>
      <c r="DB31" s="16">
        <f>IF(ISNA(VLOOKUP(A31,'Données projet'!$A$139:$I$159,4,0)),0,VLOOKUP(A31,'Données projet'!$A$139:$I$159,4,0))</f>
        <v>35.4</v>
      </c>
      <c r="DC31" s="17">
        <f>IF(ISNA(VLOOKUP(A31,'Données projet'!$A$139:$I$159,5,0)),0%,VLOOKUP(A31,'Données projet'!$A$139:$I$159,5,0)*VLOOKUP('Données projet'!$B$13,Paramètres!$A$1:$I$88,7,0))</f>
        <v>0.18000000000000002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0.6</v>
      </c>
      <c r="DF31" s="23">
        <f>EXP(-LN(2)/35)*DF30+(1-EXP(-LN(2)/35))/(LN(2)/35)*DB31*DC31*VLOOKUP('Données projet'!$B$13,Paramètres!$A$1:$I$88,3,0)*0.475*44/12</f>
        <v>9.2775282635453138</v>
      </c>
      <c r="DG31" s="23">
        <f>EXP(-LN(2)/25)*DG30+(1-EXP(-LN(2)/25))/(LN(2)/25)*Calculateur!DB31*Calculateur!DD31*VLOOKUP('Données projet'!$B$13,Paramètres!$A$1:$I$88,3,0)*0.475*44/12</f>
        <v>0</v>
      </c>
      <c r="DH31" s="23">
        <f>EXP(-LN(2)/2)*DH30+(1-EXP(-LN(2)/2))/(LN(2)/2)*DB31*DE31*VLOOKUP('Données projet'!$B$13,Paramètres!$A$1:$I$88,3,0)*0.475*44/12</f>
        <v>19.14915966705518</v>
      </c>
      <c r="DI31" s="24">
        <f t="shared" si="15"/>
        <v>28.426687930600494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34.799999999999997</v>
      </c>
      <c r="DO31" s="13">
        <f>IF('Données projet'!$A$166&gt;35,DO30+DN31-DW30,IF(A31&lt;'Données projet'!$A$166,$DL$205^A31,IF(A31='Données projet'!$A$166,'Données projet'!$B$166,DO30+DN31-DW30)))</f>
        <v>261.40000000000003</v>
      </c>
      <c r="DP31" s="18">
        <f>DO31*VLOOKUP('Données projet'!$B$14,Paramètres!$A$1:$I$88,3,0)*VLOOKUP('Données projet'!$B$14,Paramètres!$A$1:$I$88,5,0)</f>
        <v>105.34420000000001</v>
      </c>
      <c r="DQ31" s="14">
        <f t="shared" si="43"/>
        <v>28.231296094280406</v>
      </c>
      <c r="DR31" s="22">
        <f t="shared" si="16"/>
        <v>232.64398903087172</v>
      </c>
      <c r="DS31" s="62">
        <f t="shared" si="17"/>
        <v>467.37545845285581</v>
      </c>
      <c r="DT31" s="62">
        <f ca="1">AVERAGE(OFFSET($DS$3,0,0,'Données projet'!$E$14+1,1))-AVERAGE(OFFSET($H$3,0,0,'Données projet'!$E$14+1,1))</f>
        <v>432.59662347701629</v>
      </c>
      <c r="DU31" s="62">
        <f t="shared" si="44"/>
        <v>348.67401091099748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projet'!$B$14,Paramètres!$A$1:$I$88,3,0)*0.475*44/12</f>
        <v>0</v>
      </c>
      <c r="EB31" s="23">
        <f>EXP(-LN(2)/25)*EB30+(1-EXP(-LN(2)/25))/(LN(2)/25)*Calculateur!DW31*Calculateur!DY31*VLOOKUP('Données projet'!$B$14,Paramètres!$A$1:$I$88,3,0)*0.475*44/12</f>
        <v>39.530196346405361</v>
      </c>
      <c r="EC31" s="23">
        <f>EXP(-LN(2)/2)*EC30+(1-EXP(-LN(2)/2))/(LN(2)/2)*DW31*DZ31*VLOOKUP('Données projet'!$B$14,Paramètres!$A$1:$I$88,3,0)*0.475*44/12</f>
        <v>0</v>
      </c>
      <c r="ED31" s="24">
        <f t="shared" si="18"/>
        <v>39.530196346405361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46.2</v>
      </c>
      <c r="EJ31" s="13">
        <f>IF('Données projet'!$A$192&gt;35,EJ30+EI31-ER30,IF(A31&lt;'Données projet'!$A$192,$EG$205^A31,IF(A31='Données projet'!$A$192,'Données projet'!$B$192,EJ30+EI31-ER30)))</f>
        <v>300.59999999999997</v>
      </c>
      <c r="EK31" s="18">
        <f>EJ31*VLOOKUP('Données projet'!$B$15,Paramètres!$A$1:$I$88,3,0)*VLOOKUP('Données projet'!$B$15,Paramètres!$A$1:$I$88,5,0)</f>
        <v>132.86519999999999</v>
      </c>
      <c r="EL31" s="14">
        <f t="shared" si="45"/>
        <v>34.657580565743032</v>
      </c>
      <c r="EM31" s="22">
        <f t="shared" si="19"/>
        <v>291.76884281866904</v>
      </c>
      <c r="EN31" s="62">
        <f t="shared" si="20"/>
        <v>526.5003122406531</v>
      </c>
      <c r="EO31" s="62">
        <f ca="1">AVERAGE(OFFSET($EN$3,0,0,'Données projet'!$E$15+1,1))-AVERAGE(OFFSET($H$3,0,0,'Données projet'!$E$15+1,1))</f>
        <v>582.26951914082088</v>
      </c>
      <c r="EP31" s="62">
        <f t="shared" si="46"/>
        <v>434.80429932654715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projet'!$B$15,Paramètres!$A$1:$I$88,3,0)*0.475*44/12</f>
        <v>7.9770084475972176</v>
      </c>
      <c r="EW31" s="23">
        <f>EXP(-LN(2)/25)*EW30+(1-EXP(-LN(2)/25))/(LN(2)/25)*Calculateur!ER31*Calculateur!ET31*VLOOKUP('Données projet'!$B$15,Paramètres!$A$1:$I$88,3,0)*0.475*44/12</f>
        <v>53.207506839503729</v>
      </c>
      <c r="EX31" s="23">
        <f>EXP(-LN(2)/2)*EX30+(1-EXP(-LN(2)/2))/(LN(2)/2)*ER31*EU31*VLOOKUP('Données projet'!$B$15,Paramètres!$A$1:$I$88,3,0)*0.475*44/12</f>
        <v>0</v>
      </c>
      <c r="EY31" s="24">
        <f t="shared" si="21"/>
        <v>61.18451528710095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9.3000000000000007</v>
      </c>
      <c r="FE31" s="13">
        <f>IF('Données projet'!$A$218&gt;35,FE30+FD31-FM30,IF(A31&lt;'Données projet'!$A$218,$FB$205^A31,IF(A31='Données projet'!$A$218,'Données projet'!$B$218,FE30+FD31-FM30)))</f>
        <v>102.39999999999998</v>
      </c>
      <c r="FF31" s="18">
        <f>FE31*VLOOKUP('Données projet'!$B$16,Paramètres!$A$1:$I$88,3,0)*VLOOKUP('Données projet'!$B$16,Paramètres!$A$1:$I$88,5,0)</f>
        <v>47.923199999999987</v>
      </c>
      <c r="FG31" s="14">
        <f t="shared" si="47"/>
        <v>14.076099961955951</v>
      </c>
      <c r="FH31" s="22">
        <f t="shared" si="22"/>
        <v>107.98211410040659</v>
      </c>
      <c r="FI31" s="62">
        <f t="shared" si="23"/>
        <v>342.71358352239065</v>
      </c>
      <c r="FJ31" s="62">
        <f ca="1">AVERAGE(OFFSET($FI$3,0,0,'Données projet'!$E$16+1,1))-AVERAGE(OFFSET($H$3,0,0,'Données projet'!$E$16+1,1))</f>
        <v>429.87867712133851</v>
      </c>
      <c r="FK31" s="62">
        <f t="shared" si="48"/>
        <v>182.81277865988014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projet'!$B$16,Paramètres!$A$1:$I$88,3,0)*0.475*44/12</f>
        <v>0</v>
      </c>
      <c r="FR31" s="23">
        <f>EXP(-LN(2)/25)*FR30+(1-EXP(-LN(2)/25))/(LN(2)/25)*Calculateur!FM31*Calculateur!FO31*VLOOKUP('Données projet'!$B$16,Paramètres!$A$1:$I$88,3,0)*0.475*44/12</f>
        <v>0</v>
      </c>
      <c r="FS31" s="23">
        <f>EXP(-LN(2)/2)*FS30+(1-EXP(-LN(2)/2))/(LN(2)/2)*FM31*FP31*VLOOKUP('Données projet'!$B$16,Paramètres!$A$1:$I$88,3,0)*0.475*44/12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14</v>
      </c>
      <c r="FZ31" s="13">
        <f>IF('Données projet'!$A$244&gt;35,FZ30+FY31-GH30,IF(A31&lt;'Données projet'!$A$244,$FW$205^A31,IF(A31='Données projet'!$A$244,'Données projet'!$B$244,FZ30+FY31-GH30)))</f>
        <v>173.99999999999994</v>
      </c>
      <c r="GA31" s="18">
        <f>FZ31*VLOOKUP('Données projet'!$B$17,Paramètres!$A$1:$I$88,3,0)*VLOOKUP('Données projet'!$B$17,Paramètres!$A$1:$I$88,5,0)</f>
        <v>83.693999999999974</v>
      </c>
      <c r="GB31" s="14">
        <f t="shared" si="49"/>
        <v>23.037999798152033</v>
      </c>
      <c r="GC31" s="22">
        <f t="shared" si="25"/>
        <v>185.89156631511472</v>
      </c>
      <c r="GD31" s="62">
        <f t="shared" si="26"/>
        <v>420.6230357370988</v>
      </c>
      <c r="GE31" s="62">
        <f ca="1">AVERAGE(OFFSET($GD$3,0,0,'Données projet'!$E$17+1,1))-AVERAGE(OFFSET($H$3,0,0,'Données projet'!$E$17+1,1))</f>
        <v>273.24375559399846</v>
      </c>
      <c r="GF31" s="62">
        <f t="shared" si="50"/>
        <v>270.77718895097848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projet'!$B$17,Paramètres!$A$1:$I$88,3,0)*0.475*44/12</f>
        <v>3.5715547066216775</v>
      </c>
      <c r="GM31" s="23">
        <f>EXP(-LN(2)/25)*GM30+(1-EXP(-LN(2)/25))/(LN(2)/25)*Calculateur!GH31*Calculateur!GJ31*VLOOKUP('Données projet'!$B$17,Paramètres!$A$1:$I$88,3,0)*0.475*44/12</f>
        <v>16.171311923640211</v>
      </c>
      <c r="GN31" s="23">
        <f>EXP(-LN(2)/2)*GN30+(1-EXP(-LN(2)/2))/(LN(2)/2)*GH31*GK31*VLOOKUP('Données projet'!$B$17,Paramètres!$A$1:$I$88,3,0)*0.475*44/12</f>
        <v>0</v>
      </c>
      <c r="GO31" s="23">
        <f t="shared" si="27"/>
        <v>19.742866630261886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19.857142857142858</v>
      </c>
      <c r="N32" s="14">
        <f>IF('Données projet'!$A$36&gt;35,N31+M32-V31,IF(A32&lt;'Données projet'!$A$36,$K$205^A32,IF(A32='Données projet'!$A$36,'Données projet'!$B$36,N31+M32-V31)))</f>
        <v>235.85714285714283</v>
      </c>
      <c r="O32" s="14">
        <f>N32*VLOOKUP('Données projet'!$B$9,Paramètres!$A$1:$I$88,3,0)*VLOOKUP('Données projet'!$B$9,Paramètres!$A$1:$I$88,5,0)</f>
        <v>131.84414285714283</v>
      </c>
      <c r="P32" s="14">
        <f t="shared" si="33"/>
        <v>34.422136630345072</v>
      </c>
      <c r="Q32" s="22">
        <f t="shared" si="2"/>
        <v>289.5804367740414</v>
      </c>
      <c r="R32" s="62">
        <f t="shared" si="0"/>
        <v>526.50833409681718</v>
      </c>
      <c r="S32" s="62">
        <f ca="1">AVERAGE(OFFSET($R$3,0,0,'Données projet'!$E$9+1,1))-AVERAGE(OFFSET($H$3,0,0,'Données projet'!$E$9+1,1))</f>
        <v>289.94242154211224</v>
      </c>
      <c r="T32" s="62">
        <f t="shared" si="34"/>
        <v>369.12599166143661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7.6772065560576905</v>
      </c>
      <c r="AA32" s="23">
        <f>EXP(-LN(2)/25)*AA31+(1-EXP(-LN(2)/25))/(LN(2)/25)*Calculateur!V32*Calculateur!X32*VLOOKUP('Données projet'!$B$9,Paramètres!$A$1:$I$88,3,0)*0.475*44/12</f>
        <v>17.702161959330819</v>
      </c>
      <c r="AB32" s="23">
        <f>EXP(-LN(2)/2)*AB31+(1-EXP(-LN(2)/2))/(LN(2)/2)*V32*Y32*VLOOKUP('Données projet'!$B$9,Paramètres!$A$1:$I$88,3,0)*0.475*44/12</f>
        <v>0</v>
      </c>
      <c r="AC32" s="24">
        <f t="shared" si="3"/>
        <v>25.37936851538851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>
        <f>VLOOKUP(A32,'Données projet'!$A$61:$I$81,2,0)</f>
        <v>2</v>
      </c>
      <c r="AG32" s="13">
        <f>VLOOKUP(A32,'Données projet'!$A$61:$I$81,9,0)</f>
        <v>6.8965517241379309E-2</v>
      </c>
      <c r="AH32" s="13">
        <f t="array" ref="AH32">INDEX(AG:AG,MIN(IF(ISNUMBER(AG32:AG228),ROW(AG32:AG228),"")))</f>
        <v>6.8965517241379309E-2</v>
      </c>
      <c r="AI32" s="14">
        <f>IF('Données projet'!$A$62&gt;35,AI31+AH32-AQ31,IF(A32&lt;'Données projet'!$A$62,$AF$205^A32,IF(A32='Données projet'!$A$62,'Données projet'!$B$62,AI31+AH32-AQ31)))</f>
        <v>2</v>
      </c>
      <c r="AJ32" s="14">
        <f>AI32*VLOOKUP('Données projet'!$B$10,Paramètres!$A$1:$I$88,3,0)*VLOOKUP('Données projet'!$B$10,Paramètres!$A$1:$I$88,5,0)</f>
        <v>1.8095999999999999</v>
      </c>
      <c r="AK32" s="14">
        <f t="shared" si="35"/>
        <v>0.778308976345926</v>
      </c>
      <c r="AL32" s="22">
        <f t="shared" si="4"/>
        <v>4.5072748004691539</v>
      </c>
      <c r="AM32" s="62">
        <f t="shared" si="5"/>
        <v>241.435172123245</v>
      </c>
      <c r="AN32" s="62">
        <f ca="1">AVERAGE(OFFSET($AM$3,0,0,'Données projet'!$E$10+1,1))-AVERAGE(OFFSET($H$3,0,0,'Données projet'!$E$10+1,1))</f>
        <v>518.31628039365785</v>
      </c>
      <c r="AO32" s="62">
        <f t="shared" si="36"/>
        <v>66.435071953154761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0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>
        <f>VLOOKUP(A32,'Données projet'!$A$87:$I$107,2,0)</f>
        <v>2</v>
      </c>
      <c r="BB32" s="13">
        <f>VLOOKUP(A32,'Données projet'!$A$87:$I$107,9,0)</f>
        <v>6.8965517241379309E-2</v>
      </c>
      <c r="BC32" s="13">
        <f t="array" ref="BC32">INDEX(BB:BB,MIN(IF(ISNUMBER(BB32:BB228),ROW(BB32:BB228),"")))</f>
        <v>6.8965517241379309E-2</v>
      </c>
      <c r="BD32" s="13">
        <f>IF('Données projet'!$A$88&gt;35,BD31+BC32-BL31,IF(A32&lt;'Données projet'!$A$88,$BA$205^A32,IF(A32='Données projet'!$A$88,'Données projet'!$B$88,BD31+BC32-BL31)))</f>
        <v>2</v>
      </c>
      <c r="BE32" s="14">
        <f>BD32*VLOOKUP('Données projet'!$B$11,Paramètres!$A$1:$I$88,3,0)*VLOOKUP('Données projet'!$B$11,Paramètres!$A$1:$I$88,5,0)</f>
        <v>2.028</v>
      </c>
      <c r="BF32" s="14">
        <f t="shared" si="37"/>
        <v>0.86075054443624688</v>
      </c>
      <c r="BG32" s="22">
        <f t="shared" si="7"/>
        <v>5.0312405315597966</v>
      </c>
      <c r="BH32" s="62">
        <f t="shared" si="8"/>
        <v>241.95913785433564</v>
      </c>
      <c r="BI32" s="62">
        <f ca="1">AVERAGE(OFFSET($BH$3,0,0,'Données projet'!$E$11+1,1))-AVERAGE(OFFSET($H$3,0,0,'Données projet'!$E$11+1,1))</f>
        <v>570.2785736203931</v>
      </c>
      <c r="BJ32" s="62">
        <f t="shared" si="38"/>
        <v>67.677759965081719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0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20.716666666666665</v>
      </c>
      <c r="BY32" s="13">
        <f>IF('Données projet'!$A$114&gt;35,BY31+BX32-CG31,IF(A32&lt;'Données projet'!$A$114,$BV$205^A32,IF(A32='Données projet'!$A$114,'Données projet'!$B$114,BY31+BX32-CG31)))</f>
        <v>244.11666666666659</v>
      </c>
      <c r="BZ32" s="14">
        <f>BY32*VLOOKUP('Données projet'!$B$12,Paramètres!$A$1:$I$88,3,0)*VLOOKUP('Données projet'!$B$12,Paramètres!$A$1:$I$88,5,0)</f>
        <v>145.98176666666663</v>
      </c>
      <c r="CA32" s="14">
        <f t="shared" si="39"/>
        <v>37.663989598715098</v>
      </c>
      <c r="CB32" s="22">
        <f t="shared" si="10"/>
        <v>319.84969216220651</v>
      </c>
      <c r="CC32" s="62">
        <f t="shared" si="11"/>
        <v>556.7775894849824</v>
      </c>
      <c r="CD32" s="62">
        <f ca="1">AVERAGE(OFFSET($CC$3,0,0,'Données projet'!$E$12+1,1))-AVERAGE(OFFSET($H$3,0,0,'Données projet'!$E$12+1,1))</f>
        <v>401.1031790385295</v>
      </c>
      <c r="CE32" s="62">
        <f t="shared" si="40"/>
        <v>402.09589424130615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projet'!$B$12,Paramètres!$A$1:$I$88,3,0)*0.475*44/12</f>
        <v>9.0956015930306773</v>
      </c>
      <c r="CL32" s="23">
        <f>EXP(-LN(2)/25)*CL31+(1-EXP(-LN(2)/25))/(LN(2)/25)*Calculateur!CG32*Calculateur!CI32*VLOOKUP('Données projet'!$B$12,Paramètres!$A$1:$I$88,3,0)*0.475*44/12</f>
        <v>0</v>
      </c>
      <c r="CM32" s="23">
        <f>EXP(-LN(2)/2)*CM31+(1-EXP(-LN(2)/2))/(LN(2)/2)*CG32*CJ32*VLOOKUP('Données projet'!$B$12,Paramètres!$A$1:$I$88,3,0)*0.475*44/12</f>
        <v>13.540500654598649</v>
      </c>
      <c r="CN32" s="24">
        <f t="shared" si="12"/>
        <v>22.636102247629324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20.716666666666665</v>
      </c>
      <c r="CT32" s="13">
        <f>IF('Données projet'!$A$140&gt;35,CT31+CS32-DB31,IF(A32&lt;'Données projet'!$A$140,$CQ$205^A32,IF(A32='Données projet'!$A$140,'Données projet'!$B$140,CT31+CS32-DB31)))</f>
        <v>244.11666666666659</v>
      </c>
      <c r="CU32" s="18">
        <f>CT32*VLOOKUP('Données projet'!$B$13,Paramètres!$A$1:$I$88,3,0)*VLOOKUP('Données projet'!$B$13,Paramètres!$A$1:$I$88,5,0)</f>
        <v>145.98176666666663</v>
      </c>
      <c r="CV32" s="14">
        <f t="shared" si="41"/>
        <v>37.663989598715098</v>
      </c>
      <c r="CW32" s="22">
        <f t="shared" si="13"/>
        <v>319.84969216220651</v>
      </c>
      <c r="CX32" s="62">
        <f t="shared" si="14"/>
        <v>556.7775894849824</v>
      </c>
      <c r="CY32" s="62">
        <f ca="1">AVERAGE(OFFSET($CX$3,0,0,'Données projet'!$E$13+1,1))-AVERAGE(OFFSET($H$3,0,0,'Données projet'!$E$13+1,1))</f>
        <v>401.1031790385295</v>
      </c>
      <c r="CZ32" s="62">
        <f t="shared" si="42"/>
        <v>402.09589424130615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projet'!$B$13,Paramètres!$A$1:$I$88,3,0)*0.475*44/12</f>
        <v>9.0956015930306773</v>
      </c>
      <c r="DG32" s="23">
        <f>EXP(-LN(2)/25)*DG31+(1-EXP(-LN(2)/25))/(LN(2)/25)*Calculateur!DB32*Calculateur!DD32*VLOOKUP('Données projet'!$B$13,Paramètres!$A$1:$I$88,3,0)*0.475*44/12</f>
        <v>0</v>
      </c>
      <c r="DH32" s="23">
        <f>EXP(-LN(2)/2)*DH31+(1-EXP(-LN(2)/2))/(LN(2)/2)*DB32*DE32*VLOOKUP('Données projet'!$B$13,Paramètres!$A$1:$I$88,3,0)*0.475*44/12</f>
        <v>13.540500654598649</v>
      </c>
      <c r="DI32" s="24">
        <f t="shared" si="15"/>
        <v>22.636102247629324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34.799999999999997</v>
      </c>
      <c r="DO32" s="13">
        <f>IF('Données projet'!$A$166&gt;35,DO31+DN32-DW31,IF(A32&lt;'Données projet'!$A$166,$DL$205^A32,IF(A32='Données projet'!$A$166,'Données projet'!$B$166,DO31+DN32-DW31)))</f>
        <v>296.20000000000005</v>
      </c>
      <c r="DP32" s="18">
        <f>DO32*VLOOKUP('Données projet'!$B$14,Paramètres!$A$1:$I$88,3,0)*VLOOKUP('Données projet'!$B$14,Paramètres!$A$1:$I$88,5,0)</f>
        <v>119.36860000000003</v>
      </c>
      <c r="DQ32" s="14">
        <f t="shared" si="43"/>
        <v>31.527690427931041</v>
      </c>
      <c r="DR32" s="22">
        <f t="shared" si="16"/>
        <v>262.81103916197998</v>
      </c>
      <c r="DS32" s="62">
        <f t="shared" si="17"/>
        <v>499.73893648475581</v>
      </c>
      <c r="DT32" s="62">
        <f ca="1">AVERAGE(OFFSET($DS$3,0,0,'Données projet'!$E$14+1,1))-AVERAGE(OFFSET($H$3,0,0,'Données projet'!$E$14+1,1))</f>
        <v>432.59662347701629</v>
      </c>
      <c r="DU32" s="62">
        <f t="shared" si="44"/>
        <v>348.67401091099748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projet'!$B$14,Paramètres!$A$1:$I$88,3,0)*0.475*44/12</f>
        <v>0</v>
      </c>
      <c r="EB32" s="23">
        <f>EXP(-LN(2)/25)*EB31+(1-EXP(-LN(2)/25))/(LN(2)/25)*Calculateur!DW32*Calculateur!DY32*VLOOKUP('Données projet'!$B$14,Paramètres!$A$1:$I$88,3,0)*0.475*44/12</f>
        <v>38.449241048510231</v>
      </c>
      <c r="EC32" s="23">
        <f>EXP(-LN(2)/2)*EC31+(1-EXP(-LN(2)/2))/(LN(2)/2)*DW32*DZ32*VLOOKUP('Données projet'!$B$14,Paramètres!$A$1:$I$88,3,0)*0.475*44/12</f>
        <v>0</v>
      </c>
      <c r="ED32" s="24">
        <f t="shared" si="18"/>
        <v>38.449241048510231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46.2</v>
      </c>
      <c r="EJ32" s="13">
        <f>IF('Données projet'!$A$192&gt;35,EJ31+EI32-ER31,IF(A32&lt;'Données projet'!$A$192,$EG$205^A32,IF(A32='Données projet'!$A$192,'Données projet'!$B$192,EJ31+EI32-ER31)))</f>
        <v>346.79999999999995</v>
      </c>
      <c r="EK32" s="18">
        <f>EJ32*VLOOKUP('Données projet'!$B$15,Paramètres!$A$1:$I$88,3,0)*VLOOKUP('Données projet'!$B$15,Paramètres!$A$1:$I$88,5,0)</f>
        <v>153.28559999999999</v>
      </c>
      <c r="EL32" s="14">
        <f t="shared" si="45"/>
        <v>39.324305823537777</v>
      </c>
      <c r="EM32" s="22">
        <f t="shared" si="19"/>
        <v>335.46225264266161</v>
      </c>
      <c r="EN32" s="62">
        <f t="shared" si="20"/>
        <v>572.39014996543744</v>
      </c>
      <c r="EO32" s="62">
        <f ca="1">AVERAGE(OFFSET($EN$3,0,0,'Données projet'!$E$15+1,1))-AVERAGE(OFFSET($H$3,0,0,'Données projet'!$E$15+1,1))</f>
        <v>582.26951914082088</v>
      </c>
      <c r="EP32" s="62">
        <f t="shared" si="46"/>
        <v>434.80429932654715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projet'!$B$15,Paramètres!$A$1:$I$88,3,0)*0.475*44/12</f>
        <v>7.8205841774345615</v>
      </c>
      <c r="EW32" s="23">
        <f>EXP(-LN(2)/25)*EW31+(1-EXP(-LN(2)/25))/(LN(2)/25)*Calculateur!ER32*Calculateur!ET32*VLOOKUP('Données projet'!$B$15,Paramètres!$A$1:$I$88,3,0)*0.475*44/12</f>
        <v>51.752544766916323</v>
      </c>
      <c r="EX32" s="23">
        <f>EXP(-LN(2)/2)*EX31+(1-EXP(-LN(2)/2))/(LN(2)/2)*ER32*EU32*VLOOKUP('Données projet'!$B$15,Paramètres!$A$1:$I$88,3,0)*0.475*44/12</f>
        <v>0</v>
      </c>
      <c r="EY32" s="24">
        <f t="shared" si="21"/>
        <v>59.573128944350884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9.3000000000000007</v>
      </c>
      <c r="FE32" s="13">
        <f>IF('Données projet'!$A$218&gt;35,FE31+FD32-FM31,IF(A32&lt;'Données projet'!$A$218,$FB$205^A32,IF(A32='Données projet'!$A$218,'Données projet'!$B$218,FE31+FD32-FM31)))</f>
        <v>111.69999999999997</v>
      </c>
      <c r="FF32" s="18">
        <f>FE32*VLOOKUP('Données projet'!$B$16,Paramètres!$A$1:$I$88,3,0)*VLOOKUP('Données projet'!$B$16,Paramètres!$A$1:$I$88,5,0)</f>
        <v>52.27559999999999</v>
      </c>
      <c r="FG32" s="14">
        <f t="shared" si="47"/>
        <v>15.199912378332435</v>
      </c>
      <c r="FH32" s="22">
        <f t="shared" si="22"/>
        <v>117.51985072559563</v>
      </c>
      <c r="FI32" s="62">
        <f t="shared" si="23"/>
        <v>354.44774804837147</v>
      </c>
      <c r="FJ32" s="62">
        <f ca="1">AVERAGE(OFFSET($FI$3,0,0,'Données projet'!$E$16+1,1))-AVERAGE(OFFSET($H$3,0,0,'Données projet'!$E$16+1,1))</f>
        <v>429.87867712133851</v>
      </c>
      <c r="FK32" s="62">
        <f t="shared" si="48"/>
        <v>182.81277865988014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projet'!$B$16,Paramètres!$A$1:$I$88,3,0)*0.475*44/12</f>
        <v>0</v>
      </c>
      <c r="FR32" s="23">
        <f>EXP(-LN(2)/25)*FR31+(1-EXP(-LN(2)/25))/(LN(2)/25)*Calculateur!FM32*Calculateur!FO32*VLOOKUP('Données projet'!$B$16,Paramètres!$A$1:$I$88,3,0)*0.475*44/12</f>
        <v>0</v>
      </c>
      <c r="FS32" s="23">
        <f>EXP(-LN(2)/2)*FS31+(1-EXP(-LN(2)/2))/(LN(2)/2)*FM32*FP32*VLOOKUP('Données projet'!$B$16,Paramètres!$A$1:$I$88,3,0)*0.475*44/12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14</v>
      </c>
      <c r="FZ32" s="13">
        <f>IF('Données projet'!$A$244&gt;35,FZ31+FY32-GH31,IF(A32&lt;'Données projet'!$A$244,$FW$205^A32,IF(A32='Données projet'!$A$244,'Données projet'!$B$244,FZ31+FY32-GH31)))</f>
        <v>187.99999999999994</v>
      </c>
      <c r="GA32" s="18">
        <f>FZ32*VLOOKUP('Données projet'!$B$17,Paramètres!$A$1:$I$88,3,0)*VLOOKUP('Données projet'!$B$17,Paramètres!$A$1:$I$88,5,0)</f>
        <v>90.427999999999969</v>
      </c>
      <c r="GB32" s="14">
        <f t="shared" si="49"/>
        <v>24.66841976866883</v>
      </c>
      <c r="GC32" s="22">
        <f t="shared" si="25"/>
        <v>200.4595977637648</v>
      </c>
      <c r="GD32" s="62">
        <f t="shared" si="26"/>
        <v>437.38749508654064</v>
      </c>
      <c r="GE32" s="62">
        <f ca="1">AVERAGE(OFFSET($GD$3,0,0,'Données projet'!$E$17+1,1))-AVERAGE(OFFSET($H$3,0,0,'Données projet'!$E$17+1,1))</f>
        <v>273.24375559399846</v>
      </c>
      <c r="GF32" s="62">
        <f t="shared" si="50"/>
        <v>270.77718895097848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projet'!$B$17,Paramètres!$A$1:$I$88,3,0)*0.475*44/12</f>
        <v>3.5015186972580952</v>
      </c>
      <c r="GM32" s="23">
        <f>EXP(-LN(2)/25)*GM31+(1-EXP(-LN(2)/25))/(LN(2)/25)*Calculateur!GH32*Calculateur!GJ32*VLOOKUP('Données projet'!$B$17,Paramètres!$A$1:$I$88,3,0)*0.475*44/12</f>
        <v>15.729106548675935</v>
      </c>
      <c r="GN32" s="23">
        <f>EXP(-LN(2)/2)*GN31+(1-EXP(-LN(2)/2))/(LN(2)/2)*GH32*GK32*VLOOKUP('Données projet'!$B$17,Paramètres!$A$1:$I$88,3,0)*0.475*44/12</f>
        <v>0</v>
      </c>
      <c r="GO32" s="23">
        <f t="shared" si="27"/>
        <v>19.230625245934029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19.857142857142858</v>
      </c>
      <c r="N33" s="14">
        <f>IF('Données projet'!$A$36&gt;35,N32+M33-V32,IF(A33&lt;'Données projet'!$A$36,$K$205^A33,IF(A33='Données projet'!$A$36,'Données projet'!$B$36,N32+M33-V32)))</f>
        <v>255.71428571428569</v>
      </c>
      <c r="O33" s="14">
        <f>N33*VLOOKUP('Données projet'!$B$9,Paramètres!$A$1:$I$88,3,0)*VLOOKUP('Données projet'!$B$9,Paramètres!$A$1:$I$88,5,0)</f>
        <v>142.94428571428571</v>
      </c>
      <c r="P33" s="14">
        <f t="shared" si="33"/>
        <v>36.970680828333286</v>
      </c>
      <c r="Q33" s="22">
        <f t="shared" si="2"/>
        <v>313.35190006172803</v>
      </c>
      <c r="R33" s="62">
        <f t="shared" si="0"/>
        <v>552.45932499476999</v>
      </c>
      <c r="S33" s="62">
        <f ca="1">AVERAGE(OFFSET($R$3,0,0,'Données projet'!$E$9+1,1))-AVERAGE(OFFSET($H$3,0,0,'Données projet'!$E$9+1,1))</f>
        <v>289.94242154211224</v>
      </c>
      <c r="T33" s="62">
        <f t="shared" si="34"/>
        <v>369.12599166143661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7.5266612181270265</v>
      </c>
      <c r="AA33" s="23">
        <f>EXP(-LN(2)/25)*AA32+(1-EXP(-LN(2)/25))/(LN(2)/25)*Calculateur!V33*Calculateur!X33*VLOOKUP('Données projet'!$B$9,Paramètres!$A$1:$I$88,3,0)*0.475*44/12</f>
        <v>17.218095409636678</v>
      </c>
      <c r="AB33" s="23">
        <f>EXP(-LN(2)/2)*AB32+(1-EXP(-LN(2)/2))/(LN(2)/2)*V33*Y33*VLOOKUP('Données projet'!$B$9,Paramètres!$A$1:$I$88,3,0)*0.475*44/12</f>
        <v>0</v>
      </c>
      <c r="AC33" s="24">
        <f t="shared" si="3"/>
        <v>24.744756627763707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2.875</v>
      </c>
      <c r="AI33" s="14">
        <f>IF('Données projet'!$A$62&gt;35,AI32+AH33-AQ32,IF(A33&lt;'Données projet'!$A$62,$AF$205^A33,IF(A33='Données projet'!$A$62,'Données projet'!$B$62,AI32+AH33-AQ32)))</f>
        <v>4.875</v>
      </c>
      <c r="AJ33" s="14">
        <f>AI33*VLOOKUP('Données projet'!$B$10,Paramètres!$A$1:$I$88,3,0)*VLOOKUP('Données projet'!$B$10,Paramètres!$A$1:$I$88,5,0)</f>
        <v>4.4108999999999998</v>
      </c>
      <c r="AK33" s="14">
        <f t="shared" si="35"/>
        <v>1.7102370450408269</v>
      </c>
      <c r="AL33" s="22">
        <f t="shared" si="4"/>
        <v>10.660980353446108</v>
      </c>
      <c r="AM33" s="62">
        <f t="shared" si="5"/>
        <v>249.7684052864881</v>
      </c>
      <c r="AN33" s="62">
        <f ca="1">AVERAGE(OFFSET($AM$3,0,0,'Données projet'!$E$10+1,1))-AVERAGE(OFFSET($H$3,0,0,'Données projet'!$E$10+1,1))</f>
        <v>518.31628039365785</v>
      </c>
      <c r="AO33" s="62">
        <f t="shared" si="36"/>
        <v>66.435071953154761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0</v>
      </c>
      <c r="AW33" s="23">
        <f>EXP(-LN(2)/2)*AW32+(1-EXP(-LN(2)/2))/(LN(2)/2)*AQ33*AT33*VLOOKUP('Données projet'!$B$10,Paramètres!$A$1:$I$88,3,0)*0.475*44/12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2.875</v>
      </c>
      <c r="BD33" s="13">
        <f>IF('Données projet'!$A$88&gt;35,BD32+BC33-BL32,IF(A33&lt;'Données projet'!$A$88,$BA$205^A33,IF(A33='Données projet'!$A$88,'Données projet'!$B$88,BD32+BC33-BL32)))</f>
        <v>4.875</v>
      </c>
      <c r="BE33" s="14">
        <f>BD33*VLOOKUP('Données projet'!$B$11,Paramètres!$A$1:$I$88,3,0)*VLOOKUP('Données projet'!$B$11,Paramètres!$A$1:$I$88,5,0)</f>
        <v>4.9432500000000008</v>
      </c>
      <c r="BF33" s="14">
        <f t="shared" si="37"/>
        <v>1.8913921236591889</v>
      </c>
      <c r="BG33" s="22">
        <f t="shared" si="7"/>
        <v>11.903668365373088</v>
      </c>
      <c r="BH33" s="62">
        <f t="shared" si="8"/>
        <v>251.01109329841506</v>
      </c>
      <c r="BI33" s="62">
        <f ca="1">AVERAGE(OFFSET($BH$3,0,0,'Données projet'!$E$11+1,1))-AVERAGE(OFFSET($H$3,0,0,'Données projet'!$E$11+1,1))</f>
        <v>570.2785736203931</v>
      </c>
      <c r="BJ33" s="62">
        <f t="shared" si="38"/>
        <v>67.677759965081719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0</v>
      </c>
      <c r="BR33" s="23">
        <f>EXP(-LN(2)/2)*BR32+(1-EXP(-LN(2)/2))/(LN(2)/2)*BL33*BO33*VLOOKUP('Données projet'!$B$11,Paramètres!$A$1:$I$88,3,0)*0.475*44/12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20.716666666666665</v>
      </c>
      <c r="BY33" s="13">
        <f>IF('Données projet'!$A$114&gt;35,BY32+BX33-CG32,IF(A33&lt;'Données projet'!$A$114,$BV$205^A33,IF(A33='Données projet'!$A$114,'Données projet'!$B$114,BY32+BX33-CG32)))</f>
        <v>264.83333333333326</v>
      </c>
      <c r="BZ33" s="14">
        <f>BY33*VLOOKUP('Données projet'!$B$12,Paramètres!$A$1:$I$88,3,0)*VLOOKUP('Données projet'!$B$12,Paramètres!$A$1:$I$88,5,0)</f>
        <v>158.37033333333332</v>
      </c>
      <c r="CA33" s="14">
        <f t="shared" si="39"/>
        <v>40.474720814952384</v>
      </c>
      <c r="CB33" s="22">
        <f t="shared" si="10"/>
        <v>346.32180264159757</v>
      </c>
      <c r="CC33" s="62">
        <f t="shared" si="11"/>
        <v>585.42922757463953</v>
      </c>
      <c r="CD33" s="62">
        <f ca="1">AVERAGE(OFFSET($CC$3,0,0,'Données projet'!$E$12+1,1))-AVERAGE(OFFSET($H$3,0,0,'Données projet'!$E$12+1,1))</f>
        <v>401.1031790385295</v>
      </c>
      <c r="CE33" s="62">
        <f t="shared" si="40"/>
        <v>402.09589424130615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projet'!$B$12,Paramètres!$A$1:$I$88,3,0)*0.475*44/12</f>
        <v>8.917242393560521</v>
      </c>
      <c r="CL33" s="23">
        <f>EXP(-LN(2)/25)*CL32+(1-EXP(-LN(2)/25))/(LN(2)/25)*Calculateur!CG33*Calculateur!CI33*VLOOKUP('Données projet'!$B$12,Paramètres!$A$1:$I$88,3,0)*0.475*44/12</f>
        <v>0</v>
      </c>
      <c r="CM33" s="23">
        <f>EXP(-LN(2)/2)*CM32+(1-EXP(-LN(2)/2))/(LN(2)/2)*CG33*CJ33*VLOOKUP('Données projet'!$B$12,Paramètres!$A$1:$I$88,3,0)*0.475*44/12</f>
        <v>9.5745798335275918</v>
      </c>
      <c r="CN33" s="24">
        <f t="shared" si="12"/>
        <v>18.491822227088115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20.716666666666665</v>
      </c>
      <c r="CT33" s="13">
        <f>IF('Données projet'!$A$140&gt;35,CT32+CS33-DB32,IF(A33&lt;'Données projet'!$A$140,$CQ$205^A33,IF(A33='Données projet'!$A$140,'Données projet'!$B$140,CT32+CS33-DB32)))</f>
        <v>264.83333333333326</v>
      </c>
      <c r="CU33" s="18">
        <f>CT33*VLOOKUP('Données projet'!$B$13,Paramètres!$A$1:$I$88,3,0)*VLOOKUP('Données projet'!$B$13,Paramètres!$A$1:$I$88,5,0)</f>
        <v>158.37033333333332</v>
      </c>
      <c r="CV33" s="14">
        <f t="shared" si="41"/>
        <v>40.474720814952384</v>
      </c>
      <c r="CW33" s="22">
        <f t="shared" si="13"/>
        <v>346.32180264159757</v>
      </c>
      <c r="CX33" s="62">
        <f t="shared" si="14"/>
        <v>585.42922757463953</v>
      </c>
      <c r="CY33" s="62">
        <f ca="1">AVERAGE(OFFSET($CX$3,0,0,'Données projet'!$E$13+1,1))-AVERAGE(OFFSET($H$3,0,0,'Données projet'!$E$13+1,1))</f>
        <v>401.1031790385295</v>
      </c>
      <c r="CZ33" s="62">
        <f t="shared" si="42"/>
        <v>402.09589424130615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projet'!$B$13,Paramètres!$A$1:$I$88,3,0)*0.475*44/12</f>
        <v>8.917242393560521</v>
      </c>
      <c r="DG33" s="23">
        <f>EXP(-LN(2)/25)*DG32+(1-EXP(-LN(2)/25))/(LN(2)/25)*Calculateur!DB33*Calculateur!DD33*VLOOKUP('Données projet'!$B$13,Paramètres!$A$1:$I$88,3,0)*0.475*44/12</f>
        <v>0</v>
      </c>
      <c r="DH33" s="23">
        <f>EXP(-LN(2)/2)*DH32+(1-EXP(-LN(2)/2))/(LN(2)/2)*DB33*DE33*VLOOKUP('Données projet'!$B$13,Paramètres!$A$1:$I$88,3,0)*0.475*44/12</f>
        <v>9.5745798335275918</v>
      </c>
      <c r="DI33" s="24">
        <f t="shared" si="15"/>
        <v>18.491822227088115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331</v>
      </c>
      <c r="DM33" s="13">
        <f>VLOOKUP(A33,'Données projet'!$A$165:$I$185,9,0)</f>
        <v>34.799999999999997</v>
      </c>
      <c r="DN33" s="13">
        <f t="array" ref="DN33">INDEX(DM:DM,MIN(IF(ISNUMBER(DM33:DM229),ROW(DM33:DM229),"")))</f>
        <v>34.799999999999997</v>
      </c>
      <c r="DO33" s="13">
        <f>IF('Données projet'!$A$166&gt;35,DO32+DN33-DW32,IF(A33&lt;'Données projet'!$A$166,$DL$205^A33,IF(A33='Données projet'!$A$166,'Données projet'!$B$166,DO32+DN33-DW32)))</f>
        <v>331.00000000000006</v>
      </c>
      <c r="DP33" s="18">
        <f>DO33*VLOOKUP('Données projet'!$B$14,Paramètres!$A$1:$I$88,3,0)*VLOOKUP('Données projet'!$B$14,Paramètres!$A$1:$I$88,5,0)</f>
        <v>133.39300000000003</v>
      </c>
      <c r="DQ33" s="14">
        <f t="shared" si="43"/>
        <v>34.779202475381169</v>
      </c>
      <c r="DR33" s="22">
        <f t="shared" si="16"/>
        <v>292.8999193112889</v>
      </c>
      <c r="DS33" s="62">
        <f t="shared" si="17"/>
        <v>532.00734424433085</v>
      </c>
      <c r="DT33" s="62">
        <f ca="1">AVERAGE(OFFSET($DS$3,0,0,'Données projet'!$E$14+1,1))-AVERAGE(OFFSET($H$3,0,0,'Données projet'!$E$14+1,1))</f>
        <v>432.59662347701629</v>
      </c>
      <c r="DU33" s="62">
        <f t="shared" si="44"/>
        <v>348.67401091099748</v>
      </c>
      <c r="DV33" s="16">
        <f>IF(ISNA(VLOOKUP(A33,'Données projet'!$A$165:$I$185,3,0)),0,VLOOKUP(A33,'Données projet'!$A$165:$I$185,3,0))</f>
        <v>3</v>
      </c>
      <c r="DW33" s="16">
        <f>IF(ISNA(VLOOKUP(A33,'Données projet'!$A$165:$I$185,4,0)),0,VLOOKUP(A33,'Données projet'!$A$165:$I$185,4,0))</f>
        <v>84</v>
      </c>
      <c r="DX33" s="17">
        <f>IF(ISNA(VLOOKUP(A33,'Données projet'!$A$165:$I$185,5,0)),0%,VLOOKUP(A33,'Données projet'!$A$165:$I$185,5,0)*VLOOKUP('Données projet'!$B$14,Paramètres!$A$1:$I$88,7,0))</f>
        <v>0.13750000000000001</v>
      </c>
      <c r="DY33" s="17">
        <f>IF(ISNA(VLOOKUP(A33,'Données projet'!$A$165:$I$185,6,0)),0%,VLOOKUP(A33,'Données projet'!$A$165:$I$185,6,0)*VLOOKUP('Données projet'!$B$14,Paramètres!$A$1:$I$88,7,0))</f>
        <v>0.41250000000000003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projet'!$B$14,Paramètres!$A$1:$I$88,3,0)*0.475*44/12</f>
        <v>6.1746932425116547</v>
      </c>
      <c r="EB33" s="23">
        <f>EXP(-LN(2)/25)*EB32+(1-EXP(-LN(2)/25))/(LN(2)/25)*Calculateur!DW33*Calculateur!DY33*VLOOKUP('Données projet'!$B$14,Paramètres!$A$1:$I$88,3,0)*0.475*44/12</f>
        <v>55.848987897500947</v>
      </c>
      <c r="EC33" s="23">
        <f>EXP(-LN(2)/2)*EC32+(1-EXP(-LN(2)/2))/(LN(2)/2)*DW33*DZ33*VLOOKUP('Données projet'!$B$14,Paramètres!$A$1:$I$88,3,0)*0.475*44/12</f>
        <v>0</v>
      </c>
      <c r="ED33" s="24">
        <f t="shared" si="18"/>
        <v>62.023681140012599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393</v>
      </c>
      <c r="EH33" s="13">
        <f>VLOOKUP(A33,'Données projet'!$A$191:$I$211,9,0)</f>
        <v>46.2</v>
      </c>
      <c r="EI33" s="13">
        <f t="array" ref="EI33">INDEX(EH:EH,MIN(IF(ISNUMBER(EH33:EH229),ROW(EH33:EH229),"")))</f>
        <v>46.2</v>
      </c>
      <c r="EJ33" s="13">
        <f>IF('Données projet'!$A$192&gt;35,EJ32+EI33-ER32,IF(A33&lt;'Données projet'!$A$192,$EG$205^A33,IF(A33='Données projet'!$A$192,'Données projet'!$B$192,EJ32+EI33-ER32)))</f>
        <v>392.99999999999994</v>
      </c>
      <c r="EK33" s="18">
        <f>EJ33*VLOOKUP('Données projet'!$B$15,Paramètres!$A$1:$I$88,3,0)*VLOOKUP('Données projet'!$B$15,Paramètres!$A$1:$I$88,5,0)</f>
        <v>173.70599999999999</v>
      </c>
      <c r="EL33" s="14">
        <f t="shared" si="45"/>
        <v>43.918999651773355</v>
      </c>
      <c r="EM33" s="22">
        <f t="shared" si="19"/>
        <v>379.03020772683857</v>
      </c>
      <c r="EN33" s="62">
        <f t="shared" si="20"/>
        <v>618.13763265988052</v>
      </c>
      <c r="EO33" s="62">
        <f ca="1">AVERAGE(OFFSET($EN$3,0,0,'Données projet'!$E$15+1,1))-AVERAGE(OFFSET($H$3,0,0,'Données projet'!$E$15+1,1))</f>
        <v>582.26951914082088</v>
      </c>
      <c r="EP33" s="62">
        <f t="shared" si="46"/>
        <v>434.80429932654715</v>
      </c>
      <c r="EQ33" s="16">
        <f>IF(ISNA(VLOOKUP(A33,'Données projet'!$A$191:$I$211,3,0)),0,VLOOKUP(A33,'Données projet'!$A$191:$I$211,3,0))</f>
        <v>4</v>
      </c>
      <c r="ER33" s="16">
        <f>IF(ISNA(VLOOKUP(A33,'Données projet'!$A$191:$I$211,4,0)),0,VLOOKUP(A33,'Données projet'!$A$191:$I$211,4,0))</f>
        <v>105</v>
      </c>
      <c r="ES33" s="17">
        <f>IF(ISNA(VLOOKUP(A33,'Données projet'!$A$191:$I$211,5,0)),0%,VLOOKUP(A33,'Données projet'!$A$191:$I$211,5,0)*VLOOKUP('Données projet'!$B$15,Paramètres!$A$1:$I$88,7,0))</f>
        <v>0.13750000000000001</v>
      </c>
      <c r="ET33" s="17">
        <f>IF(ISNA(VLOOKUP(A33,'Données projet'!$A$191:$I$211,6,0)),0%,VLOOKUP(A33,'Données projet'!$A$191:$I$211,6,0)*VLOOKUP('Données projet'!$B$15,Paramètres!$A$1:$I$88,7,0))</f>
        <v>0.41250000000000003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projet'!$B$15,Paramètres!$A$1:$I$88,3,0)*0.475*44/12</f>
        <v>16.132532543630909</v>
      </c>
      <c r="EW33" s="23">
        <f>EXP(-LN(2)/25)*EW32+(1-EXP(-LN(2)/25))/(LN(2)/25)*Calculateur!ER33*Calculateur!ET33*VLOOKUP('Données projet'!$B$15,Paramètres!$A$1:$I$88,3,0)*0.475*44/12</f>
        <v>75.633291067276545</v>
      </c>
      <c r="EX33" s="23">
        <f>EXP(-LN(2)/2)*EX32+(1-EXP(-LN(2)/2))/(LN(2)/2)*ER33*EU33*VLOOKUP('Données projet'!$B$15,Paramètres!$A$1:$I$88,3,0)*0.475*44/12</f>
        <v>0</v>
      </c>
      <c r="EY33" s="24">
        <f t="shared" si="21"/>
        <v>91.765823610907461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121</v>
      </c>
      <c r="FC33" s="13">
        <f>VLOOKUP(A33,'Données projet'!$A$217:$I$237,9,0)</f>
        <v>9.3000000000000007</v>
      </c>
      <c r="FD33" s="13">
        <f t="array" ref="FD33">INDEX(FC:FC,MIN(IF(ISNUMBER(FC33:FC229),ROW(FC33:FC229),"")))</f>
        <v>9.3000000000000007</v>
      </c>
      <c r="FE33" s="13">
        <f>IF('Données projet'!$A$218&gt;35,FE32+FD33-FM32,IF(A33&lt;'Données projet'!$A$218,$FB$205^A33,IF(A33='Données projet'!$A$218,'Données projet'!$B$218,FE32+FD33-FM32)))</f>
        <v>120.99999999999997</v>
      </c>
      <c r="FF33" s="18">
        <f>FE33*VLOOKUP('Données projet'!$B$16,Paramètres!$A$1:$I$88,3,0)*VLOOKUP('Données projet'!$B$16,Paramètres!$A$1:$I$88,5,0)</f>
        <v>56.627999999999986</v>
      </c>
      <c r="FG33" s="14">
        <f t="shared" si="47"/>
        <v>16.312872953208519</v>
      </c>
      <c r="FH33" s="22">
        <f t="shared" si="22"/>
        <v>127.03868706017147</v>
      </c>
      <c r="FI33" s="62">
        <f t="shared" si="23"/>
        <v>366.14611199321348</v>
      </c>
      <c r="FJ33" s="62">
        <f ca="1">AVERAGE(OFFSET($FI$3,0,0,'Données projet'!$E$16+1,1))-AVERAGE(OFFSET($H$3,0,0,'Données projet'!$E$16+1,1))</f>
        <v>429.87867712133851</v>
      </c>
      <c r="FK33" s="62">
        <f t="shared" si="48"/>
        <v>182.81277865988014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projet'!$B$16,Paramètres!$A$1:$I$88,3,0)*0.475*44/12</f>
        <v>0</v>
      </c>
      <c r="FR33" s="23">
        <f>EXP(-LN(2)/25)*FR32+(1-EXP(-LN(2)/25))/(LN(2)/25)*Calculateur!FM33*Calculateur!FO33*VLOOKUP('Données projet'!$B$16,Paramètres!$A$1:$I$88,3,0)*0.475*44/12</f>
        <v>0</v>
      </c>
      <c r="FS33" s="23">
        <f>EXP(-LN(2)/2)*FS32+(1-EXP(-LN(2)/2))/(LN(2)/2)*FM33*FP33*VLOOKUP('Données projet'!$B$16,Paramètres!$A$1:$I$88,3,0)*0.475*44/12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202</v>
      </c>
      <c r="FX33" s="13">
        <f>VLOOKUP(A33,'Données projet'!$A$243:$I$263,9,0)</f>
        <v>14</v>
      </c>
      <c r="FY33" s="13">
        <f t="array" ref="FY33">INDEX(FX:FX,MIN(IF(ISNUMBER(FX33:FX229),ROW(FX33:FX229),"")))</f>
        <v>14</v>
      </c>
      <c r="FZ33" s="13">
        <f>IF('Données projet'!$A$244&gt;35,FZ32+FY33-GH32,IF(A33&lt;'Données projet'!$A$244,$FW$205^A33,IF(A33='Données projet'!$A$244,'Données projet'!$B$244,FZ32+FY33-GH32)))</f>
        <v>201.99999999999994</v>
      </c>
      <c r="GA33" s="18">
        <f>FZ33*VLOOKUP('Données projet'!$B$17,Paramètres!$A$1:$I$88,3,0)*VLOOKUP('Données projet'!$B$17,Paramètres!$A$1:$I$88,5,0)</f>
        <v>97.161999999999978</v>
      </c>
      <c r="GB33" s="14">
        <f t="shared" si="49"/>
        <v>26.284754460059258</v>
      </c>
      <c r="GC33" s="22">
        <f t="shared" si="25"/>
        <v>215.00309735126984</v>
      </c>
      <c r="GD33" s="62">
        <f t="shared" si="26"/>
        <v>454.11052228431186</v>
      </c>
      <c r="GE33" s="62">
        <f ca="1">AVERAGE(OFFSET($GD$3,0,0,'Données projet'!$E$17+1,1))-AVERAGE(OFFSET($H$3,0,0,'Données projet'!$E$17+1,1))</f>
        <v>273.24375559399846</v>
      </c>
      <c r="GF33" s="62">
        <f t="shared" si="50"/>
        <v>270.77718895097848</v>
      </c>
      <c r="GG33" s="16">
        <f>IF(ISNA(VLOOKUP(A33,'Données projet'!$A$243:$I$263,3,0)),0,VLOOKUP(A33,'Données projet'!$A$243:$I$263,3,0))</f>
        <v>4</v>
      </c>
      <c r="GH33" s="16">
        <f>IF(ISNA(VLOOKUP(A33,'Données projet'!$A$243:$I$263,4,0)),0,VLOOKUP(A33,'Données projet'!$A$243:$I$263,4,0))</f>
        <v>54</v>
      </c>
      <c r="GI33" s="17">
        <f>IF(ISNA(VLOOKUP(A33,'Données projet'!$A$243:$I$263,5,0)),0%,VLOOKUP(A33,'Données projet'!$A$243:$I$263,5,0)*VLOOKUP('Données projet'!$B$17,Paramètres!$A$1:$I$88,7,0))</f>
        <v>0.16500000000000001</v>
      </c>
      <c r="GJ33" s="17">
        <f>IF(ISNA(VLOOKUP(A33,'Données projet'!$A$243:$I$263,6,0)),0%,VLOOKUP(A33,'Données projet'!$A$243:$I$263,6,0)*VLOOKUP('Données projet'!$B$17,Paramètres!$A$1:$I$88,7,0))</f>
        <v>0.38500000000000001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projet'!$B$17,Paramètres!$A$1:$I$88,3,0)*0.475*44/12</f>
        <v>9.1181266036421764</v>
      </c>
      <c r="GM33" s="23">
        <f>EXP(-LN(2)/25)*GM32+(1-EXP(-LN(2)/25))/(LN(2)/25)*Calculateur!GH33*Calculateur!GJ33*VLOOKUP('Données projet'!$B$17,Paramètres!$A$1:$I$88,3,0)*0.475*44/12</f>
        <v>28.512392746709867</v>
      </c>
      <c r="GN33" s="23">
        <f>EXP(-LN(2)/2)*GN32+(1-EXP(-LN(2)/2))/(LN(2)/2)*GH33*GK33*VLOOKUP('Données projet'!$B$17,Paramètres!$A$1:$I$88,3,0)*0.475*44/12</f>
        <v>0</v>
      </c>
      <c r="GO33" s="23">
        <f t="shared" si="27"/>
        <v>37.630519350352046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19.857142857142858</v>
      </c>
      <c r="N34" s="14">
        <f>IF('Données projet'!$A$36&gt;35,N33+M34-V33,IF(A34&lt;'Données projet'!$A$36,$K$205^A34,IF(A34='Données projet'!$A$36,'Données projet'!$B$36,N33+M34-V33)))</f>
        <v>275.57142857142856</v>
      </c>
      <c r="O34" s="14">
        <f>N34*VLOOKUP('Données projet'!$B$9,Paramètres!$A$1:$I$88,3,0)*VLOOKUP('Données projet'!$B$9,Paramètres!$A$1:$I$88,5,0)</f>
        <v>154.04442857142857</v>
      </c>
      <c r="P34" s="14">
        <f t="shared" si="33"/>
        <v>39.496268491280283</v>
      </c>
      <c r="Q34" s="22">
        <f t="shared" si="2"/>
        <v>337.08338071755128</v>
      </c>
      <c r="R34" s="62">
        <f t="shared" si="0"/>
        <v>577.13150393036881</v>
      </c>
      <c r="S34" s="62">
        <f ca="1">AVERAGE(OFFSET($R$3,0,0,'Données projet'!$E$9+1,1))-AVERAGE(OFFSET($H$3,0,0,'Données projet'!$E$9+1,1))</f>
        <v>289.94242154211224</v>
      </c>
      <c r="T34" s="62">
        <f t="shared" si="34"/>
        <v>369.12599166143661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7.3790679824495937</v>
      </c>
      <c r="AA34" s="23">
        <f>EXP(-LN(2)/25)*AA33+(1-EXP(-LN(2)/25))/(LN(2)/25)*Calculateur!V34*Calculateur!X34*VLOOKUP('Données projet'!$B$9,Paramètres!$A$1:$I$88,3,0)*0.475*44/12</f>
        <v>16.747265685199878</v>
      </c>
      <c r="AB34" s="23">
        <f>EXP(-LN(2)/2)*AB33+(1-EXP(-LN(2)/2))/(LN(2)/2)*V34*Y34*VLOOKUP('Données projet'!$B$9,Paramètres!$A$1:$I$88,3,0)*0.475*44/12</f>
        <v>0</v>
      </c>
      <c r="AC34" s="24">
        <f t="shared" si="3"/>
        <v>24.126333667649472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2.875</v>
      </c>
      <c r="AI34" s="14">
        <f>IF('Données projet'!$A$62&gt;35,AI33+AH34-AQ33,IF(A34&lt;'Données projet'!$A$62,$AF$205^A34,IF(A34='Données projet'!$A$62,'Données projet'!$B$62,AI33+AH34-AQ33)))</f>
        <v>7.75</v>
      </c>
      <c r="AJ34" s="14">
        <f>AI34*VLOOKUP('Données projet'!$B$10,Paramètres!$A$1:$I$88,3,0)*VLOOKUP('Données projet'!$B$10,Paramètres!$A$1:$I$88,5,0)</f>
        <v>7.0122</v>
      </c>
      <c r="AK34" s="14">
        <f t="shared" si="35"/>
        <v>2.5760181546861709</v>
      </c>
      <c r="AL34" s="22">
        <f t="shared" si="4"/>
        <v>16.699479952745079</v>
      </c>
      <c r="AM34" s="62">
        <f t="shared" si="5"/>
        <v>256.74760316556262</v>
      </c>
      <c r="AN34" s="62">
        <f ca="1">AVERAGE(OFFSET($AM$3,0,0,'Données projet'!$E$10+1,1))-AVERAGE(OFFSET($H$3,0,0,'Données projet'!$E$10+1,1))</f>
        <v>518.31628039365785</v>
      </c>
      <c r="AO34" s="62">
        <f t="shared" si="36"/>
        <v>66.435071953154761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0</v>
      </c>
      <c r="AW34" s="23">
        <f>EXP(-LN(2)/2)*AW33+(1-EXP(-LN(2)/2))/(LN(2)/2)*AQ34*AT34*VLOOKUP('Données projet'!$B$10,Paramètres!$A$1:$I$88,3,0)*0.475*44/12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2.875</v>
      </c>
      <c r="BD34" s="13">
        <f>IF('Données projet'!$A$88&gt;35,BD33+BC34-BL33,IF(A34&lt;'Données projet'!$A$88,$BA$205^A34,IF(A34='Données projet'!$A$88,'Données projet'!$B$88,BD33+BC34-BL33)))</f>
        <v>7.75</v>
      </c>
      <c r="BE34" s="14">
        <f>BD34*VLOOKUP('Données projet'!$B$11,Paramètres!$A$1:$I$88,3,0)*VLOOKUP('Données projet'!$B$11,Paramètres!$A$1:$I$88,5,0)</f>
        <v>7.8585000000000012</v>
      </c>
      <c r="BF34" s="14">
        <f t="shared" si="37"/>
        <v>2.8488801960550383</v>
      </c>
      <c r="BG34" s="22">
        <f t="shared" si="7"/>
        <v>18.64868717479586</v>
      </c>
      <c r="BH34" s="62">
        <f t="shared" si="8"/>
        <v>258.69681038761343</v>
      </c>
      <c r="BI34" s="62">
        <f ca="1">AVERAGE(OFFSET($BH$3,0,0,'Données projet'!$E$11+1,1))-AVERAGE(OFFSET($H$3,0,0,'Données projet'!$E$11+1,1))</f>
        <v>570.2785736203931</v>
      </c>
      <c r="BJ34" s="62">
        <f t="shared" si="38"/>
        <v>67.677759965081719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0</v>
      </c>
      <c r="BR34" s="23">
        <f>EXP(-LN(2)/2)*BR33+(1-EXP(-LN(2)/2))/(LN(2)/2)*BL34*BO34*VLOOKUP('Données projet'!$B$11,Paramètres!$A$1:$I$88,3,0)*0.475*44/12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20.716666666666665</v>
      </c>
      <c r="BY34" s="13">
        <f>IF('Données projet'!$A$114&gt;35,BY33+BX34-CG33,IF(A34&lt;'Données projet'!$A$114,$BV$205^A34,IF(A34='Données projet'!$A$114,'Données projet'!$B$114,BY33+BX34-CG33)))</f>
        <v>285.5499999999999</v>
      </c>
      <c r="BZ34" s="14">
        <f>BY34*VLOOKUP('Données projet'!$B$12,Paramètres!$A$1:$I$88,3,0)*VLOOKUP('Données projet'!$B$12,Paramètres!$A$1:$I$88,5,0)</f>
        <v>170.75889999999995</v>
      </c>
      <c r="CA34" s="14">
        <f t="shared" si="39"/>
        <v>43.259947853441773</v>
      </c>
      <c r="CB34" s="22">
        <f t="shared" si="10"/>
        <v>372.74949334474439</v>
      </c>
      <c r="CC34" s="62">
        <f t="shared" si="11"/>
        <v>612.79761655756192</v>
      </c>
      <c r="CD34" s="62">
        <f ca="1">AVERAGE(OFFSET($CC$3,0,0,'Données projet'!$E$12+1,1))-AVERAGE(OFFSET($H$3,0,0,'Données projet'!$E$12+1,1))</f>
        <v>401.1031790385295</v>
      </c>
      <c r="CE34" s="62">
        <f t="shared" si="40"/>
        <v>402.09589424130615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projet'!$B$12,Paramètres!$A$1:$I$88,3,0)*0.475*44/12</f>
        <v>8.742380709203605</v>
      </c>
      <c r="CL34" s="23">
        <f>EXP(-LN(2)/25)*CL33+(1-EXP(-LN(2)/25))/(LN(2)/25)*Calculateur!CG34*Calculateur!CI34*VLOOKUP('Données projet'!$B$12,Paramètres!$A$1:$I$88,3,0)*0.475*44/12</f>
        <v>0</v>
      </c>
      <c r="CM34" s="23">
        <f>EXP(-LN(2)/2)*CM33+(1-EXP(-LN(2)/2))/(LN(2)/2)*CG34*CJ34*VLOOKUP('Données projet'!$B$12,Paramètres!$A$1:$I$88,3,0)*0.475*44/12</f>
        <v>6.7702503272993262</v>
      </c>
      <c r="CN34" s="24">
        <f t="shared" si="12"/>
        <v>15.512631036502931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20.716666666666665</v>
      </c>
      <c r="CT34" s="13">
        <f>IF('Données projet'!$A$140&gt;35,CT33+CS34-DB33,IF(A34&lt;'Données projet'!$A$140,$CQ$205^A34,IF(A34='Données projet'!$A$140,'Données projet'!$B$140,CT33+CS34-DB33)))</f>
        <v>285.5499999999999</v>
      </c>
      <c r="CU34" s="18">
        <f>CT34*VLOOKUP('Données projet'!$B$13,Paramètres!$A$1:$I$88,3,0)*VLOOKUP('Données projet'!$B$13,Paramètres!$A$1:$I$88,5,0)</f>
        <v>170.75889999999995</v>
      </c>
      <c r="CV34" s="14">
        <f t="shared" si="41"/>
        <v>43.259947853441773</v>
      </c>
      <c r="CW34" s="22">
        <f t="shared" si="13"/>
        <v>372.74949334474439</v>
      </c>
      <c r="CX34" s="62">
        <f t="shared" si="14"/>
        <v>612.79761655756192</v>
      </c>
      <c r="CY34" s="62">
        <f ca="1">AVERAGE(OFFSET($CX$3,0,0,'Données projet'!$E$13+1,1))-AVERAGE(OFFSET($H$3,0,0,'Données projet'!$E$13+1,1))</f>
        <v>401.1031790385295</v>
      </c>
      <c r="CZ34" s="62">
        <f t="shared" si="42"/>
        <v>402.09589424130615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projet'!$B$13,Paramètres!$A$1:$I$88,3,0)*0.475*44/12</f>
        <v>8.742380709203605</v>
      </c>
      <c r="DG34" s="23">
        <f>EXP(-LN(2)/25)*DG33+(1-EXP(-LN(2)/25))/(LN(2)/25)*Calculateur!DB34*Calculateur!DD34*VLOOKUP('Données projet'!$B$13,Paramètres!$A$1:$I$88,3,0)*0.475*44/12</f>
        <v>0</v>
      </c>
      <c r="DH34" s="23">
        <f>EXP(-LN(2)/2)*DH33+(1-EXP(-LN(2)/2))/(LN(2)/2)*DB34*DE34*VLOOKUP('Données projet'!$B$13,Paramètres!$A$1:$I$88,3,0)*0.475*44/12</f>
        <v>6.7702503272993262</v>
      </c>
      <c r="DI34" s="24">
        <f t="shared" si="15"/>
        <v>15.512631036502931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34</v>
      </c>
      <c r="DO34" s="13">
        <f>IF('Données projet'!$A$166&gt;35,DO33+DN34-DW33,IF(A34&lt;'Données projet'!$A$166,$DL$205^A34,IF(A34='Données projet'!$A$166,'Données projet'!$B$166,DO33+DN34-DW33)))</f>
        <v>281.00000000000006</v>
      </c>
      <c r="DP34" s="18">
        <f>DO34*VLOOKUP('Données projet'!$B$14,Paramètres!$A$1:$I$88,3,0)*VLOOKUP('Données projet'!$B$14,Paramètres!$A$1:$I$88,5,0)</f>
        <v>113.24300000000002</v>
      </c>
      <c r="DQ34" s="14">
        <f t="shared" si="43"/>
        <v>30.093763796554228</v>
      </c>
      <c r="DR34" s="22">
        <f t="shared" si="16"/>
        <v>249.64486361233193</v>
      </c>
      <c r="DS34" s="62">
        <f t="shared" si="17"/>
        <v>489.69298682514949</v>
      </c>
      <c r="DT34" s="62">
        <f ca="1">AVERAGE(OFFSET($DS$3,0,0,'Données projet'!$E$14+1,1))-AVERAGE(OFFSET($H$3,0,0,'Données projet'!$E$14+1,1))</f>
        <v>432.59662347701629</v>
      </c>
      <c r="DU34" s="62">
        <f t="shared" si="44"/>
        <v>348.67401091099748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projet'!$B$14,Paramètres!$A$1:$I$88,3,0)*0.475*44/12</f>
        <v>6.0536112742169985</v>
      </c>
      <c r="EB34" s="23">
        <f>EXP(-LN(2)/25)*EB33+(1-EXP(-LN(2)/25))/(LN(2)/25)*Calculateur!DW34*Calculateur!DY34*VLOOKUP('Données projet'!$B$14,Paramètres!$A$1:$I$88,3,0)*0.475*44/12</f>
        <v>54.321794386473158</v>
      </c>
      <c r="EC34" s="23">
        <f>EXP(-LN(2)/2)*EC33+(1-EXP(-LN(2)/2))/(LN(2)/2)*DW34*DZ34*VLOOKUP('Données projet'!$B$14,Paramètres!$A$1:$I$88,3,0)*0.475*44/12</f>
        <v>0</v>
      </c>
      <c r="ED34" s="24">
        <f t="shared" si="18"/>
        <v>60.375405660690156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44.6</v>
      </c>
      <c r="EJ34" s="13">
        <f>IF('Données projet'!$A$192&gt;35,EJ33+EI34-ER33,IF(A34&lt;'Données projet'!$A$192,$EG$205^A34,IF(A34='Données projet'!$A$192,'Données projet'!$B$192,EJ33+EI34-ER33)))</f>
        <v>332.59999999999997</v>
      </c>
      <c r="EK34" s="18">
        <f>EJ34*VLOOKUP('Données projet'!$B$15,Paramètres!$A$1:$I$88,3,0)*VLOOKUP('Données projet'!$B$15,Paramètres!$A$1:$I$88,5,0)</f>
        <v>147.00920000000002</v>
      </c>
      <c r="EL34" s="14">
        <f t="shared" si="45"/>
        <v>37.89812096439055</v>
      </c>
      <c r="EM34" s="22">
        <f t="shared" si="19"/>
        <v>322.04691734631359</v>
      </c>
      <c r="EN34" s="62">
        <f t="shared" si="20"/>
        <v>562.09504055913112</v>
      </c>
      <c r="EO34" s="62">
        <f ca="1">AVERAGE(OFFSET($EN$3,0,0,'Données projet'!$E$15+1,1))-AVERAGE(OFFSET($H$3,0,0,'Données projet'!$E$15+1,1))</f>
        <v>582.26951914082088</v>
      </c>
      <c r="EP34" s="62">
        <f t="shared" si="46"/>
        <v>434.80429932654715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projet'!$B$15,Paramètres!$A$1:$I$88,3,0)*0.475*44/12</f>
        <v>15.816183420323551</v>
      </c>
      <c r="EW34" s="23">
        <f>EXP(-LN(2)/25)*EW33+(1-EXP(-LN(2)/25))/(LN(2)/25)*Calculateur!ER34*Calculateur!ET34*VLOOKUP('Données projet'!$B$15,Paramètres!$A$1:$I$88,3,0)*0.475*44/12</f>
        <v>73.565094745659948</v>
      </c>
      <c r="EX34" s="23">
        <f>EXP(-LN(2)/2)*EX33+(1-EXP(-LN(2)/2))/(LN(2)/2)*ER34*EU34*VLOOKUP('Données projet'!$B$15,Paramètres!$A$1:$I$88,3,0)*0.475*44/12</f>
        <v>0</v>
      </c>
      <c r="EY34" s="24">
        <f t="shared" si="21"/>
        <v>89.381278165983503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14.6</v>
      </c>
      <c r="FE34" s="13">
        <f>IF('Données projet'!$A$218&gt;35,FE33+FD34-FM33,IF(A34&lt;'Données projet'!$A$218,$FB$205^A34,IF(A34='Données projet'!$A$218,'Données projet'!$B$218,FE33+FD34-FM33)))</f>
        <v>135.59999999999997</v>
      </c>
      <c r="FF34" s="18">
        <f>FE34*VLOOKUP('Données projet'!$B$16,Paramètres!$A$1:$I$88,3,0)*VLOOKUP('Données projet'!$B$16,Paramètres!$A$1:$I$88,5,0)</f>
        <v>63.460799999999985</v>
      </c>
      <c r="FG34" s="14">
        <f t="shared" si="47"/>
        <v>18.04039167659279</v>
      </c>
      <c r="FH34" s="22">
        <f t="shared" si="22"/>
        <v>141.94790883673241</v>
      </c>
      <c r="FI34" s="62">
        <f t="shared" si="23"/>
        <v>381.99603204954997</v>
      </c>
      <c r="FJ34" s="62">
        <f ca="1">AVERAGE(OFFSET($FI$3,0,0,'Données projet'!$E$16+1,1))-AVERAGE(OFFSET($H$3,0,0,'Données projet'!$E$16+1,1))</f>
        <v>429.87867712133851</v>
      </c>
      <c r="FK34" s="62">
        <f t="shared" si="48"/>
        <v>182.81277865988014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projet'!$B$16,Paramètres!$A$1:$I$88,3,0)*0.475*44/12</f>
        <v>0</v>
      </c>
      <c r="FR34" s="23">
        <f>EXP(-LN(2)/25)*FR33+(1-EXP(-LN(2)/25))/(LN(2)/25)*Calculateur!FM34*Calculateur!FO34*VLOOKUP('Données projet'!$B$16,Paramètres!$A$1:$I$88,3,0)*0.475*44/12</f>
        <v>0</v>
      </c>
      <c r="FS34" s="23">
        <f>EXP(-LN(2)/2)*FS33+(1-EXP(-LN(2)/2))/(LN(2)/2)*FM34*FP34*VLOOKUP('Données projet'!$B$16,Paramètres!$A$1:$I$88,3,0)*0.475*44/12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19.2</v>
      </c>
      <c r="FZ34" s="13">
        <f>IF('Données projet'!$A$244&gt;35,FZ33+FY34-GH33,IF(A34&lt;'Données projet'!$A$244,$FW$205^A34,IF(A34='Données projet'!$A$244,'Données projet'!$B$244,FZ33+FY34-GH33)))</f>
        <v>167.19999999999993</v>
      </c>
      <c r="GA34" s="18">
        <f>FZ34*VLOOKUP('Données projet'!$B$17,Paramètres!$A$1:$I$88,3,0)*VLOOKUP('Données projet'!$B$17,Paramètres!$A$1:$I$88,5,0)</f>
        <v>80.423199999999966</v>
      </c>
      <c r="GB34" s="14">
        <f t="shared" si="49"/>
        <v>22.240626933738049</v>
      </c>
      <c r="GC34" s="22">
        <f t="shared" si="25"/>
        <v>178.80616524292705</v>
      </c>
      <c r="GD34" s="62">
        <f t="shared" si="26"/>
        <v>418.85428845574461</v>
      </c>
      <c r="GE34" s="62">
        <f ca="1">AVERAGE(OFFSET($GD$3,0,0,'Données projet'!$E$17+1,1))-AVERAGE(OFFSET($H$3,0,0,'Données projet'!$E$17+1,1))</f>
        <v>273.24375559399846</v>
      </c>
      <c r="GF34" s="62">
        <f t="shared" si="50"/>
        <v>270.77718895097848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projet'!$B$17,Paramètres!$A$1:$I$88,3,0)*0.475*44/12</f>
        <v>8.9393257024528285</v>
      </c>
      <c r="GM34" s="23">
        <f>EXP(-LN(2)/25)*GM33+(1-EXP(-LN(2)/25))/(LN(2)/25)*Calculateur!GH34*Calculateur!GJ34*VLOOKUP('Données projet'!$B$17,Paramètres!$A$1:$I$88,3,0)*0.475*44/12</f>
        <v>27.732719867649518</v>
      </c>
      <c r="GN34" s="23">
        <f>EXP(-LN(2)/2)*GN33+(1-EXP(-LN(2)/2))/(LN(2)/2)*GH34*GK34*VLOOKUP('Données projet'!$B$17,Paramètres!$A$1:$I$88,3,0)*0.475*44/12</f>
        <v>0</v>
      </c>
      <c r="GO34" s="23">
        <f t="shared" si="27"/>
        <v>36.672045570102348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19.857142857142858</v>
      </c>
      <c r="N35" s="14">
        <f>IF('Données projet'!$A$36&gt;35,N34+M35-V34,IF(A35&lt;'Données projet'!$A$36,$K$205^A35,IF(A35='Données projet'!$A$36,'Données projet'!$B$36,N34+M35-V34)))</f>
        <v>295.42857142857139</v>
      </c>
      <c r="O35" s="14">
        <f>N35*VLOOKUP('Données projet'!$B$9,Paramètres!$A$1:$I$88,3,0)*VLOOKUP('Données projet'!$B$9,Paramètres!$A$1:$I$88,5,0)</f>
        <v>165.14457142857142</v>
      </c>
      <c r="P35" s="14">
        <f t="shared" si="33"/>
        <v>42.000741952671746</v>
      </c>
      <c r="Q35" s="22">
        <f t="shared" ref="Q35:Q66" si="53">(O35+P35)*0.475*44/12</f>
        <v>360.77808747233183</v>
      </c>
      <c r="R35" s="62">
        <f t="shared" si="0"/>
        <v>601.75058995285713</v>
      </c>
      <c r="S35" s="62">
        <f ca="1">AVERAGE(OFFSET($R$3,0,0,'Données projet'!$E$9+1,1))-AVERAGE(OFFSET($H$3,0,0,'Données projet'!$E$9+1,1))</f>
        <v>289.94242154211224</v>
      </c>
      <c r="T35" s="62">
        <f t="shared" si="34"/>
        <v>369.12599166143661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7.2343689601008103</v>
      </c>
      <c r="AA35" s="23">
        <f>EXP(-LN(2)/25)*AA34+(1-EXP(-LN(2)/25))/(LN(2)/25)*Calculateur!V35*Calculateur!X35*VLOOKUP('Données projet'!$B$9,Paramètres!$A$1:$I$88,3,0)*0.475*44/12</f>
        <v>16.289310824337662</v>
      </c>
      <c r="AB35" s="23">
        <f>EXP(-LN(2)/2)*AB34+(1-EXP(-LN(2)/2))/(LN(2)/2)*V35*Y35*VLOOKUP('Données projet'!$B$9,Paramètres!$A$1:$I$88,3,0)*0.475*44/12</f>
        <v>0</v>
      </c>
      <c r="AC35" s="24">
        <f t="shared" si="3"/>
        <v>23.523679784438471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2.875</v>
      </c>
      <c r="AI35" s="14">
        <f>IF('Données projet'!$A$62&gt;35,AI34+AH35-AQ34,IF(A35&lt;'Données projet'!$A$62,$AF$205^A35,IF(A35='Données projet'!$A$62,'Données projet'!$B$62,AI34+AH35-AQ34)))</f>
        <v>10.625</v>
      </c>
      <c r="AJ35" s="14">
        <f>AI35*VLOOKUP('Données projet'!$B$10,Paramètres!$A$1:$I$88,3,0)*VLOOKUP('Données projet'!$B$10,Paramètres!$A$1:$I$88,5,0)</f>
        <v>9.6135000000000002</v>
      </c>
      <c r="AK35" s="14">
        <f t="shared" si="35"/>
        <v>3.4042871488436948</v>
      </c>
      <c r="AL35" s="22">
        <f t="shared" si="4"/>
        <v>22.672645950902766</v>
      </c>
      <c r="AM35" s="62">
        <f t="shared" si="5"/>
        <v>263.64514843142808</v>
      </c>
      <c r="AN35" s="62">
        <f ca="1">AVERAGE(OFFSET($AM$3,0,0,'Données projet'!$E$10+1,1))-AVERAGE(OFFSET($H$3,0,0,'Données projet'!$E$10+1,1))</f>
        <v>518.31628039365785</v>
      </c>
      <c r="AO35" s="62">
        <f t="shared" si="36"/>
        <v>66.435071953154761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0</v>
      </c>
      <c r="AW35" s="23">
        <f>EXP(-LN(2)/2)*AW34+(1-EXP(-LN(2)/2))/(LN(2)/2)*AQ35*AT35*VLOOKUP('Données projet'!$B$10,Paramètres!$A$1:$I$88,3,0)*0.475*44/12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2.875</v>
      </c>
      <c r="BD35" s="13">
        <f>IF('Données projet'!$A$88&gt;35,BD34+BC35-BL34,IF(A35&lt;'Données projet'!$A$88,$BA$205^A35,IF(A35='Données projet'!$A$88,'Données projet'!$B$88,BD34+BC35-BL34)))</f>
        <v>10.625</v>
      </c>
      <c r="BE35" s="14">
        <f>BD35*VLOOKUP('Données projet'!$B$11,Paramètres!$A$1:$I$88,3,0)*VLOOKUP('Données projet'!$B$11,Paramètres!$A$1:$I$88,5,0)</f>
        <v>10.77375</v>
      </c>
      <c r="BF35" s="14">
        <f t="shared" si="37"/>
        <v>3.7648827211805891</v>
      </c>
      <c r="BG35" s="22">
        <f t="shared" si="7"/>
        <v>25.321451989389526</v>
      </c>
      <c r="BH35" s="62">
        <f t="shared" si="8"/>
        <v>266.29395446991487</v>
      </c>
      <c r="BI35" s="62">
        <f ca="1">AVERAGE(OFFSET($BH$3,0,0,'Données projet'!$E$11+1,1))-AVERAGE(OFFSET($H$3,0,0,'Données projet'!$E$11+1,1))</f>
        <v>570.2785736203931</v>
      </c>
      <c r="BJ35" s="62">
        <f t="shared" si="38"/>
        <v>67.677759965081719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0</v>
      </c>
      <c r="BR35" s="23">
        <f>EXP(-LN(2)/2)*BR34+(1-EXP(-LN(2)/2))/(LN(2)/2)*BL35*BO35*VLOOKUP('Données projet'!$B$11,Paramètres!$A$1:$I$88,3,0)*0.475*44/12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20.716666666666665</v>
      </c>
      <c r="BY35" s="13">
        <f>IF('Données projet'!$A$114&gt;35,BY34+BX35-CG34,IF(A35&lt;'Données projet'!$A$114,$BV$205^A35,IF(A35='Données projet'!$A$114,'Données projet'!$B$114,BY34+BX35-CG34)))</f>
        <v>306.26666666666654</v>
      </c>
      <c r="BZ35" s="14">
        <f>BY35*VLOOKUP('Données projet'!$B$12,Paramètres!$A$1:$I$88,3,0)*VLOOKUP('Données projet'!$B$12,Paramètres!$A$1:$I$88,5,0)</f>
        <v>183.14746666666659</v>
      </c>
      <c r="CA35" s="14">
        <f t="shared" si="39"/>
        <v>46.021731471558979</v>
      </c>
      <c r="CB35" s="22">
        <f t="shared" si="10"/>
        <v>399.13635342407616</v>
      </c>
      <c r="CC35" s="62">
        <f t="shared" si="11"/>
        <v>640.10885590460146</v>
      </c>
      <c r="CD35" s="62">
        <f ca="1">AVERAGE(OFFSET($CC$3,0,0,'Données projet'!$E$12+1,1))-AVERAGE(OFFSET($H$3,0,0,'Données projet'!$E$12+1,1))</f>
        <v>401.1031790385295</v>
      </c>
      <c r="CE35" s="62">
        <f t="shared" si="40"/>
        <v>402.09589424130615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projet'!$B$12,Paramètres!$A$1:$I$88,3,0)*0.475*44/12</f>
        <v>8.5709479558218309</v>
      </c>
      <c r="CL35" s="23">
        <f>EXP(-LN(2)/25)*CL34+(1-EXP(-LN(2)/25))/(LN(2)/25)*Calculateur!CG35*Calculateur!CI35*VLOOKUP('Données projet'!$B$12,Paramètres!$A$1:$I$88,3,0)*0.475*44/12</f>
        <v>0</v>
      </c>
      <c r="CM35" s="23">
        <f>EXP(-LN(2)/2)*CM34+(1-EXP(-LN(2)/2))/(LN(2)/2)*CG35*CJ35*VLOOKUP('Données projet'!$B$12,Paramètres!$A$1:$I$88,3,0)*0.475*44/12</f>
        <v>4.7872899167637968</v>
      </c>
      <c r="CN35" s="24">
        <f t="shared" si="12"/>
        <v>13.358237872585628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20.716666666666665</v>
      </c>
      <c r="CT35" s="13">
        <f>IF('Données projet'!$A$140&gt;35,CT34+CS35-DB34,IF(A35&lt;'Données projet'!$A$140,$CQ$205^A35,IF(A35='Données projet'!$A$140,'Données projet'!$B$140,CT34+CS35-DB34)))</f>
        <v>306.26666666666654</v>
      </c>
      <c r="CU35" s="18">
        <f>CT35*VLOOKUP('Données projet'!$B$13,Paramètres!$A$1:$I$88,3,0)*VLOOKUP('Données projet'!$B$13,Paramètres!$A$1:$I$88,5,0)</f>
        <v>183.14746666666659</v>
      </c>
      <c r="CV35" s="14">
        <f t="shared" si="41"/>
        <v>46.021731471558979</v>
      </c>
      <c r="CW35" s="22">
        <f t="shared" si="13"/>
        <v>399.13635342407616</v>
      </c>
      <c r="CX35" s="62">
        <f t="shared" si="14"/>
        <v>640.10885590460146</v>
      </c>
      <c r="CY35" s="62">
        <f ca="1">AVERAGE(OFFSET($CX$3,0,0,'Données projet'!$E$13+1,1))-AVERAGE(OFFSET($H$3,0,0,'Données projet'!$E$13+1,1))</f>
        <v>401.1031790385295</v>
      </c>
      <c r="CZ35" s="62">
        <f t="shared" si="42"/>
        <v>402.09589424130615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projet'!$B$13,Paramètres!$A$1:$I$88,3,0)*0.475*44/12</f>
        <v>8.5709479558218309</v>
      </c>
      <c r="DG35" s="23">
        <f>EXP(-LN(2)/25)*DG34+(1-EXP(-LN(2)/25))/(LN(2)/25)*Calculateur!DB35*Calculateur!DD35*VLOOKUP('Données projet'!$B$13,Paramètres!$A$1:$I$88,3,0)*0.475*44/12</f>
        <v>0</v>
      </c>
      <c r="DH35" s="23">
        <f>EXP(-LN(2)/2)*DH34+(1-EXP(-LN(2)/2))/(LN(2)/2)*DB35*DE35*VLOOKUP('Données projet'!$B$13,Paramètres!$A$1:$I$88,3,0)*0.475*44/12</f>
        <v>4.7872899167637968</v>
      </c>
      <c r="DI35" s="24">
        <f t="shared" si="15"/>
        <v>13.358237872585628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34</v>
      </c>
      <c r="DO35" s="13">
        <f>IF('Données projet'!$A$166&gt;35,DO34+DN35-DW34,IF(A35&lt;'Données projet'!$A$166,$DL$205^A35,IF(A35='Données projet'!$A$166,'Données projet'!$B$166,DO34+DN35-DW34)))</f>
        <v>315.00000000000006</v>
      </c>
      <c r="DP35" s="18">
        <f>DO35*VLOOKUP('Données projet'!$B$14,Paramètres!$A$1:$I$88,3,0)*VLOOKUP('Données projet'!$B$14,Paramètres!$A$1:$I$88,5,0)</f>
        <v>126.94500000000004</v>
      </c>
      <c r="DQ35" s="14">
        <f t="shared" si="43"/>
        <v>33.289464491608861</v>
      </c>
      <c r="DR35" s="22">
        <f t="shared" si="16"/>
        <v>279.07502565621877</v>
      </c>
      <c r="DS35" s="62">
        <f t="shared" si="17"/>
        <v>520.04752813674406</v>
      </c>
      <c r="DT35" s="62">
        <f ca="1">AVERAGE(OFFSET($DS$3,0,0,'Données projet'!$E$14+1,1))-AVERAGE(OFFSET($H$3,0,0,'Données projet'!$E$14+1,1))</f>
        <v>432.59662347701629</v>
      </c>
      <c r="DU35" s="62">
        <f t="shared" si="44"/>
        <v>348.67401091099748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projet'!$B$14,Paramètres!$A$1:$I$88,3,0)*0.475*44/12</f>
        <v>5.9349036494678922</v>
      </c>
      <c r="EB35" s="23">
        <f>EXP(-LN(2)/25)*EB34+(1-EXP(-LN(2)/25))/(LN(2)/25)*Calculateur!DW35*Calculateur!DY35*VLOOKUP('Données projet'!$B$14,Paramètres!$A$1:$I$88,3,0)*0.475*44/12</f>
        <v>52.836362062316034</v>
      </c>
      <c r="EC35" s="23">
        <f>EXP(-LN(2)/2)*EC34+(1-EXP(-LN(2)/2))/(LN(2)/2)*DW35*DZ35*VLOOKUP('Données projet'!$B$14,Paramètres!$A$1:$I$88,3,0)*0.475*44/12</f>
        <v>0</v>
      </c>
      <c r="ED35" s="24">
        <f t="shared" si="18"/>
        <v>58.771265711783926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44.6</v>
      </c>
      <c r="EJ35" s="13">
        <f>IF('Données projet'!$A$192&gt;35,EJ34+EI35-ER34,IF(A35&lt;'Données projet'!$A$192,$EG$205^A35,IF(A35='Données projet'!$A$192,'Données projet'!$B$192,EJ34+EI35-ER34)))</f>
        <v>377.2</v>
      </c>
      <c r="EK35" s="18">
        <f>EJ35*VLOOKUP('Données projet'!$B$15,Paramètres!$A$1:$I$88,3,0)*VLOOKUP('Données projet'!$B$15,Paramètres!$A$1:$I$88,5,0)</f>
        <v>166.72240000000002</v>
      </c>
      <c r="EL35" s="14">
        <f t="shared" si="45"/>
        <v>42.35512054515479</v>
      </c>
      <c r="EM35" s="22">
        <f t="shared" si="19"/>
        <v>364.14334828281125</v>
      </c>
      <c r="EN35" s="62">
        <f t="shared" si="20"/>
        <v>605.11585076333654</v>
      </c>
      <c r="EO35" s="62">
        <f ca="1">AVERAGE(OFFSET($EN$3,0,0,'Données projet'!$E$15+1,1))-AVERAGE(OFFSET($H$3,0,0,'Données projet'!$E$15+1,1))</f>
        <v>582.26951914082088</v>
      </c>
      <c r="EP35" s="62">
        <f t="shared" si="46"/>
        <v>434.80429932654715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projet'!$B$15,Paramètres!$A$1:$I$88,3,0)*0.475*44/12</f>
        <v>15.506037710370338</v>
      </c>
      <c r="EW35" s="23">
        <f>EXP(-LN(2)/25)*EW34+(1-EXP(-LN(2)/25))/(LN(2)/25)*Calculateur!ER35*Calculateur!ET35*VLOOKUP('Données projet'!$B$15,Paramètres!$A$1:$I$88,3,0)*0.475*44/12</f>
        <v>71.553453361219681</v>
      </c>
      <c r="EX35" s="23">
        <f>EXP(-LN(2)/2)*EX34+(1-EXP(-LN(2)/2))/(LN(2)/2)*ER35*EU35*VLOOKUP('Données projet'!$B$15,Paramètres!$A$1:$I$88,3,0)*0.475*44/12</f>
        <v>0</v>
      </c>
      <c r="EY35" s="24">
        <f t="shared" si="21"/>
        <v>87.059491071590017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14.6</v>
      </c>
      <c r="FE35" s="13">
        <f>IF('Données projet'!$A$218&gt;35,FE34+FD35-FM34,IF(A35&lt;'Données projet'!$A$218,$FB$205^A35,IF(A35='Données projet'!$A$218,'Données projet'!$B$218,FE34+FD35-FM34)))</f>
        <v>150.19999999999996</v>
      </c>
      <c r="FF35" s="18">
        <f>FE35*VLOOKUP('Données projet'!$B$16,Paramètres!$A$1:$I$88,3,0)*VLOOKUP('Données projet'!$B$16,Paramètres!$A$1:$I$88,5,0)</f>
        <v>70.293599999999984</v>
      </c>
      <c r="FG35" s="14">
        <f t="shared" si="47"/>
        <v>19.746351028689723</v>
      </c>
      <c r="FH35" s="22">
        <f t="shared" si="22"/>
        <v>156.8195813749679</v>
      </c>
      <c r="FI35" s="62">
        <f t="shared" si="23"/>
        <v>397.79208385549322</v>
      </c>
      <c r="FJ35" s="62">
        <f ca="1">AVERAGE(OFFSET($FI$3,0,0,'Données projet'!$E$16+1,1))-AVERAGE(OFFSET($H$3,0,0,'Données projet'!$E$16+1,1))</f>
        <v>429.87867712133851</v>
      </c>
      <c r="FK35" s="62">
        <f t="shared" si="48"/>
        <v>182.81277865988014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projet'!$B$16,Paramètres!$A$1:$I$88,3,0)*0.475*44/12</f>
        <v>0</v>
      </c>
      <c r="FR35" s="23">
        <f>EXP(-LN(2)/25)*FR34+(1-EXP(-LN(2)/25))/(LN(2)/25)*Calculateur!FM35*Calculateur!FO35*VLOOKUP('Données projet'!$B$16,Paramètres!$A$1:$I$88,3,0)*0.475*44/12</f>
        <v>0</v>
      </c>
      <c r="FS35" s="23">
        <f>EXP(-LN(2)/2)*FS34+(1-EXP(-LN(2)/2))/(LN(2)/2)*FM35*FP35*VLOOKUP('Données projet'!$B$16,Paramètres!$A$1:$I$88,3,0)*0.475*44/12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19.2</v>
      </c>
      <c r="FZ35" s="13">
        <f>IF('Données projet'!$A$244&gt;35,FZ34+FY35-GH34,IF(A35&lt;'Données projet'!$A$244,$FW$205^A35,IF(A35='Données projet'!$A$244,'Données projet'!$B$244,FZ34+FY35-GH34)))</f>
        <v>186.39999999999992</v>
      </c>
      <c r="GA35" s="18">
        <f>FZ35*VLOOKUP('Données projet'!$B$17,Paramètres!$A$1:$I$88,3,0)*VLOOKUP('Données projet'!$B$17,Paramètres!$A$1:$I$88,5,0)</f>
        <v>89.658399999999972</v>
      </c>
      <c r="GB35" s="14">
        <f t="shared" si="49"/>
        <v>24.482821074753055</v>
      </c>
      <c r="GC35" s="22">
        <f t="shared" si="25"/>
        <v>198.79596003852816</v>
      </c>
      <c r="GD35" s="62">
        <f t="shared" si="26"/>
        <v>439.76846251905351</v>
      </c>
      <c r="GE35" s="62">
        <f ca="1">AVERAGE(OFFSET($GD$3,0,0,'Données projet'!$E$17+1,1))-AVERAGE(OFFSET($H$3,0,0,'Données projet'!$E$17+1,1))</f>
        <v>273.24375559399846</v>
      </c>
      <c r="GF35" s="62">
        <f t="shared" si="50"/>
        <v>270.77718895097848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projet'!$B$17,Paramètres!$A$1:$I$88,3,0)*0.475*44/12</f>
        <v>8.7640309778780221</v>
      </c>
      <c r="GM35" s="23">
        <f>EXP(-LN(2)/25)*GM34+(1-EXP(-LN(2)/25))/(LN(2)/25)*Calculateur!GH35*Calculateur!GJ35*VLOOKUP('Données projet'!$B$17,Paramètres!$A$1:$I$88,3,0)*0.475*44/12</f>
        <v>26.974367184468289</v>
      </c>
      <c r="GN35" s="23">
        <f>EXP(-LN(2)/2)*GN34+(1-EXP(-LN(2)/2))/(LN(2)/2)*GH35*GK35*VLOOKUP('Données projet'!$B$17,Paramètres!$A$1:$I$88,3,0)*0.475*44/12</f>
        <v>0</v>
      </c>
      <c r="GO35" s="23">
        <f t="shared" si="27"/>
        <v>35.738398162346314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19.857142857142858</v>
      </c>
      <c r="N36" s="14">
        <f>IF('Données projet'!$A$36&gt;35,N35+M36-V35,IF(A36&lt;'Données projet'!$A$36,$K$205^A36,IF(A36='Données projet'!$A$36,'Données projet'!$B$36,N35+M36-V35)))</f>
        <v>315.28571428571422</v>
      </c>
      <c r="O36" s="14">
        <f>N36*VLOOKUP('Données projet'!$B$9,Paramètres!$A$1:$I$88,3,0)*VLOOKUP('Données projet'!$B$9,Paramètres!$A$1:$I$88,5,0)</f>
        <v>176.24471428571425</v>
      </c>
      <c r="P36" s="14">
        <f t="shared" si="33"/>
        <v>44.485681868533291</v>
      </c>
      <c r="Q36" s="22">
        <f t="shared" si="53"/>
        <v>384.43877330198114</v>
      </c>
      <c r="R36" s="62">
        <f t="shared" si="0"/>
        <v>626.31961913652185</v>
      </c>
      <c r="S36" s="62">
        <f ca="1">AVERAGE(OFFSET($R$3,0,0,'Données projet'!$E$9+1,1))-AVERAGE(OFFSET($H$3,0,0,'Données projet'!$E$9+1,1))</f>
        <v>289.94242154211224</v>
      </c>
      <c r="T36" s="62">
        <f t="shared" si="34"/>
        <v>369.12599166143661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7.0925073973225983</v>
      </c>
      <c r="AA36" s="23">
        <f>EXP(-LN(2)/25)*AA35+(1-EXP(-LN(2)/25))/(LN(2)/25)*Calculateur!V36*Calculateur!X36*VLOOKUP('Données projet'!$B$9,Paramètres!$A$1:$I$88,3,0)*0.475*44/12</f>
        <v>15.843878763228522</v>
      </c>
      <c r="AB36" s="23">
        <f>EXP(-LN(2)/2)*AB35+(1-EXP(-LN(2)/2))/(LN(2)/2)*V36*Y36*VLOOKUP('Données projet'!$B$9,Paramètres!$A$1:$I$88,3,0)*0.475*44/12</f>
        <v>0</v>
      </c>
      <c r="AC36" s="24">
        <f t="shared" si="3"/>
        <v>22.93638616055112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2.875</v>
      </c>
      <c r="AI36" s="14">
        <f>IF('Données projet'!$A$62&gt;35,AI35+AH36-AQ35,IF(A36&lt;'Données projet'!$A$62,$AF$205^A36,IF(A36='Données projet'!$A$62,'Données projet'!$B$62,AI35+AH36-AQ35)))</f>
        <v>13.5</v>
      </c>
      <c r="AJ36" s="14">
        <f>AI36*VLOOKUP('Données projet'!$B$10,Paramètres!$A$1:$I$88,3,0)*VLOOKUP('Données projet'!$B$10,Paramètres!$A$1:$I$88,5,0)</f>
        <v>12.214799999999999</v>
      </c>
      <c r="AK36" s="14">
        <f t="shared" si="35"/>
        <v>4.2065383529229345</v>
      </c>
      <c r="AL36" s="22">
        <f t="shared" si="4"/>
        <v>28.600497631340776</v>
      </c>
      <c r="AM36" s="62">
        <f t="shared" si="5"/>
        <v>270.48134346588154</v>
      </c>
      <c r="AN36" s="62">
        <f ca="1">AVERAGE(OFFSET($AM$3,0,0,'Données projet'!$E$10+1,1))-AVERAGE(OFFSET($H$3,0,0,'Données projet'!$E$10+1,1))</f>
        <v>518.31628039365785</v>
      </c>
      <c r="AO36" s="62">
        <f t="shared" si="36"/>
        <v>66.435071953154761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0</v>
      </c>
      <c r="AW36" s="23">
        <f>EXP(-LN(2)/2)*AW35+(1-EXP(-LN(2)/2))/(LN(2)/2)*AQ36*AT36*VLOOKUP('Données projet'!$B$10,Paramètres!$A$1:$I$88,3,0)*0.475*44/12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2.875</v>
      </c>
      <c r="BD36" s="13">
        <f>IF('Données projet'!$A$88&gt;35,BD35+BC36-BL35,IF(A36&lt;'Données projet'!$A$88,$BA$205^A36,IF(A36='Données projet'!$A$88,'Données projet'!$B$88,BD35+BC36-BL35)))</f>
        <v>13.5</v>
      </c>
      <c r="BE36" s="14">
        <f>BD36*VLOOKUP('Données projet'!$B$11,Paramètres!$A$1:$I$88,3,0)*VLOOKUP('Données projet'!$B$11,Paramètres!$A$1:$I$88,5,0)</f>
        <v>13.689000000000002</v>
      </c>
      <c r="BF36" s="14">
        <f t="shared" si="37"/>
        <v>4.6521115488986542</v>
      </c>
      <c r="BG36" s="22">
        <f t="shared" si="7"/>
        <v>31.944102614331825</v>
      </c>
      <c r="BH36" s="62">
        <f t="shared" si="8"/>
        <v>273.82494844887253</v>
      </c>
      <c r="BI36" s="62">
        <f ca="1">AVERAGE(OFFSET($BH$3,0,0,'Données projet'!$E$11+1,1))-AVERAGE(OFFSET($H$3,0,0,'Données projet'!$E$11+1,1))</f>
        <v>570.2785736203931</v>
      </c>
      <c r="BJ36" s="62">
        <f t="shared" si="38"/>
        <v>67.677759965081719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0</v>
      </c>
      <c r="BR36" s="23">
        <f>EXP(-LN(2)/2)*BR35+(1-EXP(-LN(2)/2))/(LN(2)/2)*BL36*BO36*VLOOKUP('Données projet'!$B$11,Paramètres!$A$1:$I$88,3,0)*0.475*44/12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20.716666666666665</v>
      </c>
      <c r="BY36" s="13">
        <f>IF('Données projet'!$A$114&gt;35,BY35+BX36-CG35,IF(A36&lt;'Données projet'!$A$114,$BV$205^A36,IF(A36='Données projet'!$A$114,'Données projet'!$B$114,BY35+BX36-CG35)))</f>
        <v>326.98333333333318</v>
      </c>
      <c r="BZ36" s="14">
        <f>BY36*VLOOKUP('Données projet'!$B$12,Paramètres!$A$1:$I$88,3,0)*VLOOKUP('Données projet'!$B$12,Paramètres!$A$1:$I$88,5,0)</f>
        <v>195.53603333333325</v>
      </c>
      <c r="CA36" s="14">
        <f t="shared" si="39"/>
        <v>48.761837859901881</v>
      </c>
      <c r="CB36" s="22">
        <f t="shared" si="10"/>
        <v>425.48545899488454</v>
      </c>
      <c r="CC36" s="62">
        <f t="shared" si="11"/>
        <v>667.3663048294253</v>
      </c>
      <c r="CD36" s="62">
        <f ca="1">AVERAGE(OFFSET($CC$3,0,0,'Données projet'!$E$12+1,1))-AVERAGE(OFFSET($H$3,0,0,'Données projet'!$E$12+1,1))</f>
        <v>401.1031790385295</v>
      </c>
      <c r="CE36" s="62">
        <f t="shared" si="40"/>
        <v>402.09589424130615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projet'!$B$12,Paramètres!$A$1:$I$88,3,0)*0.475*44/12</f>
        <v>8.4028768941702197</v>
      </c>
      <c r="CL36" s="23">
        <f>EXP(-LN(2)/25)*CL35+(1-EXP(-LN(2)/25))/(LN(2)/25)*Calculateur!CG36*Calculateur!CI36*VLOOKUP('Données projet'!$B$12,Paramètres!$A$1:$I$88,3,0)*0.475*44/12</f>
        <v>0</v>
      </c>
      <c r="CM36" s="23">
        <f>EXP(-LN(2)/2)*CM35+(1-EXP(-LN(2)/2))/(LN(2)/2)*CG36*CJ36*VLOOKUP('Données projet'!$B$12,Paramètres!$A$1:$I$88,3,0)*0.475*44/12</f>
        <v>3.3851251636496635</v>
      </c>
      <c r="CN36" s="24">
        <f t="shared" si="12"/>
        <v>11.788002057819883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20.716666666666665</v>
      </c>
      <c r="CT36" s="13">
        <f>IF('Données projet'!$A$140&gt;35,CT35+CS36-DB35,IF(A36&lt;'Données projet'!$A$140,$CQ$205^A36,IF(A36='Données projet'!$A$140,'Données projet'!$B$140,CT35+CS36-DB35)))</f>
        <v>326.98333333333318</v>
      </c>
      <c r="CU36" s="18">
        <f>CT36*VLOOKUP('Données projet'!$B$13,Paramètres!$A$1:$I$88,3,0)*VLOOKUP('Données projet'!$B$13,Paramètres!$A$1:$I$88,5,0)</f>
        <v>195.53603333333325</v>
      </c>
      <c r="CV36" s="14">
        <f t="shared" si="41"/>
        <v>48.761837859901881</v>
      </c>
      <c r="CW36" s="22">
        <f t="shared" si="13"/>
        <v>425.48545899488454</v>
      </c>
      <c r="CX36" s="62">
        <f t="shared" si="14"/>
        <v>667.3663048294253</v>
      </c>
      <c r="CY36" s="62">
        <f ca="1">AVERAGE(OFFSET($CX$3,0,0,'Données projet'!$E$13+1,1))-AVERAGE(OFFSET($H$3,0,0,'Données projet'!$E$13+1,1))</f>
        <v>401.1031790385295</v>
      </c>
      <c r="CZ36" s="62">
        <f t="shared" si="42"/>
        <v>402.09589424130615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projet'!$B$13,Paramètres!$A$1:$I$88,3,0)*0.475*44/12</f>
        <v>8.4028768941702197</v>
      </c>
      <c r="DG36" s="23">
        <f>EXP(-LN(2)/25)*DG35+(1-EXP(-LN(2)/25))/(LN(2)/25)*Calculateur!DB36*Calculateur!DD36*VLOOKUP('Données projet'!$B$13,Paramètres!$A$1:$I$88,3,0)*0.475*44/12</f>
        <v>0</v>
      </c>
      <c r="DH36" s="23">
        <f>EXP(-LN(2)/2)*DH35+(1-EXP(-LN(2)/2))/(LN(2)/2)*DB36*DE36*VLOOKUP('Données projet'!$B$13,Paramètres!$A$1:$I$88,3,0)*0.475*44/12</f>
        <v>3.3851251636496635</v>
      </c>
      <c r="DI36" s="24">
        <f t="shared" si="15"/>
        <v>11.788002057819883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34</v>
      </c>
      <c r="DO36" s="13">
        <f>IF('Données projet'!$A$166&gt;35,DO35+DN36-DW35,IF(A36&lt;'Données projet'!$A$166,$DL$205^A36,IF(A36='Données projet'!$A$166,'Données projet'!$B$166,DO35+DN36-DW35)))</f>
        <v>349.00000000000006</v>
      </c>
      <c r="DP36" s="18">
        <f>DO36*VLOOKUP('Données projet'!$B$14,Paramètres!$A$1:$I$88,3,0)*VLOOKUP('Données projet'!$B$14,Paramètres!$A$1:$I$88,5,0)</f>
        <v>140.64700000000002</v>
      </c>
      <c r="DQ36" s="14">
        <f t="shared" si="43"/>
        <v>36.445184311991923</v>
      </c>
      <c r="DR36" s="22">
        <f t="shared" si="16"/>
        <v>308.435554343386</v>
      </c>
      <c r="DS36" s="62">
        <f t="shared" si="17"/>
        <v>550.31640017792677</v>
      </c>
      <c r="DT36" s="62">
        <f ca="1">AVERAGE(OFFSET($DS$3,0,0,'Données projet'!$E$14+1,1))-AVERAGE(OFFSET($H$3,0,0,'Données projet'!$E$14+1,1))</f>
        <v>432.59662347701629</v>
      </c>
      <c r="DU36" s="62">
        <f t="shared" si="44"/>
        <v>348.67401091099748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projet'!$B$14,Paramètres!$A$1:$I$88,3,0)*0.475*44/12</f>
        <v>5.8185238088356144</v>
      </c>
      <c r="EB36" s="23">
        <f>EXP(-LN(2)/25)*EB35+(1-EXP(-LN(2)/25))/(LN(2)/25)*Calculateur!DW36*Calculateur!DY36*VLOOKUP('Données projet'!$B$14,Paramètres!$A$1:$I$88,3,0)*0.475*44/12</f>
        <v>51.391548963178479</v>
      </c>
      <c r="EC36" s="23">
        <f>EXP(-LN(2)/2)*EC35+(1-EXP(-LN(2)/2))/(LN(2)/2)*DW36*DZ36*VLOOKUP('Données projet'!$B$14,Paramètres!$A$1:$I$88,3,0)*0.475*44/12</f>
        <v>0</v>
      </c>
      <c r="ED36" s="24">
        <f t="shared" si="18"/>
        <v>57.210072772014094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44.6</v>
      </c>
      <c r="EJ36" s="13">
        <f>IF('Données projet'!$A$192&gt;35,EJ35+EI36-ER35,IF(A36&lt;'Données projet'!$A$192,$EG$205^A36,IF(A36='Données projet'!$A$192,'Données projet'!$B$192,EJ35+EI36-ER35)))</f>
        <v>421.8</v>
      </c>
      <c r="EK36" s="18">
        <f>EJ36*VLOOKUP('Données projet'!$B$15,Paramètres!$A$1:$I$88,3,0)*VLOOKUP('Données projet'!$B$15,Paramètres!$A$1:$I$88,5,0)</f>
        <v>186.43560000000002</v>
      </c>
      <c r="EL36" s="14">
        <f t="shared" si="45"/>
        <v>46.751048146974846</v>
      </c>
      <c r="EM36" s="22">
        <f t="shared" si="19"/>
        <v>406.13341218931458</v>
      </c>
      <c r="EN36" s="62">
        <f t="shared" si="20"/>
        <v>648.01425802385529</v>
      </c>
      <c r="EO36" s="62">
        <f ca="1">AVERAGE(OFFSET($EN$3,0,0,'Données projet'!$E$15+1,1))-AVERAGE(OFFSET($H$3,0,0,'Données projet'!$E$15+1,1))</f>
        <v>582.26951914082088</v>
      </c>
      <c r="EP36" s="62">
        <f t="shared" si="46"/>
        <v>434.80429932654715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projet'!$B$15,Paramètres!$A$1:$I$88,3,0)*0.475*44/12</f>
        <v>15.201973768619103</v>
      </c>
      <c r="EW36" s="23">
        <f>EXP(-LN(2)/25)*EW35+(1-EXP(-LN(2)/25))/(LN(2)/25)*Calculateur!ER36*Calculateur!ET36*VLOOKUP('Données projet'!$B$15,Paramètres!$A$1:$I$88,3,0)*0.475*44/12</f>
        <v>69.59682041622456</v>
      </c>
      <c r="EX36" s="23">
        <f>EXP(-LN(2)/2)*EX35+(1-EXP(-LN(2)/2))/(LN(2)/2)*ER36*EU36*VLOOKUP('Données projet'!$B$15,Paramètres!$A$1:$I$88,3,0)*0.475*44/12</f>
        <v>0</v>
      </c>
      <c r="EY36" s="24">
        <f t="shared" si="21"/>
        <v>84.798794184843658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14.6</v>
      </c>
      <c r="FE36" s="13">
        <f>IF('Données projet'!$A$218&gt;35,FE35+FD36-FM35,IF(A36&lt;'Données projet'!$A$218,$FB$205^A36,IF(A36='Données projet'!$A$218,'Données projet'!$B$218,FE35+FD36-FM35)))</f>
        <v>164.79999999999995</v>
      </c>
      <c r="FF36" s="18">
        <f>FE36*VLOOKUP('Données projet'!$B$16,Paramètres!$A$1:$I$88,3,0)*VLOOKUP('Données projet'!$B$16,Paramètres!$A$1:$I$88,5,0)</f>
        <v>77.126399999999975</v>
      </c>
      <c r="FG36" s="14">
        <f t="shared" si="47"/>
        <v>21.43308513655586</v>
      </c>
      <c r="FH36" s="22">
        <f t="shared" si="22"/>
        <v>171.65776994616806</v>
      </c>
      <c r="FI36" s="62">
        <f t="shared" si="23"/>
        <v>413.53861578070882</v>
      </c>
      <c r="FJ36" s="62">
        <f ca="1">AVERAGE(OFFSET($FI$3,0,0,'Données projet'!$E$16+1,1))-AVERAGE(OFFSET($H$3,0,0,'Données projet'!$E$16+1,1))</f>
        <v>429.87867712133851</v>
      </c>
      <c r="FK36" s="62">
        <f t="shared" si="48"/>
        <v>182.81277865988014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projet'!$B$16,Paramètres!$A$1:$I$88,3,0)*0.475*44/12</f>
        <v>0</v>
      </c>
      <c r="FR36" s="23">
        <f>EXP(-LN(2)/25)*FR35+(1-EXP(-LN(2)/25))/(LN(2)/25)*Calculateur!FM36*Calculateur!FO36*VLOOKUP('Données projet'!$B$16,Paramètres!$A$1:$I$88,3,0)*0.475*44/12</f>
        <v>0</v>
      </c>
      <c r="FS36" s="23">
        <f>EXP(-LN(2)/2)*FS35+(1-EXP(-LN(2)/2))/(LN(2)/2)*FM36*FP36*VLOOKUP('Données projet'!$B$16,Paramètres!$A$1:$I$88,3,0)*0.475*44/12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19.2</v>
      </c>
      <c r="FZ36" s="13">
        <f>IF('Données projet'!$A$244&gt;35,FZ35+FY36-GH35,IF(A36&lt;'Données projet'!$A$244,$FW$205^A36,IF(A36='Données projet'!$A$244,'Données projet'!$B$244,FZ35+FY36-GH35)))</f>
        <v>205.59999999999991</v>
      </c>
      <c r="GA36" s="18">
        <f>FZ36*VLOOKUP('Données projet'!$B$17,Paramètres!$A$1:$I$88,3,0)*VLOOKUP('Données projet'!$B$17,Paramètres!$A$1:$I$88,5,0)</f>
        <v>98.89359999999995</v>
      </c>
      <c r="GB36" s="14">
        <f t="shared" si="49"/>
        <v>26.698242573669557</v>
      </c>
      <c r="GC36" s="22">
        <f t="shared" si="25"/>
        <v>218.73912581580771</v>
      </c>
      <c r="GD36" s="62">
        <f t="shared" si="26"/>
        <v>460.61997165034848</v>
      </c>
      <c r="GE36" s="62">
        <f ca="1">AVERAGE(OFFSET($GD$3,0,0,'Données projet'!$E$17+1,1))-AVERAGE(OFFSET($H$3,0,0,'Données projet'!$E$17+1,1))</f>
        <v>273.24375559399846</v>
      </c>
      <c r="GF36" s="62">
        <f t="shared" si="50"/>
        <v>270.77718895097848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projet'!$B$17,Paramètres!$A$1:$I$88,3,0)*0.475*44/12</f>
        <v>8.5921736759329033</v>
      </c>
      <c r="GM36" s="23">
        <f>EXP(-LN(2)/25)*GM35+(1-EXP(-LN(2)/25))/(LN(2)/25)*Calculateur!GH36*Calculateur!GJ36*VLOOKUP('Données projet'!$B$17,Paramètres!$A$1:$I$88,3,0)*0.475*44/12</f>
        <v>26.236751695288685</v>
      </c>
      <c r="GN36" s="23">
        <f>EXP(-LN(2)/2)*GN35+(1-EXP(-LN(2)/2))/(LN(2)/2)*GH36*GK36*VLOOKUP('Données projet'!$B$17,Paramètres!$A$1:$I$88,3,0)*0.475*44/12</f>
        <v>0</v>
      </c>
      <c r="GO36" s="23">
        <f t="shared" si="27"/>
        <v>34.828925371221587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19.857142857142858</v>
      </c>
      <c r="N37" s="14">
        <f>IF('Données projet'!$A$36&gt;35,N36+M37-V36,IF(A37&lt;'Données projet'!$A$36,$K$205^A37,IF(A37='Données projet'!$A$36,'Données projet'!$B$36,N36+M37-V36)))</f>
        <v>335.14285714285705</v>
      </c>
      <c r="O37" s="14">
        <f>N37*VLOOKUP('Données projet'!$B$9,Paramètres!$A$1:$I$88,3,0)*VLOOKUP('Données projet'!$B$9,Paramètres!$A$1:$I$88,5,0)</f>
        <v>187.34485714285708</v>
      </c>
      <c r="P37" s="14">
        <f t="shared" si="33"/>
        <v>46.95245853654621</v>
      </c>
      <c r="Q37" s="22">
        <f t="shared" si="53"/>
        <v>408.06782480829406</v>
      </c>
      <c r="R37" s="62">
        <f t="shared" si="0"/>
        <v>650.84125627040964</v>
      </c>
      <c r="S37" s="62">
        <f ca="1">AVERAGE(OFFSET($R$3,0,0,'Données projet'!$E$9+1,1))-AVERAGE(OFFSET($H$3,0,0,'Données projet'!$E$9+1,1))</f>
        <v>289.94242154211224</v>
      </c>
      <c r="T37" s="62">
        <f t="shared" si="34"/>
        <v>369.12599166143661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6.9534276532634571</v>
      </c>
      <c r="AA37" s="23">
        <f>EXP(-LN(2)/25)*AA36+(1-EXP(-LN(2)/25))/(LN(2)/25)*Calculateur!V37*Calculateur!X37*VLOOKUP('Données projet'!$B$9,Paramètres!$A$1:$I$88,3,0)*0.475*44/12</f>
        <v>15.410627065254666</v>
      </c>
      <c r="AB37" s="23">
        <f>EXP(-LN(2)/2)*AB36+(1-EXP(-LN(2)/2))/(LN(2)/2)*V37*Y37*VLOOKUP('Données projet'!$B$9,Paramètres!$A$1:$I$88,3,0)*0.475*44/12</f>
        <v>0</v>
      </c>
      <c r="AC37" s="24">
        <f t="shared" si="3"/>
        <v>22.364054718518123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2.875</v>
      </c>
      <c r="AI37" s="14">
        <f>IF('Données projet'!$A$62&gt;35,AI36+AH37-AQ36,IF(A37&lt;'Données projet'!$A$62,$AF$205^A37,IF(A37='Données projet'!$A$62,'Données projet'!$B$62,AI36+AH37-AQ36)))</f>
        <v>16.375</v>
      </c>
      <c r="AJ37" s="14">
        <f>AI37*VLOOKUP('Données projet'!$B$10,Paramètres!$A$1:$I$88,3,0)*VLOOKUP('Données projet'!$B$10,Paramètres!$A$1:$I$88,5,0)</f>
        <v>14.816099999999999</v>
      </c>
      <c r="AK37" s="14">
        <f t="shared" si="35"/>
        <v>4.9889889200404181</v>
      </c>
      <c r="AL37" s="22">
        <f t="shared" si="4"/>
        <v>34.493863202403723</v>
      </c>
      <c r="AM37" s="62">
        <f t="shared" si="5"/>
        <v>277.26729466451928</v>
      </c>
      <c r="AN37" s="62">
        <f ca="1">AVERAGE(OFFSET($AM$3,0,0,'Données projet'!$E$10+1,1))-AVERAGE(OFFSET($H$3,0,0,'Données projet'!$E$10+1,1))</f>
        <v>518.31628039365785</v>
      </c>
      <c r="AO37" s="62">
        <f t="shared" si="36"/>
        <v>66.435071953154761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0</v>
      </c>
      <c r="AW37" s="23">
        <f>EXP(-LN(2)/2)*AW36+(1-EXP(-LN(2)/2))/(LN(2)/2)*AQ37*AT37*VLOOKUP('Données projet'!$B$10,Paramètres!$A$1:$I$88,3,0)*0.475*44/12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2.875</v>
      </c>
      <c r="BD37" s="13">
        <f>IF('Données projet'!$A$88&gt;35,BD36+BC37-BL36,IF(A37&lt;'Données projet'!$A$88,$BA$205^A37,IF(A37='Données projet'!$A$88,'Données projet'!$B$88,BD36+BC37-BL36)))</f>
        <v>16.375</v>
      </c>
      <c r="BE37" s="14">
        <f>BD37*VLOOKUP('Données projet'!$B$11,Paramètres!$A$1:$I$88,3,0)*VLOOKUP('Données projet'!$B$11,Paramètres!$A$1:$I$88,5,0)</f>
        <v>16.60425</v>
      </c>
      <c r="BF37" s="14">
        <f t="shared" si="37"/>
        <v>5.5174423777974875</v>
      </c>
      <c r="BG37" s="22">
        <f t="shared" si="7"/>
        <v>38.528614224663961</v>
      </c>
      <c r="BH37" s="62">
        <f t="shared" si="8"/>
        <v>281.30204568677954</v>
      </c>
      <c r="BI37" s="62">
        <f ca="1">AVERAGE(OFFSET($BH$3,0,0,'Données projet'!$E$11+1,1))-AVERAGE(OFFSET($H$3,0,0,'Données projet'!$E$11+1,1))</f>
        <v>570.2785736203931</v>
      </c>
      <c r="BJ37" s="62">
        <f t="shared" si="38"/>
        <v>67.677759965081719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0</v>
      </c>
      <c r="BR37" s="23">
        <f>EXP(-LN(2)/2)*BR36+(1-EXP(-LN(2)/2))/(LN(2)/2)*BL37*BO37*VLOOKUP('Données projet'!$B$11,Paramètres!$A$1:$I$88,3,0)*0.475*44/12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>
        <f>VLOOKUP(A37,'Données projet'!$A$113:$I$133,2,0)</f>
        <v>347.7</v>
      </c>
      <c r="BW37" s="13">
        <f>VLOOKUP(A37,'Données projet'!$A$113:$I$133,9,0)</f>
        <v>20.716666666666665</v>
      </c>
      <c r="BX37" s="13">
        <f t="array" ref="BX37">INDEX(BW:BW,MIN(IF(ISNUMBER(BW37:BW233),ROW(BW37:BW233),"")))</f>
        <v>20.716666666666665</v>
      </c>
      <c r="BY37" s="13">
        <f>IF('Données projet'!$A$114&gt;35,BY36+BX37-CG36,IF(A37&lt;'Données projet'!$A$114,$BV$205^A37,IF(A37='Données projet'!$A$114,'Données projet'!$B$114,BY36+BX37-CG36)))</f>
        <v>347.69999999999982</v>
      </c>
      <c r="BZ37" s="14">
        <f>BY37*VLOOKUP('Données projet'!$B$12,Paramètres!$A$1:$I$88,3,0)*VLOOKUP('Données projet'!$B$12,Paramètres!$A$1:$I$88,5,0)</f>
        <v>207.92459999999991</v>
      </c>
      <c r="CA37" s="14">
        <f t="shared" si="39"/>
        <v>51.481796756808421</v>
      </c>
      <c r="CB37" s="22">
        <f t="shared" si="10"/>
        <v>451.79947435144118</v>
      </c>
      <c r="CC37" s="62">
        <f t="shared" si="11"/>
        <v>694.57290581355676</v>
      </c>
      <c r="CD37" s="62">
        <f ca="1">AVERAGE(OFFSET($CC$3,0,0,'Données projet'!$E$12+1,1))-AVERAGE(OFFSET($H$3,0,0,'Données projet'!$E$12+1,1))</f>
        <v>401.1031790385295</v>
      </c>
      <c r="CE37" s="62">
        <f t="shared" si="40"/>
        <v>402.09589424130615</v>
      </c>
      <c r="CF37" s="16">
        <f>IF(ISNA(VLOOKUP(A37,'Données projet'!$A$113:$I$133,3,0)),0,VLOOKUP(A37,'Données projet'!$A$113:$I$133,3,0))</f>
        <v>5</v>
      </c>
      <c r="CG37" s="16">
        <f>IF(ISNA(VLOOKUP(A37,'Données projet'!$A$113:$I$133,4,0)),0,VLOOKUP(A37,'Données projet'!$A$113:$I$133,4,0))</f>
        <v>46.2</v>
      </c>
      <c r="CH37" s="17">
        <f>IF(ISNA(VLOOKUP(A37,'Données projet'!$A$113:$I$133,5,0)),0%,VLOOKUP(A37,'Données projet'!$A$113:$I$133,5,0)*VLOOKUP('Données projet'!$B$12,Paramètres!$A$1:$I$88,7,0))</f>
        <v>0.18000000000000002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0.6</v>
      </c>
      <c r="CK37" s="23">
        <f>EXP(-LN(2)/35)*CK36+(1-EXP(-LN(2)/35))/(LN(2)/35)*CG37*CH37*VLOOKUP('Données projet'!$B$12,Paramètres!$A$1:$I$88,3,0)*0.475*44/12</f>
        <v>14.83506419036263</v>
      </c>
      <c r="CL37" s="23">
        <f>EXP(-LN(2)/25)*CL36+(1-EXP(-LN(2)/25))/(LN(2)/25)*Calculateur!CG37*Calculateur!CI37*VLOOKUP('Données projet'!$B$12,Paramètres!$A$1:$I$88,3,0)*0.475*44/12</f>
        <v>0</v>
      </c>
      <c r="CM37" s="23">
        <f>EXP(-LN(2)/2)*CM36+(1-EXP(-LN(2)/2))/(LN(2)/2)*CG37*CJ37*VLOOKUP('Données projet'!$B$12,Paramètres!$A$1:$I$88,3,0)*0.475*44/12</f>
        <v>21.162161572267216</v>
      </c>
      <c r="CN37" s="24">
        <f t="shared" si="12"/>
        <v>35.997225762629846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>
        <f>VLOOKUP(A37,'Données projet'!$A$139:$I$159,2,0)</f>
        <v>347.7</v>
      </c>
      <c r="CR37" s="13">
        <f>VLOOKUP(A37,'Données projet'!$A$139:$I$159,9,0)</f>
        <v>20.716666666666665</v>
      </c>
      <c r="CS37" s="13">
        <f t="array" ref="CS37">INDEX(CR:CR,MIN(IF(ISNUMBER(CR37:CR233),ROW(CR37:CR233),"")))</f>
        <v>20.716666666666665</v>
      </c>
      <c r="CT37" s="13">
        <f>IF('Données projet'!$A$140&gt;35,CT36+CS37-DB36,IF(A37&lt;'Données projet'!$A$140,$CQ$205^A37,IF(A37='Données projet'!$A$140,'Données projet'!$B$140,CT36+CS37-DB36)))</f>
        <v>347.69999999999982</v>
      </c>
      <c r="CU37" s="18">
        <f>CT37*VLOOKUP('Données projet'!$B$13,Paramètres!$A$1:$I$88,3,0)*VLOOKUP('Données projet'!$B$13,Paramètres!$A$1:$I$88,5,0)</f>
        <v>207.92459999999991</v>
      </c>
      <c r="CV37" s="14">
        <f t="shared" si="41"/>
        <v>51.481796756808421</v>
      </c>
      <c r="CW37" s="22">
        <f t="shared" si="13"/>
        <v>451.79947435144118</v>
      </c>
      <c r="CX37" s="62">
        <f t="shared" si="14"/>
        <v>694.57290581355676</v>
      </c>
      <c r="CY37" s="62">
        <f ca="1">AVERAGE(OFFSET($CX$3,0,0,'Données projet'!$E$13+1,1))-AVERAGE(OFFSET($H$3,0,0,'Données projet'!$E$13+1,1))</f>
        <v>401.1031790385295</v>
      </c>
      <c r="CZ37" s="62">
        <f t="shared" si="42"/>
        <v>402.09589424130615</v>
      </c>
      <c r="DA37" s="16">
        <f>IF(ISNA(VLOOKUP(A37,'Données projet'!$A$139:$I$159,3,0)),0,VLOOKUP(A37,'Données projet'!$A$139:$I$159,3,0))</f>
        <v>5</v>
      </c>
      <c r="DB37" s="16">
        <f>IF(ISNA(VLOOKUP(A37,'Données projet'!$A$139:$I$159,4,0)),0,VLOOKUP(A37,'Données projet'!$A$139:$I$159,4,0))</f>
        <v>46.2</v>
      </c>
      <c r="DC37" s="17">
        <f>IF(ISNA(VLOOKUP(A37,'Données projet'!$A$139:$I$159,5,0)),0%,VLOOKUP(A37,'Données projet'!$A$139:$I$159,5,0)*VLOOKUP('Données projet'!$B$13,Paramètres!$A$1:$I$88,7,0))</f>
        <v>0.18000000000000002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0.6</v>
      </c>
      <c r="DF37" s="23">
        <f>EXP(-LN(2)/35)*DF36+(1-EXP(-LN(2)/35))/(LN(2)/35)*DB37*DC37*VLOOKUP('Données projet'!$B$13,Paramètres!$A$1:$I$88,3,0)*0.475*44/12</f>
        <v>14.83506419036263</v>
      </c>
      <c r="DG37" s="23">
        <f>EXP(-LN(2)/25)*DG36+(1-EXP(-LN(2)/25))/(LN(2)/25)*Calculateur!DB37*Calculateur!DD37*VLOOKUP('Données projet'!$B$13,Paramètres!$A$1:$I$88,3,0)*0.475*44/12</f>
        <v>0</v>
      </c>
      <c r="DH37" s="23">
        <f>EXP(-LN(2)/2)*DH36+(1-EXP(-LN(2)/2))/(LN(2)/2)*DB37*DE37*VLOOKUP('Données projet'!$B$13,Paramètres!$A$1:$I$88,3,0)*0.475*44/12</f>
        <v>21.162161572267216</v>
      </c>
      <c r="DI37" s="24">
        <f t="shared" si="15"/>
        <v>35.997225762629846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34</v>
      </c>
      <c r="DO37" s="13">
        <f>IF('Données projet'!$A$166&gt;35,DO36+DN37-DW36,IF(A37&lt;'Données projet'!$A$166,$DL$205^A37,IF(A37='Données projet'!$A$166,'Données projet'!$B$166,DO36+DN37-DW36)))</f>
        <v>383.00000000000006</v>
      </c>
      <c r="DP37" s="18">
        <f>DO37*VLOOKUP('Données projet'!$B$14,Paramètres!$A$1:$I$88,3,0)*VLOOKUP('Données projet'!$B$14,Paramètres!$A$1:$I$88,5,0)</f>
        <v>154.34900000000002</v>
      </c>
      <c r="DQ37" s="14">
        <f t="shared" si="43"/>
        <v>39.565261486199752</v>
      </c>
      <c r="DR37" s="22">
        <f t="shared" si="16"/>
        <v>337.73400542179792</v>
      </c>
      <c r="DS37" s="62">
        <f t="shared" si="17"/>
        <v>580.50743688391344</v>
      </c>
      <c r="DT37" s="62">
        <f ca="1">AVERAGE(OFFSET($DS$3,0,0,'Données projet'!$E$14+1,1))-AVERAGE(OFFSET($H$3,0,0,'Données projet'!$E$14+1,1))</f>
        <v>432.59662347701629</v>
      </c>
      <c r="DU37" s="62">
        <f t="shared" si="44"/>
        <v>348.67401091099748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projet'!$B$14,Paramètres!$A$1:$I$88,3,0)*0.475*44/12</f>
        <v>5.7044261058934413</v>
      </c>
      <c r="EB37" s="23">
        <f>EXP(-LN(2)/25)*EB36+(1-EXP(-LN(2)/25))/(LN(2)/25)*Calculateur!DW37*Calculateur!DY37*VLOOKUP('Données projet'!$B$14,Paramètres!$A$1:$I$88,3,0)*0.475*44/12</f>
        <v>49.986244354216261</v>
      </c>
      <c r="EC37" s="23">
        <f>EXP(-LN(2)/2)*EC36+(1-EXP(-LN(2)/2))/(LN(2)/2)*DW37*DZ37*VLOOKUP('Données projet'!$B$14,Paramètres!$A$1:$I$88,3,0)*0.475*44/12</f>
        <v>0</v>
      </c>
      <c r="ED37" s="24">
        <f t="shared" si="18"/>
        <v>55.6906704601097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44.6</v>
      </c>
      <c r="EJ37" s="13">
        <f>IF('Données projet'!$A$192&gt;35,EJ36+EI37-ER36,IF(A37&lt;'Données projet'!$A$192,$EG$205^A37,IF(A37='Données projet'!$A$192,'Données projet'!$B$192,EJ36+EI37-ER36)))</f>
        <v>466.40000000000003</v>
      </c>
      <c r="EK37" s="18">
        <f>EJ37*VLOOKUP('Données projet'!$B$15,Paramètres!$A$1:$I$88,3,0)*VLOOKUP('Données projet'!$B$15,Paramètres!$A$1:$I$88,5,0)</f>
        <v>206.14880000000002</v>
      </c>
      <c r="EL37" s="14">
        <f t="shared" si="45"/>
        <v>51.093097163062346</v>
      </c>
      <c r="EM37" s="22">
        <f t="shared" si="19"/>
        <v>448.02963755900032</v>
      </c>
      <c r="EN37" s="62">
        <f t="shared" si="20"/>
        <v>690.8030690211159</v>
      </c>
      <c r="EO37" s="62">
        <f ca="1">AVERAGE(OFFSET($EN$3,0,0,'Données projet'!$E$15+1,1))-AVERAGE(OFFSET($H$3,0,0,'Données projet'!$E$15+1,1))</f>
        <v>582.26951914082088</v>
      </c>
      <c r="EP37" s="62">
        <f t="shared" si="46"/>
        <v>434.80429932654715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projet'!$B$15,Paramètres!$A$1:$I$88,3,0)*0.475*44/12</f>
        <v>14.90387233530492</v>
      </c>
      <c r="EW37" s="23">
        <f>EXP(-LN(2)/25)*EW36+(1-EXP(-LN(2)/25))/(LN(2)/25)*Calculateur!ER37*Calculateur!ET37*VLOOKUP('Données projet'!$B$15,Paramètres!$A$1:$I$88,3,0)*0.475*44/12</f>
        <v>67.693691702005182</v>
      </c>
      <c r="EX37" s="23">
        <f>EXP(-LN(2)/2)*EX36+(1-EXP(-LN(2)/2))/(LN(2)/2)*ER37*EU37*VLOOKUP('Données projet'!$B$15,Paramètres!$A$1:$I$88,3,0)*0.475*44/12</f>
        <v>0</v>
      </c>
      <c r="EY37" s="24">
        <f t="shared" si="21"/>
        <v>82.597564037310107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14.6</v>
      </c>
      <c r="FE37" s="13">
        <f>IF('Données projet'!$A$218&gt;35,FE36+FD37-FM36,IF(A37&lt;'Données projet'!$A$218,$FB$205^A37,IF(A37='Données projet'!$A$218,'Données projet'!$B$218,FE36+FD37-FM36)))</f>
        <v>179.39999999999995</v>
      </c>
      <c r="FF37" s="18">
        <f>FE37*VLOOKUP('Données projet'!$B$16,Paramètres!$A$1:$I$88,3,0)*VLOOKUP('Données projet'!$B$16,Paramètres!$A$1:$I$88,5,0)</f>
        <v>83.959199999999967</v>
      </c>
      <c r="FG37" s="14">
        <f t="shared" si="47"/>
        <v>23.10249088081062</v>
      </c>
      <c r="FH37" s="22">
        <f t="shared" si="22"/>
        <v>186.46577828407843</v>
      </c>
      <c r="FI37" s="62">
        <f t="shared" si="23"/>
        <v>429.23920974619398</v>
      </c>
      <c r="FJ37" s="62">
        <f ca="1">AVERAGE(OFFSET($FI$3,0,0,'Données projet'!$E$16+1,1))-AVERAGE(OFFSET($H$3,0,0,'Données projet'!$E$16+1,1))</f>
        <v>429.87867712133851</v>
      </c>
      <c r="FK37" s="62">
        <f t="shared" si="48"/>
        <v>182.81277865988014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projet'!$B$16,Paramètres!$A$1:$I$88,3,0)*0.475*44/12</f>
        <v>0</v>
      </c>
      <c r="FR37" s="23">
        <f>EXP(-LN(2)/25)*FR36+(1-EXP(-LN(2)/25))/(LN(2)/25)*Calculateur!FM37*Calculateur!FO37*VLOOKUP('Données projet'!$B$16,Paramètres!$A$1:$I$88,3,0)*0.475*44/12</f>
        <v>0</v>
      </c>
      <c r="FS37" s="23">
        <f>EXP(-LN(2)/2)*FS36+(1-EXP(-LN(2)/2))/(LN(2)/2)*FM37*FP37*VLOOKUP('Données projet'!$B$16,Paramètres!$A$1:$I$88,3,0)*0.475*44/12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19.2</v>
      </c>
      <c r="FZ37" s="13">
        <f>IF('Données projet'!$A$244&gt;35,FZ36+FY37-GH36,IF(A37&lt;'Données projet'!$A$244,$FW$205^A37,IF(A37='Données projet'!$A$244,'Données projet'!$B$244,FZ36+FY37-GH36)))</f>
        <v>224.7999999999999</v>
      </c>
      <c r="GA37" s="18">
        <f>FZ37*VLOOKUP('Données projet'!$B$17,Paramètres!$A$1:$I$88,3,0)*VLOOKUP('Données projet'!$B$17,Paramètres!$A$1:$I$88,5,0)</f>
        <v>108.12879999999996</v>
      </c>
      <c r="GB37" s="14">
        <f t="shared" si="49"/>
        <v>28.889675993555052</v>
      </c>
      <c r="GC37" s="22">
        <f t="shared" si="25"/>
        <v>238.64051235544162</v>
      </c>
      <c r="GD37" s="62">
        <f t="shared" si="26"/>
        <v>481.4139438175572</v>
      </c>
      <c r="GE37" s="62">
        <f ca="1">AVERAGE(OFFSET($GD$3,0,0,'Données projet'!$E$17+1,1))-AVERAGE(OFFSET($H$3,0,0,'Données projet'!$E$17+1,1))</f>
        <v>273.24375559399846</v>
      </c>
      <c r="GF37" s="62">
        <f t="shared" si="50"/>
        <v>270.77718895097848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projet'!$B$17,Paramètres!$A$1:$I$88,3,0)*0.475*44/12</f>
        <v>8.4236863908563251</v>
      </c>
      <c r="GM37" s="23">
        <f>EXP(-LN(2)/25)*GM36+(1-EXP(-LN(2)/25))/(LN(2)/25)*Calculateur!GH37*Calculateur!GJ37*VLOOKUP('Données projet'!$B$17,Paramètres!$A$1:$I$88,3,0)*0.475*44/12</f>
        <v>25.519306340450211</v>
      </c>
      <c r="GN37" s="23">
        <f>EXP(-LN(2)/2)*GN36+(1-EXP(-LN(2)/2))/(LN(2)/2)*GH37*GK37*VLOOKUP('Données projet'!$B$17,Paramètres!$A$1:$I$88,3,0)*0.475*44/12</f>
        <v>0</v>
      </c>
      <c r="GO37" s="23">
        <f t="shared" si="27"/>
        <v>33.942992731306532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355</v>
      </c>
      <c r="L38" s="13">
        <f>VLOOKUP(A38,'Données projet'!$A$35:$I$55,9,0)</f>
        <v>19.857142857142858</v>
      </c>
      <c r="M38" s="13">
        <f t="array" ref="M38">INDEX(L:L,MIN(IF(ISNUMBER(L38:L234),ROW(L38:L234),"")))</f>
        <v>19.857142857142858</v>
      </c>
      <c r="N38" s="14">
        <f>IF('Données projet'!$A$36&gt;35,N37+M38-V37,IF(A38&lt;'Données projet'!$A$36,$K$205^A38,IF(A38='Données projet'!$A$36,'Données projet'!$B$36,N37+M38-V37)))</f>
        <v>354.99999999999989</v>
      </c>
      <c r="O38" s="14">
        <f>N38*VLOOKUP('Données projet'!$B$9,Paramètres!$A$1:$I$88,3,0)*VLOOKUP('Données projet'!$B$9,Paramètres!$A$1:$I$88,5,0)</f>
        <v>198.44499999999994</v>
      </c>
      <c r="P38" s="14">
        <f t="shared" si="33"/>
        <v>49.40227070134226</v>
      </c>
      <c r="Q38" s="22">
        <f t="shared" si="53"/>
        <v>431.66732980483766</v>
      </c>
      <c r="R38" s="62">
        <f t="shared" si="0"/>
        <v>675.3178625294122</v>
      </c>
      <c r="S38" s="62">
        <f ca="1">AVERAGE(OFFSET($R$3,0,0,'Données projet'!$E$9+1,1))-AVERAGE(OFFSET($H$3,0,0,'Données projet'!$E$9+1,1))</f>
        <v>289.94242154211224</v>
      </c>
      <c r="T38" s="62">
        <f t="shared" si="34"/>
        <v>369.12599166143661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73</v>
      </c>
      <c r="W38" s="17">
        <f>IF(ISNA(VLOOKUP(A38,'Données projet'!$A$35:$I$55,5,0)),0%,VLOOKUP(A38,'Données projet'!$A$35:$I$55,5,0)*VLOOKUP('Données projet'!$B$9,Paramètres!$A$1:$I$88,7,0))</f>
        <v>0.16500000000000001</v>
      </c>
      <c r="X38" s="17">
        <f>IF(ISNA(VLOOKUP(A38,'Données projet'!$A$35:$I$55,6,0)),0%,VLOOKUP(A38,'Données projet'!$A$35:$I$55,6,0)*VLOOKUP('Données projet'!$B$9,Paramètres!$A$1:$I$88,7,0))</f>
        <v>0.38500000000000001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15.749039274120069</v>
      </c>
      <c r="AA38" s="23">
        <f>EXP(-LN(2)/25)*AA37+(1-EXP(-LN(2)/25))/(LN(2)/25)*Calculateur!V38*Calculateur!X38*VLOOKUP('Données projet'!$B$9,Paramètres!$A$1:$I$88,3,0)*0.475*44/12</f>
        <v>35.748412274351764</v>
      </c>
      <c r="AB38" s="23">
        <f>EXP(-LN(2)/2)*AB37+(1-EXP(-LN(2)/2))/(LN(2)/2)*V38*Y38*VLOOKUP('Données projet'!$B$9,Paramètres!$A$1:$I$88,3,0)*0.475*44/12</f>
        <v>0</v>
      </c>
      <c r="AC38" s="24">
        <f t="shared" si="3"/>
        <v>51.49745154847183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2.875</v>
      </c>
      <c r="AI38" s="14">
        <f>IF('Données projet'!$A$62&gt;35,AI37+AH38-AQ37,IF(A38&lt;'Données projet'!$A$62,$AF$205^A38,IF(A38='Données projet'!$A$62,'Données projet'!$B$62,AI37+AH38-AQ37)))</f>
        <v>19.25</v>
      </c>
      <c r="AJ38" s="14">
        <f>AI38*VLOOKUP('Données projet'!$B$10,Paramètres!$A$1:$I$88,3,0)*VLOOKUP('Données projet'!$B$10,Paramètres!$A$1:$I$88,5,0)</f>
        <v>17.417400000000001</v>
      </c>
      <c r="AK38" s="14">
        <f t="shared" si="35"/>
        <v>5.7555248254689735</v>
      </c>
      <c r="AL38" s="22">
        <f t="shared" si="4"/>
        <v>40.359510737691799</v>
      </c>
      <c r="AM38" s="62">
        <f t="shared" si="5"/>
        <v>284.01004346226631</v>
      </c>
      <c r="AN38" s="62">
        <f ca="1">AVERAGE(OFFSET($AM$3,0,0,'Données projet'!$E$10+1,1))-AVERAGE(OFFSET($H$3,0,0,'Données projet'!$E$10+1,1))</f>
        <v>518.31628039365785</v>
      </c>
      <c r="AO38" s="62">
        <f t="shared" si="36"/>
        <v>66.435071953154761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0</v>
      </c>
      <c r="AV38" s="23">
        <f>EXP(-LN(2)/25)*AV37+(1-EXP(-LN(2)/25))/(LN(2)/25)*Calculateur!AQ38*Calculateur!AS38*VLOOKUP('Données projet'!$B$10,Paramètres!$A$1:$I$88,3,0)*0.475*44/12</f>
        <v>0</v>
      </c>
      <c r="AW38" s="23">
        <f>EXP(-LN(2)/2)*AW37+(1-EXP(-LN(2)/2))/(LN(2)/2)*AQ38*AT38*VLOOKUP('Données projet'!$B$10,Paramètres!$A$1:$I$88,3,0)*0.475*44/12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2.875</v>
      </c>
      <c r="BD38" s="13">
        <f>IF('Données projet'!$A$88&gt;35,BD37+BC38-BL37,IF(A38&lt;'Données projet'!$A$88,$BA$205^A38,IF(A38='Données projet'!$A$88,'Données projet'!$B$88,BD37+BC38-BL37)))</f>
        <v>19.25</v>
      </c>
      <c r="BE38" s="14">
        <f>BD38*VLOOKUP('Données projet'!$B$11,Paramètres!$A$1:$I$88,3,0)*VLOOKUP('Données projet'!$B$11,Paramètres!$A$1:$I$88,5,0)</f>
        <v>19.519500000000001</v>
      </c>
      <c r="BF38" s="14">
        <f t="shared" si="37"/>
        <v>6.3651728010353485</v>
      </c>
      <c r="BG38" s="22">
        <f t="shared" si="7"/>
        <v>45.08247179513657</v>
      </c>
      <c r="BH38" s="62">
        <f t="shared" si="8"/>
        <v>288.73300451971107</v>
      </c>
      <c r="BI38" s="62">
        <f ca="1">AVERAGE(OFFSET($BH$3,0,0,'Données projet'!$E$11+1,1))-AVERAGE(OFFSET($H$3,0,0,'Données projet'!$E$11+1,1))</f>
        <v>570.2785736203931</v>
      </c>
      <c r="BJ38" s="62">
        <f t="shared" si="38"/>
        <v>67.677759965081719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0</v>
      </c>
      <c r="BQ38" s="23">
        <f>EXP(-LN(2)/25)*BQ37+(1-EXP(-LN(2)/25))/(LN(2)/25)*Calculateur!BL38*Calculateur!BN38*VLOOKUP('Données projet'!$B$11,Paramètres!$A$1:$I$88,3,0)*0.475*44/12</f>
        <v>0</v>
      </c>
      <c r="BR38" s="23">
        <f>EXP(-LN(2)/2)*BR37+(1-EXP(-LN(2)/2))/(LN(2)/2)*BL38*BO38*VLOOKUP('Données projet'!$B$11,Paramètres!$A$1:$I$88,3,0)*0.475*44/12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20.583333333333332</v>
      </c>
      <c r="BY38" s="13">
        <f>IF('Données projet'!$A$114&gt;35,BY37+BX38-CG37,IF(A38&lt;'Données projet'!$A$114,$BV$205^A38,IF(A38='Données projet'!$A$114,'Données projet'!$B$114,BY37+BX38-CG37)))</f>
        <v>322.08333333333314</v>
      </c>
      <c r="BZ38" s="14">
        <f>BY38*VLOOKUP('Données projet'!$B$12,Paramètres!$A$1:$I$88,3,0)*VLOOKUP('Données projet'!$B$12,Paramètres!$A$1:$I$88,5,0)</f>
        <v>192.60583333333324</v>
      </c>
      <c r="CA38" s="14">
        <f t="shared" si="39"/>
        <v>48.115608075425975</v>
      </c>
      <c r="CB38" s="22">
        <f t="shared" si="10"/>
        <v>419.25651045358899</v>
      </c>
      <c r="CC38" s="62">
        <f t="shared" si="11"/>
        <v>662.90704317816346</v>
      </c>
      <c r="CD38" s="62">
        <f ca="1">AVERAGE(OFFSET($CC$3,0,0,'Données projet'!$E$12+1,1))-AVERAGE(OFFSET($H$3,0,0,'Données projet'!$E$12+1,1))</f>
        <v>401.1031790385295</v>
      </c>
      <c r="CE38" s="62">
        <f t="shared" si="40"/>
        <v>402.09589424130615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projet'!$B$12,Paramètres!$A$1:$I$88,3,0)*0.475*44/12</f>
        <v>14.54415763008531</v>
      </c>
      <c r="CL38" s="23">
        <f>EXP(-LN(2)/25)*CL37+(1-EXP(-LN(2)/25))/(LN(2)/25)*Calculateur!CG38*Calculateur!CI38*VLOOKUP('Données projet'!$B$12,Paramètres!$A$1:$I$88,3,0)*0.475*44/12</f>
        <v>0</v>
      </c>
      <c r="CM38" s="23">
        <f>EXP(-LN(2)/2)*CM37+(1-EXP(-LN(2)/2))/(LN(2)/2)*CG38*CJ38*VLOOKUP('Données projet'!$B$12,Paramètres!$A$1:$I$88,3,0)*0.475*44/12</f>
        <v>14.96390795231552</v>
      </c>
      <c r="CN38" s="24">
        <f t="shared" si="12"/>
        <v>29.508065582400832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20.583333333333332</v>
      </c>
      <c r="CT38" s="13">
        <f>IF('Données projet'!$A$140&gt;35,CT37+CS38-DB37,IF(A38&lt;'Données projet'!$A$140,$CQ$205^A38,IF(A38='Données projet'!$A$140,'Données projet'!$B$140,CT37+CS38-DB37)))</f>
        <v>322.08333333333314</v>
      </c>
      <c r="CU38" s="18">
        <f>CT38*VLOOKUP('Données projet'!$B$13,Paramètres!$A$1:$I$88,3,0)*VLOOKUP('Données projet'!$B$13,Paramètres!$A$1:$I$88,5,0)</f>
        <v>192.60583333333324</v>
      </c>
      <c r="CV38" s="14">
        <f t="shared" si="41"/>
        <v>48.115608075425975</v>
      </c>
      <c r="CW38" s="22">
        <f t="shared" si="13"/>
        <v>419.25651045358899</v>
      </c>
      <c r="CX38" s="62">
        <f t="shared" si="14"/>
        <v>662.90704317816346</v>
      </c>
      <c r="CY38" s="62">
        <f ca="1">AVERAGE(OFFSET($CX$3,0,0,'Données projet'!$E$13+1,1))-AVERAGE(OFFSET($H$3,0,0,'Données projet'!$E$13+1,1))</f>
        <v>401.1031790385295</v>
      </c>
      <c r="CZ38" s="62">
        <f t="shared" si="42"/>
        <v>402.09589424130615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projet'!$B$13,Paramètres!$A$1:$I$88,3,0)*0.475*44/12</f>
        <v>14.54415763008531</v>
      </c>
      <c r="DG38" s="23">
        <f>EXP(-LN(2)/25)*DG37+(1-EXP(-LN(2)/25))/(LN(2)/25)*Calculateur!DB38*Calculateur!DD38*VLOOKUP('Données projet'!$B$13,Paramètres!$A$1:$I$88,3,0)*0.475*44/12</f>
        <v>0</v>
      </c>
      <c r="DH38" s="23">
        <f>EXP(-LN(2)/2)*DH37+(1-EXP(-LN(2)/2))/(LN(2)/2)*DB38*DE38*VLOOKUP('Données projet'!$B$13,Paramètres!$A$1:$I$88,3,0)*0.475*44/12</f>
        <v>14.96390795231552</v>
      </c>
      <c r="DI38" s="24">
        <f t="shared" si="15"/>
        <v>29.508065582400832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417</v>
      </c>
      <c r="DM38" s="13">
        <f>VLOOKUP(A38,'Données projet'!$A$165:$I$185,9,0)</f>
        <v>34</v>
      </c>
      <c r="DN38" s="13">
        <f t="array" ref="DN38">INDEX(DM:DM,MIN(IF(ISNUMBER(DM38:DM234),ROW(DM38:DM234),"")))</f>
        <v>34</v>
      </c>
      <c r="DO38" s="13">
        <f>IF('Données projet'!$A$166&gt;35,DO37+DN38-DW37,IF(A38&lt;'Données projet'!$A$166,$DL$205^A38,IF(A38='Données projet'!$A$166,'Données projet'!$B$166,DO37+DN38-DW37)))</f>
        <v>417.00000000000006</v>
      </c>
      <c r="DP38" s="18">
        <f>DO38*VLOOKUP('Données projet'!$B$14,Paramètres!$A$1:$I$88,3,0)*VLOOKUP('Données projet'!$B$14,Paramètres!$A$1:$I$88,5,0)</f>
        <v>168.05100000000002</v>
      </c>
      <c r="DQ38" s="14">
        <f t="shared" si="43"/>
        <v>42.65321990955615</v>
      </c>
      <c r="DR38" s="22">
        <f t="shared" si="16"/>
        <v>366.976516342477</v>
      </c>
      <c r="DS38" s="62">
        <f t="shared" si="17"/>
        <v>610.62704906705153</v>
      </c>
      <c r="DT38" s="62">
        <f ca="1">AVERAGE(OFFSET($DS$3,0,0,'Données projet'!$E$14+1,1))-AVERAGE(OFFSET($H$3,0,0,'Données projet'!$E$14+1,1))</f>
        <v>432.59662347701629</v>
      </c>
      <c r="DU38" s="62">
        <f t="shared" si="44"/>
        <v>348.67401091099748</v>
      </c>
      <c r="DV38" s="16">
        <f>IF(ISNA(VLOOKUP(A38,'Données projet'!$A$165:$I$185,3,0)),0,VLOOKUP(A38,'Données projet'!$A$165:$I$185,3,0))</f>
        <v>4</v>
      </c>
      <c r="DW38" s="16">
        <f>IF(ISNA(VLOOKUP(A38,'Données projet'!$A$165:$I$185,4,0)),0,VLOOKUP(A38,'Données projet'!$A$165:$I$185,4,0))</f>
        <v>84</v>
      </c>
      <c r="DX38" s="17">
        <f>IF(ISNA(VLOOKUP(A38,'Données projet'!$A$165:$I$185,5,0)),0%,VLOOKUP(A38,'Données projet'!$A$165:$I$185,5,0)*VLOOKUP('Données projet'!$B$14,Paramètres!$A$1:$I$88,7,0))</f>
        <v>0.13750000000000001</v>
      </c>
      <c r="DY38" s="17">
        <f>IF(ISNA(VLOOKUP(A38,'Données projet'!$A$165:$I$185,6,0)),0%,VLOOKUP(A38,'Données projet'!$A$165:$I$185,6,0)*VLOOKUP('Données projet'!$B$14,Paramètres!$A$1:$I$88,7,0))</f>
        <v>0.41250000000000003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projet'!$B$14,Paramètres!$A$1:$I$88,3,0)*0.475*44/12</f>
        <v>11.767259031824892</v>
      </c>
      <c r="EB38" s="23">
        <f>EXP(-LN(2)/25)*EB37+(1-EXP(-LN(2)/25))/(LN(2)/25)*Calculateur!DW38*Calculateur!DY38*VLOOKUP('Données projet'!$B$14,Paramètres!$A$1:$I$88,3,0)*0.475*44/12</f>
        <v>67.070511241107809</v>
      </c>
      <c r="EC38" s="23">
        <f>EXP(-LN(2)/2)*EC37+(1-EXP(-LN(2)/2))/(LN(2)/2)*DW38*DZ38*VLOOKUP('Données projet'!$B$14,Paramètres!$A$1:$I$88,3,0)*0.475*44/12</f>
        <v>0</v>
      </c>
      <c r="ED38" s="24">
        <f t="shared" si="18"/>
        <v>78.837770272932701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511</v>
      </c>
      <c r="EH38" s="13">
        <f>VLOOKUP(A38,'Données projet'!$A$191:$I$211,9,0)</f>
        <v>44.6</v>
      </c>
      <c r="EI38" s="13">
        <f t="array" ref="EI38">INDEX(EH:EH,MIN(IF(ISNUMBER(EH38:EH234),ROW(EH38:EH234),"")))</f>
        <v>44.6</v>
      </c>
      <c r="EJ38" s="13">
        <f>IF('Données projet'!$A$192&gt;35,EJ37+EI38-ER37,IF(A38&lt;'Données projet'!$A$192,$EG$205^A38,IF(A38='Données projet'!$A$192,'Données projet'!$B$192,EJ37+EI38-ER37)))</f>
        <v>511.00000000000006</v>
      </c>
      <c r="EK38" s="18">
        <f>EJ38*VLOOKUP('Données projet'!$B$15,Paramètres!$A$1:$I$88,3,0)*VLOOKUP('Données projet'!$B$15,Paramètres!$A$1:$I$88,5,0)</f>
        <v>225.86200000000005</v>
      </c>
      <c r="EL38" s="14">
        <f t="shared" si="45"/>
        <v>55.387005983013452</v>
      </c>
      <c r="EM38" s="22">
        <f t="shared" si="19"/>
        <v>489.8420187537485</v>
      </c>
      <c r="EN38" s="62">
        <f t="shared" si="20"/>
        <v>733.49255147832298</v>
      </c>
      <c r="EO38" s="62">
        <f ca="1">AVERAGE(OFFSET($EN$3,0,0,'Données projet'!$E$15+1,1))-AVERAGE(OFFSET($H$3,0,0,'Données projet'!$E$15+1,1))</f>
        <v>582.26951914082088</v>
      </c>
      <c r="EP38" s="62">
        <f t="shared" si="46"/>
        <v>434.80429932654715</v>
      </c>
      <c r="EQ38" s="16">
        <f>IF(ISNA(VLOOKUP(A38,'Données projet'!$A$191:$I$211,3,0)),0,VLOOKUP(A38,'Données projet'!$A$191:$I$211,3,0))</f>
        <v>5</v>
      </c>
      <c r="ER38" s="16">
        <f>IF(ISNA(VLOOKUP(A38,'Données projet'!$A$191:$I$211,4,0)),0,VLOOKUP(A38,'Données projet'!$A$191:$I$211,4,0))</f>
        <v>105</v>
      </c>
      <c r="ES38" s="17">
        <f>IF(ISNA(VLOOKUP(A38,'Données projet'!$A$191:$I$211,5,0)),0%,VLOOKUP(A38,'Données projet'!$A$191:$I$211,5,0)*VLOOKUP('Données projet'!$B$15,Paramètres!$A$1:$I$88,7,0))</f>
        <v>0.16500000000000001</v>
      </c>
      <c r="ET38" s="17">
        <f>IF(ISNA(VLOOKUP(A38,'Données projet'!$A$191:$I$211,6,0)),0%,VLOOKUP(A38,'Données projet'!$A$191:$I$211,6,0)*VLOOKUP('Données projet'!$B$15,Paramètres!$A$1:$I$88,7,0))</f>
        <v>0.38500000000000001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projet'!$B$15,Paramètres!$A$1:$I$88,3,0)*0.475*44/12</f>
        <v>24.769982791470703</v>
      </c>
      <c r="EW38" s="23">
        <f>EXP(-LN(2)/25)*EW37+(1-EXP(-LN(2)/25))/(LN(2)/25)*Calculateur!ER38*Calculateur!ET38*VLOOKUP('Données projet'!$B$15,Paramètres!$A$1:$I$88,3,0)*0.475*44/12</f>
        <v>89.452131677212932</v>
      </c>
      <c r="EX38" s="23">
        <f>EXP(-LN(2)/2)*EX37+(1-EXP(-LN(2)/2))/(LN(2)/2)*ER38*EU38*VLOOKUP('Données projet'!$B$15,Paramètres!$A$1:$I$88,3,0)*0.475*44/12</f>
        <v>0</v>
      </c>
      <c r="EY38" s="24">
        <f t="shared" si="21"/>
        <v>114.22211446868363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14.6</v>
      </c>
      <c r="FE38" s="13">
        <f>IF('Données projet'!$A$218&gt;35,FE37+FD38-FM37,IF(A38&lt;'Données projet'!$A$218,$FB$205^A38,IF(A38='Données projet'!$A$218,'Données projet'!$B$218,FE37+FD38-FM37)))</f>
        <v>193.99999999999994</v>
      </c>
      <c r="FF38" s="18">
        <f>FE38*VLOOKUP('Données projet'!$B$16,Paramètres!$A$1:$I$88,3,0)*VLOOKUP('Données projet'!$B$16,Paramètres!$A$1:$I$88,5,0)</f>
        <v>90.791999999999973</v>
      </c>
      <c r="FG38" s="14">
        <f t="shared" si="47"/>
        <v>24.756138813110173</v>
      </c>
      <c r="FH38" s="22">
        <f t="shared" si="22"/>
        <v>201.24634176616681</v>
      </c>
      <c r="FI38" s="62">
        <f t="shared" si="23"/>
        <v>444.89687449074131</v>
      </c>
      <c r="FJ38" s="62">
        <f ca="1">AVERAGE(OFFSET($FI$3,0,0,'Données projet'!$E$16+1,1))-AVERAGE(OFFSET($H$3,0,0,'Données projet'!$E$16+1,1))</f>
        <v>429.87867712133851</v>
      </c>
      <c r="FK38" s="62">
        <f t="shared" si="48"/>
        <v>182.81277865988014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projet'!$B$16,Paramètres!$A$1:$I$88,3,0)*0.475*44/12</f>
        <v>0</v>
      </c>
      <c r="FR38" s="23">
        <f>EXP(-LN(2)/25)*FR37+(1-EXP(-LN(2)/25))/(LN(2)/25)*Calculateur!FM38*Calculateur!FO38*VLOOKUP('Données projet'!$B$16,Paramètres!$A$1:$I$88,3,0)*0.475*44/12</f>
        <v>0</v>
      </c>
      <c r="FS38" s="23">
        <f>EXP(-LN(2)/2)*FS37+(1-EXP(-LN(2)/2))/(LN(2)/2)*FM38*FP38*VLOOKUP('Données projet'!$B$16,Paramètres!$A$1:$I$88,3,0)*0.475*44/12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244</v>
      </c>
      <c r="FX38" s="13">
        <f>VLOOKUP(A38,'Données projet'!$A$243:$I$263,9,0)</f>
        <v>19.2</v>
      </c>
      <c r="FY38" s="13">
        <f t="array" ref="FY38">INDEX(FX:FX,MIN(IF(ISNUMBER(FX38:FX234),ROW(FX38:FX234),"")))</f>
        <v>19.2</v>
      </c>
      <c r="FZ38" s="13">
        <f>IF('Données projet'!$A$244&gt;35,FZ37+FY38-GH37,IF(A38&lt;'Données projet'!$A$244,$FW$205^A38,IF(A38='Données projet'!$A$244,'Données projet'!$B$244,FZ37+FY38-GH37)))</f>
        <v>243.99999999999989</v>
      </c>
      <c r="GA38" s="18">
        <f>FZ38*VLOOKUP('Données projet'!$B$17,Paramètres!$A$1:$I$88,3,0)*VLOOKUP('Données projet'!$B$17,Paramètres!$A$1:$I$88,5,0)</f>
        <v>117.36399999999995</v>
      </c>
      <c r="GB38" s="14">
        <f t="shared" si="49"/>
        <v>31.059403079292657</v>
      </c>
      <c r="GC38" s="22">
        <f t="shared" si="25"/>
        <v>258.50409369643461</v>
      </c>
      <c r="GD38" s="62">
        <f t="shared" si="26"/>
        <v>502.15462642100908</v>
      </c>
      <c r="GE38" s="62">
        <f ca="1">AVERAGE(OFFSET($GD$3,0,0,'Données projet'!$E$17+1,1))-AVERAGE(OFFSET($H$3,0,0,'Données projet'!$E$17+1,1))</f>
        <v>273.24375559399846</v>
      </c>
      <c r="GF38" s="62">
        <f t="shared" si="50"/>
        <v>270.77718895097848</v>
      </c>
      <c r="GG38" s="16">
        <f>IF(ISNA(VLOOKUP(A38,'Données projet'!$A$243:$I$263,3,0)),0,VLOOKUP(A38,'Données projet'!$A$243:$I$263,3,0))</f>
        <v>5</v>
      </c>
      <c r="GH38" s="16">
        <f>IF(ISNA(VLOOKUP(A38,'Données projet'!$A$243:$I$263,4,0)),0,VLOOKUP(A38,'Données projet'!$A$243:$I$263,4,0))</f>
        <v>52</v>
      </c>
      <c r="GI38" s="17">
        <f>IF(ISNA(VLOOKUP(A38,'Données projet'!$A$243:$I$263,5,0)),0%,VLOOKUP(A38,'Données projet'!$A$243:$I$263,5,0)*VLOOKUP('Données projet'!$B$17,Paramètres!$A$1:$I$88,7,0))</f>
        <v>0.16500000000000001</v>
      </c>
      <c r="GJ38" s="17">
        <f>IF(ISNA(VLOOKUP(A38,'Données projet'!$A$243:$I$263,6,0)),0%,VLOOKUP(A38,'Données projet'!$A$243:$I$263,6,0)*VLOOKUP('Données projet'!$B$17,Paramètres!$A$1:$I$88,7,0))</f>
        <v>0.38500000000000001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projet'!$B$17,Paramètres!$A$1:$I$88,3,0)*0.475*44/12</f>
        <v>13.733208014982875</v>
      </c>
      <c r="GM38" s="23">
        <f>EXP(-LN(2)/25)*GM37+(1-EXP(-LN(2)/25))/(LN(2)/25)*Calculateur!GH38*Calculateur!GJ38*VLOOKUP('Données projet'!$B$17,Paramètres!$A$1:$I$88,3,0)*0.475*44/12</f>
        <v>37.545493845749945</v>
      </c>
      <c r="GN38" s="23">
        <f>EXP(-LN(2)/2)*GN37+(1-EXP(-LN(2)/2))/(LN(2)/2)*GH38*GK38*VLOOKUP('Données projet'!$B$17,Paramètres!$A$1:$I$88,3,0)*0.475*44/12</f>
        <v>0</v>
      </c>
      <c r="GO38" s="23">
        <f t="shared" si="27"/>
        <v>51.278701860732824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19.571428571428573</v>
      </c>
      <c r="N39" s="14">
        <f>IF('Données projet'!$A$36&gt;35,N38+M39-V38,IF(A39&lt;'Données projet'!$A$36,$K$205^A39,IF(A39='Données projet'!$A$36,'Données projet'!$B$36,N38+M39-V38)))</f>
        <v>301.57142857142844</v>
      </c>
      <c r="O39" s="14">
        <f>N39*VLOOKUP('Données projet'!$B$9,Paramètres!$A$1:$I$88,3,0)*VLOOKUP('Données projet'!$B$9,Paramètres!$A$1:$I$88,5,0)</f>
        <v>168.5784285714285</v>
      </c>
      <c r="P39" s="14">
        <f t="shared" si="33"/>
        <v>42.771483439273169</v>
      </c>
      <c r="Q39" s="22">
        <f t="shared" si="53"/>
        <v>368.10109675197208</v>
      </c>
      <c r="R39" s="62">
        <f t="shared" si="0"/>
        <v>612.61351499300645</v>
      </c>
      <c r="S39" s="62">
        <f ca="1">AVERAGE(OFFSET($R$3,0,0,'Données projet'!$E$9+1,1))-AVERAGE(OFFSET($H$3,0,0,'Données projet'!$E$9+1,1))</f>
        <v>289.94242154211224</v>
      </c>
      <c r="T39" s="62">
        <f t="shared" si="34"/>
        <v>369.12599166143661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15.44021021992002</v>
      </c>
      <c r="AA39" s="23">
        <f>EXP(-LN(2)/25)*AA38+(1-EXP(-LN(2)/25))/(LN(2)/25)*Calculateur!V39*Calculateur!X39*VLOOKUP('Données projet'!$B$9,Paramètres!$A$1:$I$88,3,0)*0.475*44/12</f>
        <v>34.770870060782315</v>
      </c>
      <c r="AB39" s="23">
        <f>EXP(-LN(2)/2)*AB38+(1-EXP(-LN(2)/2))/(LN(2)/2)*V39*Y39*VLOOKUP('Données projet'!$B$9,Paramètres!$A$1:$I$88,3,0)*0.475*44/12</f>
        <v>0</v>
      </c>
      <c r="AC39" s="24">
        <f t="shared" si="3"/>
        <v>50.211080280702333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2.875</v>
      </c>
      <c r="AI39" s="14">
        <f>IF('Données projet'!$A$62&gt;35,AI38+AH39-AQ38,IF(A39&lt;'Données projet'!$A$62,$AF$205^A39,IF(A39='Données projet'!$A$62,'Données projet'!$B$62,AI38+AH39-AQ38)))</f>
        <v>22.125</v>
      </c>
      <c r="AJ39" s="14">
        <f>AI39*VLOOKUP('Données projet'!$B$10,Paramètres!$A$1:$I$88,3,0)*VLOOKUP('Données projet'!$B$10,Paramètres!$A$1:$I$88,5,0)</f>
        <v>20.018699999999999</v>
      </c>
      <c r="AK39" s="14">
        <f t="shared" si="35"/>
        <v>6.5087981091173015</v>
      </c>
      <c r="AL39" s="22">
        <f t="shared" si="4"/>
        <v>46.202059206712626</v>
      </c>
      <c r="AM39" s="62">
        <f t="shared" si="5"/>
        <v>290.71447744774707</v>
      </c>
      <c r="AN39" s="62">
        <f ca="1">AVERAGE(OFFSET($AM$3,0,0,'Données projet'!$E$10+1,1))-AVERAGE(OFFSET($H$3,0,0,'Données projet'!$E$10+1,1))</f>
        <v>518.31628039365785</v>
      </c>
      <c r="AO39" s="62">
        <f t="shared" si="36"/>
        <v>66.435071953154761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0</v>
      </c>
      <c r="AV39" s="23">
        <f>EXP(-LN(2)/25)*AV38+(1-EXP(-LN(2)/25))/(LN(2)/25)*Calculateur!AQ39*Calculateur!AS39*VLOOKUP('Données projet'!$B$10,Paramètres!$A$1:$I$88,3,0)*0.475*44/12</f>
        <v>0</v>
      </c>
      <c r="AW39" s="23">
        <f>EXP(-LN(2)/2)*AW38+(1-EXP(-LN(2)/2))/(LN(2)/2)*AQ39*AT39*VLOOKUP('Données projet'!$B$10,Paramètres!$A$1:$I$88,3,0)*0.475*44/12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2.875</v>
      </c>
      <c r="BD39" s="13">
        <f>IF('Données projet'!$A$88&gt;35,BD38+BC39-BL38,IF(A39&lt;'Données projet'!$A$88,$BA$205^A39,IF(A39='Données projet'!$A$88,'Données projet'!$B$88,BD38+BC39-BL38)))</f>
        <v>22.125</v>
      </c>
      <c r="BE39" s="14">
        <f>BD39*VLOOKUP('Données projet'!$B$11,Paramètres!$A$1:$I$88,3,0)*VLOOKUP('Données projet'!$B$11,Paramètres!$A$1:$I$88,5,0)</f>
        <v>22.434750000000001</v>
      </c>
      <c r="BF39" s="14">
        <f t="shared" si="37"/>
        <v>7.1982357730874682</v>
      </c>
      <c r="BG39" s="22">
        <f t="shared" si="7"/>
        <v>51.610783554794011</v>
      </c>
      <c r="BH39" s="62">
        <f t="shared" si="8"/>
        <v>296.12320179582844</v>
      </c>
      <c r="BI39" s="62">
        <f ca="1">AVERAGE(OFFSET($BH$3,0,0,'Données projet'!$E$11+1,1))-AVERAGE(OFFSET($H$3,0,0,'Données projet'!$E$11+1,1))</f>
        <v>570.2785736203931</v>
      </c>
      <c r="BJ39" s="62">
        <f t="shared" si="38"/>
        <v>67.677759965081719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0</v>
      </c>
      <c r="BQ39" s="23">
        <f>EXP(-LN(2)/25)*BQ38+(1-EXP(-LN(2)/25))/(LN(2)/25)*Calculateur!BL39*Calculateur!BN39*VLOOKUP('Données projet'!$B$11,Paramètres!$A$1:$I$88,3,0)*0.475*44/12</f>
        <v>0</v>
      </c>
      <c r="BR39" s="23">
        <f>EXP(-LN(2)/2)*BR38+(1-EXP(-LN(2)/2))/(LN(2)/2)*BL39*BO39*VLOOKUP('Données projet'!$B$11,Paramètres!$A$1:$I$88,3,0)*0.475*44/12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20.583333333333332</v>
      </c>
      <c r="BY39" s="13">
        <f>IF('Données projet'!$A$114&gt;35,BY38+BX39-CG38,IF(A39&lt;'Données projet'!$A$114,$BV$205^A39,IF(A39='Données projet'!$A$114,'Données projet'!$B$114,BY38+BX39-CG38)))</f>
        <v>342.66666666666646</v>
      </c>
      <c r="BZ39" s="14">
        <f>BY39*VLOOKUP('Données projet'!$B$12,Paramètres!$A$1:$I$88,3,0)*VLOOKUP('Données projet'!$B$12,Paramètres!$A$1:$I$88,5,0)</f>
        <v>204.91466666666656</v>
      </c>
      <c r="CA39" s="14">
        <f t="shared" si="39"/>
        <v>50.822731934135412</v>
      </c>
      <c r="CB39" s="22">
        <f t="shared" si="10"/>
        <v>445.40930256306342</v>
      </c>
      <c r="CC39" s="62">
        <f t="shared" si="11"/>
        <v>689.92172080409784</v>
      </c>
      <c r="CD39" s="62">
        <f ca="1">AVERAGE(OFFSET($CC$3,0,0,'Données projet'!$E$12+1,1))-AVERAGE(OFFSET($H$3,0,0,'Données projet'!$E$12+1,1))</f>
        <v>401.1031790385295</v>
      </c>
      <c r="CE39" s="62">
        <f t="shared" si="40"/>
        <v>402.09589424130615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projet'!$B$12,Paramètres!$A$1:$I$88,3,0)*0.475*44/12</f>
        <v>14.258955570019546</v>
      </c>
      <c r="CL39" s="23">
        <f>EXP(-LN(2)/25)*CL38+(1-EXP(-LN(2)/25))/(LN(2)/25)*Calculateur!CG39*Calculateur!CI39*VLOOKUP('Données projet'!$B$12,Paramètres!$A$1:$I$88,3,0)*0.475*44/12</f>
        <v>0</v>
      </c>
      <c r="CM39" s="23">
        <f>EXP(-LN(2)/2)*CM38+(1-EXP(-LN(2)/2))/(LN(2)/2)*CG39*CJ39*VLOOKUP('Données projet'!$B$12,Paramètres!$A$1:$I$88,3,0)*0.475*44/12</f>
        <v>10.58108078613361</v>
      </c>
      <c r="CN39" s="24">
        <f t="shared" si="12"/>
        <v>24.840036356153156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20.583333333333332</v>
      </c>
      <c r="CT39" s="13">
        <f>IF('Données projet'!$A$140&gt;35,CT38+CS39-DB38,IF(A39&lt;'Données projet'!$A$140,$CQ$205^A39,IF(A39='Données projet'!$A$140,'Données projet'!$B$140,CT38+CS39-DB38)))</f>
        <v>342.66666666666646</v>
      </c>
      <c r="CU39" s="18">
        <f>CT39*VLOOKUP('Données projet'!$B$13,Paramètres!$A$1:$I$88,3,0)*VLOOKUP('Données projet'!$B$13,Paramètres!$A$1:$I$88,5,0)</f>
        <v>204.91466666666656</v>
      </c>
      <c r="CV39" s="14">
        <f t="shared" si="41"/>
        <v>50.822731934135412</v>
      </c>
      <c r="CW39" s="22">
        <f t="shared" si="13"/>
        <v>445.40930256306342</v>
      </c>
      <c r="CX39" s="62">
        <f t="shared" si="14"/>
        <v>689.92172080409784</v>
      </c>
      <c r="CY39" s="62">
        <f ca="1">AVERAGE(OFFSET($CX$3,0,0,'Données projet'!$E$13+1,1))-AVERAGE(OFFSET($H$3,0,0,'Données projet'!$E$13+1,1))</f>
        <v>401.1031790385295</v>
      </c>
      <c r="CZ39" s="62">
        <f t="shared" si="42"/>
        <v>402.09589424130615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projet'!$B$13,Paramètres!$A$1:$I$88,3,0)*0.475*44/12</f>
        <v>14.258955570019546</v>
      </c>
      <c r="DG39" s="23">
        <f>EXP(-LN(2)/25)*DG38+(1-EXP(-LN(2)/25))/(LN(2)/25)*Calculateur!DB39*Calculateur!DD39*VLOOKUP('Données projet'!$B$13,Paramètres!$A$1:$I$88,3,0)*0.475*44/12</f>
        <v>0</v>
      </c>
      <c r="DH39" s="23">
        <f>EXP(-LN(2)/2)*DH38+(1-EXP(-LN(2)/2))/(LN(2)/2)*DB39*DE39*VLOOKUP('Données projet'!$B$13,Paramètres!$A$1:$I$88,3,0)*0.475*44/12</f>
        <v>10.58108078613361</v>
      </c>
      <c r="DI39" s="24">
        <f t="shared" si="15"/>
        <v>24.840036356153156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32</v>
      </c>
      <c r="DO39" s="13">
        <f>IF('Données projet'!$A$166&gt;35,DO38+DN39-DW38,IF(A39&lt;'Données projet'!$A$166,$DL$205^A39,IF(A39='Données projet'!$A$166,'Données projet'!$B$166,DO38+DN39-DW38)))</f>
        <v>365.00000000000006</v>
      </c>
      <c r="DP39" s="18">
        <f>DO39*VLOOKUP('Données projet'!$B$14,Paramètres!$A$1:$I$88,3,0)*VLOOKUP('Données projet'!$B$14,Paramètres!$A$1:$I$88,5,0)</f>
        <v>147.09500000000003</v>
      </c>
      <c r="DQ39" s="14">
        <f t="shared" si="43"/>
        <v>37.917664422373754</v>
      </c>
      <c r="DR39" s="22">
        <f t="shared" si="16"/>
        <v>322.23039053563429</v>
      </c>
      <c r="DS39" s="62">
        <f t="shared" si="17"/>
        <v>566.74280877666865</v>
      </c>
      <c r="DT39" s="62">
        <f ca="1">AVERAGE(OFFSET($DS$3,0,0,'Données projet'!$E$14+1,1))-AVERAGE(OFFSET($H$3,0,0,'Données projet'!$E$14+1,1))</f>
        <v>432.59662347701629</v>
      </c>
      <c r="DU39" s="62">
        <f t="shared" si="44"/>
        <v>348.67401091099748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projet'!$B$14,Paramètres!$A$1:$I$88,3,0)*0.475*44/12</f>
        <v>11.536510259530115</v>
      </c>
      <c r="EB39" s="23">
        <f>EXP(-LN(2)/25)*EB38+(1-EXP(-LN(2)/25))/(LN(2)/25)*Calculateur!DW39*Calculateur!DY39*VLOOKUP('Données projet'!$B$14,Paramètres!$A$1:$I$88,3,0)*0.475*44/12</f>
        <v>65.236464584134822</v>
      </c>
      <c r="EC39" s="23">
        <f>EXP(-LN(2)/2)*EC38+(1-EXP(-LN(2)/2))/(LN(2)/2)*DW39*DZ39*VLOOKUP('Données projet'!$B$14,Paramètres!$A$1:$I$88,3,0)*0.475*44/12</f>
        <v>0</v>
      </c>
      <c r="ED39" s="24">
        <f t="shared" si="18"/>
        <v>76.77297484366494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42</v>
      </c>
      <c r="EJ39" s="13">
        <f>IF('Données projet'!$A$192&gt;35,EJ38+EI39-ER38,IF(A39&lt;'Données projet'!$A$192,$EG$205^A39,IF(A39='Données projet'!$A$192,'Données projet'!$B$192,EJ38+EI39-ER38)))</f>
        <v>448</v>
      </c>
      <c r="EK39" s="18">
        <f>EJ39*VLOOKUP('Données projet'!$B$15,Paramètres!$A$1:$I$88,3,0)*VLOOKUP('Données projet'!$B$15,Paramètres!$A$1:$I$88,5,0)</f>
        <v>198.01600000000005</v>
      </c>
      <c r="EL39" s="14">
        <f t="shared" si="45"/>
        <v>49.307891905535449</v>
      </c>
      <c r="EM39" s="22">
        <f t="shared" si="19"/>
        <v>430.755778402141</v>
      </c>
      <c r="EN39" s="62">
        <f t="shared" si="20"/>
        <v>675.26819664317543</v>
      </c>
      <c r="EO39" s="62">
        <f ca="1">AVERAGE(OFFSET($EN$3,0,0,'Données projet'!$E$15+1,1))-AVERAGE(OFFSET($H$3,0,0,'Données projet'!$E$15+1,1))</f>
        <v>582.26951914082088</v>
      </c>
      <c r="EP39" s="62">
        <f t="shared" si="46"/>
        <v>434.80429932654715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projet'!$B$15,Paramètres!$A$1:$I$88,3,0)*0.475*44/12</f>
        <v>24.284258537127656</v>
      </c>
      <c r="EW39" s="23">
        <f>EXP(-LN(2)/25)*EW38+(1-EXP(-LN(2)/25))/(LN(2)/25)*Calculateur!ER39*Calculateur!ET39*VLOOKUP('Données projet'!$B$15,Paramètres!$A$1:$I$88,3,0)*0.475*44/12</f>
        <v>87.006058432416381</v>
      </c>
      <c r="EX39" s="23">
        <f>EXP(-LN(2)/2)*EX38+(1-EXP(-LN(2)/2))/(LN(2)/2)*ER39*EU39*VLOOKUP('Données projet'!$B$15,Paramètres!$A$1:$I$88,3,0)*0.475*44/12</f>
        <v>0</v>
      </c>
      <c r="EY39" s="24">
        <f t="shared" si="21"/>
        <v>111.29031696954404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14.6</v>
      </c>
      <c r="FE39" s="13">
        <f>IF('Données projet'!$A$218&gt;35,FE38+FD39-FM38,IF(A39&lt;'Données projet'!$A$218,$FB$205^A39,IF(A39='Données projet'!$A$218,'Données projet'!$B$218,FE38+FD39-FM38)))</f>
        <v>208.59999999999994</v>
      </c>
      <c r="FF39" s="18">
        <f>FE39*VLOOKUP('Données projet'!$B$16,Paramètres!$A$1:$I$88,3,0)*VLOOKUP('Données projet'!$B$16,Paramètres!$A$1:$I$88,5,0)</f>
        <v>97.624799999999965</v>
      </c>
      <c r="FG39" s="14">
        <f t="shared" si="47"/>
        <v>26.395349675372152</v>
      </c>
      <c r="FH39" s="22">
        <f t="shared" si="22"/>
        <v>216.00176068460644</v>
      </c>
      <c r="FI39" s="62">
        <f t="shared" si="23"/>
        <v>460.51417892564086</v>
      </c>
      <c r="FJ39" s="62">
        <f ca="1">AVERAGE(OFFSET($FI$3,0,0,'Données projet'!$E$16+1,1))-AVERAGE(OFFSET($H$3,0,0,'Données projet'!$E$16+1,1))</f>
        <v>429.87867712133851</v>
      </c>
      <c r="FK39" s="62">
        <f t="shared" si="48"/>
        <v>182.81277865988014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projet'!$B$16,Paramètres!$A$1:$I$88,3,0)*0.475*44/12</f>
        <v>0</v>
      </c>
      <c r="FR39" s="23">
        <f>EXP(-LN(2)/25)*FR38+(1-EXP(-LN(2)/25))/(LN(2)/25)*Calculateur!FM39*Calculateur!FO39*VLOOKUP('Données projet'!$B$16,Paramètres!$A$1:$I$88,3,0)*0.475*44/12</f>
        <v>0</v>
      </c>
      <c r="FS39" s="23">
        <f>EXP(-LN(2)/2)*FS38+(1-EXP(-LN(2)/2))/(LN(2)/2)*FM39*FP39*VLOOKUP('Données projet'!$B$16,Paramètres!$A$1:$I$88,3,0)*0.475*44/12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18.399999999999999</v>
      </c>
      <c r="FZ39" s="13">
        <f>IF('Données projet'!$A$244&gt;35,FZ38+FY39-GH38,IF(A39&lt;'Données projet'!$A$244,$FW$205^A39,IF(A39='Données projet'!$A$244,'Données projet'!$B$244,FZ38+FY39-GH38)))</f>
        <v>210.39999999999986</v>
      </c>
      <c r="GA39" s="18">
        <f>FZ39*VLOOKUP('Données projet'!$B$17,Paramètres!$A$1:$I$88,3,0)*VLOOKUP('Données projet'!$B$17,Paramètres!$A$1:$I$88,5,0)</f>
        <v>101.20239999999993</v>
      </c>
      <c r="GB39" s="14">
        <f t="shared" si="49"/>
        <v>27.248253198517165</v>
      </c>
      <c r="GC39" s="22">
        <f t="shared" si="25"/>
        <v>223.71822098741725</v>
      </c>
      <c r="GD39" s="62">
        <f t="shared" si="26"/>
        <v>468.23063922845165</v>
      </c>
      <c r="GE39" s="62">
        <f ca="1">AVERAGE(OFFSET($GD$3,0,0,'Données projet'!$E$17+1,1))-AVERAGE(OFFSET($H$3,0,0,'Données projet'!$E$17+1,1))</f>
        <v>273.24375559399846</v>
      </c>
      <c r="GF39" s="62">
        <f t="shared" si="50"/>
        <v>270.77718895097848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projet'!$B$17,Paramètres!$A$1:$I$88,3,0)*0.475*44/12</f>
        <v>13.463908182238846</v>
      </c>
      <c r="GM39" s="23">
        <f>EXP(-LN(2)/25)*GM38+(1-EXP(-LN(2)/25))/(LN(2)/25)*Calculateur!GH39*Calculateur!GJ39*VLOOKUP('Données projet'!$B$17,Paramètres!$A$1:$I$88,3,0)*0.475*44/12</f>
        <v>36.5188103421062</v>
      </c>
      <c r="GN39" s="23">
        <f>EXP(-LN(2)/2)*GN38+(1-EXP(-LN(2)/2))/(LN(2)/2)*GH39*GK39*VLOOKUP('Données projet'!$B$17,Paramètres!$A$1:$I$88,3,0)*0.475*44/12</f>
        <v>0</v>
      </c>
      <c r="GO39" s="23">
        <f t="shared" si="27"/>
        <v>49.982718524345046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19.571428571428573</v>
      </c>
      <c r="N40" s="14">
        <f>IF('Données projet'!$A$36&gt;35,N39+M40-V39,IF(A40&lt;'Données projet'!$A$36,$K$205^A40,IF(A40='Données projet'!$A$36,'Données projet'!$B$36,N39+M40-V39)))</f>
        <v>321.142857142857</v>
      </c>
      <c r="O40" s="14">
        <f>N40*VLOOKUP('Données projet'!$B$9,Paramètres!$A$1:$I$88,3,0)*VLOOKUP('Données projet'!$B$9,Paramètres!$A$1:$I$88,5,0)</f>
        <v>179.51885714285706</v>
      </c>
      <c r="P40" s="14">
        <f t="shared" si="33"/>
        <v>45.215124075787188</v>
      </c>
      <c r="Q40" s="22">
        <f t="shared" si="53"/>
        <v>391.41168395580547</v>
      </c>
      <c r="R40" s="62">
        <f t="shared" si="0"/>
        <v>636.77103592647654</v>
      </c>
      <c r="S40" s="62">
        <f ca="1">AVERAGE(OFFSET($R$3,0,0,'Données projet'!$E$9+1,1))-AVERAGE(OFFSET($H$3,0,0,'Données projet'!$E$9+1,1))</f>
        <v>289.94242154211224</v>
      </c>
      <c r="T40" s="62">
        <f t="shared" si="34"/>
        <v>369.12599166143661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15.137437115105712</v>
      </c>
      <c r="AA40" s="23">
        <f>EXP(-LN(2)/25)*AA39+(1-EXP(-LN(2)/25))/(LN(2)/25)*Calculateur!V40*Calculateur!X40*VLOOKUP('Données projet'!$B$9,Paramètres!$A$1:$I$88,3,0)*0.475*44/12</f>
        <v>33.820058790449636</v>
      </c>
      <c r="AB40" s="23">
        <f>EXP(-LN(2)/2)*AB39+(1-EXP(-LN(2)/2))/(LN(2)/2)*V40*Y40*VLOOKUP('Données projet'!$B$9,Paramètres!$A$1:$I$88,3,0)*0.475*44/12</f>
        <v>0</v>
      </c>
      <c r="AC40" s="24">
        <f t="shared" si="3"/>
        <v>48.957495905555348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>
        <f>VLOOKUP(A40,'Données projet'!$A$61:$I$81,2,0)</f>
        <v>25</v>
      </c>
      <c r="AG40" s="13">
        <f>VLOOKUP(A40,'Données projet'!$A$61:$I$81,9,0)</f>
        <v>2.875</v>
      </c>
      <c r="AH40" s="13">
        <f t="array" ref="AH40">INDEX(AG:AG,MIN(IF(ISNUMBER(AG40:AG236),ROW(AG40:AG236),"")))</f>
        <v>2.875</v>
      </c>
      <c r="AI40" s="14">
        <f>IF('Données projet'!$A$62&gt;35,AI39+AH40-AQ39,IF(A40&lt;'Données projet'!$A$62,$AF$205^A40,IF(A40='Données projet'!$A$62,'Données projet'!$B$62,AI39+AH40-AQ39)))</f>
        <v>25</v>
      </c>
      <c r="AJ40" s="14">
        <f>AI40*VLOOKUP('Données projet'!$B$10,Paramètres!$A$1:$I$88,3,0)*VLOOKUP('Données projet'!$B$10,Paramètres!$A$1:$I$88,5,0)</f>
        <v>22.619999999999997</v>
      </c>
      <c r="AK40" s="14">
        <f t="shared" si="35"/>
        <v>7.2507298901297004</v>
      </c>
      <c r="AL40" s="22">
        <f t="shared" si="4"/>
        <v>52.024854558642552</v>
      </c>
      <c r="AM40" s="62">
        <f t="shared" si="5"/>
        <v>297.38420652931364</v>
      </c>
      <c r="AN40" s="62">
        <f ca="1">AVERAGE(OFFSET($AM$3,0,0,'Données projet'!$E$10+1,1))-AVERAGE(OFFSET($H$3,0,0,'Données projet'!$E$10+1,1))</f>
        <v>518.31628039365785</v>
      </c>
      <c r="AO40" s="62">
        <f t="shared" si="36"/>
        <v>66.435071953154761</v>
      </c>
      <c r="AP40" s="16">
        <f>IF(ISNA(VLOOKUP(A40,'Données projet'!$A$61:$I$81,3,0)),0,VLOOKUP(A40,'Données projet'!$A$61:$I$81,3,0))</f>
        <v>4</v>
      </c>
      <c r="AQ40" s="16">
        <f>IF(ISNA(VLOOKUP(A40,'Données projet'!$A$61:$I$81,4,0)),0,VLOOKUP(A40,'Données projet'!$A$61:$I$81,4,0))</f>
        <v>4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0</v>
      </c>
      <c r="AV40" s="23">
        <f>EXP(-LN(2)/25)*AV39+(1-EXP(-LN(2)/25))/(LN(2)/25)*Calculateur!AQ40*Calculateur!AS40*VLOOKUP('Données projet'!$B$10,Paramètres!$A$1:$I$88,3,0)*0.475*44/12</f>
        <v>0</v>
      </c>
      <c r="AW40" s="23">
        <f>EXP(-LN(2)/2)*AW39+(1-EXP(-LN(2)/2))/(LN(2)/2)*AQ40*AT40*VLOOKUP('Données projet'!$B$10,Paramètres!$A$1:$I$88,3,0)*0.475*44/12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>
        <f>VLOOKUP(A40,'Données projet'!$A$87:$I$107,2,0)</f>
        <v>25</v>
      </c>
      <c r="BB40" s="13">
        <f>VLOOKUP(A40,'Données projet'!$A$87:$I$107,9,0)</f>
        <v>2.875</v>
      </c>
      <c r="BC40" s="13">
        <f t="array" ref="BC40">INDEX(BB:BB,MIN(IF(ISNUMBER(BB40:BB236),ROW(BB40:BB236),"")))</f>
        <v>2.875</v>
      </c>
      <c r="BD40" s="13">
        <f>IF('Données projet'!$A$88&gt;35,BD39+BC40-BL39,IF(A40&lt;'Données projet'!$A$88,$BA$205^A40,IF(A40='Données projet'!$A$88,'Données projet'!$B$88,BD39+BC40-BL39)))</f>
        <v>25</v>
      </c>
      <c r="BE40" s="14">
        <f>BD40*VLOOKUP('Données projet'!$B$11,Paramètres!$A$1:$I$88,3,0)*VLOOKUP('Données projet'!$B$11,Paramètres!$A$1:$I$88,5,0)</f>
        <v>25.35</v>
      </c>
      <c r="BF40" s="14">
        <f t="shared" si="37"/>
        <v>8.0187559056435855</v>
      </c>
      <c r="BG40" s="22">
        <f t="shared" si="7"/>
        <v>58.117249868995913</v>
      </c>
      <c r="BH40" s="62">
        <f t="shared" si="8"/>
        <v>303.47660183966701</v>
      </c>
      <c r="BI40" s="62">
        <f ca="1">AVERAGE(OFFSET($BH$3,0,0,'Données projet'!$E$11+1,1))-AVERAGE(OFFSET($H$3,0,0,'Données projet'!$E$11+1,1))</f>
        <v>570.2785736203931</v>
      </c>
      <c r="BJ40" s="62">
        <f t="shared" si="38"/>
        <v>67.677759965081719</v>
      </c>
      <c r="BK40" s="16">
        <f>IF(ISNA(VLOOKUP(A40,'Données projet'!$A$87:$I$107,3,0)),0,VLOOKUP(A40,'Données projet'!$A$87:$I$107,3,0))</f>
        <v>4</v>
      </c>
      <c r="BL40" s="16">
        <f>IF(ISNA(VLOOKUP(A40,'Données projet'!$A$87:$I$107,4,0)),0,VLOOKUP(A40,'Données projet'!$A$87:$I$107,4,0))</f>
        <v>4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0</v>
      </c>
      <c r="BQ40" s="23">
        <f>EXP(-LN(2)/25)*BQ39+(1-EXP(-LN(2)/25))/(LN(2)/25)*Calculateur!BL40*Calculateur!BN40*VLOOKUP('Données projet'!$B$11,Paramètres!$A$1:$I$88,3,0)*0.475*44/12</f>
        <v>0</v>
      </c>
      <c r="BR40" s="23">
        <f>EXP(-LN(2)/2)*BR39+(1-EXP(-LN(2)/2))/(LN(2)/2)*BL40*BO40*VLOOKUP('Données projet'!$B$11,Paramètres!$A$1:$I$88,3,0)*0.475*44/12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20.583333333333332</v>
      </c>
      <c r="BY40" s="13">
        <f>IF('Données projet'!$A$114&gt;35,BY39+BX40-CG39,IF(A40&lt;'Données projet'!$A$114,$BV$205^A40,IF(A40='Données projet'!$A$114,'Données projet'!$B$114,BY39+BX40-CG39)))</f>
        <v>363.24999999999977</v>
      </c>
      <c r="BZ40" s="14">
        <f>BY40*VLOOKUP('Données projet'!$B$12,Paramètres!$A$1:$I$88,3,0)*VLOOKUP('Données projet'!$B$12,Paramètres!$A$1:$I$88,5,0)</f>
        <v>217.22349999999989</v>
      </c>
      <c r="CA40" s="14">
        <f t="shared" si="39"/>
        <v>53.510981821409473</v>
      </c>
      <c r="CB40" s="22">
        <f t="shared" si="10"/>
        <v>471.52922250562125</v>
      </c>
      <c r="CC40" s="62">
        <f t="shared" si="11"/>
        <v>716.88857447629232</v>
      </c>
      <c r="CD40" s="62">
        <f ca="1">AVERAGE(OFFSET($CC$3,0,0,'Données projet'!$E$12+1,1))-AVERAGE(OFFSET($H$3,0,0,'Données projet'!$E$12+1,1))</f>
        <v>401.1031790385295</v>
      </c>
      <c r="CE40" s="62">
        <f t="shared" si="40"/>
        <v>402.09589424130615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projet'!$B$12,Paramètres!$A$1:$I$88,3,0)*0.475*44/12</f>
        <v>13.979346148395594</v>
      </c>
      <c r="CL40" s="23">
        <f>EXP(-LN(2)/25)*CL39+(1-EXP(-LN(2)/25))/(LN(2)/25)*Calculateur!CG40*Calculateur!CI40*VLOOKUP('Données projet'!$B$12,Paramètres!$A$1:$I$88,3,0)*0.475*44/12</f>
        <v>0</v>
      </c>
      <c r="CM40" s="23">
        <f>EXP(-LN(2)/2)*CM39+(1-EXP(-LN(2)/2))/(LN(2)/2)*CG40*CJ40*VLOOKUP('Données projet'!$B$12,Paramètres!$A$1:$I$88,3,0)*0.475*44/12</f>
        <v>7.4819539761577616</v>
      </c>
      <c r="CN40" s="24">
        <f t="shared" si="12"/>
        <v>21.461300124553354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20.583333333333332</v>
      </c>
      <c r="CT40" s="13">
        <f>IF('Données projet'!$A$140&gt;35,CT39+CS40-DB39,IF(A40&lt;'Données projet'!$A$140,$CQ$205^A40,IF(A40='Données projet'!$A$140,'Données projet'!$B$140,CT39+CS40-DB39)))</f>
        <v>363.24999999999977</v>
      </c>
      <c r="CU40" s="18">
        <f>CT40*VLOOKUP('Données projet'!$B$13,Paramètres!$A$1:$I$88,3,0)*VLOOKUP('Données projet'!$B$13,Paramètres!$A$1:$I$88,5,0)</f>
        <v>217.22349999999989</v>
      </c>
      <c r="CV40" s="14">
        <f t="shared" si="41"/>
        <v>53.510981821409473</v>
      </c>
      <c r="CW40" s="22">
        <f t="shared" si="13"/>
        <v>471.52922250562125</v>
      </c>
      <c r="CX40" s="62">
        <f t="shared" si="14"/>
        <v>716.88857447629232</v>
      </c>
      <c r="CY40" s="62">
        <f ca="1">AVERAGE(OFFSET($CX$3,0,0,'Données projet'!$E$13+1,1))-AVERAGE(OFFSET($H$3,0,0,'Données projet'!$E$13+1,1))</f>
        <v>401.1031790385295</v>
      </c>
      <c r="CZ40" s="62">
        <f t="shared" si="42"/>
        <v>402.09589424130615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projet'!$B$13,Paramètres!$A$1:$I$88,3,0)*0.475*44/12</f>
        <v>13.979346148395594</v>
      </c>
      <c r="DG40" s="23">
        <f>EXP(-LN(2)/25)*DG39+(1-EXP(-LN(2)/25))/(LN(2)/25)*Calculateur!DB40*Calculateur!DD40*VLOOKUP('Données projet'!$B$13,Paramètres!$A$1:$I$88,3,0)*0.475*44/12</f>
        <v>0</v>
      </c>
      <c r="DH40" s="23">
        <f>EXP(-LN(2)/2)*DH39+(1-EXP(-LN(2)/2))/(LN(2)/2)*DB40*DE40*VLOOKUP('Données projet'!$B$13,Paramètres!$A$1:$I$88,3,0)*0.475*44/12</f>
        <v>7.4819539761577616</v>
      </c>
      <c r="DI40" s="24">
        <f t="shared" si="15"/>
        <v>21.461300124553354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32</v>
      </c>
      <c r="DO40" s="13">
        <f>IF('Données projet'!$A$166&gt;35,DO39+DN40-DW39,IF(A40&lt;'Données projet'!$A$166,$DL$205^A40,IF(A40='Données projet'!$A$166,'Données projet'!$B$166,DO39+DN40-DW39)))</f>
        <v>397.00000000000006</v>
      </c>
      <c r="DP40" s="18">
        <f>DO40*VLOOKUP('Données projet'!$B$14,Paramètres!$A$1:$I$88,3,0)*VLOOKUP('Données projet'!$B$14,Paramètres!$A$1:$I$88,5,0)</f>
        <v>159.99100000000004</v>
      </c>
      <c r="DQ40" s="14">
        <f t="shared" si="43"/>
        <v>40.840485424928069</v>
      </c>
      <c r="DR40" s="22">
        <f t="shared" si="16"/>
        <v>349.78150378174973</v>
      </c>
      <c r="DS40" s="62">
        <f t="shared" si="17"/>
        <v>595.14085575242086</v>
      </c>
      <c r="DT40" s="62">
        <f ca="1">AVERAGE(OFFSET($DS$3,0,0,'Données projet'!$E$14+1,1))-AVERAGE(OFFSET($H$3,0,0,'Données projet'!$E$14+1,1))</f>
        <v>432.59662347701629</v>
      </c>
      <c r="DU40" s="62">
        <f t="shared" si="44"/>
        <v>348.67401091099748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projet'!$B$14,Paramètres!$A$1:$I$88,3,0)*0.475*44/12</f>
        <v>11.310286329917183</v>
      </c>
      <c r="EB40" s="23">
        <f>EXP(-LN(2)/25)*EB39+(1-EXP(-LN(2)/25))/(LN(2)/25)*Calculateur!DW40*Calculateur!DY40*VLOOKUP('Données projet'!$B$14,Paramètres!$A$1:$I$88,3,0)*0.475*44/12</f>
        <v>63.452570029445084</v>
      </c>
      <c r="EC40" s="23">
        <f>EXP(-LN(2)/2)*EC39+(1-EXP(-LN(2)/2))/(LN(2)/2)*DW40*DZ40*VLOOKUP('Données projet'!$B$14,Paramètres!$A$1:$I$88,3,0)*0.475*44/12</f>
        <v>0</v>
      </c>
      <c r="ED40" s="24">
        <f t="shared" si="18"/>
        <v>74.762856359362274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42</v>
      </c>
      <c r="EJ40" s="13">
        <f>IF('Données projet'!$A$192&gt;35,EJ39+EI40-ER39,IF(A40&lt;'Données projet'!$A$192,$EG$205^A40,IF(A40='Données projet'!$A$192,'Données projet'!$B$192,EJ39+EI40-ER39)))</f>
        <v>490</v>
      </c>
      <c r="EK40" s="18">
        <f>EJ40*VLOOKUP('Données projet'!$B$15,Paramètres!$A$1:$I$88,3,0)*VLOOKUP('Données projet'!$B$15,Paramètres!$A$1:$I$88,5,0)</f>
        <v>216.58000000000004</v>
      </c>
      <c r="EL40" s="14">
        <f t="shared" si="45"/>
        <v>53.37088917986506</v>
      </c>
      <c r="EM40" s="22">
        <f t="shared" si="19"/>
        <v>470.16446532159836</v>
      </c>
      <c r="EN40" s="62">
        <f t="shared" si="20"/>
        <v>715.52381729226943</v>
      </c>
      <c r="EO40" s="62">
        <f ca="1">AVERAGE(OFFSET($EN$3,0,0,'Données projet'!$E$15+1,1))-AVERAGE(OFFSET($H$3,0,0,'Données projet'!$E$15+1,1))</f>
        <v>582.26951914082088</v>
      </c>
      <c r="EP40" s="62">
        <f t="shared" si="46"/>
        <v>434.80429932654715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projet'!$B$15,Paramètres!$A$1:$I$88,3,0)*0.475*44/12</f>
        <v>23.808059039149732</v>
      </c>
      <c r="EW40" s="23">
        <f>EXP(-LN(2)/25)*EW39+(1-EXP(-LN(2)/25))/(LN(2)/25)*Calculateur!ER40*Calculateur!ET40*VLOOKUP('Données projet'!$B$15,Paramètres!$A$1:$I$88,3,0)*0.475*44/12</f>
        <v>84.626873189132198</v>
      </c>
      <c r="EX40" s="23">
        <f>EXP(-LN(2)/2)*EX39+(1-EXP(-LN(2)/2))/(LN(2)/2)*ER40*EU40*VLOOKUP('Données projet'!$B$15,Paramètres!$A$1:$I$88,3,0)*0.475*44/12</f>
        <v>0</v>
      </c>
      <c r="EY40" s="24">
        <f t="shared" si="21"/>
        <v>108.43493222828192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14.6</v>
      </c>
      <c r="FE40" s="13">
        <f>IF('Données projet'!$A$218&gt;35,FE39+FD40-FM39,IF(A40&lt;'Données projet'!$A$218,$FB$205^A40,IF(A40='Données projet'!$A$218,'Données projet'!$B$218,FE39+FD40-FM39)))</f>
        <v>223.19999999999993</v>
      </c>
      <c r="FF40" s="18">
        <f>FE40*VLOOKUP('Données projet'!$B$16,Paramètres!$A$1:$I$88,3,0)*VLOOKUP('Données projet'!$B$16,Paramètres!$A$1:$I$88,5,0)</f>
        <v>104.45759999999997</v>
      </c>
      <c r="FG40" s="14">
        <f t="shared" si="47"/>
        <v>28.021248860498247</v>
      </c>
      <c r="FH40" s="22">
        <f t="shared" si="22"/>
        <v>230.73399509870103</v>
      </c>
      <c r="FI40" s="62">
        <f t="shared" si="23"/>
        <v>476.09334706937216</v>
      </c>
      <c r="FJ40" s="62">
        <f ca="1">AVERAGE(OFFSET($FI$3,0,0,'Données projet'!$E$16+1,1))-AVERAGE(OFFSET($H$3,0,0,'Données projet'!$E$16+1,1))</f>
        <v>429.87867712133851</v>
      </c>
      <c r="FK40" s="62">
        <f t="shared" si="48"/>
        <v>182.81277865988014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projet'!$B$16,Paramètres!$A$1:$I$88,3,0)*0.475*44/12</f>
        <v>0</v>
      </c>
      <c r="FR40" s="23">
        <f>EXP(-LN(2)/25)*FR39+(1-EXP(-LN(2)/25))/(LN(2)/25)*Calculateur!FM40*Calculateur!FO40*VLOOKUP('Données projet'!$B$16,Paramètres!$A$1:$I$88,3,0)*0.475*44/12</f>
        <v>0</v>
      </c>
      <c r="FS40" s="23">
        <f>EXP(-LN(2)/2)*FS39+(1-EXP(-LN(2)/2))/(LN(2)/2)*FM40*FP40*VLOOKUP('Données projet'!$B$16,Paramètres!$A$1:$I$88,3,0)*0.475*44/12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18.399999999999999</v>
      </c>
      <c r="FZ40" s="13">
        <f>IF('Données projet'!$A$244&gt;35,FZ39+FY40-GH39,IF(A40&lt;'Données projet'!$A$244,$FW$205^A40,IF(A40='Données projet'!$A$244,'Données projet'!$B$244,FZ39+FY40-GH39)))</f>
        <v>228.79999999999987</v>
      </c>
      <c r="GA40" s="18">
        <f>FZ40*VLOOKUP('Données projet'!$B$17,Paramètres!$A$1:$I$88,3,0)*VLOOKUP('Données projet'!$B$17,Paramètres!$A$1:$I$88,5,0)</f>
        <v>110.05279999999993</v>
      </c>
      <c r="GB40" s="14">
        <f t="shared" si="49"/>
        <v>29.343424316919467</v>
      </c>
      <c r="GC40" s="22">
        <f t="shared" si="25"/>
        <v>242.78175735196797</v>
      </c>
      <c r="GD40" s="62">
        <f t="shared" si="26"/>
        <v>488.14110932263907</v>
      </c>
      <c r="GE40" s="62">
        <f ca="1">AVERAGE(OFFSET($GD$3,0,0,'Données projet'!$E$17+1,1))-AVERAGE(OFFSET($H$3,0,0,'Données projet'!$E$17+1,1))</f>
        <v>273.24375559399846</v>
      </c>
      <c r="GF40" s="62">
        <f t="shared" si="50"/>
        <v>270.77718895097848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projet'!$B$17,Paramètres!$A$1:$I$88,3,0)*0.475*44/12</f>
        <v>13.19988915495825</v>
      </c>
      <c r="GM40" s="23">
        <f>EXP(-LN(2)/25)*GM39+(1-EXP(-LN(2)/25))/(LN(2)/25)*Calculateur!GH40*Calculateur!GJ40*VLOOKUP('Données projet'!$B$17,Paramètres!$A$1:$I$88,3,0)*0.475*44/12</f>
        <v>35.520201552860534</v>
      </c>
      <c r="GN40" s="23">
        <f>EXP(-LN(2)/2)*GN39+(1-EXP(-LN(2)/2))/(LN(2)/2)*GH40*GK40*VLOOKUP('Données projet'!$B$17,Paramètres!$A$1:$I$88,3,0)*0.475*44/12</f>
        <v>0</v>
      </c>
      <c r="GO40" s="23">
        <f t="shared" si="27"/>
        <v>48.720090707818784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19.571428571428573</v>
      </c>
      <c r="N41" s="14">
        <f>IF('Données projet'!$A$36&gt;35,N40+M41-V40,IF(A41&lt;'Données projet'!$A$36,$K$205^A41,IF(A41='Données projet'!$A$36,'Données projet'!$B$36,N40+M41-V40)))</f>
        <v>340.71428571428555</v>
      </c>
      <c r="O41" s="14">
        <f>N41*VLOOKUP('Données projet'!$B$9,Paramètres!$A$1:$I$88,3,0)*VLOOKUP('Données projet'!$B$9,Paramètres!$A$1:$I$88,5,0)</f>
        <v>190.45928571428561</v>
      </c>
      <c r="P41" s="14">
        <f t="shared" si="33"/>
        <v>47.641480128932045</v>
      </c>
      <c r="Q41" s="22">
        <f t="shared" si="53"/>
        <v>414.6921671769374</v>
      </c>
      <c r="R41" s="62">
        <f t="shared" si="0"/>
        <v>660.8837604704961</v>
      </c>
      <c r="S41" s="62">
        <f ca="1">AVERAGE(OFFSET($R$3,0,0,'Données projet'!$E$9+1,1))-AVERAGE(OFFSET($H$3,0,0,'Données projet'!$E$9+1,1))</f>
        <v>289.94242154211224</v>
      </c>
      <c r="T41" s="62">
        <f t="shared" si="34"/>
        <v>369.12599166143661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14.840601206203454</v>
      </c>
      <c r="AA41" s="23">
        <f>EXP(-LN(2)/25)*AA40+(1-EXP(-LN(2)/25))/(LN(2)/25)*Calculateur!V41*Calculateur!X41*VLOOKUP('Données projet'!$B$9,Paramètres!$A$1:$I$88,3,0)*0.475*44/12</f>
        <v>32.895247504305196</v>
      </c>
      <c r="AB41" s="23">
        <f>EXP(-LN(2)/2)*AB40+(1-EXP(-LN(2)/2))/(LN(2)/2)*V41*Y41*VLOOKUP('Données projet'!$B$9,Paramètres!$A$1:$I$88,3,0)*0.475*44/12</f>
        <v>0</v>
      </c>
      <c r="AC41" s="24">
        <f t="shared" si="3"/>
        <v>47.735848710508648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15.25</v>
      </c>
      <c r="AI41" s="14">
        <f>IF('Données projet'!$A$62&gt;35,AI40+AH41-AQ40,IF(A41&lt;'Données projet'!$A$62,$AF$205^A41,IF(A41='Données projet'!$A$62,'Données projet'!$B$62,AI40+AH41-AQ40)))</f>
        <v>36.25</v>
      </c>
      <c r="AJ41" s="14">
        <f>AI41*VLOOKUP('Données projet'!$B$10,Paramètres!$A$1:$I$88,3,0)*VLOOKUP('Données projet'!$B$10,Paramètres!$A$1:$I$88,5,0)</f>
        <v>32.798999999999999</v>
      </c>
      <c r="AK41" s="14">
        <f t="shared" si="35"/>
        <v>10.068539855504284</v>
      </c>
      <c r="AL41" s="22">
        <f t="shared" si="4"/>
        <v>74.660965248336623</v>
      </c>
      <c r="AM41" s="62">
        <f t="shared" si="5"/>
        <v>320.85255854189535</v>
      </c>
      <c r="AN41" s="62">
        <f ca="1">AVERAGE(OFFSET($AM$3,0,0,'Données projet'!$E$10+1,1))-AVERAGE(OFFSET($H$3,0,0,'Données projet'!$E$10+1,1))</f>
        <v>518.31628039365785</v>
      </c>
      <c r="AO41" s="62">
        <f t="shared" si="36"/>
        <v>66.435071953154761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0</v>
      </c>
      <c r="AV41" s="23">
        <f>EXP(-LN(2)/25)*AV40+(1-EXP(-LN(2)/25))/(LN(2)/25)*Calculateur!AQ41*Calculateur!AS41*VLOOKUP('Données projet'!$B$10,Paramètres!$A$1:$I$88,3,0)*0.475*44/12</f>
        <v>0</v>
      </c>
      <c r="AW41" s="23">
        <f>EXP(-LN(2)/2)*AW40+(1-EXP(-LN(2)/2))/(LN(2)/2)*AQ41*AT41*VLOOKUP('Données projet'!$B$10,Paramètres!$A$1:$I$88,3,0)*0.475*44/12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15.25</v>
      </c>
      <c r="BD41" s="13">
        <f>IF('Données projet'!$A$88&gt;35,BD40+BC41-BL40,IF(A41&lt;'Données projet'!$A$88,$BA$205^A41,IF(A41='Données projet'!$A$88,'Données projet'!$B$88,BD40+BC41-BL40)))</f>
        <v>36.25</v>
      </c>
      <c r="BE41" s="14">
        <f>BD41*VLOOKUP('Données projet'!$B$11,Paramètres!$A$1:$I$88,3,0)*VLOOKUP('Données projet'!$B$11,Paramètres!$A$1:$I$88,5,0)</f>
        <v>36.7575</v>
      </c>
      <c r="BF41" s="14">
        <f t="shared" si="37"/>
        <v>11.135039458225986</v>
      </c>
      <c r="BG41" s="22">
        <f t="shared" si="7"/>
        <v>83.412839556410248</v>
      </c>
      <c r="BH41" s="62">
        <f t="shared" si="8"/>
        <v>329.60443284996899</v>
      </c>
      <c r="BI41" s="62">
        <f ca="1">AVERAGE(OFFSET($BH$3,0,0,'Données projet'!$E$11+1,1))-AVERAGE(OFFSET($H$3,0,0,'Données projet'!$E$11+1,1))</f>
        <v>570.2785736203931</v>
      </c>
      <c r="BJ41" s="62">
        <f t="shared" si="38"/>
        <v>67.677759965081719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0</v>
      </c>
      <c r="BQ41" s="23">
        <f>EXP(-LN(2)/25)*BQ40+(1-EXP(-LN(2)/25))/(LN(2)/25)*Calculateur!BL41*Calculateur!BN41*VLOOKUP('Données projet'!$B$11,Paramètres!$A$1:$I$88,3,0)*0.475*44/12</f>
        <v>0</v>
      </c>
      <c r="BR41" s="23">
        <f>EXP(-LN(2)/2)*BR40+(1-EXP(-LN(2)/2))/(LN(2)/2)*BL41*BO41*VLOOKUP('Données projet'!$B$11,Paramètres!$A$1:$I$88,3,0)*0.475*44/12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20.583333333333332</v>
      </c>
      <c r="BY41" s="13">
        <f>IF('Données projet'!$A$114&gt;35,BY40+BX41-CG40,IF(A41&lt;'Données projet'!$A$114,$BV$205^A41,IF(A41='Données projet'!$A$114,'Données projet'!$B$114,BY40+BX41-CG40)))</f>
        <v>383.83333333333309</v>
      </c>
      <c r="BZ41" s="14">
        <f>BY41*VLOOKUP('Données projet'!$B$12,Paramètres!$A$1:$I$88,3,0)*VLOOKUP('Données projet'!$B$12,Paramètres!$A$1:$I$88,5,0)</f>
        <v>229.53233333333318</v>
      </c>
      <c r="CA41" s="14">
        <f t="shared" si="39"/>
        <v>56.181549088098514</v>
      </c>
      <c r="CB41" s="22">
        <f t="shared" si="10"/>
        <v>497.61834521732698</v>
      </c>
      <c r="CC41" s="62">
        <f t="shared" si="11"/>
        <v>743.80993851088567</v>
      </c>
      <c r="CD41" s="62">
        <f ca="1">AVERAGE(OFFSET($CC$3,0,0,'Données projet'!$E$12+1,1))-AVERAGE(OFFSET($H$3,0,0,'Données projet'!$E$12+1,1))</f>
        <v>401.1031790385295</v>
      </c>
      <c r="CE41" s="62">
        <f t="shared" si="40"/>
        <v>402.09589424130615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projet'!$B$12,Paramètres!$A$1:$I$88,3,0)*0.475*44/12</f>
        <v>13.705219696984779</v>
      </c>
      <c r="CL41" s="23">
        <f>EXP(-LN(2)/25)*CL40+(1-EXP(-LN(2)/25))/(LN(2)/25)*Calculateur!CG41*Calculateur!CI41*VLOOKUP('Données projet'!$B$12,Paramètres!$A$1:$I$88,3,0)*0.475*44/12</f>
        <v>0</v>
      </c>
      <c r="CM41" s="23">
        <f>EXP(-LN(2)/2)*CM40+(1-EXP(-LN(2)/2))/(LN(2)/2)*CG41*CJ41*VLOOKUP('Données projet'!$B$12,Paramètres!$A$1:$I$88,3,0)*0.475*44/12</f>
        <v>5.2905403930668058</v>
      </c>
      <c r="CN41" s="24">
        <f t="shared" si="12"/>
        <v>18.995760090051583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20.583333333333332</v>
      </c>
      <c r="CT41" s="13">
        <f>IF('Données projet'!$A$140&gt;35,CT40+CS41-DB40,IF(A41&lt;'Données projet'!$A$140,$CQ$205^A41,IF(A41='Données projet'!$A$140,'Données projet'!$B$140,CT40+CS41-DB40)))</f>
        <v>383.83333333333309</v>
      </c>
      <c r="CU41" s="18">
        <f>CT41*VLOOKUP('Données projet'!$B$13,Paramètres!$A$1:$I$88,3,0)*VLOOKUP('Données projet'!$B$13,Paramètres!$A$1:$I$88,5,0)</f>
        <v>229.53233333333318</v>
      </c>
      <c r="CV41" s="14">
        <f t="shared" si="41"/>
        <v>56.181549088098514</v>
      </c>
      <c r="CW41" s="22">
        <f t="shared" si="13"/>
        <v>497.61834521732698</v>
      </c>
      <c r="CX41" s="62">
        <f t="shared" si="14"/>
        <v>743.80993851088567</v>
      </c>
      <c r="CY41" s="62">
        <f ca="1">AVERAGE(OFFSET($CX$3,0,0,'Données projet'!$E$13+1,1))-AVERAGE(OFFSET($H$3,0,0,'Données projet'!$E$13+1,1))</f>
        <v>401.1031790385295</v>
      </c>
      <c r="CZ41" s="62">
        <f t="shared" si="42"/>
        <v>402.09589424130615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projet'!$B$13,Paramètres!$A$1:$I$88,3,0)*0.475*44/12</f>
        <v>13.705219696984779</v>
      </c>
      <c r="DG41" s="23">
        <f>EXP(-LN(2)/25)*DG40+(1-EXP(-LN(2)/25))/(LN(2)/25)*Calculateur!DB41*Calculateur!DD41*VLOOKUP('Données projet'!$B$13,Paramètres!$A$1:$I$88,3,0)*0.475*44/12</f>
        <v>0</v>
      </c>
      <c r="DH41" s="23">
        <f>EXP(-LN(2)/2)*DH40+(1-EXP(-LN(2)/2))/(LN(2)/2)*DB41*DE41*VLOOKUP('Données projet'!$B$13,Paramètres!$A$1:$I$88,3,0)*0.475*44/12</f>
        <v>5.2905403930668058</v>
      </c>
      <c r="DI41" s="24">
        <f t="shared" si="15"/>
        <v>18.995760090051583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32</v>
      </c>
      <c r="DO41" s="13">
        <f>IF('Données projet'!$A$166&gt;35,DO40+DN41-DW40,IF(A41&lt;'Données projet'!$A$166,$DL$205^A41,IF(A41='Données projet'!$A$166,'Données projet'!$B$166,DO40+DN41-DW40)))</f>
        <v>429.00000000000006</v>
      </c>
      <c r="DP41" s="18">
        <f>DO41*VLOOKUP('Données projet'!$B$14,Paramètres!$A$1:$I$88,3,0)*VLOOKUP('Données projet'!$B$14,Paramètres!$A$1:$I$88,5,0)</f>
        <v>172.88700000000003</v>
      </c>
      <c r="DQ41" s="14">
        <f t="shared" si="43"/>
        <v>43.73598047623517</v>
      </c>
      <c r="DR41" s="22">
        <f t="shared" si="16"/>
        <v>377.28502432944293</v>
      </c>
      <c r="DS41" s="62">
        <f t="shared" si="17"/>
        <v>623.47661762300163</v>
      </c>
      <c r="DT41" s="62">
        <f ca="1">AVERAGE(OFFSET($DS$3,0,0,'Données projet'!$E$14+1,1))-AVERAGE(OFFSET($H$3,0,0,'Données projet'!$E$14+1,1))</f>
        <v>432.59662347701629</v>
      </c>
      <c r="DU41" s="62">
        <f t="shared" si="44"/>
        <v>348.67401091099748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projet'!$B$14,Paramètres!$A$1:$I$88,3,0)*0.475*44/12</f>
        <v>11.088498513580989</v>
      </c>
      <c r="EB41" s="23">
        <f>EXP(-LN(2)/25)*EB40+(1-EXP(-LN(2)/25))/(LN(2)/25)*Calculateur!DW41*Calculateur!DY41*VLOOKUP('Données projet'!$B$14,Paramètres!$A$1:$I$88,3,0)*0.475*44/12</f>
        <v>61.717456165164272</v>
      </c>
      <c r="EC41" s="23">
        <f>EXP(-LN(2)/2)*EC40+(1-EXP(-LN(2)/2))/(LN(2)/2)*DW41*DZ41*VLOOKUP('Données projet'!$B$14,Paramètres!$A$1:$I$88,3,0)*0.475*44/12</f>
        <v>0</v>
      </c>
      <c r="ED41" s="24">
        <f t="shared" si="18"/>
        <v>72.805954678745266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42</v>
      </c>
      <c r="EJ41" s="13">
        <f>IF('Données projet'!$A$192&gt;35,EJ40+EI41-ER40,IF(A41&lt;'Données projet'!$A$192,$EG$205^A41,IF(A41='Données projet'!$A$192,'Données projet'!$B$192,EJ40+EI41-ER40)))</f>
        <v>532</v>
      </c>
      <c r="EK41" s="18">
        <f>EJ41*VLOOKUP('Données projet'!$B$15,Paramètres!$A$1:$I$88,3,0)*VLOOKUP('Données projet'!$B$15,Paramètres!$A$1:$I$88,5,0)</f>
        <v>235.14400000000003</v>
      </c>
      <c r="EL41" s="14">
        <f t="shared" si="45"/>
        <v>57.393498736326748</v>
      </c>
      <c r="EM41" s="22">
        <f t="shared" si="19"/>
        <v>509.50281029910246</v>
      </c>
      <c r="EN41" s="62">
        <f t="shared" si="20"/>
        <v>755.69440359266116</v>
      </c>
      <c r="EO41" s="62">
        <f ca="1">AVERAGE(OFFSET($EN$3,0,0,'Données projet'!$E$15+1,1))-AVERAGE(OFFSET($H$3,0,0,'Données projet'!$E$15+1,1))</f>
        <v>582.26951914082088</v>
      </c>
      <c r="EP41" s="62">
        <f t="shared" si="46"/>
        <v>434.80429932654715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projet'!$B$15,Paramètres!$A$1:$I$88,3,0)*0.475*44/12</f>
        <v>23.341197522874143</v>
      </c>
      <c r="EW41" s="23">
        <f>EXP(-LN(2)/25)*EW40+(1-EXP(-LN(2)/25))/(LN(2)/25)*Calculateur!ER41*Calculateur!ET41*VLOOKUP('Données projet'!$B$15,Paramètres!$A$1:$I$88,3,0)*0.475*44/12</f>
        <v>82.312746891441535</v>
      </c>
      <c r="EX41" s="23">
        <f>EXP(-LN(2)/2)*EX40+(1-EXP(-LN(2)/2))/(LN(2)/2)*ER41*EU41*VLOOKUP('Données projet'!$B$15,Paramètres!$A$1:$I$88,3,0)*0.475*44/12</f>
        <v>0</v>
      </c>
      <c r="EY41" s="24">
        <f t="shared" si="21"/>
        <v>105.65394441431567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14.6</v>
      </c>
      <c r="FE41" s="13">
        <f>IF('Données projet'!$A$218&gt;35,FE40+FD41-FM40,IF(A41&lt;'Données projet'!$A$218,$FB$205^A41,IF(A41='Données projet'!$A$218,'Données projet'!$B$218,FE40+FD41-FM40)))</f>
        <v>237.79999999999993</v>
      </c>
      <c r="FF41" s="18">
        <f>FE41*VLOOKUP('Données projet'!$B$16,Paramètres!$A$1:$I$88,3,0)*VLOOKUP('Données projet'!$B$16,Paramètres!$A$1:$I$88,5,0)</f>
        <v>111.29039999999998</v>
      </c>
      <c r="FG41" s="14">
        <f t="shared" si="47"/>
        <v>29.634806205918217</v>
      </c>
      <c r="FH41" s="22">
        <f t="shared" si="22"/>
        <v>245.44473414197418</v>
      </c>
      <c r="FI41" s="62">
        <f t="shared" si="23"/>
        <v>491.63632743553291</v>
      </c>
      <c r="FJ41" s="62">
        <f ca="1">AVERAGE(OFFSET($FI$3,0,0,'Données projet'!$E$16+1,1))-AVERAGE(OFFSET($H$3,0,0,'Données projet'!$E$16+1,1))</f>
        <v>429.87867712133851</v>
      </c>
      <c r="FK41" s="62">
        <f t="shared" si="48"/>
        <v>182.81277865988014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projet'!$B$16,Paramètres!$A$1:$I$88,3,0)*0.475*44/12</f>
        <v>0</v>
      </c>
      <c r="FR41" s="23">
        <f>EXP(-LN(2)/25)*FR40+(1-EXP(-LN(2)/25))/(LN(2)/25)*Calculateur!FM41*Calculateur!FO41*VLOOKUP('Données projet'!$B$16,Paramètres!$A$1:$I$88,3,0)*0.475*44/12</f>
        <v>0</v>
      </c>
      <c r="FS41" s="23">
        <f>EXP(-LN(2)/2)*FS40+(1-EXP(-LN(2)/2))/(LN(2)/2)*FM41*FP41*VLOOKUP('Données projet'!$B$16,Paramètres!$A$1:$I$88,3,0)*0.475*44/12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18.399999999999999</v>
      </c>
      <c r="FZ41" s="13">
        <f>IF('Données projet'!$A$244&gt;35,FZ40+FY41-GH40,IF(A41&lt;'Données projet'!$A$244,$FW$205^A41,IF(A41='Données projet'!$A$244,'Données projet'!$B$244,FZ40+FY41-GH40)))</f>
        <v>247.19999999999987</v>
      </c>
      <c r="GA41" s="18">
        <f>FZ41*VLOOKUP('Données projet'!$B$17,Paramètres!$A$1:$I$88,3,0)*VLOOKUP('Données projet'!$B$17,Paramètres!$A$1:$I$88,5,0)</f>
        <v>118.90319999999994</v>
      </c>
      <c r="GB41" s="14">
        <f t="shared" si="49"/>
        <v>31.41905216260005</v>
      </c>
      <c r="GC41" s="22">
        <f t="shared" si="25"/>
        <v>261.81125584986165</v>
      </c>
      <c r="GD41" s="62">
        <f t="shared" si="26"/>
        <v>508.00284914342035</v>
      </c>
      <c r="GE41" s="62">
        <f ca="1">AVERAGE(OFFSET($GD$3,0,0,'Données projet'!$E$17+1,1))-AVERAGE(OFFSET($H$3,0,0,'Données projet'!$E$17+1,1))</f>
        <v>273.24375559399846</v>
      </c>
      <c r="GF41" s="62">
        <f t="shared" si="50"/>
        <v>270.77718895097848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projet'!$B$17,Paramètres!$A$1:$I$88,3,0)*0.475*44/12</f>
        <v>12.941047379766919</v>
      </c>
      <c r="GM41" s="23">
        <f>EXP(-LN(2)/25)*GM40+(1-EXP(-LN(2)/25))/(LN(2)/25)*Calculateur!GH41*Calculateur!GJ41*VLOOKUP('Données projet'!$B$17,Paramètres!$A$1:$I$88,3,0)*0.475*44/12</f>
        <v>34.548899773471348</v>
      </c>
      <c r="GN41" s="23">
        <f>EXP(-LN(2)/2)*GN40+(1-EXP(-LN(2)/2))/(LN(2)/2)*GH41*GK41*VLOOKUP('Données projet'!$B$17,Paramètres!$A$1:$I$88,3,0)*0.475*44/12</f>
        <v>0</v>
      </c>
      <c r="GO41" s="23">
        <f t="shared" si="27"/>
        <v>47.489947153238269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19.571428571428573</v>
      </c>
      <c r="N42" s="14">
        <f>IF('Données projet'!$A$36&gt;35,N41+M42-V41,IF(A42&lt;'Données projet'!$A$36,$K$205^A42,IF(A42='Données projet'!$A$36,'Données projet'!$B$36,N41+M42-V41)))</f>
        <v>360.28571428571411</v>
      </c>
      <c r="O42" s="14">
        <f>N42*VLOOKUP('Données projet'!$B$9,Paramètres!$A$1:$I$88,3,0)*VLOOKUP('Données projet'!$B$9,Paramètres!$A$1:$I$88,5,0)</f>
        <v>201.39971428571417</v>
      </c>
      <c r="P42" s="14">
        <f t="shared" si="33"/>
        <v>50.051657588658017</v>
      </c>
      <c r="Q42" s="22">
        <f t="shared" si="53"/>
        <v>437.94447268119819</v>
      </c>
      <c r="R42" s="62">
        <f t="shared" si="0"/>
        <v>684.95386977130534</v>
      </c>
      <c r="S42" s="62">
        <f ca="1">AVERAGE(OFFSET($R$3,0,0,'Données projet'!$E$9+1,1))-AVERAGE(OFFSET($H$3,0,0,'Données projet'!$E$9+1,1))</f>
        <v>289.94242154211224</v>
      </c>
      <c r="T42" s="62">
        <f t="shared" si="34"/>
        <v>369.12599166143661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14.549586068422741</v>
      </c>
      <c r="AA42" s="23">
        <f>EXP(-LN(2)/25)*AA41+(1-EXP(-LN(2)/25))/(LN(2)/25)*Calculateur!V42*Calculateur!X42*VLOOKUP('Données projet'!$B$9,Paramètres!$A$1:$I$88,3,0)*0.475*44/12</f>
        <v>31.995725231414088</v>
      </c>
      <c r="AB42" s="23">
        <f>EXP(-LN(2)/2)*AB41+(1-EXP(-LN(2)/2))/(LN(2)/2)*V42*Y42*VLOOKUP('Données projet'!$B$9,Paramètres!$A$1:$I$88,3,0)*0.475*44/12</f>
        <v>0</v>
      </c>
      <c r="AC42" s="24">
        <f t="shared" si="3"/>
        <v>46.545311299836825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15.25</v>
      </c>
      <c r="AI42" s="14">
        <f>IF('Données projet'!$A$62&gt;35,AI41+AH42-AQ41,IF(A42&lt;'Données projet'!$A$62,$AF$205^A42,IF(A42='Données projet'!$A$62,'Données projet'!$B$62,AI41+AH42-AQ41)))</f>
        <v>51.5</v>
      </c>
      <c r="AJ42" s="14">
        <f>AI42*VLOOKUP('Données projet'!$B$10,Paramètres!$A$1:$I$88,3,0)*VLOOKUP('Données projet'!$B$10,Paramètres!$A$1:$I$88,5,0)</f>
        <v>46.597200000000001</v>
      </c>
      <c r="AK42" s="14">
        <f t="shared" si="35"/>
        <v>13.731399500519208</v>
      </c>
      <c r="AL42" s="22">
        <f t="shared" si="4"/>
        <v>105.07231079673761</v>
      </c>
      <c r="AM42" s="62">
        <f t="shared" si="5"/>
        <v>352.0817078868447</v>
      </c>
      <c r="AN42" s="62">
        <f ca="1">AVERAGE(OFFSET($AM$3,0,0,'Données projet'!$E$10+1,1))-AVERAGE(OFFSET($H$3,0,0,'Données projet'!$E$10+1,1))</f>
        <v>518.31628039365785</v>
      </c>
      <c r="AO42" s="62">
        <f t="shared" si="36"/>
        <v>66.435071953154761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0</v>
      </c>
      <c r="AV42" s="23">
        <f>EXP(-LN(2)/25)*AV41+(1-EXP(-LN(2)/25))/(LN(2)/25)*Calculateur!AQ42*Calculateur!AS42*VLOOKUP('Données projet'!$B$10,Paramètres!$A$1:$I$88,3,0)*0.475*44/12</f>
        <v>0</v>
      </c>
      <c r="AW42" s="23">
        <f>EXP(-LN(2)/2)*AW41+(1-EXP(-LN(2)/2))/(LN(2)/2)*AQ42*AT42*VLOOKUP('Données projet'!$B$10,Paramètres!$A$1:$I$88,3,0)*0.475*44/12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15.25</v>
      </c>
      <c r="BD42" s="13">
        <f>IF('Données projet'!$A$88&gt;35,BD41+BC42-BL41,IF(A42&lt;'Données projet'!$A$88,$BA$205^A42,IF(A42='Données projet'!$A$88,'Données projet'!$B$88,BD41+BC42-BL41)))</f>
        <v>51.5</v>
      </c>
      <c r="BE42" s="14">
        <f>BD42*VLOOKUP('Données projet'!$B$11,Paramètres!$A$1:$I$88,3,0)*VLOOKUP('Données projet'!$B$11,Paramètres!$A$1:$I$88,5,0)</f>
        <v>52.221000000000004</v>
      </c>
      <c r="BF42" s="14">
        <f t="shared" si="37"/>
        <v>15.185883698057635</v>
      </c>
      <c r="BG42" s="22">
        <f t="shared" si="7"/>
        <v>117.40032244078371</v>
      </c>
      <c r="BH42" s="62">
        <f t="shared" si="8"/>
        <v>364.40971953089081</v>
      </c>
      <c r="BI42" s="62">
        <f ca="1">AVERAGE(OFFSET($BH$3,0,0,'Données projet'!$E$11+1,1))-AVERAGE(OFFSET($H$3,0,0,'Données projet'!$E$11+1,1))</f>
        <v>570.2785736203931</v>
      </c>
      <c r="BJ42" s="62">
        <f t="shared" si="38"/>
        <v>67.677759965081719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0</v>
      </c>
      <c r="BQ42" s="23">
        <f>EXP(-LN(2)/25)*BQ41+(1-EXP(-LN(2)/25))/(LN(2)/25)*Calculateur!BL42*Calculateur!BN42*VLOOKUP('Données projet'!$B$11,Paramètres!$A$1:$I$88,3,0)*0.475*44/12</f>
        <v>0</v>
      </c>
      <c r="BR42" s="23">
        <f>EXP(-LN(2)/2)*BR41+(1-EXP(-LN(2)/2))/(LN(2)/2)*BL42*BO42*VLOOKUP('Données projet'!$B$11,Paramètres!$A$1:$I$88,3,0)*0.475*44/12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20.583333333333332</v>
      </c>
      <c r="BY42" s="13">
        <f>IF('Données projet'!$A$114&gt;35,BY41+BX42-CG41,IF(A42&lt;'Données projet'!$A$114,$BV$205^A42,IF(A42='Données projet'!$A$114,'Données projet'!$B$114,BY41+BX42-CG41)))</f>
        <v>404.4166666666664</v>
      </c>
      <c r="BZ42" s="14">
        <f>BY42*VLOOKUP('Données projet'!$B$12,Paramètres!$A$1:$I$88,3,0)*VLOOKUP('Données projet'!$B$12,Paramètres!$A$1:$I$88,5,0)</f>
        <v>241.84116666666654</v>
      </c>
      <c r="CA42" s="14">
        <f t="shared" si="39"/>
        <v>58.835490094534251</v>
      </c>
      <c r="CB42" s="22">
        <f t="shared" si="10"/>
        <v>523.67851052575804</v>
      </c>
      <c r="CC42" s="62">
        <f t="shared" si="11"/>
        <v>770.68790761586513</v>
      </c>
      <c r="CD42" s="62">
        <f ca="1">AVERAGE(OFFSET($CC$3,0,0,'Données projet'!$E$12+1,1))-AVERAGE(OFFSET($H$3,0,0,'Données projet'!$E$12+1,1))</f>
        <v>401.1031790385295</v>
      </c>
      <c r="CE42" s="62">
        <f t="shared" si="40"/>
        <v>402.09589424130615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projet'!$B$12,Paramètres!$A$1:$I$88,3,0)*0.475*44/12</f>
        <v>13.436468698085504</v>
      </c>
      <c r="CL42" s="23">
        <f>EXP(-LN(2)/25)*CL41+(1-EXP(-LN(2)/25))/(LN(2)/25)*Calculateur!CG42*Calculateur!CI42*VLOOKUP('Données projet'!$B$12,Paramètres!$A$1:$I$88,3,0)*0.475*44/12</f>
        <v>0</v>
      </c>
      <c r="CM42" s="23">
        <f>EXP(-LN(2)/2)*CM41+(1-EXP(-LN(2)/2))/(LN(2)/2)*CG42*CJ42*VLOOKUP('Données projet'!$B$12,Paramètres!$A$1:$I$88,3,0)*0.475*44/12</f>
        <v>3.7409769880788812</v>
      </c>
      <c r="CN42" s="24">
        <f t="shared" si="12"/>
        <v>17.177445686164386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20.583333333333332</v>
      </c>
      <c r="CT42" s="13">
        <f>IF('Données projet'!$A$140&gt;35,CT41+CS42-DB41,IF(A42&lt;'Données projet'!$A$140,$CQ$205^A42,IF(A42='Données projet'!$A$140,'Données projet'!$B$140,CT41+CS42-DB41)))</f>
        <v>404.4166666666664</v>
      </c>
      <c r="CU42" s="18">
        <f>CT42*VLOOKUP('Données projet'!$B$13,Paramètres!$A$1:$I$88,3,0)*VLOOKUP('Données projet'!$B$13,Paramètres!$A$1:$I$88,5,0)</f>
        <v>241.84116666666654</v>
      </c>
      <c r="CV42" s="14">
        <f t="shared" si="41"/>
        <v>58.835490094534251</v>
      </c>
      <c r="CW42" s="22">
        <f t="shared" si="13"/>
        <v>523.67851052575804</v>
      </c>
      <c r="CX42" s="62">
        <f t="shared" si="14"/>
        <v>770.68790761586513</v>
      </c>
      <c r="CY42" s="62">
        <f ca="1">AVERAGE(OFFSET($CX$3,0,0,'Données projet'!$E$13+1,1))-AVERAGE(OFFSET($H$3,0,0,'Données projet'!$E$13+1,1))</f>
        <v>401.1031790385295</v>
      </c>
      <c r="CZ42" s="62">
        <f t="shared" si="42"/>
        <v>402.09589424130615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projet'!$B$13,Paramètres!$A$1:$I$88,3,0)*0.475*44/12</f>
        <v>13.436468698085504</v>
      </c>
      <c r="DG42" s="23">
        <f>EXP(-LN(2)/25)*DG41+(1-EXP(-LN(2)/25))/(LN(2)/25)*Calculateur!DB42*Calculateur!DD42*VLOOKUP('Données projet'!$B$13,Paramètres!$A$1:$I$88,3,0)*0.475*44/12</f>
        <v>0</v>
      </c>
      <c r="DH42" s="23">
        <f>EXP(-LN(2)/2)*DH41+(1-EXP(-LN(2)/2))/(LN(2)/2)*DB42*DE42*VLOOKUP('Données projet'!$B$13,Paramètres!$A$1:$I$88,3,0)*0.475*44/12</f>
        <v>3.7409769880788812</v>
      </c>
      <c r="DI42" s="24">
        <f t="shared" si="15"/>
        <v>17.177445686164386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32</v>
      </c>
      <c r="DO42" s="13">
        <f>IF('Données projet'!$A$166&gt;35,DO41+DN42-DW41,IF(A42&lt;'Données projet'!$A$166,$DL$205^A42,IF(A42='Données projet'!$A$166,'Données projet'!$B$166,DO41+DN42-DW41)))</f>
        <v>461.00000000000006</v>
      </c>
      <c r="DP42" s="18">
        <f>DO42*VLOOKUP('Données projet'!$B$14,Paramètres!$A$1:$I$88,3,0)*VLOOKUP('Données projet'!$B$14,Paramètres!$A$1:$I$88,5,0)</f>
        <v>185.78300000000004</v>
      </c>
      <c r="DQ42" s="14">
        <f t="shared" si="43"/>
        <v>46.606419652154862</v>
      </c>
      <c r="DR42" s="22">
        <f t="shared" si="16"/>
        <v>404.74490589416973</v>
      </c>
      <c r="DS42" s="62">
        <f t="shared" si="17"/>
        <v>651.75430298427682</v>
      </c>
      <c r="DT42" s="62">
        <f ca="1">AVERAGE(OFFSET($DS$3,0,0,'Données projet'!$E$14+1,1))-AVERAGE(OFFSET($H$3,0,0,'Données projet'!$E$14+1,1))</f>
        <v>432.59662347701629</v>
      </c>
      <c r="DU42" s="62">
        <f t="shared" si="44"/>
        <v>348.67401091099748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projet'!$B$14,Paramètres!$A$1:$I$88,3,0)*0.475*44/12</f>
        <v>10.871059821045938</v>
      </c>
      <c r="EB42" s="23">
        <f>EXP(-LN(2)/25)*EB41+(1-EXP(-LN(2)/25))/(LN(2)/25)*Calculateur!DW42*Calculateur!DY42*VLOOKUP('Données projet'!$B$14,Paramètres!$A$1:$I$88,3,0)*0.475*44/12</f>
        <v>60.029789080747889</v>
      </c>
      <c r="EC42" s="23">
        <f>EXP(-LN(2)/2)*EC41+(1-EXP(-LN(2)/2))/(LN(2)/2)*DW42*DZ42*VLOOKUP('Données projet'!$B$14,Paramètres!$A$1:$I$88,3,0)*0.475*44/12</f>
        <v>0</v>
      </c>
      <c r="ED42" s="24">
        <f t="shared" si="18"/>
        <v>70.900848901793822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42</v>
      </c>
      <c r="EJ42" s="13">
        <f>IF('Données projet'!$A$192&gt;35,EJ41+EI42-ER41,IF(A42&lt;'Données projet'!$A$192,$EG$205^A42,IF(A42='Données projet'!$A$192,'Données projet'!$B$192,EJ41+EI42-ER41)))</f>
        <v>574</v>
      </c>
      <c r="EK42" s="18">
        <f>EJ42*VLOOKUP('Données projet'!$B$15,Paramètres!$A$1:$I$88,3,0)*VLOOKUP('Données projet'!$B$15,Paramètres!$A$1:$I$88,5,0)</f>
        <v>253.70800000000006</v>
      </c>
      <c r="EL42" s="14">
        <f t="shared" si="45"/>
        <v>61.379271588933619</v>
      </c>
      <c r="EM42" s="22">
        <f t="shared" si="19"/>
        <v>548.77699801739277</v>
      </c>
      <c r="EN42" s="62">
        <f t="shared" si="20"/>
        <v>795.78639510749986</v>
      </c>
      <c r="EO42" s="62">
        <f ca="1">AVERAGE(OFFSET($EN$3,0,0,'Données projet'!$E$15+1,1))-AVERAGE(OFFSET($H$3,0,0,'Données projet'!$E$15+1,1))</f>
        <v>582.26951914082088</v>
      </c>
      <c r="EP42" s="62">
        <f t="shared" si="46"/>
        <v>434.80429932654715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projet'!$B$15,Paramètres!$A$1:$I$88,3,0)*0.475*44/12</f>
        <v>22.883490876175312</v>
      </c>
      <c r="EW42" s="23">
        <f>EXP(-LN(2)/25)*EW41+(1-EXP(-LN(2)/25))/(LN(2)/25)*Calculateur!ER42*Calculateur!ET42*VLOOKUP('Données projet'!$B$15,Paramètres!$A$1:$I$88,3,0)*0.475*44/12</f>
        <v>80.061900499055838</v>
      </c>
      <c r="EX42" s="23">
        <f>EXP(-LN(2)/2)*EX41+(1-EXP(-LN(2)/2))/(LN(2)/2)*ER42*EU42*VLOOKUP('Données projet'!$B$15,Paramètres!$A$1:$I$88,3,0)*0.475*44/12</f>
        <v>0</v>
      </c>
      <c r="EY42" s="24">
        <f t="shared" si="21"/>
        <v>102.94539137523115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14.6</v>
      </c>
      <c r="FE42" s="13">
        <f>IF('Données projet'!$A$218&gt;35,FE41+FD42-FM41,IF(A42&lt;'Données projet'!$A$218,$FB$205^A42,IF(A42='Données projet'!$A$218,'Données projet'!$B$218,FE41+FD42-FM41)))</f>
        <v>252.39999999999992</v>
      </c>
      <c r="FF42" s="18">
        <f>FE42*VLOOKUP('Données projet'!$B$16,Paramètres!$A$1:$I$88,3,0)*VLOOKUP('Données projet'!$B$16,Paramètres!$A$1:$I$88,5,0)</f>
        <v>118.12319999999995</v>
      </c>
      <c r="FG42" s="14">
        <f t="shared" si="47"/>
        <v>31.236865730893584</v>
      </c>
      <c r="FH42" s="22">
        <f t="shared" si="22"/>
        <v>260.13544781463958</v>
      </c>
      <c r="FI42" s="62">
        <f t="shared" si="23"/>
        <v>507.14484490474672</v>
      </c>
      <c r="FJ42" s="62">
        <f ca="1">AVERAGE(OFFSET($FI$3,0,0,'Données projet'!$E$16+1,1))-AVERAGE(OFFSET($H$3,0,0,'Données projet'!$E$16+1,1))</f>
        <v>429.87867712133851</v>
      </c>
      <c r="FK42" s="62">
        <f t="shared" si="48"/>
        <v>182.81277865988014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projet'!$B$16,Paramètres!$A$1:$I$88,3,0)*0.475*44/12</f>
        <v>0</v>
      </c>
      <c r="FR42" s="23">
        <f>EXP(-LN(2)/25)*FR41+(1-EXP(-LN(2)/25))/(LN(2)/25)*Calculateur!FM42*Calculateur!FO42*VLOOKUP('Données projet'!$B$16,Paramètres!$A$1:$I$88,3,0)*0.475*44/12</f>
        <v>0</v>
      </c>
      <c r="FS42" s="23">
        <f>EXP(-LN(2)/2)*FS41+(1-EXP(-LN(2)/2))/(LN(2)/2)*FM42*FP42*VLOOKUP('Données projet'!$B$16,Paramètres!$A$1:$I$88,3,0)*0.475*44/12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18.399999999999999</v>
      </c>
      <c r="FZ42" s="13">
        <f>IF('Données projet'!$A$244&gt;35,FZ41+FY42-GH41,IF(A42&lt;'Données projet'!$A$244,$FW$205^A42,IF(A42='Données projet'!$A$244,'Données projet'!$B$244,FZ41+FY42-GH41)))</f>
        <v>265.59999999999985</v>
      </c>
      <c r="GA42" s="18">
        <f>FZ42*VLOOKUP('Données projet'!$B$17,Paramètres!$A$1:$I$88,3,0)*VLOOKUP('Données projet'!$B$17,Paramètres!$A$1:$I$88,5,0)</f>
        <v>127.75359999999993</v>
      </c>
      <c r="GB42" s="14">
        <f t="shared" si="49"/>
        <v>33.476756826584293</v>
      </c>
      <c r="GC42" s="22">
        <f t="shared" si="25"/>
        <v>280.80953813963418</v>
      </c>
      <c r="GD42" s="62">
        <f t="shared" si="26"/>
        <v>527.81893522974133</v>
      </c>
      <c r="GE42" s="62">
        <f ca="1">AVERAGE(OFFSET($GD$3,0,0,'Données projet'!$E$17+1,1))-AVERAGE(OFFSET($H$3,0,0,'Données projet'!$E$17+1,1))</f>
        <v>273.24375559399846</v>
      </c>
      <c r="GF42" s="62">
        <f t="shared" si="50"/>
        <v>270.77718895097848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projet'!$B$17,Paramètres!$A$1:$I$88,3,0)*0.475*44/12</f>
        <v>12.687281333909198</v>
      </c>
      <c r="GM42" s="23">
        <f>EXP(-LN(2)/25)*GM41+(1-EXP(-LN(2)/25))/(LN(2)/25)*Calculateur!GH42*Calculateur!GJ42*VLOOKUP('Données projet'!$B$17,Paramètres!$A$1:$I$88,3,0)*0.475*44/12</f>
        <v>33.604158292318097</v>
      </c>
      <c r="GN42" s="23">
        <f>EXP(-LN(2)/2)*GN41+(1-EXP(-LN(2)/2))/(LN(2)/2)*GH42*GK42*VLOOKUP('Données projet'!$B$17,Paramètres!$A$1:$I$88,3,0)*0.475*44/12</f>
        <v>0</v>
      </c>
      <c r="GO42" s="23">
        <f t="shared" si="27"/>
        <v>46.291439626227294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19.571428571428573</v>
      </c>
      <c r="N43" s="14">
        <f>IF('Données projet'!$A$36&gt;35,N42+M43-V42,IF(A43&lt;'Données projet'!$A$36,$K$205^A43,IF(A43='Données projet'!$A$36,'Données projet'!$B$36,N42+M43-V42)))</f>
        <v>379.85714285714266</v>
      </c>
      <c r="O43" s="14">
        <f>N43*VLOOKUP('Données projet'!$B$9,Paramètres!$A$1:$I$88,3,0)*VLOOKUP('Données projet'!$B$9,Paramètres!$A$1:$I$88,5,0)</f>
        <v>212.34014285714278</v>
      </c>
      <c r="P43" s="14">
        <f t="shared" si="33"/>
        <v>52.446635499473253</v>
      </c>
      <c r="Q43" s="22">
        <f t="shared" si="53"/>
        <v>461.17030563777286</v>
      </c>
      <c r="R43" s="62">
        <f t="shared" si="0"/>
        <v>708.9833194568937</v>
      </c>
      <c r="S43" s="62">
        <f ca="1">AVERAGE(OFFSET($R$3,0,0,'Données projet'!$E$9+1,1))-AVERAGE(OFFSET($H$3,0,0,'Données projet'!$E$9+1,1))</f>
        <v>289.94242154211224</v>
      </c>
      <c r="T43" s="62">
        <f t="shared" si="34"/>
        <v>369.12599166143661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14.264277559992202</v>
      </c>
      <c r="AA43" s="23">
        <f>EXP(-LN(2)/25)*AA42+(1-EXP(-LN(2)/25))/(LN(2)/25)*Calculateur!V43*Calculateur!X43*VLOOKUP('Données projet'!$B$9,Paramètres!$A$1:$I$88,3,0)*0.475*44/12</f>
        <v>31.120800442379007</v>
      </c>
      <c r="AB43" s="23">
        <f>EXP(-LN(2)/2)*AB42+(1-EXP(-LN(2)/2))/(LN(2)/2)*V43*Y43*VLOOKUP('Données projet'!$B$9,Paramètres!$A$1:$I$88,3,0)*0.475*44/12</f>
        <v>0</v>
      </c>
      <c r="AC43" s="24">
        <f t="shared" si="3"/>
        <v>45.385078002371209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15.25</v>
      </c>
      <c r="AI43" s="14">
        <f>IF('Données projet'!$A$62&gt;35,AI42+AH43-AQ42,IF(A43&lt;'Données projet'!$A$62,$AF$205^A43,IF(A43='Données projet'!$A$62,'Données projet'!$B$62,AI42+AH43-AQ42)))</f>
        <v>66.75</v>
      </c>
      <c r="AJ43" s="14">
        <f>AI43*VLOOKUP('Données projet'!$B$10,Paramètres!$A$1:$I$88,3,0)*VLOOKUP('Données projet'!$B$10,Paramètres!$A$1:$I$88,5,0)</f>
        <v>60.395399999999995</v>
      </c>
      <c r="AK43" s="14">
        <f t="shared" si="35"/>
        <v>17.268200289758795</v>
      </c>
      <c r="AL43" s="22">
        <f t="shared" si="4"/>
        <v>135.26410383799654</v>
      </c>
      <c r="AM43" s="62">
        <f t="shared" si="5"/>
        <v>383.07711765711736</v>
      </c>
      <c r="AN43" s="62">
        <f ca="1">AVERAGE(OFFSET($AM$3,0,0,'Données projet'!$E$10+1,1))-AVERAGE(OFFSET($H$3,0,0,'Données projet'!$E$10+1,1))</f>
        <v>518.31628039365785</v>
      </c>
      <c r="AO43" s="62">
        <f t="shared" si="36"/>
        <v>66.435071953154761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0</v>
      </c>
      <c r="AV43" s="23">
        <f>EXP(-LN(2)/25)*AV42+(1-EXP(-LN(2)/25))/(LN(2)/25)*Calculateur!AQ43*Calculateur!AS43*VLOOKUP('Données projet'!$B$10,Paramètres!$A$1:$I$88,3,0)*0.475*44/12</f>
        <v>0</v>
      </c>
      <c r="AW43" s="23">
        <f>EXP(-LN(2)/2)*AW42+(1-EXP(-LN(2)/2))/(LN(2)/2)*AQ43*AT43*VLOOKUP('Données projet'!$B$10,Paramètres!$A$1:$I$88,3,0)*0.475*44/12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15.25</v>
      </c>
      <c r="BD43" s="13">
        <f>IF('Données projet'!$A$88&gt;35,BD42+BC43-BL42,IF(A43&lt;'Données projet'!$A$88,$BA$205^A43,IF(A43='Données projet'!$A$88,'Données projet'!$B$88,BD42+BC43-BL42)))</f>
        <v>66.75</v>
      </c>
      <c r="BE43" s="14">
        <f>BD43*VLOOKUP('Données projet'!$B$11,Paramètres!$A$1:$I$88,3,0)*VLOOKUP('Données projet'!$B$11,Paramètres!$A$1:$I$88,5,0)</f>
        <v>67.6845</v>
      </c>
      <c r="BF43" s="14">
        <f t="shared" si="37"/>
        <v>19.097316429044724</v>
      </c>
      <c r="BG43" s="22">
        <f t="shared" si="7"/>
        <v>151.14499694725288</v>
      </c>
      <c r="BH43" s="62">
        <f t="shared" si="8"/>
        <v>398.95801076637372</v>
      </c>
      <c r="BI43" s="62">
        <f ca="1">AVERAGE(OFFSET($BH$3,0,0,'Données projet'!$E$11+1,1))-AVERAGE(OFFSET($H$3,0,0,'Données projet'!$E$11+1,1))</f>
        <v>570.2785736203931</v>
      </c>
      <c r="BJ43" s="62">
        <f t="shared" si="38"/>
        <v>67.677759965081719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0</v>
      </c>
      <c r="BQ43" s="23">
        <f>EXP(-LN(2)/25)*BQ42+(1-EXP(-LN(2)/25))/(LN(2)/25)*Calculateur!BL43*Calculateur!BN43*VLOOKUP('Données projet'!$B$11,Paramètres!$A$1:$I$88,3,0)*0.475*44/12</f>
        <v>0</v>
      </c>
      <c r="BR43" s="23">
        <f>EXP(-LN(2)/2)*BR42+(1-EXP(-LN(2)/2))/(LN(2)/2)*BL43*BO43*VLOOKUP('Données projet'!$B$11,Paramètres!$A$1:$I$88,3,0)*0.475*44/12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425</v>
      </c>
      <c r="BW43" s="13">
        <f>VLOOKUP(A43,'Données projet'!$A$113:$I$133,9,0)</f>
        <v>20.583333333333332</v>
      </c>
      <c r="BX43" s="13">
        <f t="array" ref="BX43">INDEX(BW:BW,MIN(IF(ISNUMBER(BW43:BW239),ROW(BW43:BW239),"")))</f>
        <v>20.583333333333332</v>
      </c>
      <c r="BY43" s="13">
        <f>IF('Données projet'!$A$114&gt;35,BY42+BX43-CG42,IF(A43&lt;'Données projet'!$A$114,$BV$205^A43,IF(A43='Données projet'!$A$114,'Données projet'!$B$114,BY42+BX43-CG42)))</f>
        <v>424.99999999999972</v>
      </c>
      <c r="BZ43" s="14">
        <f>BY43*VLOOKUP('Données projet'!$B$12,Paramètres!$A$1:$I$88,3,0)*VLOOKUP('Données projet'!$B$12,Paramètres!$A$1:$I$88,5,0)</f>
        <v>254.14999999999986</v>
      </c>
      <c r="CA43" s="14">
        <f t="shared" si="39"/>
        <v>61.47374759742992</v>
      </c>
      <c r="CB43" s="22">
        <f t="shared" si="10"/>
        <v>549.71136039885687</v>
      </c>
      <c r="CC43" s="62">
        <f t="shared" si="11"/>
        <v>797.52437421797765</v>
      </c>
      <c r="CD43" s="62">
        <f ca="1">AVERAGE(OFFSET($CC$3,0,0,'Données projet'!$E$12+1,1))-AVERAGE(OFFSET($H$3,0,0,'Données projet'!$E$12+1,1))</f>
        <v>401.1031790385295</v>
      </c>
      <c r="CE43" s="62">
        <f t="shared" si="40"/>
        <v>402.09589424130615</v>
      </c>
      <c r="CF43" s="16">
        <f>IF(ISNA(VLOOKUP(A43,'Données projet'!$A$113:$I$133,3,0)),0,VLOOKUP(A43,'Données projet'!$A$113:$I$133,3,0))</f>
        <v>6</v>
      </c>
      <c r="CG43" s="16">
        <f>IF(ISNA(VLOOKUP(A43,'Données projet'!$A$113:$I$133,4,0)),0,VLOOKUP(A43,'Données projet'!$A$113:$I$133,4,0))</f>
        <v>41.3</v>
      </c>
      <c r="CH43" s="17">
        <f>IF(ISNA(VLOOKUP(A43,'Données projet'!$A$113:$I$133,5,0)),0%,VLOOKUP(A43,'Données projet'!$A$113:$I$133,5,0)*VLOOKUP('Données projet'!$B$12,Paramètres!$A$1:$I$88,7,0))</f>
        <v>0.18000000000000002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0.6</v>
      </c>
      <c r="CK43" s="23">
        <f>EXP(-LN(2)/35)*CK42+(1-EXP(-LN(2)/35))/(LN(2)/35)*CG43*CH43*VLOOKUP('Données projet'!$B$12,Paramètres!$A$1:$I$88,3,0)*0.475*44/12</f>
        <v>19.070272479071772</v>
      </c>
      <c r="CL43" s="23">
        <f>EXP(-LN(2)/25)*CL42+(1-EXP(-LN(2)/25))/(LN(2)/25)*Calculateur!CG43*Calculateur!CI43*VLOOKUP('Données projet'!$B$12,Paramètres!$A$1:$I$88,3,0)*0.475*44/12</f>
        <v>0</v>
      </c>
      <c r="CM43" s="23">
        <f>EXP(-LN(2)/2)*CM42+(1-EXP(-LN(2)/2))/(LN(2)/2)*CG43*CJ43*VLOOKUP('Données projet'!$B$12,Paramètres!$A$1:$I$88,3,0)*0.475*44/12</f>
        <v>19.423186563491484</v>
      </c>
      <c r="CN43" s="24">
        <f t="shared" si="12"/>
        <v>38.493459042563259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425</v>
      </c>
      <c r="CR43" s="13">
        <f>VLOOKUP(A43,'Données projet'!$A$139:$I$159,9,0)</f>
        <v>20.583333333333332</v>
      </c>
      <c r="CS43" s="13">
        <f t="array" ref="CS43">INDEX(CR:CR,MIN(IF(ISNUMBER(CR43:CR239),ROW(CR43:CR239),"")))</f>
        <v>20.583333333333332</v>
      </c>
      <c r="CT43" s="13">
        <f>IF('Données projet'!$A$140&gt;35,CT42+CS43-DB42,IF(A43&lt;'Données projet'!$A$140,$CQ$205^A43,IF(A43='Données projet'!$A$140,'Données projet'!$B$140,CT42+CS43-DB42)))</f>
        <v>424.99999999999972</v>
      </c>
      <c r="CU43" s="18">
        <f>CT43*VLOOKUP('Données projet'!$B$13,Paramètres!$A$1:$I$88,3,0)*VLOOKUP('Données projet'!$B$13,Paramètres!$A$1:$I$88,5,0)</f>
        <v>254.14999999999986</v>
      </c>
      <c r="CV43" s="14">
        <f t="shared" si="41"/>
        <v>61.47374759742992</v>
      </c>
      <c r="CW43" s="22">
        <f t="shared" si="13"/>
        <v>549.71136039885687</v>
      </c>
      <c r="CX43" s="62">
        <f t="shared" si="14"/>
        <v>797.52437421797765</v>
      </c>
      <c r="CY43" s="62">
        <f ca="1">AVERAGE(OFFSET($CX$3,0,0,'Données projet'!$E$13+1,1))-AVERAGE(OFFSET($H$3,0,0,'Données projet'!$E$13+1,1))</f>
        <v>401.1031790385295</v>
      </c>
      <c r="CZ43" s="62">
        <f t="shared" si="42"/>
        <v>402.09589424130615</v>
      </c>
      <c r="DA43" s="16">
        <f>IF(ISNA(VLOOKUP(A43,'Données projet'!$A$139:$I$159,3,0)),0,VLOOKUP(A43,'Données projet'!$A$139:$I$159,3,0))</f>
        <v>6</v>
      </c>
      <c r="DB43" s="16">
        <f>IF(ISNA(VLOOKUP(A43,'Données projet'!$A$139:$I$159,4,0)),0,VLOOKUP(A43,'Données projet'!$A$139:$I$159,4,0))</f>
        <v>41.3</v>
      </c>
      <c r="DC43" s="17">
        <f>IF(ISNA(VLOOKUP(A43,'Données projet'!$A$139:$I$159,5,0)),0%,VLOOKUP(A43,'Données projet'!$A$139:$I$159,5,0)*VLOOKUP('Données projet'!$B$13,Paramètres!$A$1:$I$88,7,0))</f>
        <v>0.18000000000000002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0.6</v>
      </c>
      <c r="DF43" s="23">
        <f>EXP(-LN(2)/35)*DF42+(1-EXP(-LN(2)/35))/(LN(2)/35)*DB43*DC43*VLOOKUP('Données projet'!$B$13,Paramètres!$A$1:$I$88,3,0)*0.475*44/12</f>
        <v>19.070272479071772</v>
      </c>
      <c r="DG43" s="23">
        <f>EXP(-LN(2)/25)*DG42+(1-EXP(-LN(2)/25))/(LN(2)/25)*Calculateur!DB43*Calculateur!DD43*VLOOKUP('Données projet'!$B$13,Paramètres!$A$1:$I$88,3,0)*0.475*44/12</f>
        <v>0</v>
      </c>
      <c r="DH43" s="23">
        <f>EXP(-LN(2)/2)*DH42+(1-EXP(-LN(2)/2))/(LN(2)/2)*DB43*DE43*VLOOKUP('Données projet'!$B$13,Paramètres!$A$1:$I$88,3,0)*0.475*44/12</f>
        <v>19.423186563491484</v>
      </c>
      <c r="DI43" s="24">
        <f t="shared" si="15"/>
        <v>38.493459042563259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493</v>
      </c>
      <c r="DM43" s="13">
        <f>VLOOKUP(A43,'Données projet'!$A$165:$I$185,9,0)</f>
        <v>32</v>
      </c>
      <c r="DN43" s="13">
        <f t="array" ref="DN43">INDEX(DM:DM,MIN(IF(ISNUMBER(DM43:DM239),ROW(DM43:DM239),"")))</f>
        <v>32</v>
      </c>
      <c r="DO43" s="13">
        <f>IF('Données projet'!$A$166&gt;35,DO42+DN43-DW42,IF(A43&lt;'Données projet'!$A$166,$DL$205^A43,IF(A43='Données projet'!$A$166,'Données projet'!$B$166,DO42+DN43-DW42)))</f>
        <v>493.00000000000006</v>
      </c>
      <c r="DP43" s="18">
        <f>DO43*VLOOKUP('Données projet'!$B$14,Paramètres!$A$1:$I$88,3,0)*VLOOKUP('Données projet'!$B$14,Paramètres!$A$1:$I$88,5,0)</f>
        <v>198.67900000000003</v>
      </c>
      <c r="DQ43" s="14">
        <f t="shared" si="43"/>
        <v>49.453740032212117</v>
      </c>
      <c r="DR43" s="22">
        <f t="shared" si="16"/>
        <v>432.16452222276945</v>
      </c>
      <c r="DS43" s="62">
        <f t="shared" si="17"/>
        <v>679.97753604189029</v>
      </c>
      <c r="DT43" s="62">
        <f ca="1">AVERAGE(OFFSET($DS$3,0,0,'Données projet'!$E$14+1,1))-AVERAGE(OFFSET($H$3,0,0,'Données projet'!$E$14+1,1))</f>
        <v>432.59662347701629</v>
      </c>
      <c r="DU43" s="62">
        <f t="shared" si="44"/>
        <v>348.67401091099748</v>
      </c>
      <c r="DV43" s="16">
        <f>IF(ISNA(VLOOKUP(A43,'Données projet'!$A$165:$I$185,3,0)),0,VLOOKUP(A43,'Données projet'!$A$165:$I$185,3,0))</f>
        <v>5</v>
      </c>
      <c r="DW43" s="16">
        <f>IF(ISNA(VLOOKUP(A43,'Données projet'!$A$165:$I$185,4,0)),0,VLOOKUP(A43,'Données projet'!$A$165:$I$185,4,0))</f>
        <v>84</v>
      </c>
      <c r="DX43" s="17">
        <f>IF(ISNA(VLOOKUP(A43,'Données projet'!$A$165:$I$185,5,0)),0%,VLOOKUP(A43,'Données projet'!$A$165:$I$185,5,0)*VLOOKUP('Données projet'!$B$14,Paramètres!$A$1:$I$88,7,0))</f>
        <v>0.16500000000000001</v>
      </c>
      <c r="DY43" s="17">
        <f>IF(ISNA(VLOOKUP(A43,'Données projet'!$A$165:$I$185,6,0)),0%,VLOOKUP(A43,'Données projet'!$A$165:$I$185,6,0)*VLOOKUP('Données projet'!$B$14,Paramètres!$A$1:$I$88,7,0))</f>
        <v>0.38500000000000001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projet'!$B$14,Paramètres!$A$1:$I$88,3,0)*0.475*44/12</f>
        <v>18.06751685966098</v>
      </c>
      <c r="EB43" s="23">
        <f>EXP(-LN(2)/25)*EB42+(1-EXP(-LN(2)/25))/(LN(2)/25)*Calculateur!DW43*Calculateur!DY43*VLOOKUP('Données projet'!$B$14,Paramètres!$A$1:$I$88,3,0)*0.475*44/12</f>
        <v>75.609338484430708</v>
      </c>
      <c r="EC43" s="23">
        <f>EXP(-LN(2)/2)*EC42+(1-EXP(-LN(2)/2))/(LN(2)/2)*DW43*DZ43*VLOOKUP('Données projet'!$B$14,Paramètres!$A$1:$I$88,3,0)*0.475*44/12</f>
        <v>0</v>
      </c>
      <c r="ED43" s="24">
        <f t="shared" si="18"/>
        <v>93.676855344091692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616</v>
      </c>
      <c r="EH43" s="13">
        <f>VLOOKUP(A43,'Données projet'!$A$191:$I$211,9,0)</f>
        <v>42</v>
      </c>
      <c r="EI43" s="13">
        <f t="array" ref="EI43">INDEX(EH:EH,MIN(IF(ISNUMBER(EH43:EH239),ROW(EH43:EH239),"")))</f>
        <v>42</v>
      </c>
      <c r="EJ43" s="13">
        <f>IF('Données projet'!$A$192&gt;35,EJ42+EI43-ER42,IF(A43&lt;'Données projet'!$A$192,$EG$205^A43,IF(A43='Données projet'!$A$192,'Données projet'!$B$192,EJ42+EI43-ER42)))</f>
        <v>616</v>
      </c>
      <c r="EK43" s="18">
        <f>EJ43*VLOOKUP('Données projet'!$B$15,Paramètres!$A$1:$I$88,3,0)*VLOOKUP('Données projet'!$B$15,Paramètres!$A$1:$I$88,5,0)</f>
        <v>272.27200000000005</v>
      </c>
      <c r="EL43" s="14">
        <f t="shared" si="45"/>
        <v>65.331209623639012</v>
      </c>
      <c r="EM43" s="22">
        <f t="shared" si="19"/>
        <v>587.99225676117123</v>
      </c>
      <c r="EN43" s="62">
        <f t="shared" si="20"/>
        <v>835.80527058029202</v>
      </c>
      <c r="EO43" s="62">
        <f ca="1">AVERAGE(OFFSET($EN$3,0,0,'Données projet'!$E$15+1,1))-AVERAGE(OFFSET($H$3,0,0,'Données projet'!$E$15+1,1))</f>
        <v>582.26951914082088</v>
      </c>
      <c r="EP43" s="62">
        <f t="shared" si="46"/>
        <v>434.80429932654715</v>
      </c>
      <c r="EQ43" s="16">
        <f>IF(ISNA(VLOOKUP(A43,'Données projet'!$A$191:$I$211,3,0)),0,VLOOKUP(A43,'Données projet'!$A$191:$I$211,3,0))</f>
        <v>6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0.16500000000000001</v>
      </c>
      <c r="ET43" s="17">
        <f>IF(ISNA(VLOOKUP(A43,'Données projet'!$A$191:$I$211,6,0)),0%,VLOOKUP(A43,'Données projet'!$A$191:$I$211,6,0)*VLOOKUP('Données projet'!$B$15,Paramètres!$A$1:$I$88,7,0))</f>
        <v>0.38500000000000001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projet'!$B$15,Paramètres!$A$1:$I$88,3,0)*0.475*44/12</f>
        <v>22.434759577644755</v>
      </c>
      <c r="EW43" s="23">
        <f>EXP(-LN(2)/25)*EW42+(1-EXP(-LN(2)/25))/(LN(2)/25)*Calculateur!ER43*Calculateur!ET43*VLOOKUP('Données projet'!$B$15,Paramètres!$A$1:$I$88,3,0)*0.475*44/12</f>
        <v>77.872603619636791</v>
      </c>
      <c r="EX43" s="23">
        <f>EXP(-LN(2)/2)*EX42+(1-EXP(-LN(2)/2))/(LN(2)/2)*ER43*EU43*VLOOKUP('Données projet'!$B$15,Paramètres!$A$1:$I$88,3,0)*0.475*44/12</f>
        <v>0</v>
      </c>
      <c r="EY43" s="24">
        <f t="shared" si="21"/>
        <v>100.30736319728155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267</v>
      </c>
      <c r="FC43" s="13">
        <f>VLOOKUP(A43,'Données projet'!$A$217:$I$237,9,0)</f>
        <v>14.6</v>
      </c>
      <c r="FD43" s="13">
        <f t="array" ref="FD43">INDEX(FC:FC,MIN(IF(ISNUMBER(FC43:FC239),ROW(FC43:FC239),"")))</f>
        <v>14.6</v>
      </c>
      <c r="FE43" s="13">
        <f>IF('Données projet'!$A$218&gt;35,FE42+FD43-FM42,IF(A43&lt;'Données projet'!$A$218,$FB$205^A43,IF(A43='Données projet'!$A$218,'Données projet'!$B$218,FE42+FD43-FM42)))</f>
        <v>266.99999999999994</v>
      </c>
      <c r="FF43" s="18">
        <f>FE43*VLOOKUP('Données projet'!$B$16,Paramètres!$A$1:$I$88,3,0)*VLOOKUP('Données projet'!$B$16,Paramètres!$A$1:$I$88,5,0)</f>
        <v>124.95599999999997</v>
      </c>
      <c r="FG43" s="14">
        <f t="shared" si="47"/>
        <v>32.828168295117194</v>
      </c>
      <c r="FH43" s="22">
        <f t="shared" si="22"/>
        <v>274.80742644732908</v>
      </c>
      <c r="FI43" s="62">
        <f t="shared" si="23"/>
        <v>522.62044026644992</v>
      </c>
      <c r="FJ43" s="62">
        <f ca="1">AVERAGE(OFFSET($FI$3,0,0,'Données projet'!$E$16+1,1))-AVERAGE(OFFSET($H$3,0,0,'Données projet'!$E$16+1,1))</f>
        <v>429.87867712133851</v>
      </c>
      <c r="FK43" s="62">
        <f t="shared" si="48"/>
        <v>182.81277865988014</v>
      </c>
      <c r="FL43" s="16">
        <f>IF(ISNA(VLOOKUP(A43,'Données projet'!$A$217:$I$237,3,0)),0,VLOOKUP(A43,'Données projet'!$A$217:$I$237,3,0))</f>
        <v>1</v>
      </c>
      <c r="FM43" s="16">
        <f>IF(ISNA(VLOOKUP(A43,'Données projet'!$A$217:$I$237,4,0)),0,VLOOKUP(A43,'Données projet'!$A$217:$I$237,4,0))</f>
        <v>91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0.55000000000000004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projet'!$B$16,Paramètres!$A$1:$I$88,3,0)*0.475*44/12</f>
        <v>0</v>
      </c>
      <c r="FR43" s="23">
        <f>EXP(-LN(2)/25)*FR42+(1-EXP(-LN(2)/25))/(LN(2)/25)*Calculateur!FM43*Calculateur!FO43*VLOOKUP('Données projet'!$B$16,Paramètres!$A$1:$I$88,3,0)*0.475*44/12</f>
        <v>30.950305003414076</v>
      </c>
      <c r="FS43" s="23">
        <f>EXP(-LN(2)/2)*FS42+(1-EXP(-LN(2)/2))/(LN(2)/2)*FM43*FP43*VLOOKUP('Données projet'!$B$16,Paramètres!$A$1:$I$88,3,0)*0.475*44/12</f>
        <v>0</v>
      </c>
      <c r="FT43" s="24">
        <f t="shared" si="24"/>
        <v>30.950305003414076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284</v>
      </c>
      <c r="FX43" s="13">
        <f>VLOOKUP(A43,'Données projet'!$A$243:$I$263,9,0)</f>
        <v>18.399999999999999</v>
      </c>
      <c r="FY43" s="13">
        <f t="array" ref="FY43">INDEX(FX:FX,MIN(IF(ISNUMBER(FX43:FX239),ROW(FX43:FX239),"")))</f>
        <v>18.399999999999999</v>
      </c>
      <c r="FZ43" s="13">
        <f>IF('Données projet'!$A$244&gt;35,FZ42+FY43-GH42,IF(A43&lt;'Données projet'!$A$244,$FW$205^A43,IF(A43='Données projet'!$A$244,'Données projet'!$B$244,FZ42+FY43-GH42)))</f>
        <v>283.99999999999983</v>
      </c>
      <c r="GA43" s="18">
        <f>FZ43*VLOOKUP('Données projet'!$B$17,Paramètres!$A$1:$I$88,3,0)*VLOOKUP('Données projet'!$B$17,Paramètres!$A$1:$I$88,5,0)</f>
        <v>136.60399999999993</v>
      </c>
      <c r="GB43" s="14">
        <f t="shared" si="49"/>
        <v>35.517921219873081</v>
      </c>
      <c r="GC43" s="22">
        <f t="shared" si="25"/>
        <v>299.77901279127883</v>
      </c>
      <c r="GD43" s="62">
        <f t="shared" si="26"/>
        <v>547.59202661039967</v>
      </c>
      <c r="GE43" s="62">
        <f ca="1">AVERAGE(OFFSET($GD$3,0,0,'Données projet'!$E$17+1,1))-AVERAGE(OFFSET($H$3,0,0,'Données projet'!$E$17+1,1))</f>
        <v>273.24375559399846</v>
      </c>
      <c r="GF43" s="62">
        <f t="shared" si="50"/>
        <v>270.77718895097848</v>
      </c>
      <c r="GG43" s="16">
        <f>IF(ISNA(VLOOKUP(A43,'Données projet'!$A$243:$I$263,3,0)),0,VLOOKUP(A43,'Données projet'!$A$243:$I$263,3,0))</f>
        <v>6</v>
      </c>
      <c r="GH43" s="16">
        <f>IF(ISNA(VLOOKUP(A43,'Données projet'!$A$243:$I$263,4,0)),0,VLOOKUP(A43,'Données projet'!$A$243:$I$263,4,0))</f>
        <v>48</v>
      </c>
      <c r="GI43" s="17">
        <f>IF(ISNA(VLOOKUP(A43,'Données projet'!$A$243:$I$263,5,0)),0%,VLOOKUP(A43,'Données projet'!$A$243:$I$263,5,0)*VLOOKUP('Données projet'!$B$17,Paramètres!$A$1:$I$88,7,0))</f>
        <v>0.16500000000000001</v>
      </c>
      <c r="GJ43" s="17">
        <f>IF(ISNA(VLOOKUP(A43,'Données projet'!$A$243:$I$263,6,0)),0%,VLOOKUP(A43,'Données projet'!$A$243:$I$263,6,0)*VLOOKUP('Données projet'!$B$17,Paramètres!$A$1:$I$88,7,0))</f>
        <v>0.38500000000000001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projet'!$B$17,Paramètres!$A$1:$I$88,3,0)*0.475*44/12</f>
        <v>17.492065309714778</v>
      </c>
      <c r="GM43" s="23">
        <f>EXP(-LN(2)/25)*GM42+(1-EXP(-LN(2)/25))/(LN(2)/25)*Calculateur!GH43*Calculateur!GJ43*VLOOKUP('Données projet'!$B$17,Paramètres!$A$1:$I$88,3,0)*0.475*44/12</f>
        <v>44.430494766662328</v>
      </c>
      <c r="GN43" s="23">
        <f>EXP(-LN(2)/2)*GN42+(1-EXP(-LN(2)/2))/(LN(2)/2)*GH43*GK43*VLOOKUP('Données projet'!$B$17,Paramètres!$A$1:$I$88,3,0)*0.475*44/12</f>
        <v>0</v>
      </c>
      <c r="GO43" s="23">
        <f t="shared" si="27"/>
        <v>61.92256007637711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19.571428571428573</v>
      </c>
      <c r="N44" s="14">
        <f>IF('Données projet'!$A$36&gt;35,N43+M44-V43,IF(A44&lt;'Données projet'!$A$36,$K$205^A44,IF(A44='Données projet'!$A$36,'Données projet'!$B$36,N43+M44-V43)))</f>
        <v>399.42857142857122</v>
      </c>
      <c r="O44" s="14">
        <f>N44*VLOOKUP('Données projet'!$B$9,Paramètres!$A$1:$I$88,3,0)*VLOOKUP('Données projet'!$B$9,Paramètres!$A$1:$I$88,5,0)</f>
        <v>223.28057142857133</v>
      </c>
      <c r="P44" s="14">
        <f t="shared" si="33"/>
        <v>54.827286320639246</v>
      </c>
      <c r="Q44" s="22">
        <f t="shared" si="53"/>
        <v>484.37118557987498</v>
      </c>
      <c r="R44" s="62">
        <f t="shared" si="0"/>
        <v>732.97387517437892</v>
      </c>
      <c r="S44" s="62">
        <f ca="1">AVERAGE(OFFSET($R$3,0,0,'Données projet'!$E$9+1,1))-AVERAGE(OFFSET($H$3,0,0,'Données projet'!$E$9+1,1))</f>
        <v>289.94242154211224</v>
      </c>
      <c r="T44" s="62">
        <f t="shared" si="34"/>
        <v>369.12599166143661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13.984563777390978</v>
      </c>
      <c r="AA44" s="23">
        <f>EXP(-LN(2)/25)*AA43+(1-EXP(-LN(2)/25))/(LN(2)/25)*Calculateur!V44*Calculateur!X44*VLOOKUP('Données projet'!$B$9,Paramètres!$A$1:$I$88,3,0)*0.475*44/12</f>
        <v>30.269800517710387</v>
      </c>
      <c r="AB44" s="23">
        <f>EXP(-LN(2)/2)*AB43+(1-EXP(-LN(2)/2))/(LN(2)/2)*V44*Y44*VLOOKUP('Données projet'!$B$9,Paramètres!$A$1:$I$88,3,0)*0.475*44/12</f>
        <v>0</v>
      </c>
      <c r="AC44" s="24">
        <f t="shared" si="3"/>
        <v>44.254364295101368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15.25</v>
      </c>
      <c r="AI44" s="14">
        <f>IF('Données projet'!$A$62&gt;35,AI43+AH44-AQ43,IF(A44&lt;'Données projet'!$A$62,$AF$205^A44,IF(A44='Données projet'!$A$62,'Données projet'!$B$62,AI43+AH44-AQ43)))</f>
        <v>82</v>
      </c>
      <c r="AJ44" s="14">
        <f>AI44*VLOOKUP('Données projet'!$B$10,Paramètres!$A$1:$I$88,3,0)*VLOOKUP('Données projet'!$B$10,Paramètres!$A$1:$I$88,5,0)</f>
        <v>74.193599999999989</v>
      </c>
      <c r="AK44" s="14">
        <f t="shared" si="35"/>
        <v>20.711323637482362</v>
      </c>
      <c r="AL44" s="22">
        <f t="shared" si="4"/>
        <v>165.29274200194843</v>
      </c>
      <c r="AM44" s="62">
        <f t="shared" si="5"/>
        <v>413.8954315964524</v>
      </c>
      <c r="AN44" s="62">
        <f ca="1">AVERAGE(OFFSET($AM$3,0,0,'Données projet'!$E$10+1,1))-AVERAGE(OFFSET($H$3,0,0,'Données projet'!$E$10+1,1))</f>
        <v>518.31628039365785</v>
      </c>
      <c r="AO44" s="62">
        <f t="shared" si="36"/>
        <v>66.435071953154761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0</v>
      </c>
      <c r="AV44" s="23">
        <f>EXP(-LN(2)/25)*AV43+(1-EXP(-LN(2)/25))/(LN(2)/25)*Calculateur!AQ44*Calculateur!AS44*VLOOKUP('Données projet'!$B$10,Paramètres!$A$1:$I$88,3,0)*0.475*44/12</f>
        <v>0</v>
      </c>
      <c r="AW44" s="23">
        <f>EXP(-LN(2)/2)*AW43+(1-EXP(-LN(2)/2))/(LN(2)/2)*AQ44*AT44*VLOOKUP('Données projet'!$B$10,Paramètres!$A$1:$I$88,3,0)*0.475*44/12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15.25</v>
      </c>
      <c r="BD44" s="13">
        <f>IF('Données projet'!$A$88&gt;35,BD43+BC44-BL43,IF(A44&lt;'Données projet'!$A$88,$BA$205^A44,IF(A44='Données projet'!$A$88,'Données projet'!$B$88,BD43+BC44-BL43)))</f>
        <v>82</v>
      </c>
      <c r="BE44" s="14">
        <f>BD44*VLOOKUP('Données projet'!$B$11,Paramètres!$A$1:$I$88,3,0)*VLOOKUP('Données projet'!$B$11,Paramètres!$A$1:$I$88,5,0)</f>
        <v>83.14800000000001</v>
      </c>
      <c r="BF44" s="14">
        <f t="shared" si="37"/>
        <v>22.905149033042591</v>
      </c>
      <c r="BG44" s="22">
        <f t="shared" si="7"/>
        <v>184.70923456588253</v>
      </c>
      <c r="BH44" s="62">
        <f t="shared" si="8"/>
        <v>433.31192416038652</v>
      </c>
      <c r="BI44" s="62">
        <f ca="1">AVERAGE(OFFSET($BH$3,0,0,'Données projet'!$E$11+1,1))-AVERAGE(OFFSET($H$3,0,0,'Données projet'!$E$11+1,1))</f>
        <v>570.2785736203931</v>
      </c>
      <c r="BJ44" s="62">
        <f t="shared" si="38"/>
        <v>67.677759965081719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0</v>
      </c>
      <c r="BQ44" s="23">
        <f>EXP(-LN(2)/25)*BQ43+(1-EXP(-LN(2)/25))/(LN(2)/25)*Calculateur!BL44*Calculateur!BN44*VLOOKUP('Données projet'!$B$11,Paramètres!$A$1:$I$88,3,0)*0.475*44/12</f>
        <v>0</v>
      </c>
      <c r="BR44" s="23">
        <f>EXP(-LN(2)/2)*BR43+(1-EXP(-LN(2)/2))/(LN(2)/2)*BL44*BO44*VLOOKUP('Données projet'!$B$11,Paramètres!$A$1:$I$88,3,0)*0.475*44/12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16.600000000000005</v>
      </c>
      <c r="BY44" s="13">
        <f>IF('Données projet'!$A$114&gt;35,BY43+BX44-CG43,IF(A44&lt;'Données projet'!$A$114,$BV$205^A44,IF(A44='Données projet'!$A$114,'Données projet'!$B$114,BY43+BX44-CG43)))</f>
        <v>400.29999999999973</v>
      </c>
      <c r="BZ44" s="14">
        <f>BY44*VLOOKUP('Données projet'!$B$12,Paramètres!$A$1:$I$88,3,0)*VLOOKUP('Données projet'!$B$12,Paramètres!$A$1:$I$88,5,0)</f>
        <v>239.37939999999986</v>
      </c>
      <c r="CA44" s="14">
        <f t="shared" si="39"/>
        <v>58.305985254736605</v>
      </c>
      <c r="CB44" s="22">
        <f t="shared" si="10"/>
        <v>518.46871265199923</v>
      </c>
      <c r="CC44" s="62">
        <f t="shared" si="11"/>
        <v>767.07140224650323</v>
      </c>
      <c r="CD44" s="62">
        <f ca="1">AVERAGE(OFFSET($CC$3,0,0,'Données projet'!$E$12+1,1))-AVERAGE(OFFSET($H$3,0,0,'Données projet'!$E$12+1,1))</f>
        <v>401.1031790385295</v>
      </c>
      <c r="CE44" s="62">
        <f t="shared" si="40"/>
        <v>402.09589424130615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projet'!$B$12,Paramètres!$A$1:$I$88,3,0)*0.475*44/12</f>
        <v>18.69631606747485</v>
      </c>
      <c r="CL44" s="23">
        <f>EXP(-LN(2)/25)*CL43+(1-EXP(-LN(2)/25))/(LN(2)/25)*Calculateur!CG44*Calculateur!CI44*VLOOKUP('Données projet'!$B$12,Paramètres!$A$1:$I$88,3,0)*0.475*44/12</f>
        <v>0</v>
      </c>
      <c r="CM44" s="23">
        <f>EXP(-LN(2)/2)*CM43+(1-EXP(-LN(2)/2))/(LN(2)/2)*CG44*CJ44*VLOOKUP('Données projet'!$B$12,Paramètres!$A$1:$I$88,3,0)*0.475*44/12</f>
        <v>13.734266931296263</v>
      </c>
      <c r="CN44" s="24">
        <f t="shared" si="12"/>
        <v>32.430582998771115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16.600000000000005</v>
      </c>
      <c r="CT44" s="13">
        <f>IF('Données projet'!$A$140&gt;35,CT43+CS44-DB43,IF(A44&lt;'Données projet'!$A$140,$CQ$205^A44,IF(A44='Données projet'!$A$140,'Données projet'!$B$140,CT43+CS44-DB43)))</f>
        <v>400.29999999999973</v>
      </c>
      <c r="CU44" s="18">
        <f>CT44*VLOOKUP('Données projet'!$B$13,Paramètres!$A$1:$I$88,3,0)*VLOOKUP('Données projet'!$B$13,Paramètres!$A$1:$I$88,5,0)</f>
        <v>239.37939999999986</v>
      </c>
      <c r="CV44" s="14">
        <f t="shared" si="41"/>
        <v>58.305985254736605</v>
      </c>
      <c r="CW44" s="22">
        <f t="shared" si="13"/>
        <v>518.46871265199923</v>
      </c>
      <c r="CX44" s="62">
        <f t="shared" si="14"/>
        <v>767.07140224650323</v>
      </c>
      <c r="CY44" s="62">
        <f ca="1">AVERAGE(OFFSET($CX$3,0,0,'Données projet'!$E$13+1,1))-AVERAGE(OFFSET($H$3,0,0,'Données projet'!$E$13+1,1))</f>
        <v>401.1031790385295</v>
      </c>
      <c r="CZ44" s="62">
        <f t="shared" si="42"/>
        <v>402.09589424130615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projet'!$B$13,Paramètres!$A$1:$I$88,3,0)*0.475*44/12</f>
        <v>18.69631606747485</v>
      </c>
      <c r="DG44" s="23">
        <f>EXP(-LN(2)/25)*DG43+(1-EXP(-LN(2)/25))/(LN(2)/25)*Calculateur!DB44*Calculateur!DD44*VLOOKUP('Données projet'!$B$13,Paramètres!$A$1:$I$88,3,0)*0.475*44/12</f>
        <v>0</v>
      </c>
      <c r="DH44" s="23">
        <f>EXP(-LN(2)/2)*DH43+(1-EXP(-LN(2)/2))/(LN(2)/2)*DB44*DE44*VLOOKUP('Données projet'!$B$13,Paramètres!$A$1:$I$88,3,0)*0.475*44/12</f>
        <v>13.734266931296263</v>
      </c>
      <c r="DI44" s="24">
        <f t="shared" si="15"/>
        <v>32.430582998771115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29.8</v>
      </c>
      <c r="DO44" s="13">
        <f>IF('Données projet'!$A$166&gt;35,DO43+DN44-DW43,IF(A44&lt;'Données projet'!$A$166,$DL$205^A44,IF(A44='Données projet'!$A$166,'Données projet'!$B$166,DO43+DN44-DW43)))</f>
        <v>438.80000000000007</v>
      </c>
      <c r="DP44" s="18">
        <f>DO44*VLOOKUP('Données projet'!$B$14,Paramètres!$A$1:$I$88,3,0)*VLOOKUP('Données projet'!$B$14,Paramètres!$A$1:$I$88,5,0)</f>
        <v>176.83640000000003</v>
      </c>
      <c r="DQ44" s="14">
        <f t="shared" si="43"/>
        <v>44.617618740471151</v>
      </c>
      <c r="DR44" s="22">
        <f t="shared" si="16"/>
        <v>385.69908263965391</v>
      </c>
      <c r="DS44" s="62">
        <f t="shared" si="17"/>
        <v>634.30177223415785</v>
      </c>
      <c r="DT44" s="62">
        <f ca="1">AVERAGE(OFFSET($DS$3,0,0,'Données projet'!$E$14+1,1))-AVERAGE(OFFSET($H$3,0,0,'Données projet'!$E$14+1,1))</f>
        <v>432.59662347701629</v>
      </c>
      <c r="DU44" s="62">
        <f t="shared" si="44"/>
        <v>348.67401091099748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projet'!$B$14,Paramètres!$A$1:$I$88,3,0)*0.475*44/12</f>
        <v>17.713223874140169</v>
      </c>
      <c r="EB44" s="23">
        <f>EXP(-LN(2)/25)*EB43+(1-EXP(-LN(2)/25))/(LN(2)/25)*Calculateur!DW44*Calculateur!DY44*VLOOKUP('Données projet'!$B$14,Paramètres!$A$1:$I$88,3,0)*0.475*44/12</f>
        <v>73.541797147451646</v>
      </c>
      <c r="EC44" s="23">
        <f>EXP(-LN(2)/2)*EC43+(1-EXP(-LN(2)/2))/(LN(2)/2)*DW44*DZ44*VLOOKUP('Données projet'!$B$14,Paramètres!$A$1:$I$88,3,0)*0.475*44/12</f>
        <v>0</v>
      </c>
      <c r="ED44" s="24">
        <f t="shared" si="18"/>
        <v>91.255021021591816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20.6</v>
      </c>
      <c r="EJ44" s="13">
        <f>IF('Données projet'!$A$192&gt;35,EJ43+EI44-ER43,IF(A44&lt;'Données projet'!$A$192,$EG$205^A44,IF(A44='Données projet'!$A$192,'Données projet'!$B$192,EJ43+EI44-ER43)))</f>
        <v>636.6</v>
      </c>
      <c r="EK44" s="18">
        <f>EJ44*VLOOKUP('Données projet'!$B$15,Paramètres!$A$1:$I$88,3,0)*VLOOKUP('Données projet'!$B$15,Paramètres!$A$1:$I$88,5,0)</f>
        <v>281.37720000000002</v>
      </c>
      <c r="EL44" s="14">
        <f t="shared" si="45"/>
        <v>67.257967669103479</v>
      </c>
      <c r="EM44" s="22">
        <f t="shared" si="19"/>
        <v>607.20625035702199</v>
      </c>
      <c r="EN44" s="62">
        <f t="shared" si="20"/>
        <v>855.80893995152599</v>
      </c>
      <c r="EO44" s="62">
        <f ca="1">AVERAGE(OFFSET($EN$3,0,0,'Données projet'!$E$15+1,1))-AVERAGE(OFFSET($H$3,0,0,'Données projet'!$E$15+1,1))</f>
        <v>582.26951914082088</v>
      </c>
      <c r="EP44" s="62">
        <f t="shared" si="46"/>
        <v>434.80429932654715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projet'!$B$15,Paramètres!$A$1:$I$88,3,0)*0.475*44/12</f>
        <v>21.994827626179315</v>
      </c>
      <c r="EW44" s="23">
        <f>EXP(-LN(2)/25)*EW43+(1-EXP(-LN(2)/25))/(LN(2)/25)*Calculateur!ER44*Calculateur!ET44*VLOOKUP('Données projet'!$B$15,Paramètres!$A$1:$I$88,3,0)*0.475*44/12</f>
        <v>75.743173178515576</v>
      </c>
      <c r="EX44" s="23">
        <f>EXP(-LN(2)/2)*EX43+(1-EXP(-LN(2)/2))/(LN(2)/2)*ER44*EU44*VLOOKUP('Données projet'!$B$15,Paramètres!$A$1:$I$88,3,0)*0.475*44/12</f>
        <v>0</v>
      </c>
      <c r="EY44" s="24">
        <f t="shared" si="21"/>
        <v>97.738000804694892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20.399999999999999</v>
      </c>
      <c r="FE44" s="13">
        <f>IF('Données projet'!$A$218&gt;35,FE43+FD44-FM43,IF(A44&lt;'Données projet'!$A$218,$FB$205^A44,IF(A44='Données projet'!$A$218,'Données projet'!$B$218,FE43+FD44-FM43)))</f>
        <v>196.39999999999992</v>
      </c>
      <c r="FF44" s="18">
        <f>FE44*VLOOKUP('Données projet'!$B$16,Paramètres!$A$1:$I$88,3,0)*VLOOKUP('Données projet'!$B$16,Paramètres!$A$1:$I$88,5,0)</f>
        <v>91.915199999999956</v>
      </c>
      <c r="FG44" s="14">
        <f t="shared" si="47"/>
        <v>25.026557534351902</v>
      </c>
      <c r="FH44" s="22">
        <f t="shared" si="22"/>
        <v>203.67356103899616</v>
      </c>
      <c r="FI44" s="62">
        <f t="shared" si="23"/>
        <v>452.27625063350013</v>
      </c>
      <c r="FJ44" s="62">
        <f ca="1">AVERAGE(OFFSET($FI$3,0,0,'Données projet'!$E$16+1,1))-AVERAGE(OFFSET($H$3,0,0,'Données projet'!$E$16+1,1))</f>
        <v>429.87867712133851</v>
      </c>
      <c r="FK44" s="62">
        <f t="shared" si="48"/>
        <v>182.81277865988014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projet'!$B$16,Paramètres!$A$1:$I$88,3,0)*0.475*44/12</f>
        <v>0</v>
      </c>
      <c r="FR44" s="23">
        <f>EXP(-LN(2)/25)*FR43+(1-EXP(-LN(2)/25))/(LN(2)/25)*Calculateur!FM44*Calculateur!FO44*VLOOKUP('Données projet'!$B$16,Paramètres!$A$1:$I$88,3,0)*0.475*44/12</f>
        <v>30.103967285489915</v>
      </c>
      <c r="FS44" s="23">
        <f>EXP(-LN(2)/2)*FS43+(1-EXP(-LN(2)/2))/(LN(2)/2)*FM44*FP44*VLOOKUP('Données projet'!$B$16,Paramètres!$A$1:$I$88,3,0)*0.475*44/12</f>
        <v>0</v>
      </c>
      <c r="FT44" s="24">
        <f t="shared" si="24"/>
        <v>30.103967285489915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18.2</v>
      </c>
      <c r="FZ44" s="13">
        <f>IF('Données projet'!$A$244&gt;35,FZ43+FY44-GH43,IF(A44&lt;'Données projet'!$A$244,$FW$205^A44,IF(A44='Données projet'!$A$244,'Données projet'!$B$244,FZ43+FY44-GH43)))</f>
        <v>254.19999999999982</v>
      </c>
      <c r="GA44" s="18">
        <f>FZ44*VLOOKUP('Données projet'!$B$17,Paramètres!$A$1:$I$88,3,0)*VLOOKUP('Données projet'!$B$17,Paramètres!$A$1:$I$88,5,0)</f>
        <v>122.27019999999992</v>
      </c>
      <c r="GB44" s="14">
        <f t="shared" si="49"/>
        <v>32.203907237005275</v>
      </c>
      <c r="GC44" s="22">
        <f t="shared" si="25"/>
        <v>269.042403437784</v>
      </c>
      <c r="GD44" s="62">
        <f t="shared" si="26"/>
        <v>517.64509303228795</v>
      </c>
      <c r="GE44" s="62">
        <f ca="1">AVERAGE(OFFSET($GD$3,0,0,'Données projet'!$E$17+1,1))-AVERAGE(OFFSET($H$3,0,0,'Données projet'!$E$17+1,1))</f>
        <v>273.24375559399846</v>
      </c>
      <c r="GF44" s="62">
        <f t="shared" si="50"/>
        <v>270.77718895097848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projet'!$B$17,Paramètres!$A$1:$I$88,3,0)*0.475*44/12</f>
        <v>17.149056578097625</v>
      </c>
      <c r="GM44" s="23">
        <f>EXP(-LN(2)/25)*GM43+(1-EXP(-LN(2)/25))/(LN(2)/25)*Calculateur!GH44*Calculateur!GJ44*VLOOKUP('Données projet'!$B$17,Paramètres!$A$1:$I$88,3,0)*0.475*44/12</f>
        <v>43.215540550769774</v>
      </c>
      <c r="GN44" s="23">
        <f>EXP(-LN(2)/2)*GN43+(1-EXP(-LN(2)/2))/(LN(2)/2)*GH44*GK44*VLOOKUP('Données projet'!$B$17,Paramètres!$A$1:$I$88,3,0)*0.475*44/12</f>
        <v>0</v>
      </c>
      <c r="GO44" s="23">
        <f t="shared" si="27"/>
        <v>60.364597128867402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419</v>
      </c>
      <c r="L45" s="13">
        <f>VLOOKUP(A45,'Données projet'!$A$35:$I$55,9,0)</f>
        <v>19.571428571428573</v>
      </c>
      <c r="M45" s="13">
        <f t="array" ref="M45">INDEX(L:L,MIN(IF(ISNUMBER(L45:L241),ROW(L45:L241),"")))</f>
        <v>19.571428571428573</v>
      </c>
      <c r="N45" s="14">
        <f>IF('Données projet'!$A$36&gt;35,N44+M45-V44,IF(A45&lt;'Données projet'!$A$36,$K$205^A45,IF(A45='Données projet'!$A$36,'Données projet'!$B$36,N44+M45-V44)))</f>
        <v>418.99999999999977</v>
      </c>
      <c r="O45" s="14">
        <f>N45*VLOOKUP('Données projet'!$B$9,Paramètres!$A$1:$I$88,3,0)*VLOOKUP('Données projet'!$B$9,Paramètres!$A$1:$I$88,5,0)</f>
        <v>234.22099999999989</v>
      </c>
      <c r="P45" s="14">
        <f t="shared" si="33"/>
        <v>57.194392182630075</v>
      </c>
      <c r="Q45" s="22">
        <f t="shared" si="53"/>
        <v>507.54847471808051</v>
      </c>
      <c r="R45" s="62">
        <f t="shared" si="0"/>
        <v>756.92714097871522</v>
      </c>
      <c r="S45" s="62">
        <f ca="1">AVERAGE(OFFSET($R$3,0,0,'Données projet'!$E$9+1,1))-AVERAGE(OFFSET($H$3,0,0,'Données projet'!$E$9+1,1))</f>
        <v>289.94242154211224</v>
      </c>
      <c r="T45" s="62">
        <f t="shared" si="34"/>
        <v>369.12599166143661</v>
      </c>
      <c r="U45" s="16">
        <f>IF(ISNA(VLOOKUP(A45,'Données projet'!$A$35:$I$55,3,0)),0,VLOOKUP(A45,'Données projet'!$A$35:$I$55,3,0))</f>
        <v>3</v>
      </c>
      <c r="V45" s="16">
        <f>IF(ISNA(VLOOKUP(A45,'Données projet'!$A$35:$I$55,4,0)),0,VLOOKUP(A45,'Données projet'!$A$35:$I$55,4,0))</f>
        <v>77</v>
      </c>
      <c r="W45" s="17">
        <f>IF(ISNA(VLOOKUP(A45,'Données projet'!$A$35:$I$55,5,0)),0%,VLOOKUP(A45,'Données projet'!$A$35:$I$55,5,0)*VLOOKUP('Données projet'!$B$9,Paramètres!$A$1:$I$88,7,0))</f>
        <v>0.22000000000000003</v>
      </c>
      <c r="X45" s="17">
        <f>IF(ISNA(VLOOKUP(A45,'Données projet'!$A$35:$I$55,6,0)),0%,VLOOKUP(A45,'Données projet'!$A$35:$I$55,6,0)*VLOOKUP('Données projet'!$B$9,Paramètres!$A$1:$I$88,7,0))</f>
        <v>0.33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26.272184059664511</v>
      </c>
      <c r="AA45" s="23">
        <f>EXP(-LN(2)/25)*AA44+(1-EXP(-LN(2)/25))/(LN(2)/25)*Calculateur!V45*Calculateur!X45*VLOOKUP('Données projet'!$B$9,Paramètres!$A$1:$I$88,3,0)*0.475*44/12</f>
        <v>48.210653623829941</v>
      </c>
      <c r="AB45" s="23">
        <f>EXP(-LN(2)/2)*AB44+(1-EXP(-LN(2)/2))/(LN(2)/2)*V45*Y45*VLOOKUP('Données projet'!$B$9,Paramètres!$A$1:$I$88,3,0)*0.475*44/12</f>
        <v>0</v>
      </c>
      <c r="AC45" s="24">
        <f t="shared" si="3"/>
        <v>74.482837683494452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15.25</v>
      </c>
      <c r="AI45" s="14">
        <f>IF('Données projet'!$A$62&gt;35,AI44+AH45-AQ44,IF(A45&lt;'Données projet'!$A$62,$AF$205^A45,IF(A45='Données projet'!$A$62,'Données projet'!$B$62,AI44+AH45-AQ44)))</f>
        <v>97.25</v>
      </c>
      <c r="AJ45" s="14">
        <f>AI45*VLOOKUP('Données projet'!$B$10,Paramètres!$A$1:$I$88,3,0)*VLOOKUP('Données projet'!$B$10,Paramètres!$A$1:$I$88,5,0)</f>
        <v>87.991799999999998</v>
      </c>
      <c r="AK45" s="14">
        <f t="shared" si="35"/>
        <v>24.080261258375522</v>
      </c>
      <c r="AL45" s="22">
        <f t="shared" si="4"/>
        <v>195.19217335833739</v>
      </c>
      <c r="AM45" s="62">
        <f t="shared" si="5"/>
        <v>444.57083961897212</v>
      </c>
      <c r="AN45" s="62">
        <f ca="1">AVERAGE(OFFSET($AM$3,0,0,'Données projet'!$E$10+1,1))-AVERAGE(OFFSET($H$3,0,0,'Données projet'!$E$10+1,1))</f>
        <v>518.31628039365785</v>
      </c>
      <c r="AO45" s="62">
        <f t="shared" si="36"/>
        <v>66.435071953154761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0</v>
      </c>
      <c r="AV45" s="23">
        <f>EXP(-LN(2)/25)*AV44+(1-EXP(-LN(2)/25))/(LN(2)/25)*Calculateur!AQ45*Calculateur!AS45*VLOOKUP('Données projet'!$B$10,Paramètres!$A$1:$I$88,3,0)*0.475*44/12</f>
        <v>0</v>
      </c>
      <c r="AW45" s="23">
        <f>EXP(-LN(2)/2)*AW44+(1-EXP(-LN(2)/2))/(LN(2)/2)*AQ45*AT45*VLOOKUP('Données projet'!$B$10,Paramètres!$A$1:$I$88,3,0)*0.475*44/12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15.25</v>
      </c>
      <c r="BD45" s="13">
        <f>IF('Données projet'!$A$88&gt;35,BD44+BC45-BL44,IF(A45&lt;'Données projet'!$A$88,$BA$205^A45,IF(A45='Données projet'!$A$88,'Données projet'!$B$88,BD44+BC45-BL44)))</f>
        <v>97.25</v>
      </c>
      <c r="BE45" s="14">
        <f>BD45*VLOOKUP('Données projet'!$B$11,Paramètres!$A$1:$I$88,3,0)*VLOOKUP('Données projet'!$B$11,Paramètres!$A$1:$I$88,5,0)</f>
        <v>98.611500000000007</v>
      </c>
      <c r="BF45" s="14">
        <f t="shared" si="37"/>
        <v>26.630937864323762</v>
      </c>
      <c r="BG45" s="22">
        <f t="shared" si="7"/>
        <v>218.13057928036389</v>
      </c>
      <c r="BH45" s="62">
        <f t="shared" si="8"/>
        <v>467.50924554099862</v>
      </c>
      <c r="BI45" s="62">
        <f ca="1">AVERAGE(OFFSET($BH$3,0,0,'Données projet'!$E$11+1,1))-AVERAGE(OFFSET($H$3,0,0,'Données projet'!$E$11+1,1))</f>
        <v>570.2785736203931</v>
      </c>
      <c r="BJ45" s="62">
        <f t="shared" si="38"/>
        <v>67.677759965081719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0</v>
      </c>
      <c r="BQ45" s="23">
        <f>EXP(-LN(2)/25)*BQ44+(1-EXP(-LN(2)/25))/(LN(2)/25)*Calculateur!BL45*Calculateur!BN45*VLOOKUP('Données projet'!$B$11,Paramètres!$A$1:$I$88,3,0)*0.475*44/12</f>
        <v>0</v>
      </c>
      <c r="BR45" s="23">
        <f>EXP(-LN(2)/2)*BR44+(1-EXP(-LN(2)/2))/(LN(2)/2)*BL45*BO45*VLOOKUP('Données projet'!$B$11,Paramètres!$A$1:$I$88,3,0)*0.475*44/12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16.600000000000005</v>
      </c>
      <c r="BY45" s="13">
        <f>IF('Données projet'!$A$114&gt;35,BY44+BX45-CG44,IF(A45&lt;'Données projet'!$A$114,$BV$205^A45,IF(A45='Données projet'!$A$114,'Données projet'!$B$114,BY44+BX45-CG44)))</f>
        <v>416.89999999999975</v>
      </c>
      <c r="BZ45" s="14">
        <f>BY45*VLOOKUP('Données projet'!$B$12,Paramètres!$A$1:$I$88,3,0)*VLOOKUP('Données projet'!$B$12,Paramètres!$A$1:$I$88,5,0)</f>
        <v>249.30619999999985</v>
      </c>
      <c r="CA45" s="14">
        <f t="shared" si="39"/>
        <v>60.437350003653705</v>
      </c>
      <c r="CB45" s="22">
        <f t="shared" si="10"/>
        <v>539.47001625636335</v>
      </c>
      <c r="CC45" s="62">
        <f t="shared" si="11"/>
        <v>788.84868251699811</v>
      </c>
      <c r="CD45" s="62">
        <f ca="1">AVERAGE(OFFSET($CC$3,0,0,'Données projet'!$E$12+1,1))-AVERAGE(OFFSET($H$3,0,0,'Données projet'!$E$12+1,1))</f>
        <v>401.1031790385295</v>
      </c>
      <c r="CE45" s="62">
        <f t="shared" si="40"/>
        <v>402.09589424130615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projet'!$B$12,Paramètres!$A$1:$I$88,3,0)*0.475*44/12</f>
        <v>18.329692713018456</v>
      </c>
      <c r="CL45" s="23">
        <f>EXP(-LN(2)/25)*CL44+(1-EXP(-LN(2)/25))/(LN(2)/25)*Calculateur!CG45*Calculateur!CI45*VLOOKUP('Données projet'!$B$12,Paramètres!$A$1:$I$88,3,0)*0.475*44/12</f>
        <v>0</v>
      </c>
      <c r="CM45" s="23">
        <f>EXP(-LN(2)/2)*CM44+(1-EXP(-LN(2)/2))/(LN(2)/2)*CG45*CJ45*VLOOKUP('Données projet'!$B$12,Paramètres!$A$1:$I$88,3,0)*0.475*44/12</f>
        <v>9.7115932817457438</v>
      </c>
      <c r="CN45" s="24">
        <f t="shared" si="12"/>
        <v>28.041285994764202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16.600000000000005</v>
      </c>
      <c r="CT45" s="13">
        <f>IF('Données projet'!$A$140&gt;35,CT44+CS45-DB44,IF(A45&lt;'Données projet'!$A$140,$CQ$205^A45,IF(A45='Données projet'!$A$140,'Données projet'!$B$140,CT44+CS45-DB44)))</f>
        <v>416.89999999999975</v>
      </c>
      <c r="CU45" s="18">
        <f>CT45*VLOOKUP('Données projet'!$B$13,Paramètres!$A$1:$I$88,3,0)*VLOOKUP('Données projet'!$B$13,Paramètres!$A$1:$I$88,5,0)</f>
        <v>249.30619999999985</v>
      </c>
      <c r="CV45" s="14">
        <f t="shared" si="41"/>
        <v>60.437350003653705</v>
      </c>
      <c r="CW45" s="22">
        <f t="shared" si="13"/>
        <v>539.47001625636335</v>
      </c>
      <c r="CX45" s="62">
        <f t="shared" si="14"/>
        <v>788.84868251699811</v>
      </c>
      <c r="CY45" s="62">
        <f ca="1">AVERAGE(OFFSET($CX$3,0,0,'Données projet'!$E$13+1,1))-AVERAGE(OFFSET($H$3,0,0,'Données projet'!$E$13+1,1))</f>
        <v>401.1031790385295</v>
      </c>
      <c r="CZ45" s="62">
        <f t="shared" si="42"/>
        <v>402.09589424130615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projet'!$B$13,Paramètres!$A$1:$I$88,3,0)*0.475*44/12</f>
        <v>18.329692713018456</v>
      </c>
      <c r="DG45" s="23">
        <f>EXP(-LN(2)/25)*DG44+(1-EXP(-LN(2)/25))/(LN(2)/25)*Calculateur!DB45*Calculateur!DD45*VLOOKUP('Données projet'!$B$13,Paramètres!$A$1:$I$88,3,0)*0.475*44/12</f>
        <v>0</v>
      </c>
      <c r="DH45" s="23">
        <f>EXP(-LN(2)/2)*DH44+(1-EXP(-LN(2)/2))/(LN(2)/2)*DB45*DE45*VLOOKUP('Données projet'!$B$13,Paramètres!$A$1:$I$88,3,0)*0.475*44/12</f>
        <v>9.7115932817457438</v>
      </c>
      <c r="DI45" s="24">
        <f t="shared" si="15"/>
        <v>28.041285994764202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29.8</v>
      </c>
      <c r="DO45" s="13">
        <f>IF('Données projet'!$A$166&gt;35,DO44+DN45-DW44,IF(A45&lt;'Données projet'!$A$166,$DL$205^A45,IF(A45='Données projet'!$A$166,'Données projet'!$B$166,DO44+DN45-DW44)))</f>
        <v>468.60000000000008</v>
      </c>
      <c r="DP45" s="18">
        <f>DO45*VLOOKUP('Données projet'!$B$14,Paramètres!$A$1:$I$88,3,0)*VLOOKUP('Données projet'!$B$14,Paramètres!$A$1:$I$88,5,0)</f>
        <v>188.84580000000003</v>
      </c>
      <c r="DQ45" s="14">
        <f t="shared" si="43"/>
        <v>47.284685196371136</v>
      </c>
      <c r="DR45" s="22">
        <f t="shared" si="16"/>
        <v>411.26059505034641</v>
      </c>
      <c r="DS45" s="62">
        <f t="shared" si="17"/>
        <v>660.63926131098117</v>
      </c>
      <c r="DT45" s="62">
        <f ca="1">AVERAGE(OFFSET($DS$3,0,0,'Données projet'!$E$14+1,1))-AVERAGE(OFFSET($H$3,0,0,'Données projet'!$E$14+1,1))</f>
        <v>432.59662347701629</v>
      </c>
      <c r="DU45" s="62">
        <f t="shared" si="44"/>
        <v>348.67401091099748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projet'!$B$14,Paramètres!$A$1:$I$88,3,0)*0.475*44/12</f>
        <v>17.365878357968036</v>
      </c>
      <c r="EB45" s="23">
        <f>EXP(-LN(2)/25)*EB44+(1-EXP(-LN(2)/25))/(LN(2)/25)*Calculateur!DW45*Calculateur!DY45*VLOOKUP('Données projet'!$B$14,Paramètres!$A$1:$I$88,3,0)*0.475*44/12</f>
        <v>71.53079283705955</v>
      </c>
      <c r="EC45" s="23">
        <f>EXP(-LN(2)/2)*EC44+(1-EXP(-LN(2)/2))/(LN(2)/2)*DW45*DZ45*VLOOKUP('Données projet'!$B$14,Paramètres!$A$1:$I$88,3,0)*0.475*44/12</f>
        <v>0</v>
      </c>
      <c r="ED45" s="24">
        <f t="shared" si="18"/>
        <v>88.896671195027579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20.6</v>
      </c>
      <c r="EJ45" s="13">
        <f>IF('Données projet'!$A$192&gt;35,EJ44+EI45-ER44,IF(A45&lt;'Données projet'!$A$192,$EG$205^A45,IF(A45='Données projet'!$A$192,'Données projet'!$B$192,EJ44+EI45-ER44)))</f>
        <v>657.2</v>
      </c>
      <c r="EK45" s="18">
        <f>EJ45*VLOOKUP('Données projet'!$B$15,Paramètres!$A$1:$I$88,3,0)*VLOOKUP('Données projet'!$B$15,Paramètres!$A$1:$I$88,5,0)</f>
        <v>290.48240000000004</v>
      </c>
      <c r="EL45" s="14">
        <f t="shared" si="45"/>
        <v>69.177480634795671</v>
      </c>
      <c r="EM45" s="22">
        <f t="shared" si="19"/>
        <v>626.40762543893595</v>
      </c>
      <c r="EN45" s="62">
        <f t="shared" si="20"/>
        <v>875.78629169957071</v>
      </c>
      <c r="EO45" s="62">
        <f ca="1">AVERAGE(OFFSET($EN$3,0,0,'Données projet'!$E$15+1,1))-AVERAGE(OFFSET($H$3,0,0,'Données projet'!$E$15+1,1))</f>
        <v>582.26951914082088</v>
      </c>
      <c r="EP45" s="62">
        <f t="shared" si="46"/>
        <v>434.80429932654715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projet'!$B$15,Paramètres!$A$1:$I$88,3,0)*0.475*44/12</f>
        <v>21.563522471950119</v>
      </c>
      <c r="EW45" s="23">
        <f>EXP(-LN(2)/25)*EW44+(1-EXP(-LN(2)/25))/(LN(2)/25)*Calculateur!ER45*Calculateur!ET45*VLOOKUP('Données projet'!$B$15,Paramètres!$A$1:$I$88,3,0)*0.475*44/12</f>
        <v>73.671972124788709</v>
      </c>
      <c r="EX45" s="23">
        <f>EXP(-LN(2)/2)*EX44+(1-EXP(-LN(2)/2))/(LN(2)/2)*ER45*EU45*VLOOKUP('Données projet'!$B$15,Paramètres!$A$1:$I$88,3,0)*0.475*44/12</f>
        <v>0</v>
      </c>
      <c r="EY45" s="24">
        <f t="shared" si="21"/>
        <v>95.235494596738832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20.399999999999999</v>
      </c>
      <c r="FE45" s="13">
        <f>IF('Données projet'!$A$218&gt;35,FE44+FD45-FM44,IF(A45&lt;'Données projet'!$A$218,$FB$205^A45,IF(A45='Données projet'!$A$218,'Données projet'!$B$218,FE44+FD45-FM44)))</f>
        <v>216.79999999999993</v>
      </c>
      <c r="FF45" s="18">
        <f>FE45*VLOOKUP('Données projet'!$B$16,Paramètres!$A$1:$I$88,3,0)*VLOOKUP('Données projet'!$B$16,Paramètres!$A$1:$I$88,5,0)</f>
        <v>101.46239999999997</v>
      </c>
      <c r="FG45" s="14">
        <f t="shared" si="47"/>
        <v>27.310099257465147</v>
      </c>
      <c r="FH45" s="22">
        <f t="shared" si="22"/>
        <v>224.27876954008505</v>
      </c>
      <c r="FI45" s="62">
        <f t="shared" si="23"/>
        <v>473.65743580071978</v>
      </c>
      <c r="FJ45" s="62">
        <f ca="1">AVERAGE(OFFSET($FI$3,0,0,'Données projet'!$E$16+1,1))-AVERAGE(OFFSET($H$3,0,0,'Données projet'!$E$16+1,1))</f>
        <v>429.87867712133851</v>
      </c>
      <c r="FK45" s="62">
        <f t="shared" si="48"/>
        <v>182.81277865988014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projet'!$B$16,Paramètres!$A$1:$I$88,3,0)*0.475*44/12</f>
        <v>0</v>
      </c>
      <c r="FR45" s="23">
        <f>EXP(-LN(2)/25)*FR44+(1-EXP(-LN(2)/25))/(LN(2)/25)*Calculateur!FM45*Calculateur!FO45*VLOOKUP('Données projet'!$B$16,Paramètres!$A$1:$I$88,3,0)*0.475*44/12</f>
        <v>29.280772716969356</v>
      </c>
      <c r="FS45" s="23">
        <f>EXP(-LN(2)/2)*FS44+(1-EXP(-LN(2)/2))/(LN(2)/2)*FM45*FP45*VLOOKUP('Données projet'!$B$16,Paramètres!$A$1:$I$88,3,0)*0.475*44/12</f>
        <v>0</v>
      </c>
      <c r="FT45" s="24">
        <f t="shared" si="24"/>
        <v>29.280772716969356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18.2</v>
      </c>
      <c r="FZ45" s="13">
        <f>IF('Données projet'!$A$244&gt;35,FZ44+FY45-GH44,IF(A45&lt;'Données projet'!$A$244,$FW$205^A45,IF(A45='Données projet'!$A$244,'Données projet'!$B$244,FZ44+FY45-GH44)))</f>
        <v>272.39999999999981</v>
      </c>
      <c r="GA45" s="18">
        <f>FZ45*VLOOKUP('Données projet'!$B$17,Paramètres!$A$1:$I$88,3,0)*VLOOKUP('Données projet'!$B$17,Paramètres!$A$1:$I$88,5,0)</f>
        <v>131.0243999999999</v>
      </c>
      <c r="GB45" s="14">
        <f t="shared" si="49"/>
        <v>34.232959853816645</v>
      </c>
      <c r="GC45" s="22">
        <f t="shared" si="25"/>
        <v>287.82323507873048</v>
      </c>
      <c r="GD45" s="62">
        <f t="shared" si="26"/>
        <v>537.20190133936524</v>
      </c>
      <c r="GE45" s="62">
        <f ca="1">AVERAGE(OFFSET($GD$3,0,0,'Données projet'!$E$17+1,1))-AVERAGE(OFFSET($H$3,0,0,'Données projet'!$E$17+1,1))</f>
        <v>273.24375559399846</v>
      </c>
      <c r="GF45" s="62">
        <f t="shared" si="50"/>
        <v>270.77718895097848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projet'!$B$17,Paramètres!$A$1:$I$88,3,0)*0.475*44/12</f>
        <v>16.812774038492815</v>
      </c>
      <c r="GM45" s="23">
        <f>EXP(-LN(2)/25)*GM44+(1-EXP(-LN(2)/25))/(LN(2)/25)*Calculateur!GH45*Calculateur!GJ45*VLOOKUP('Données projet'!$B$17,Paramètres!$A$1:$I$88,3,0)*0.475*44/12</f>
        <v>42.033809321802465</v>
      </c>
      <c r="GN45" s="23">
        <f>EXP(-LN(2)/2)*GN44+(1-EXP(-LN(2)/2))/(LN(2)/2)*GH45*GK45*VLOOKUP('Données projet'!$B$17,Paramètres!$A$1:$I$88,3,0)*0.475*44/12</f>
        <v>0</v>
      </c>
      <c r="GO45" s="23">
        <f t="shared" si="27"/>
        <v>58.846583360295284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18.714285714285715</v>
      </c>
      <c r="N46" s="14">
        <f>IF('Données projet'!$A$36&gt;35,N45+M46-V45,IF(A46&lt;'Données projet'!$A$36,$K$205^A46,IF(A46='Données projet'!$A$36,'Données projet'!$B$36,N45+M46-V45)))</f>
        <v>360.7142857142855</v>
      </c>
      <c r="O46" s="14">
        <f>N46*VLOOKUP('Données projet'!$B$9,Paramètres!$A$1:$I$88,3,0)*VLOOKUP('Données projet'!$B$9,Paramètres!$A$1:$I$88,5,0)</f>
        <v>201.63928571428559</v>
      </c>
      <c r="P46" s="14">
        <f t="shared" si="33"/>
        <v>50.104261772905943</v>
      </c>
      <c r="Q46" s="22">
        <f t="shared" si="53"/>
        <v>438.45334520685856</v>
      </c>
      <c r="R46" s="62">
        <f t="shared" si="0"/>
        <v>688.5945266732906</v>
      </c>
      <c r="S46" s="62">
        <f ca="1">AVERAGE(OFFSET($R$3,0,0,'Données projet'!$E$9+1,1))-AVERAGE(OFFSET($H$3,0,0,'Données projet'!$E$9+1,1))</f>
        <v>289.94242154211224</v>
      </c>
      <c r="T46" s="62">
        <f t="shared" si="34"/>
        <v>369.12599166143661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25.757002554704485</v>
      </c>
      <c r="AA46" s="23">
        <f>EXP(-LN(2)/25)*AA45+(1-EXP(-LN(2)/25))/(LN(2)/25)*Calculateur!V46*Calculateur!X46*VLOOKUP('Données projet'!$B$9,Paramètres!$A$1:$I$88,3,0)*0.475*44/12</f>
        <v>46.892330765198224</v>
      </c>
      <c r="AB46" s="23">
        <f>EXP(-LN(2)/2)*AB45+(1-EXP(-LN(2)/2))/(LN(2)/2)*V46*Y46*VLOOKUP('Données projet'!$B$9,Paramètres!$A$1:$I$88,3,0)*0.475*44/12</f>
        <v>0</v>
      </c>
      <c r="AC46" s="24">
        <f t="shared" si="3"/>
        <v>72.649333319902709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15.25</v>
      </c>
      <c r="AI46" s="14">
        <f>IF('Données projet'!$A$62&gt;35,AI45+AH46-AQ45,IF(A46&lt;'Données projet'!$A$62,$AF$205^A46,IF(A46='Données projet'!$A$62,'Données projet'!$B$62,AI45+AH46-AQ45)))</f>
        <v>112.5</v>
      </c>
      <c r="AJ46" s="14">
        <f>AI46*VLOOKUP('Données projet'!$B$10,Paramètres!$A$1:$I$88,3,0)*VLOOKUP('Données projet'!$B$10,Paramètres!$A$1:$I$88,5,0)</f>
        <v>101.79</v>
      </c>
      <c r="AK46" s="14">
        <f t="shared" si="35"/>
        <v>27.38799903683508</v>
      </c>
      <c r="AL46" s="22">
        <f t="shared" si="4"/>
        <v>224.98501498915439</v>
      </c>
      <c r="AM46" s="62">
        <f t="shared" si="5"/>
        <v>475.12619645558641</v>
      </c>
      <c r="AN46" s="62">
        <f ca="1">AVERAGE(OFFSET($AM$3,0,0,'Données projet'!$E$10+1,1))-AVERAGE(OFFSET($H$3,0,0,'Données projet'!$E$10+1,1))</f>
        <v>518.31628039365785</v>
      </c>
      <c r="AO46" s="62">
        <f t="shared" si="36"/>
        <v>66.435071953154761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0</v>
      </c>
      <c r="AV46" s="23">
        <f>EXP(-LN(2)/25)*AV45+(1-EXP(-LN(2)/25))/(LN(2)/25)*Calculateur!AQ46*Calculateur!AS46*VLOOKUP('Données projet'!$B$10,Paramètres!$A$1:$I$88,3,0)*0.475*44/12</f>
        <v>0</v>
      </c>
      <c r="AW46" s="23">
        <f>EXP(-LN(2)/2)*AW45+(1-EXP(-LN(2)/2))/(LN(2)/2)*AQ46*AT46*VLOOKUP('Données projet'!$B$10,Paramètres!$A$1:$I$88,3,0)*0.475*44/12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15.25</v>
      </c>
      <c r="BD46" s="13">
        <f>IF('Données projet'!$A$88&gt;35,BD45+BC46-BL45,IF(A46&lt;'Données projet'!$A$88,$BA$205^A46,IF(A46='Données projet'!$A$88,'Données projet'!$B$88,BD45+BC46-BL45)))</f>
        <v>112.5</v>
      </c>
      <c r="BE46" s="14">
        <f>BD46*VLOOKUP('Données projet'!$B$11,Paramètres!$A$1:$I$88,3,0)*VLOOKUP('Données projet'!$B$11,Paramètres!$A$1:$I$88,5,0)</f>
        <v>114.075</v>
      </c>
      <c r="BF46" s="14">
        <f t="shared" si="37"/>
        <v>30.289044323571346</v>
      </c>
      <c r="BG46" s="22">
        <f t="shared" si="7"/>
        <v>251.43404386355346</v>
      </c>
      <c r="BH46" s="62">
        <f t="shared" si="8"/>
        <v>501.57522532998553</v>
      </c>
      <c r="BI46" s="62">
        <f ca="1">AVERAGE(OFFSET($BH$3,0,0,'Données projet'!$E$11+1,1))-AVERAGE(OFFSET($H$3,0,0,'Données projet'!$E$11+1,1))</f>
        <v>570.2785736203931</v>
      </c>
      <c r="BJ46" s="62">
        <f t="shared" si="38"/>
        <v>67.677759965081719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0</v>
      </c>
      <c r="BQ46" s="23">
        <f>EXP(-LN(2)/25)*BQ45+(1-EXP(-LN(2)/25))/(LN(2)/25)*Calculateur!BL46*Calculateur!BN46*VLOOKUP('Données projet'!$B$11,Paramètres!$A$1:$I$88,3,0)*0.475*44/12</f>
        <v>0</v>
      </c>
      <c r="BR46" s="23">
        <f>EXP(-LN(2)/2)*BR45+(1-EXP(-LN(2)/2))/(LN(2)/2)*BL46*BO46*VLOOKUP('Données projet'!$B$11,Paramètres!$A$1:$I$88,3,0)*0.475*44/12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16.600000000000005</v>
      </c>
      <c r="BY46" s="13">
        <f>IF('Données projet'!$A$114&gt;35,BY45+BX46-CG45,IF(A46&lt;'Données projet'!$A$114,$BV$205^A46,IF(A46='Données projet'!$A$114,'Données projet'!$B$114,BY45+BX46-CG45)))</f>
        <v>433.49999999999977</v>
      </c>
      <c r="BZ46" s="14">
        <f>BY46*VLOOKUP('Données projet'!$B$12,Paramètres!$A$1:$I$88,3,0)*VLOOKUP('Données projet'!$B$12,Paramètres!$A$1:$I$88,5,0)</f>
        <v>259.23299999999989</v>
      </c>
      <c r="CA46" s="14">
        <f t="shared" si="39"/>
        <v>62.558856450288438</v>
      </c>
      <c r="CB46" s="22">
        <f t="shared" si="10"/>
        <v>560.45414998425213</v>
      </c>
      <c r="CC46" s="62">
        <f t="shared" si="11"/>
        <v>810.59533145068417</v>
      </c>
      <c r="CD46" s="62">
        <f ca="1">AVERAGE(OFFSET($CC$3,0,0,'Données projet'!$E$12+1,1))-AVERAGE(OFFSET($H$3,0,0,'Données projet'!$E$12+1,1))</f>
        <v>401.1031790385295</v>
      </c>
      <c r="CE46" s="62">
        <f t="shared" si="40"/>
        <v>402.09589424130615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projet'!$B$12,Paramètres!$A$1:$I$88,3,0)*0.475*44/12</f>
        <v>17.970258618924785</v>
      </c>
      <c r="CL46" s="23">
        <f>EXP(-LN(2)/25)*CL45+(1-EXP(-LN(2)/25))/(LN(2)/25)*Calculateur!CG46*Calculateur!CI46*VLOOKUP('Données projet'!$B$12,Paramètres!$A$1:$I$88,3,0)*0.475*44/12</f>
        <v>0</v>
      </c>
      <c r="CM46" s="23">
        <f>EXP(-LN(2)/2)*CM45+(1-EXP(-LN(2)/2))/(LN(2)/2)*CG46*CJ46*VLOOKUP('Données projet'!$B$12,Paramètres!$A$1:$I$88,3,0)*0.475*44/12</f>
        <v>6.8671334656481333</v>
      </c>
      <c r="CN46" s="24">
        <f t="shared" si="12"/>
        <v>24.837392084572919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16.600000000000005</v>
      </c>
      <c r="CT46" s="13">
        <f>IF('Données projet'!$A$140&gt;35,CT45+CS46-DB45,IF(A46&lt;'Données projet'!$A$140,$CQ$205^A46,IF(A46='Données projet'!$A$140,'Données projet'!$B$140,CT45+CS46-DB45)))</f>
        <v>433.49999999999977</v>
      </c>
      <c r="CU46" s="18">
        <f>CT46*VLOOKUP('Données projet'!$B$13,Paramètres!$A$1:$I$88,3,0)*VLOOKUP('Données projet'!$B$13,Paramètres!$A$1:$I$88,5,0)</f>
        <v>259.23299999999989</v>
      </c>
      <c r="CV46" s="14">
        <f t="shared" si="41"/>
        <v>62.558856450288438</v>
      </c>
      <c r="CW46" s="22">
        <f t="shared" si="13"/>
        <v>560.45414998425213</v>
      </c>
      <c r="CX46" s="62">
        <f t="shared" si="14"/>
        <v>810.59533145068417</v>
      </c>
      <c r="CY46" s="62">
        <f ca="1">AVERAGE(OFFSET($CX$3,0,0,'Données projet'!$E$13+1,1))-AVERAGE(OFFSET($H$3,0,0,'Données projet'!$E$13+1,1))</f>
        <v>401.1031790385295</v>
      </c>
      <c r="CZ46" s="62">
        <f t="shared" si="42"/>
        <v>402.09589424130615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projet'!$B$13,Paramètres!$A$1:$I$88,3,0)*0.475*44/12</f>
        <v>17.970258618924785</v>
      </c>
      <c r="DG46" s="23">
        <f>EXP(-LN(2)/25)*DG45+(1-EXP(-LN(2)/25))/(LN(2)/25)*Calculateur!DB46*Calculateur!DD46*VLOOKUP('Données projet'!$B$13,Paramètres!$A$1:$I$88,3,0)*0.475*44/12</f>
        <v>0</v>
      </c>
      <c r="DH46" s="23">
        <f>EXP(-LN(2)/2)*DH45+(1-EXP(-LN(2)/2))/(LN(2)/2)*DB46*DE46*VLOOKUP('Données projet'!$B$13,Paramètres!$A$1:$I$88,3,0)*0.475*44/12</f>
        <v>6.8671334656481333</v>
      </c>
      <c r="DI46" s="24">
        <f t="shared" si="15"/>
        <v>24.837392084572919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29.8</v>
      </c>
      <c r="DO46" s="13">
        <f>IF('Données projet'!$A$166&gt;35,DO45+DN46-DW45,IF(A46&lt;'Données projet'!$A$166,$DL$205^A46,IF(A46='Données projet'!$A$166,'Données projet'!$B$166,DO45+DN46-DW45)))</f>
        <v>498.40000000000009</v>
      </c>
      <c r="DP46" s="18">
        <f>DO46*VLOOKUP('Données projet'!$B$14,Paramètres!$A$1:$I$88,3,0)*VLOOKUP('Données projet'!$B$14,Paramètres!$A$1:$I$88,5,0)</f>
        <v>200.85520000000002</v>
      </c>
      <c r="DQ46" s="14">
        <f t="shared" si="43"/>
        <v>49.932068102202692</v>
      </c>
      <c r="DR46" s="22">
        <f t="shared" si="16"/>
        <v>436.78782527800303</v>
      </c>
      <c r="DS46" s="62">
        <f t="shared" si="17"/>
        <v>686.92900674443513</v>
      </c>
      <c r="DT46" s="62">
        <f ca="1">AVERAGE(OFFSET($DS$3,0,0,'Données projet'!$E$14+1,1))-AVERAGE(OFFSET($H$3,0,0,'Données projet'!$E$14+1,1))</f>
        <v>432.59662347701629</v>
      </c>
      <c r="DU46" s="62">
        <f t="shared" si="44"/>
        <v>348.67401091099748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projet'!$B$14,Paramètres!$A$1:$I$88,3,0)*0.475*44/12</f>
        <v>17.025344075508194</v>
      </c>
      <c r="EB46" s="23">
        <f>EXP(-LN(2)/25)*EB45+(1-EXP(-LN(2)/25))/(LN(2)/25)*Calculateur!DW46*Calculateur!DY46*VLOOKUP('Données projet'!$B$14,Paramètres!$A$1:$I$88,3,0)*0.475*44/12</f>
        <v>69.574779545289246</v>
      </c>
      <c r="EC46" s="23">
        <f>EXP(-LN(2)/2)*EC45+(1-EXP(-LN(2)/2))/(LN(2)/2)*DW46*DZ46*VLOOKUP('Données projet'!$B$14,Paramètres!$A$1:$I$88,3,0)*0.475*44/12</f>
        <v>0</v>
      </c>
      <c r="ED46" s="24">
        <f t="shared" si="18"/>
        <v>86.600123620797433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20.6</v>
      </c>
      <c r="EJ46" s="13">
        <f>IF('Données projet'!$A$192&gt;35,EJ45+EI46-ER45,IF(A46&lt;'Données projet'!$A$192,$EG$205^A46,IF(A46='Données projet'!$A$192,'Données projet'!$B$192,EJ45+EI46-ER45)))</f>
        <v>677.80000000000007</v>
      </c>
      <c r="EK46" s="18">
        <f>EJ46*VLOOKUP('Données projet'!$B$15,Paramètres!$A$1:$I$88,3,0)*VLOOKUP('Données projet'!$B$15,Paramètres!$A$1:$I$88,5,0)</f>
        <v>299.58760000000007</v>
      </c>
      <c r="EL46" s="14">
        <f t="shared" si="45"/>
        <v>71.090001674814019</v>
      </c>
      <c r="EM46" s="22">
        <f t="shared" si="19"/>
        <v>645.59682291696788</v>
      </c>
      <c r="EN46" s="62">
        <f t="shared" si="20"/>
        <v>895.73800438339993</v>
      </c>
      <c r="EO46" s="62">
        <f ca="1">AVERAGE(OFFSET($EN$3,0,0,'Données projet'!$E$15+1,1))-AVERAGE(OFFSET($H$3,0,0,'Données projet'!$E$15+1,1))</f>
        <v>582.26951914082088</v>
      </c>
      <c r="EP46" s="62">
        <f t="shared" si="46"/>
        <v>434.80429932654715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projet'!$B$15,Paramètres!$A$1:$I$88,3,0)*0.475*44/12</f>
        <v>21.140674948725188</v>
      </c>
      <c r="EW46" s="23">
        <f>EXP(-LN(2)/25)*EW45+(1-EXP(-LN(2)/25))/(LN(2)/25)*Calculateur!ER46*Calculateur!ET46*VLOOKUP('Données projet'!$B$15,Paramètres!$A$1:$I$88,3,0)*0.475*44/12</f>
        <v>71.657408172795726</v>
      </c>
      <c r="EX46" s="23">
        <f>EXP(-LN(2)/2)*EX45+(1-EXP(-LN(2)/2))/(LN(2)/2)*ER46*EU46*VLOOKUP('Données projet'!$B$15,Paramètres!$A$1:$I$88,3,0)*0.475*44/12</f>
        <v>0</v>
      </c>
      <c r="EY46" s="24">
        <f t="shared" si="21"/>
        <v>92.798083121520918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20.399999999999999</v>
      </c>
      <c r="FE46" s="13">
        <f>IF('Données projet'!$A$218&gt;35,FE45+FD46-FM45,IF(A46&lt;'Données projet'!$A$218,$FB$205^A46,IF(A46='Données projet'!$A$218,'Données projet'!$B$218,FE45+FD46-FM45)))</f>
        <v>237.19999999999993</v>
      </c>
      <c r="FF46" s="18">
        <f>FE46*VLOOKUP('Données projet'!$B$16,Paramètres!$A$1:$I$88,3,0)*VLOOKUP('Données projet'!$B$16,Paramètres!$A$1:$I$88,5,0)</f>
        <v>111.00959999999996</v>
      </c>
      <c r="FG46" s="14">
        <f t="shared" si="47"/>
        <v>29.568727576170897</v>
      </c>
      <c r="FH46" s="22">
        <f t="shared" si="22"/>
        <v>244.8405871951642</v>
      </c>
      <c r="FI46" s="62">
        <f t="shared" si="23"/>
        <v>494.98176866159622</v>
      </c>
      <c r="FJ46" s="62">
        <f ca="1">AVERAGE(OFFSET($FI$3,0,0,'Données projet'!$E$16+1,1))-AVERAGE(OFFSET($H$3,0,0,'Données projet'!$E$16+1,1))</f>
        <v>429.87867712133851</v>
      </c>
      <c r="FK46" s="62">
        <f t="shared" si="48"/>
        <v>182.81277865988014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projet'!$B$16,Paramètres!$A$1:$I$88,3,0)*0.475*44/12</f>
        <v>0</v>
      </c>
      <c r="FR46" s="23">
        <f>EXP(-LN(2)/25)*FR45+(1-EXP(-LN(2)/25))/(LN(2)/25)*Calculateur!FM46*Calculateur!FO46*VLOOKUP('Données projet'!$B$16,Paramètres!$A$1:$I$88,3,0)*0.475*44/12</f>
        <v>28.480088447214914</v>
      </c>
      <c r="FS46" s="23">
        <f>EXP(-LN(2)/2)*FS45+(1-EXP(-LN(2)/2))/(LN(2)/2)*FM46*FP46*VLOOKUP('Données projet'!$B$16,Paramètres!$A$1:$I$88,3,0)*0.475*44/12</f>
        <v>0</v>
      </c>
      <c r="FT46" s="24">
        <f t="shared" si="24"/>
        <v>28.480088447214914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18.2</v>
      </c>
      <c r="FZ46" s="13">
        <f>IF('Données projet'!$A$244&gt;35,FZ45+FY46-GH45,IF(A46&lt;'Données projet'!$A$244,$FW$205^A46,IF(A46='Données projet'!$A$244,'Données projet'!$B$244,FZ45+FY46-GH45)))</f>
        <v>290.5999999999998</v>
      </c>
      <c r="GA46" s="18">
        <f>FZ46*VLOOKUP('Données projet'!$B$17,Paramètres!$A$1:$I$88,3,0)*VLOOKUP('Données projet'!$B$17,Paramètres!$A$1:$I$88,5,0)</f>
        <v>139.7785999999999</v>
      </c>
      <c r="GB46" s="14">
        <f t="shared" si="49"/>
        <v>36.246281193068057</v>
      </c>
      <c r="GC46" s="22">
        <f t="shared" si="25"/>
        <v>306.57666807792663</v>
      </c>
      <c r="GD46" s="62">
        <f t="shared" si="26"/>
        <v>556.71784954435861</v>
      </c>
      <c r="GE46" s="62">
        <f ca="1">AVERAGE(OFFSET($GD$3,0,0,'Données projet'!$E$17+1,1))-AVERAGE(OFFSET($H$3,0,0,'Données projet'!$E$17+1,1))</f>
        <v>273.24375559399846</v>
      </c>
      <c r="GF46" s="62">
        <f t="shared" si="50"/>
        <v>270.77718895097848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projet'!$B$17,Paramètres!$A$1:$I$88,3,0)*0.475*44/12</f>
        <v>16.483085794377558</v>
      </c>
      <c r="GM46" s="23">
        <f>EXP(-LN(2)/25)*GM45+(1-EXP(-LN(2)/25))/(LN(2)/25)*Calculateur!GH46*Calculateur!GJ46*VLOOKUP('Données projet'!$B$17,Paramètres!$A$1:$I$88,3,0)*0.475*44/12</f>
        <v>40.884392595435813</v>
      </c>
      <c r="GN46" s="23">
        <f>EXP(-LN(2)/2)*GN45+(1-EXP(-LN(2)/2))/(LN(2)/2)*GH46*GK46*VLOOKUP('Données projet'!$B$17,Paramètres!$A$1:$I$88,3,0)*0.475*44/12</f>
        <v>0</v>
      </c>
      <c r="GO46" s="23">
        <f t="shared" si="27"/>
        <v>57.367478389813371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18.714285714285715</v>
      </c>
      <c r="N47" s="14">
        <f>IF('Données projet'!$A$36&gt;35,N46+M47-V46,IF(A47&lt;'Données projet'!$A$36,$K$205^A47,IF(A47='Données projet'!$A$36,'Données projet'!$B$36,N46+M47-V46)))</f>
        <v>379.42857142857122</v>
      </c>
      <c r="O47" s="14">
        <f>N47*VLOOKUP('Données projet'!$B$9,Paramètres!$A$1:$I$88,3,0)*VLOOKUP('Données projet'!$B$9,Paramètres!$A$1:$I$88,5,0)</f>
        <v>212.10057142857133</v>
      </c>
      <c r="P47" s="14">
        <f t="shared" si="33"/>
        <v>52.394347167709434</v>
      </c>
      <c r="Q47" s="22">
        <f t="shared" si="53"/>
        <v>460.66198322185556</v>
      </c>
      <c r="R47" s="62">
        <f t="shared" si="0"/>
        <v>711.55245195999305</v>
      </c>
      <c r="S47" s="62">
        <f ca="1">AVERAGE(OFFSET($R$3,0,0,'Données projet'!$E$9+1,1))-AVERAGE(OFFSET($H$3,0,0,'Données projet'!$E$9+1,1))</f>
        <v>289.94242154211224</v>
      </c>
      <c r="T47" s="62">
        <f t="shared" si="34"/>
        <v>369.12599166143661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25.251923444827032</v>
      </c>
      <c r="AA47" s="23">
        <f>EXP(-LN(2)/25)*AA46+(1-EXP(-LN(2)/25))/(LN(2)/25)*Calculateur!V47*Calculateur!X47*VLOOKUP('Données projet'!$B$9,Paramètres!$A$1:$I$88,3,0)*0.475*44/12</f>
        <v>45.610057514463378</v>
      </c>
      <c r="AB47" s="23">
        <f>EXP(-LN(2)/2)*AB46+(1-EXP(-LN(2)/2))/(LN(2)/2)*V47*Y47*VLOOKUP('Données projet'!$B$9,Paramètres!$A$1:$I$88,3,0)*0.475*44/12</f>
        <v>0</v>
      </c>
      <c r="AC47" s="24">
        <f t="shared" si="3"/>
        <v>70.861980959290406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15.25</v>
      </c>
      <c r="AI47" s="14">
        <f>IF('Données projet'!$A$62&gt;35,AI46+AH47-AQ46,IF(A47&lt;'Données projet'!$A$62,$AF$205^A47,IF(A47='Données projet'!$A$62,'Données projet'!$B$62,AI46+AH47-AQ46)))</f>
        <v>127.75</v>
      </c>
      <c r="AJ47" s="14">
        <f>AI47*VLOOKUP('Données projet'!$B$10,Paramètres!$A$1:$I$88,3,0)*VLOOKUP('Données projet'!$B$10,Paramètres!$A$1:$I$88,5,0)</f>
        <v>115.5882</v>
      </c>
      <c r="AK47" s="14">
        <f t="shared" si="35"/>
        <v>30.643786939451125</v>
      </c>
      <c r="AL47" s="22">
        <f t="shared" si="4"/>
        <v>254.68737725287735</v>
      </c>
      <c r="AM47" s="62">
        <f t="shared" si="5"/>
        <v>505.57784599101478</v>
      </c>
      <c r="AN47" s="62">
        <f ca="1">AVERAGE(OFFSET($AM$3,0,0,'Données projet'!$E$10+1,1))-AVERAGE(OFFSET($H$3,0,0,'Données projet'!$E$10+1,1))</f>
        <v>518.31628039365785</v>
      </c>
      <c r="AO47" s="62">
        <f t="shared" si="36"/>
        <v>66.435071953154761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0</v>
      </c>
      <c r="AV47" s="23">
        <f>EXP(-LN(2)/25)*AV46+(1-EXP(-LN(2)/25))/(LN(2)/25)*Calculateur!AQ47*Calculateur!AS47*VLOOKUP('Données projet'!$B$10,Paramètres!$A$1:$I$88,3,0)*0.475*44/12</f>
        <v>0</v>
      </c>
      <c r="AW47" s="23">
        <f>EXP(-LN(2)/2)*AW46+(1-EXP(-LN(2)/2))/(LN(2)/2)*AQ47*AT47*VLOOKUP('Données projet'!$B$10,Paramètres!$A$1:$I$88,3,0)*0.475*44/12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15.25</v>
      </c>
      <c r="BD47" s="13">
        <f>IF('Données projet'!$A$88&gt;35,BD46+BC47-BL46,IF(A47&lt;'Données projet'!$A$88,$BA$205^A47,IF(A47='Données projet'!$A$88,'Données projet'!$B$88,BD46+BC47-BL46)))</f>
        <v>127.75</v>
      </c>
      <c r="BE47" s="14">
        <f>BD47*VLOOKUP('Données projet'!$B$11,Paramètres!$A$1:$I$88,3,0)*VLOOKUP('Données projet'!$B$11,Paramètres!$A$1:$I$88,5,0)</f>
        <v>129.53850000000003</v>
      </c>
      <c r="BF47" s="14">
        <f t="shared" si="37"/>
        <v>33.889698170457173</v>
      </c>
      <c r="BG47" s="22">
        <f t="shared" si="7"/>
        <v>284.6374451468796</v>
      </c>
      <c r="BH47" s="62">
        <f t="shared" si="8"/>
        <v>535.52791388501703</v>
      </c>
      <c r="BI47" s="62">
        <f ca="1">AVERAGE(OFFSET($BH$3,0,0,'Données projet'!$E$11+1,1))-AVERAGE(OFFSET($H$3,0,0,'Données projet'!$E$11+1,1))</f>
        <v>570.2785736203931</v>
      </c>
      <c r="BJ47" s="62">
        <f t="shared" si="38"/>
        <v>67.677759965081719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0</v>
      </c>
      <c r="BQ47" s="23">
        <f>EXP(-LN(2)/25)*BQ46+(1-EXP(-LN(2)/25))/(LN(2)/25)*Calculateur!BL47*Calculateur!BN47*VLOOKUP('Données projet'!$B$11,Paramètres!$A$1:$I$88,3,0)*0.475*44/12</f>
        <v>0</v>
      </c>
      <c r="BR47" s="23">
        <f>EXP(-LN(2)/2)*BR46+(1-EXP(-LN(2)/2))/(LN(2)/2)*BL47*BO47*VLOOKUP('Données projet'!$B$11,Paramètres!$A$1:$I$88,3,0)*0.475*44/12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16.600000000000005</v>
      </c>
      <c r="BY47" s="13">
        <f>IF('Données projet'!$A$114&gt;35,BY46+BX47-CG46,IF(A47&lt;'Données projet'!$A$114,$BV$205^A47,IF(A47='Données projet'!$A$114,'Données projet'!$B$114,BY46+BX47-CG46)))</f>
        <v>450.0999999999998</v>
      </c>
      <c r="BZ47" s="14">
        <f>BY47*VLOOKUP('Données projet'!$B$12,Paramètres!$A$1:$I$88,3,0)*VLOOKUP('Données projet'!$B$12,Paramètres!$A$1:$I$88,5,0)</f>
        <v>269.1597999999999</v>
      </c>
      <c r="CA47" s="14">
        <f t="shared" si="39"/>
        <v>64.670925311172269</v>
      </c>
      <c r="CB47" s="22">
        <f t="shared" si="10"/>
        <v>581.42184658362487</v>
      </c>
      <c r="CC47" s="62">
        <f t="shared" si="11"/>
        <v>832.3123153217623</v>
      </c>
      <c r="CD47" s="62">
        <f ca="1">AVERAGE(OFFSET($CC$3,0,0,'Données projet'!$E$12+1,1))-AVERAGE(OFFSET($H$3,0,0,'Données projet'!$E$12+1,1))</f>
        <v>401.1031790385295</v>
      </c>
      <c r="CE47" s="62">
        <f t="shared" si="40"/>
        <v>402.09589424130615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projet'!$B$12,Paramètres!$A$1:$I$88,3,0)*0.475*44/12</f>
        <v>17.61787280818314</v>
      </c>
      <c r="CL47" s="23">
        <f>EXP(-LN(2)/25)*CL46+(1-EXP(-LN(2)/25))/(LN(2)/25)*Calculateur!CG47*Calculateur!CI47*VLOOKUP('Données projet'!$B$12,Paramètres!$A$1:$I$88,3,0)*0.475*44/12</f>
        <v>0</v>
      </c>
      <c r="CM47" s="23">
        <f>EXP(-LN(2)/2)*CM46+(1-EXP(-LN(2)/2))/(LN(2)/2)*CG47*CJ47*VLOOKUP('Données projet'!$B$12,Paramètres!$A$1:$I$88,3,0)*0.475*44/12</f>
        <v>4.8557966408728728</v>
      </c>
      <c r="CN47" s="24">
        <f t="shared" si="12"/>
        <v>22.473669449056011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16.600000000000005</v>
      </c>
      <c r="CT47" s="13">
        <f>IF('Données projet'!$A$140&gt;35,CT46+CS47-DB46,IF(A47&lt;'Données projet'!$A$140,$CQ$205^A47,IF(A47='Données projet'!$A$140,'Données projet'!$B$140,CT46+CS47-DB46)))</f>
        <v>450.0999999999998</v>
      </c>
      <c r="CU47" s="18">
        <f>CT47*VLOOKUP('Données projet'!$B$13,Paramètres!$A$1:$I$88,3,0)*VLOOKUP('Données projet'!$B$13,Paramètres!$A$1:$I$88,5,0)</f>
        <v>269.1597999999999</v>
      </c>
      <c r="CV47" s="14">
        <f t="shared" si="41"/>
        <v>64.670925311172269</v>
      </c>
      <c r="CW47" s="22">
        <f t="shared" si="13"/>
        <v>581.42184658362487</v>
      </c>
      <c r="CX47" s="62">
        <f t="shared" si="14"/>
        <v>832.3123153217623</v>
      </c>
      <c r="CY47" s="62">
        <f ca="1">AVERAGE(OFFSET($CX$3,0,0,'Données projet'!$E$13+1,1))-AVERAGE(OFFSET($H$3,0,0,'Données projet'!$E$13+1,1))</f>
        <v>401.1031790385295</v>
      </c>
      <c r="CZ47" s="62">
        <f t="shared" si="42"/>
        <v>402.09589424130615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projet'!$B$13,Paramètres!$A$1:$I$88,3,0)*0.475*44/12</f>
        <v>17.61787280818314</v>
      </c>
      <c r="DG47" s="23">
        <f>EXP(-LN(2)/25)*DG46+(1-EXP(-LN(2)/25))/(LN(2)/25)*Calculateur!DB47*Calculateur!DD47*VLOOKUP('Données projet'!$B$13,Paramètres!$A$1:$I$88,3,0)*0.475*44/12</f>
        <v>0</v>
      </c>
      <c r="DH47" s="23">
        <f>EXP(-LN(2)/2)*DH46+(1-EXP(-LN(2)/2))/(LN(2)/2)*DB47*DE47*VLOOKUP('Données projet'!$B$13,Paramètres!$A$1:$I$88,3,0)*0.475*44/12</f>
        <v>4.8557966408728728</v>
      </c>
      <c r="DI47" s="24">
        <f t="shared" si="15"/>
        <v>22.473669449056011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29.8</v>
      </c>
      <c r="DO47" s="13">
        <f>IF('Données projet'!$A$166&gt;35,DO46+DN47-DW46,IF(A47&lt;'Données projet'!$A$166,$DL$205^A47,IF(A47='Données projet'!$A$166,'Données projet'!$B$166,DO46+DN47-DW46)))</f>
        <v>528.20000000000005</v>
      </c>
      <c r="DP47" s="18">
        <f>DO47*VLOOKUP('Données projet'!$B$14,Paramètres!$A$1:$I$88,3,0)*VLOOKUP('Données projet'!$B$14,Paramètres!$A$1:$I$88,5,0)</f>
        <v>212.86460000000002</v>
      </c>
      <c r="DQ47" s="14">
        <f t="shared" si="43"/>
        <v>52.561078401932612</v>
      </c>
      <c r="DR47" s="22">
        <f t="shared" si="16"/>
        <v>462.28305655003265</v>
      </c>
      <c r="DS47" s="62">
        <f t="shared" si="17"/>
        <v>713.17352528817014</v>
      </c>
      <c r="DT47" s="62">
        <f ca="1">AVERAGE(OFFSET($DS$3,0,0,'Données projet'!$E$14+1,1))-AVERAGE(OFFSET($H$3,0,0,'Données projet'!$E$14+1,1))</f>
        <v>432.59662347701629</v>
      </c>
      <c r="DU47" s="62">
        <f t="shared" si="44"/>
        <v>348.67401091099748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projet'!$B$14,Paramètres!$A$1:$I$88,3,0)*0.475*44/12</f>
        <v>16.691487462621986</v>
      </c>
      <c r="EB47" s="23">
        <f>EXP(-LN(2)/25)*EB46+(1-EXP(-LN(2)/25))/(LN(2)/25)*Calculateur!DW47*Calculateur!DY47*VLOOKUP('Données projet'!$B$14,Paramètres!$A$1:$I$88,3,0)*0.475*44/12</f>
        <v>67.672253539844675</v>
      </c>
      <c r="EC47" s="23">
        <f>EXP(-LN(2)/2)*EC46+(1-EXP(-LN(2)/2))/(LN(2)/2)*DW47*DZ47*VLOOKUP('Données projet'!$B$14,Paramètres!$A$1:$I$88,3,0)*0.475*44/12</f>
        <v>0</v>
      </c>
      <c r="ED47" s="24">
        <f t="shared" si="18"/>
        <v>84.363741002466668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20.6</v>
      </c>
      <c r="EJ47" s="13">
        <f>IF('Données projet'!$A$192&gt;35,EJ46+EI47-ER46,IF(A47&lt;'Données projet'!$A$192,$EG$205^A47,IF(A47='Données projet'!$A$192,'Données projet'!$B$192,EJ46+EI47-ER46)))</f>
        <v>698.40000000000009</v>
      </c>
      <c r="EK47" s="18">
        <f>EJ47*VLOOKUP('Données projet'!$B$15,Paramètres!$A$1:$I$88,3,0)*VLOOKUP('Données projet'!$B$15,Paramètres!$A$1:$I$88,5,0)</f>
        <v>308.69280000000009</v>
      </c>
      <c r="EL47" s="14">
        <f t="shared" si="45"/>
        <v>72.995767680913616</v>
      </c>
      <c r="EM47" s="22">
        <f t="shared" si="19"/>
        <v>664.77425537759143</v>
      </c>
      <c r="EN47" s="62">
        <f t="shared" si="20"/>
        <v>915.66472411572886</v>
      </c>
      <c r="EO47" s="62">
        <f ca="1">AVERAGE(OFFSET($EN$3,0,0,'Données projet'!$E$15+1,1))-AVERAGE(OFFSET($H$3,0,0,'Données projet'!$E$15+1,1))</f>
        <v>582.26951914082088</v>
      </c>
      <c r="EP47" s="62">
        <f t="shared" si="46"/>
        <v>434.80429932654715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projet'!$B$15,Paramètres!$A$1:$I$88,3,0)*0.475*44/12</f>
        <v>20.726119207519176</v>
      </c>
      <c r="EW47" s="23">
        <f>EXP(-LN(2)/25)*EW46+(1-EXP(-LN(2)/25))/(LN(2)/25)*Calculateur!ER47*Calculateur!ET47*VLOOKUP('Données projet'!$B$15,Paramètres!$A$1:$I$88,3,0)*0.475*44/12</f>
        <v>69.697932578011304</v>
      </c>
      <c r="EX47" s="23">
        <f>EXP(-LN(2)/2)*EX46+(1-EXP(-LN(2)/2))/(LN(2)/2)*ER47*EU47*VLOOKUP('Données projet'!$B$15,Paramètres!$A$1:$I$88,3,0)*0.475*44/12</f>
        <v>0</v>
      </c>
      <c r="EY47" s="24">
        <f t="shared" si="21"/>
        <v>90.42405178553048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20.399999999999999</v>
      </c>
      <c r="FE47" s="13">
        <f>IF('Données projet'!$A$218&gt;35,FE46+FD47-FM46,IF(A47&lt;'Données projet'!$A$218,$FB$205^A47,IF(A47='Données projet'!$A$218,'Données projet'!$B$218,FE46+FD47-FM46)))</f>
        <v>257.59999999999991</v>
      </c>
      <c r="FF47" s="18">
        <f>FE47*VLOOKUP('Données projet'!$B$16,Paramètres!$A$1:$I$88,3,0)*VLOOKUP('Données projet'!$B$16,Paramètres!$A$1:$I$88,5,0)</f>
        <v>120.55679999999995</v>
      </c>
      <c r="FG47" s="14">
        <f t="shared" si="47"/>
        <v>31.804828741198779</v>
      </c>
      <c r="FH47" s="22">
        <f t="shared" si="22"/>
        <v>265.36317005758775</v>
      </c>
      <c r="FI47" s="62">
        <f t="shared" si="23"/>
        <v>516.25363879572524</v>
      </c>
      <c r="FJ47" s="62">
        <f ca="1">AVERAGE(OFFSET($FI$3,0,0,'Données projet'!$E$16+1,1))-AVERAGE(OFFSET($H$3,0,0,'Données projet'!$E$16+1,1))</f>
        <v>429.87867712133851</v>
      </c>
      <c r="FK47" s="62">
        <f t="shared" si="48"/>
        <v>182.81277865988014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projet'!$B$16,Paramètres!$A$1:$I$88,3,0)*0.475*44/12</f>
        <v>0</v>
      </c>
      <c r="FR47" s="23">
        <f>EXP(-LN(2)/25)*FR46+(1-EXP(-LN(2)/25))/(LN(2)/25)*Calculateur!FM47*Calculateur!FO47*VLOOKUP('Données projet'!$B$16,Paramètres!$A$1:$I$88,3,0)*0.475*44/12</f>
        <v>27.701298930923063</v>
      </c>
      <c r="FS47" s="23">
        <f>EXP(-LN(2)/2)*FS46+(1-EXP(-LN(2)/2))/(LN(2)/2)*FM47*FP47*VLOOKUP('Données projet'!$B$16,Paramètres!$A$1:$I$88,3,0)*0.475*44/12</f>
        <v>0</v>
      </c>
      <c r="FT47" s="24">
        <f t="shared" si="24"/>
        <v>27.701298930923063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18.2</v>
      </c>
      <c r="FZ47" s="13">
        <f>IF('Données projet'!$A$244&gt;35,FZ46+FY47-GH46,IF(A47&lt;'Données projet'!$A$244,$FW$205^A47,IF(A47='Données projet'!$A$244,'Données projet'!$B$244,FZ46+FY47-GH46)))</f>
        <v>308.79999999999978</v>
      </c>
      <c r="GA47" s="18">
        <f>FZ47*VLOOKUP('Données projet'!$B$17,Paramètres!$A$1:$I$88,3,0)*VLOOKUP('Données projet'!$B$17,Paramètres!$A$1:$I$88,5,0)</f>
        <v>148.5327999999999</v>
      </c>
      <c r="GB47" s="14">
        <f t="shared" si="49"/>
        <v>38.244968650620514</v>
      </c>
      <c r="GC47" s="22">
        <f t="shared" si="25"/>
        <v>325.30461373316388</v>
      </c>
      <c r="GD47" s="62">
        <f t="shared" si="26"/>
        <v>576.19508247130125</v>
      </c>
      <c r="GE47" s="62">
        <f ca="1">AVERAGE(OFFSET($GD$3,0,0,'Données projet'!$E$17+1,1))-AVERAGE(OFFSET($H$3,0,0,'Données projet'!$E$17+1,1))</f>
        <v>273.24375559399846</v>
      </c>
      <c r="GF47" s="62">
        <f t="shared" si="50"/>
        <v>270.77718895097848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projet'!$B$17,Paramètres!$A$1:$I$88,3,0)*0.475*44/12</f>
        <v>16.15986253563943</v>
      </c>
      <c r="GM47" s="23">
        <f>EXP(-LN(2)/25)*GM46+(1-EXP(-LN(2)/25))/(LN(2)/25)*Calculateur!GH47*Calculateur!GJ47*VLOOKUP('Données projet'!$B$17,Paramètres!$A$1:$I$88,3,0)*0.475*44/12</f>
        <v>39.766406729896858</v>
      </c>
      <c r="GN47" s="23">
        <f>EXP(-LN(2)/2)*GN46+(1-EXP(-LN(2)/2))/(LN(2)/2)*GH47*GK47*VLOOKUP('Données projet'!$B$17,Paramètres!$A$1:$I$88,3,0)*0.475*44/12</f>
        <v>0</v>
      </c>
      <c r="GO47" s="23">
        <f t="shared" si="27"/>
        <v>55.926269265536291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18.714285714285715</v>
      </c>
      <c r="N48" s="14">
        <f>IF('Données projet'!$A$36&gt;35,N47+M48-V47,IF(A48&lt;'Données projet'!$A$36,$K$205^A48,IF(A48='Données projet'!$A$36,'Données projet'!$B$36,N47+M48-V47)))</f>
        <v>398.14285714285694</v>
      </c>
      <c r="O48" s="14">
        <f>N48*VLOOKUP('Données projet'!$B$9,Paramètres!$A$1:$I$88,3,0)*VLOOKUP('Données projet'!$B$9,Paramètres!$A$1:$I$88,5,0)</f>
        <v>222.56185714285704</v>
      </c>
      <c r="P48" s="14">
        <f t="shared" si="33"/>
        <v>54.671316974727738</v>
      </c>
      <c r="Q48" s="22">
        <f t="shared" si="53"/>
        <v>482.84777825479341</v>
      </c>
      <c r="R48" s="62">
        <f t="shared" si="0"/>
        <v>734.47453580562751</v>
      </c>
      <c r="S48" s="62">
        <f ca="1">AVERAGE(OFFSET($R$3,0,0,'Données projet'!$E$9+1,1))-AVERAGE(OFFSET($H$3,0,0,'Données projet'!$E$9+1,1))</f>
        <v>289.94242154211224</v>
      </c>
      <c r="T48" s="62">
        <f t="shared" si="34"/>
        <v>369.12599166143661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24.75674862822644</v>
      </c>
      <c r="AA48" s="23">
        <f>EXP(-LN(2)/25)*AA47+(1-EXP(-LN(2)/25))/(LN(2)/25)*Calculateur!V48*Calculateur!X48*VLOOKUP('Données projet'!$B$9,Paramètres!$A$1:$I$88,3,0)*0.475*44/12</f>
        <v>44.362848093201698</v>
      </c>
      <c r="AB48" s="23">
        <f>EXP(-LN(2)/2)*AB47+(1-EXP(-LN(2)/2))/(LN(2)/2)*V48*Y48*VLOOKUP('Données projet'!$B$9,Paramètres!$A$1:$I$88,3,0)*0.475*44/12</f>
        <v>0</v>
      </c>
      <c r="AC48" s="24">
        <f t="shared" si="3"/>
        <v>69.119596721428138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143</v>
      </c>
      <c r="AG48" s="13">
        <f>VLOOKUP(A48,'Données projet'!$A$61:$I$81,9,0)</f>
        <v>15.25</v>
      </c>
      <c r="AH48" s="13">
        <f t="array" ref="AH48">INDEX(AG:AG,MIN(IF(ISNUMBER(AG48:AG244),ROW(AG48:AG244),"")))</f>
        <v>15.25</v>
      </c>
      <c r="AI48" s="14">
        <f>IF('Données projet'!$A$62&gt;35,AI47+AH48-AQ47,IF(A48&lt;'Données projet'!$A$62,$AF$205^A48,IF(A48='Données projet'!$A$62,'Données projet'!$B$62,AI47+AH48-AQ47)))</f>
        <v>143</v>
      </c>
      <c r="AJ48" s="14">
        <f>AI48*VLOOKUP('Données projet'!$B$10,Paramètres!$A$1:$I$88,3,0)*VLOOKUP('Données projet'!$B$10,Paramètres!$A$1:$I$88,5,0)</f>
        <v>129.38640000000001</v>
      </c>
      <c r="AK48" s="14">
        <f t="shared" si="35"/>
        <v>33.854535370613952</v>
      </c>
      <c r="AL48" s="22">
        <f t="shared" si="4"/>
        <v>284.31129577048597</v>
      </c>
      <c r="AM48" s="62">
        <f t="shared" si="5"/>
        <v>535.93805332132013</v>
      </c>
      <c r="AN48" s="62">
        <f ca="1">AVERAGE(OFFSET($AM$3,0,0,'Données projet'!$E$10+1,1))-AVERAGE(OFFSET($H$3,0,0,'Données projet'!$E$10+1,1))</f>
        <v>518.31628039365785</v>
      </c>
      <c r="AO48" s="62">
        <f t="shared" si="36"/>
        <v>66.435071953154761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25</v>
      </c>
      <c r="AR48" s="17">
        <f>IF(ISNA(VLOOKUP(A48,'Données projet'!$A$61:$I$81,5,0)),0%,VLOOKUP(A48,'Données projet'!$A$61:$I$81,5,0)*VLOOKUP('Données projet'!$B$10,Paramètres!$A$1:$I$88,7,0))</f>
        <v>0.1075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2.6881170483912982</v>
      </c>
      <c r="AV48" s="23">
        <f>EXP(-LN(2)/25)*AV47+(1-EXP(-LN(2)/25))/(LN(2)/25)*Calculateur!AQ48*Calculateur!AS48*VLOOKUP('Données projet'!$B$10,Paramètres!$A$1:$I$88,3,0)*0.475*44/12</f>
        <v>0</v>
      </c>
      <c r="AW48" s="23">
        <f>EXP(-LN(2)/2)*AW47+(1-EXP(-LN(2)/2))/(LN(2)/2)*AQ48*AT48*VLOOKUP('Données projet'!$B$10,Paramètres!$A$1:$I$88,3,0)*0.475*44/12</f>
        <v>0</v>
      </c>
      <c r="AX48" s="23">
        <f t="shared" si="6"/>
        <v>2.6881170483912982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143</v>
      </c>
      <c r="BB48" s="13">
        <f>VLOOKUP(A48,'Données projet'!$A$87:$I$107,9,0)</f>
        <v>15.25</v>
      </c>
      <c r="BC48" s="13">
        <f t="array" ref="BC48">INDEX(BB:BB,MIN(IF(ISNUMBER(BB48:BB244),ROW(BB48:BB244),"")))</f>
        <v>15.25</v>
      </c>
      <c r="BD48" s="13">
        <f>IF('Données projet'!$A$88&gt;35,BD47+BC48-BL47,IF(A48&lt;'Données projet'!$A$88,$BA$205^A48,IF(A48='Données projet'!$A$88,'Données projet'!$B$88,BD47+BC48-BL47)))</f>
        <v>143</v>
      </c>
      <c r="BE48" s="14">
        <f>BD48*VLOOKUP('Données projet'!$B$11,Paramètres!$A$1:$I$88,3,0)*VLOOKUP('Données projet'!$B$11,Paramètres!$A$1:$I$88,5,0)</f>
        <v>145.00200000000001</v>
      </c>
      <c r="BF48" s="14">
        <f t="shared" si="37"/>
        <v>37.44054178676268</v>
      </c>
      <c r="BG48" s="22">
        <f t="shared" si="7"/>
        <v>317.75409361194505</v>
      </c>
      <c r="BH48" s="62">
        <f t="shared" si="8"/>
        <v>569.38085116277921</v>
      </c>
      <c r="BI48" s="62">
        <f ca="1">AVERAGE(OFFSET($BH$3,0,0,'Données projet'!$E$11+1,1))-AVERAGE(OFFSET($H$3,0,0,'Données projet'!$E$11+1,1))</f>
        <v>570.2785736203931</v>
      </c>
      <c r="BJ48" s="62">
        <f t="shared" si="38"/>
        <v>67.677759965081719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25</v>
      </c>
      <c r="BM48" s="17">
        <f>IF(ISNA(VLOOKUP(A48,'Données projet'!$A$87:$I$107,5,0)),0%,VLOOKUP(A48,'Données projet'!$A$87:$I$107,5,0)*VLOOKUP('Données projet'!$B$11,Paramètres!$A$1:$I$88,7,0))</f>
        <v>0.1075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3.0125449680247312</v>
      </c>
      <c r="BQ48" s="23">
        <f>EXP(-LN(2)/25)*BQ47+(1-EXP(-LN(2)/25))/(LN(2)/25)*Calculateur!BL48*Calculateur!BN48*VLOOKUP('Données projet'!$B$11,Paramètres!$A$1:$I$88,3,0)*0.475*44/12</f>
        <v>0</v>
      </c>
      <c r="BR48" s="23">
        <f>EXP(-LN(2)/2)*BR47+(1-EXP(-LN(2)/2))/(LN(2)/2)*BL48*BO48*VLOOKUP('Données projet'!$B$11,Paramètres!$A$1:$I$88,3,0)*0.475*44/12</f>
        <v>0</v>
      </c>
      <c r="BS48" s="24">
        <f t="shared" si="9"/>
        <v>3.0125449680247312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16.600000000000005</v>
      </c>
      <c r="BY48" s="13">
        <f>IF('Données projet'!$A$114&gt;35,BY47+BX48-CG47,IF(A48&lt;'Données projet'!$A$114,$BV$205^A48,IF(A48='Données projet'!$A$114,'Données projet'!$B$114,BY47+BX48-CG47)))</f>
        <v>466.69999999999982</v>
      </c>
      <c r="BZ48" s="14">
        <f>BY48*VLOOKUP('Données projet'!$B$12,Paramètres!$A$1:$I$88,3,0)*VLOOKUP('Données projet'!$B$12,Paramètres!$A$1:$I$88,5,0)</f>
        <v>279.08659999999992</v>
      </c>
      <c r="CA48" s="14">
        <f t="shared" si="39"/>
        <v>66.773944511799741</v>
      </c>
      <c r="CB48" s="22">
        <f t="shared" si="10"/>
        <v>602.37378169138447</v>
      </c>
      <c r="CC48" s="62">
        <f t="shared" si="11"/>
        <v>854.00053924221857</v>
      </c>
      <c r="CD48" s="62">
        <f ca="1">AVERAGE(OFFSET($CC$3,0,0,'Données projet'!$E$12+1,1))-AVERAGE(OFFSET($H$3,0,0,'Données projet'!$E$12+1,1))</f>
        <v>401.1031790385295</v>
      </c>
      <c r="CE48" s="62">
        <f t="shared" si="40"/>
        <v>402.09589424130615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projet'!$B$12,Paramètres!$A$1:$I$88,3,0)*0.475*44/12</f>
        <v>17.272397068256019</v>
      </c>
      <c r="CL48" s="23">
        <f>EXP(-LN(2)/25)*CL47+(1-EXP(-LN(2)/25))/(LN(2)/25)*Calculateur!CG48*Calculateur!CI48*VLOOKUP('Données projet'!$B$12,Paramètres!$A$1:$I$88,3,0)*0.475*44/12</f>
        <v>0</v>
      </c>
      <c r="CM48" s="23">
        <f>EXP(-LN(2)/2)*CM47+(1-EXP(-LN(2)/2))/(LN(2)/2)*CG48*CJ48*VLOOKUP('Données projet'!$B$12,Paramètres!$A$1:$I$88,3,0)*0.475*44/12</f>
        <v>3.4335667328240671</v>
      </c>
      <c r="CN48" s="24">
        <f t="shared" si="12"/>
        <v>20.705963801080088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16.600000000000005</v>
      </c>
      <c r="CT48" s="13">
        <f>IF('Données projet'!$A$140&gt;35,CT47+CS48-DB47,IF(A48&lt;'Données projet'!$A$140,$CQ$205^A48,IF(A48='Données projet'!$A$140,'Données projet'!$B$140,CT47+CS48-DB47)))</f>
        <v>466.69999999999982</v>
      </c>
      <c r="CU48" s="18">
        <f>CT48*VLOOKUP('Données projet'!$B$13,Paramètres!$A$1:$I$88,3,0)*VLOOKUP('Données projet'!$B$13,Paramètres!$A$1:$I$88,5,0)</f>
        <v>279.08659999999992</v>
      </c>
      <c r="CV48" s="14">
        <f t="shared" si="41"/>
        <v>66.773944511799741</v>
      </c>
      <c r="CW48" s="22">
        <f t="shared" si="13"/>
        <v>602.37378169138447</v>
      </c>
      <c r="CX48" s="62">
        <f t="shared" si="14"/>
        <v>854.00053924221857</v>
      </c>
      <c r="CY48" s="62">
        <f ca="1">AVERAGE(OFFSET($CX$3,0,0,'Données projet'!$E$13+1,1))-AVERAGE(OFFSET($H$3,0,0,'Données projet'!$E$13+1,1))</f>
        <v>401.1031790385295</v>
      </c>
      <c r="CZ48" s="62">
        <f t="shared" si="42"/>
        <v>402.09589424130615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projet'!$B$13,Paramètres!$A$1:$I$88,3,0)*0.475*44/12</f>
        <v>17.272397068256019</v>
      </c>
      <c r="DG48" s="23">
        <f>EXP(-LN(2)/25)*DG47+(1-EXP(-LN(2)/25))/(LN(2)/25)*Calculateur!DB48*Calculateur!DD48*VLOOKUP('Données projet'!$B$13,Paramètres!$A$1:$I$88,3,0)*0.475*44/12</f>
        <v>0</v>
      </c>
      <c r="DH48" s="23">
        <f>EXP(-LN(2)/2)*DH47+(1-EXP(-LN(2)/2))/(LN(2)/2)*DB48*DE48*VLOOKUP('Données projet'!$B$13,Paramètres!$A$1:$I$88,3,0)*0.475*44/12</f>
        <v>3.4335667328240671</v>
      </c>
      <c r="DI48" s="24">
        <f t="shared" si="15"/>
        <v>20.705963801080088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558</v>
      </c>
      <c r="DM48" s="13">
        <f>VLOOKUP(A48,'Données projet'!$A$165:$I$185,9,0)</f>
        <v>29.8</v>
      </c>
      <c r="DN48" s="13">
        <f t="array" ref="DN48">INDEX(DM:DM,MIN(IF(ISNUMBER(DM48:DM244),ROW(DM48:DM244),"")))</f>
        <v>29.8</v>
      </c>
      <c r="DO48" s="13">
        <f>IF('Données projet'!$A$166&gt;35,DO47+DN48-DW47,IF(A48&lt;'Données projet'!$A$166,$DL$205^A48,IF(A48='Données projet'!$A$166,'Données projet'!$B$166,DO47+DN48-DW47)))</f>
        <v>558</v>
      </c>
      <c r="DP48" s="18">
        <f>DO48*VLOOKUP('Données projet'!$B$14,Paramètres!$A$1:$I$88,3,0)*VLOOKUP('Données projet'!$B$14,Paramètres!$A$1:$I$88,5,0)</f>
        <v>224.874</v>
      </c>
      <c r="DQ48" s="14">
        <f t="shared" si="43"/>
        <v>55.1728707630621</v>
      </c>
      <c r="DR48" s="22">
        <f t="shared" si="16"/>
        <v>487.7482999123331</v>
      </c>
      <c r="DS48" s="62">
        <f t="shared" si="17"/>
        <v>739.3750574631672</v>
      </c>
      <c r="DT48" s="62">
        <f ca="1">AVERAGE(OFFSET($DS$3,0,0,'Données projet'!$E$14+1,1))-AVERAGE(OFFSET($H$3,0,0,'Données projet'!$E$14+1,1))</f>
        <v>432.59662347701629</v>
      </c>
      <c r="DU48" s="62">
        <f t="shared" si="44"/>
        <v>348.67401091099748</v>
      </c>
      <c r="DV48" s="16">
        <f>IF(ISNA(VLOOKUP(A48,'Données projet'!$A$165:$I$185,3,0)),0,VLOOKUP(A48,'Données projet'!$A$165:$I$185,3,0))</f>
        <v>6</v>
      </c>
      <c r="DW48" s="16">
        <f>IF(ISNA(VLOOKUP(A48,'Données projet'!$A$165:$I$185,4,0)),0,VLOOKUP(A48,'Données projet'!$A$165:$I$185,4,0))</f>
        <v>84</v>
      </c>
      <c r="DX48" s="17">
        <f>IF(ISNA(VLOOKUP(A48,'Données projet'!$A$165:$I$185,5,0)),0%,VLOOKUP(A48,'Données projet'!$A$165:$I$185,5,0)*VLOOKUP('Données projet'!$B$14,Paramètres!$A$1:$I$88,7,0))</f>
        <v>0.16500000000000001</v>
      </c>
      <c r="DY48" s="17">
        <f>IF(ISNA(VLOOKUP(A48,'Données projet'!$A$165:$I$185,6,0)),0%,VLOOKUP(A48,'Données projet'!$A$165:$I$185,6,0)*VLOOKUP('Données projet'!$B$14,Paramètres!$A$1:$I$88,7,0))</f>
        <v>0.38500000000000001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projet'!$B$14,Paramètres!$A$1:$I$88,3,0)*0.475*44/12</f>
        <v>23.773809465296036</v>
      </c>
      <c r="EB48" s="23">
        <f>EXP(-LN(2)/25)*EB47+(1-EXP(-LN(2)/25))/(LN(2)/25)*Calculateur!DW48*Calculateur!DY48*VLOOKUP('Données projet'!$B$14,Paramètres!$A$1:$I$88,3,0)*0.475*44/12</f>
        <v>83.042819350993739</v>
      </c>
      <c r="EC48" s="23">
        <f>EXP(-LN(2)/2)*EC47+(1-EXP(-LN(2)/2))/(LN(2)/2)*DW48*DZ48*VLOOKUP('Données projet'!$B$14,Paramètres!$A$1:$I$88,3,0)*0.475*44/12</f>
        <v>0</v>
      </c>
      <c r="ED48" s="24">
        <f t="shared" si="18"/>
        <v>106.81662881628978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719</v>
      </c>
      <c r="EH48" s="13">
        <f>VLOOKUP(A48,'Données projet'!$A$191:$I$211,9,0)</f>
        <v>20.6</v>
      </c>
      <c r="EI48" s="13">
        <f t="array" ref="EI48">INDEX(EH:EH,MIN(IF(ISNUMBER(EH48:EH244),ROW(EH48:EH244),"")))</f>
        <v>20.6</v>
      </c>
      <c r="EJ48" s="13">
        <f>IF('Données projet'!$A$192&gt;35,EJ47+EI48-ER47,IF(A48&lt;'Données projet'!$A$192,$EG$205^A48,IF(A48='Données projet'!$A$192,'Données projet'!$B$192,EJ47+EI48-ER47)))</f>
        <v>719.00000000000011</v>
      </c>
      <c r="EK48" s="18">
        <f>EJ48*VLOOKUP('Données projet'!$B$15,Paramètres!$A$1:$I$88,3,0)*VLOOKUP('Données projet'!$B$15,Paramètres!$A$1:$I$88,5,0)</f>
        <v>317.79800000000012</v>
      </c>
      <c r="EL48" s="14">
        <f t="shared" si="45"/>
        <v>74.895000775677957</v>
      </c>
      <c r="EM48" s="22">
        <f t="shared" si="19"/>
        <v>683.94030968430582</v>
      </c>
      <c r="EN48" s="62">
        <f t="shared" si="20"/>
        <v>935.56706723513992</v>
      </c>
      <c r="EO48" s="62">
        <f ca="1">AVERAGE(OFFSET($EN$3,0,0,'Données projet'!$E$15+1,1))-AVERAGE(OFFSET($H$3,0,0,'Données projet'!$E$15+1,1))</f>
        <v>582.26951914082088</v>
      </c>
      <c r="EP48" s="62">
        <f t="shared" si="46"/>
        <v>434.80429932654715</v>
      </c>
      <c r="EQ48" s="16">
        <f>IF(ISNA(VLOOKUP(A48,'Données projet'!$A$191:$I$211,3,0)),0,VLOOKUP(A48,'Données projet'!$A$191:$I$211,3,0))</f>
        <v>7</v>
      </c>
      <c r="ER48" s="16">
        <f>IF(ISNA(VLOOKUP(A48,'Données projet'!$A$191:$I$211,4,0)),0,VLOOKUP(A48,'Données projet'!$A$191:$I$211,4,0))</f>
        <v>83</v>
      </c>
      <c r="ES48" s="17">
        <f>IF(ISNA(VLOOKUP(A48,'Données projet'!$A$191:$I$211,5,0)),0%,VLOOKUP(A48,'Données projet'!$A$191:$I$211,5,0)*VLOOKUP('Données projet'!$B$15,Paramètres!$A$1:$I$88,7,0))</f>
        <v>0.22000000000000003</v>
      </c>
      <c r="ET48" s="17">
        <f>IF(ISNA(VLOOKUP(A48,'Données projet'!$A$191:$I$211,6,0)),0%,VLOOKUP(A48,'Données projet'!$A$191:$I$211,6,0)*VLOOKUP('Données projet'!$B$15,Paramètres!$A$1:$I$88,7,0))</f>
        <v>0.33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projet'!$B$15,Paramètres!$A$1:$I$88,3,0)*0.475*44/12</f>
        <v>31.026288246240277</v>
      </c>
      <c r="EW48" s="23">
        <f>EXP(-LN(2)/25)*EW47+(1-EXP(-LN(2)/25))/(LN(2)/25)*Calculateur!ER48*Calculateur!ET48*VLOOKUP('Données projet'!$B$15,Paramètres!$A$1:$I$88,3,0)*0.475*44/12</f>
        <v>83.788698418871149</v>
      </c>
      <c r="EX48" s="23">
        <f>EXP(-LN(2)/2)*EX47+(1-EXP(-LN(2)/2))/(LN(2)/2)*ER48*EU48*VLOOKUP('Données projet'!$B$15,Paramètres!$A$1:$I$88,3,0)*0.475*44/12</f>
        <v>0</v>
      </c>
      <c r="EY48" s="24">
        <f t="shared" si="21"/>
        <v>114.81498666511143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20.399999999999999</v>
      </c>
      <c r="FE48" s="13">
        <f>IF('Données projet'!$A$218&gt;35,FE47+FD48-FM47,IF(A48&lt;'Données projet'!$A$218,$FB$205^A48,IF(A48='Données projet'!$A$218,'Données projet'!$B$218,FE47+FD48-FM47)))</f>
        <v>277.99999999999989</v>
      </c>
      <c r="FF48" s="18">
        <f>FE48*VLOOKUP('Données projet'!$B$16,Paramètres!$A$1:$I$88,3,0)*VLOOKUP('Données projet'!$B$16,Paramètres!$A$1:$I$88,5,0)</f>
        <v>130.10399999999996</v>
      </c>
      <c r="FG48" s="14">
        <f t="shared" si="47"/>
        <v>34.020389560268086</v>
      </c>
      <c r="FH48" s="22">
        <f t="shared" si="22"/>
        <v>285.84997848413349</v>
      </c>
      <c r="FI48" s="62">
        <f t="shared" si="23"/>
        <v>537.47673603496764</v>
      </c>
      <c r="FJ48" s="62">
        <f ca="1">AVERAGE(OFFSET($FI$3,0,0,'Données projet'!$E$16+1,1))-AVERAGE(OFFSET($H$3,0,0,'Données projet'!$E$16+1,1))</f>
        <v>429.87867712133851</v>
      </c>
      <c r="FK48" s="62">
        <f t="shared" si="48"/>
        <v>182.81277865988014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projet'!$B$16,Paramètres!$A$1:$I$88,3,0)*0.475*44/12</f>
        <v>0</v>
      </c>
      <c r="FR48" s="23">
        <f>EXP(-LN(2)/25)*FR47+(1-EXP(-LN(2)/25))/(LN(2)/25)*Calculateur!FM48*Calculateur!FO48*VLOOKUP('Données projet'!$B$16,Paramètres!$A$1:$I$88,3,0)*0.475*44/12</f>
        <v>26.943805454908972</v>
      </c>
      <c r="FS48" s="23">
        <f>EXP(-LN(2)/2)*FS47+(1-EXP(-LN(2)/2))/(LN(2)/2)*FM48*FP48*VLOOKUP('Données projet'!$B$16,Paramètres!$A$1:$I$88,3,0)*0.475*44/12</f>
        <v>0</v>
      </c>
      <c r="FT48" s="24">
        <f t="shared" si="24"/>
        <v>26.943805454908972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327</v>
      </c>
      <c r="FX48" s="13">
        <f>VLOOKUP(A48,'Données projet'!$A$243:$I$263,9,0)</f>
        <v>18.2</v>
      </c>
      <c r="FY48" s="13">
        <f t="array" ref="FY48">INDEX(FX:FX,MIN(IF(ISNUMBER(FX48:FX244),ROW(FX48:FX244),"")))</f>
        <v>18.2</v>
      </c>
      <c r="FZ48" s="13">
        <f>IF('Données projet'!$A$244&gt;35,FZ47+FY48-GH47,IF(A48&lt;'Données projet'!$A$244,$FW$205^A48,IF(A48='Données projet'!$A$244,'Données projet'!$B$244,FZ47+FY48-GH47)))</f>
        <v>326.99999999999977</v>
      </c>
      <c r="GA48" s="18">
        <f>FZ48*VLOOKUP('Données projet'!$B$17,Paramètres!$A$1:$I$88,3,0)*VLOOKUP('Données projet'!$B$17,Paramètres!$A$1:$I$88,5,0)</f>
        <v>157.28699999999989</v>
      </c>
      <c r="GB48" s="14">
        <f t="shared" si="49"/>
        <v>40.229982958573615</v>
      </c>
      <c r="GC48" s="22">
        <f t="shared" si="25"/>
        <v>344.00874531951558</v>
      </c>
      <c r="GD48" s="62">
        <f t="shared" si="26"/>
        <v>595.63550287034968</v>
      </c>
      <c r="GE48" s="62">
        <f ca="1">AVERAGE(OFFSET($GD$3,0,0,'Données projet'!$E$17+1,1))-AVERAGE(OFFSET($H$3,0,0,'Données projet'!$E$17+1,1))</f>
        <v>273.24375559399846</v>
      </c>
      <c r="GF48" s="62">
        <f t="shared" si="50"/>
        <v>270.77718895097848</v>
      </c>
      <c r="GG48" s="16">
        <f>IF(ISNA(VLOOKUP(A48,'Données projet'!$A$243:$I$263,3,0)),0,VLOOKUP(A48,'Données projet'!$A$243:$I$263,3,0))</f>
        <v>7</v>
      </c>
      <c r="GH48" s="16">
        <f>IF(ISNA(VLOOKUP(A48,'Données projet'!$A$243:$I$263,4,0)),0,VLOOKUP(A48,'Données projet'!$A$243:$I$263,4,0))</f>
        <v>57</v>
      </c>
      <c r="GI48" s="17">
        <f>IF(ISNA(VLOOKUP(A48,'Données projet'!$A$243:$I$263,5,0)),0%,VLOOKUP(A48,'Données projet'!$A$243:$I$263,5,0)*VLOOKUP('Données projet'!$B$17,Paramètres!$A$1:$I$88,7,0))</f>
        <v>0.22000000000000003</v>
      </c>
      <c r="GJ48" s="17">
        <f>IF(ISNA(VLOOKUP(A48,'Données projet'!$A$243:$I$263,6,0)),0%,VLOOKUP(A48,'Données projet'!$A$243:$I$263,6,0)*VLOOKUP('Données projet'!$B$17,Paramètres!$A$1:$I$88,7,0))</f>
        <v>0.33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projet'!$B$17,Paramètres!$A$1:$I$88,3,0)*0.475*44/12</f>
        <v>23.844469376311324</v>
      </c>
      <c r="GM48" s="23">
        <f>EXP(-LN(2)/25)*GM47+(1-EXP(-LN(2)/25))/(LN(2)/25)*Calculateur!GH48*Calculateur!GJ48*VLOOKUP('Données projet'!$B$17,Paramètres!$A$1:$I$88,3,0)*0.475*44/12</f>
        <v>50.633972695764314</v>
      </c>
      <c r="GN48" s="23">
        <f>EXP(-LN(2)/2)*GN47+(1-EXP(-LN(2)/2))/(LN(2)/2)*GH48*GK48*VLOOKUP('Données projet'!$B$17,Paramètres!$A$1:$I$88,3,0)*0.475*44/12</f>
        <v>0</v>
      </c>
      <c r="GO48" s="23">
        <f t="shared" si="27"/>
        <v>74.478442072075637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18.714285714285715</v>
      </c>
      <c r="N49" s="14">
        <f>IF('Données projet'!$A$36&gt;35,N48+M49-V48,IF(A49&lt;'Données projet'!$A$36,$K$205^A49,IF(A49='Données projet'!$A$36,'Données projet'!$B$36,N48+M49-V48)))</f>
        <v>416.85714285714266</v>
      </c>
      <c r="O49" s="14">
        <f>N49*VLOOKUP('Données projet'!$B$9,Paramètres!$A$1:$I$88,3,0)*VLOOKUP('Données projet'!$B$9,Paramètres!$A$1:$I$88,5,0)</f>
        <v>233.02314285714277</v>
      </c>
      <c r="P49" s="14">
        <f t="shared" si="33"/>
        <v>56.935858075040223</v>
      </c>
      <c r="Q49" s="22">
        <f t="shared" si="53"/>
        <v>505.01192662355203</v>
      </c>
      <c r="R49" s="62">
        <f t="shared" si="0"/>
        <v>757.36220002227765</v>
      </c>
      <c r="S49" s="62">
        <f ca="1">AVERAGE(OFFSET($R$3,0,0,'Données projet'!$E$9+1,1))-AVERAGE(OFFSET($H$3,0,0,'Données projet'!$E$9+1,1))</f>
        <v>289.94242154211224</v>
      </c>
      <c r="T49" s="62">
        <f t="shared" si="34"/>
        <v>369.12599166143661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24.271283887752571</v>
      </c>
      <c r="AA49" s="23">
        <f>EXP(-LN(2)/25)*AA48+(1-EXP(-LN(2)/25))/(LN(2)/25)*Calculateur!V49*Calculateur!X49*VLOOKUP('Données projet'!$B$9,Paramètres!$A$1:$I$88,3,0)*0.475*44/12</f>
        <v>43.149743679152309</v>
      </c>
      <c r="AB49" s="23">
        <f>EXP(-LN(2)/2)*AB48+(1-EXP(-LN(2)/2))/(LN(2)/2)*V49*Y49*VLOOKUP('Données projet'!$B$9,Paramètres!$A$1:$I$88,3,0)*0.475*44/12</f>
        <v>0</v>
      </c>
      <c r="AC49" s="24">
        <f t="shared" si="3"/>
        <v>67.421027566904883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9.625</v>
      </c>
      <c r="AI49" s="14">
        <f>IF('Données projet'!$A$62&gt;35,AI48+AH49-AQ48,IF(A49&lt;'Données projet'!$A$62,$AF$205^A49,IF(A49='Données projet'!$A$62,'Données projet'!$B$62,AI48+AH49-AQ48)))</f>
        <v>127.625</v>
      </c>
      <c r="AJ49" s="14">
        <f>AI49*VLOOKUP('Données projet'!$B$10,Paramètres!$A$1:$I$88,3,0)*VLOOKUP('Données projet'!$B$10,Paramètres!$A$1:$I$88,5,0)</f>
        <v>115.4751</v>
      </c>
      <c r="AK49" s="14">
        <f t="shared" si="35"/>
        <v>30.617291447620193</v>
      </c>
      <c r="AL49" s="22">
        <f t="shared" si="4"/>
        <v>254.44424843793846</v>
      </c>
      <c r="AM49" s="62">
        <f t="shared" si="5"/>
        <v>506.7945218366641</v>
      </c>
      <c r="AN49" s="62">
        <f ca="1">AVERAGE(OFFSET($AM$3,0,0,'Données projet'!$E$10+1,1))-AVERAGE(OFFSET($H$3,0,0,'Données projet'!$E$10+1,1))</f>
        <v>518.31628039365785</v>
      </c>
      <c r="AO49" s="62">
        <f t="shared" si="36"/>
        <v>66.435071953154761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2.6354047126618485</v>
      </c>
      <c r="AV49" s="23">
        <f>EXP(-LN(2)/25)*AV48+(1-EXP(-LN(2)/25))/(LN(2)/25)*Calculateur!AQ49*Calculateur!AS49*VLOOKUP('Données projet'!$B$10,Paramètres!$A$1:$I$88,3,0)*0.475*44/12</f>
        <v>0</v>
      </c>
      <c r="AW49" s="23">
        <f>EXP(-LN(2)/2)*AW48+(1-EXP(-LN(2)/2))/(LN(2)/2)*AQ49*AT49*VLOOKUP('Données projet'!$B$10,Paramètres!$A$1:$I$88,3,0)*0.475*44/12</f>
        <v>0</v>
      </c>
      <c r="AX49" s="23">
        <f t="shared" si="6"/>
        <v>2.6354047126618485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9.625</v>
      </c>
      <c r="BD49" s="13">
        <f>IF('Données projet'!$A$88&gt;35,BD48+BC49-BL48,IF(A49&lt;'Données projet'!$A$88,$BA$205^A49,IF(A49='Données projet'!$A$88,'Données projet'!$B$88,BD48+BC49-BL48)))</f>
        <v>127.625</v>
      </c>
      <c r="BE49" s="14">
        <f>BD49*VLOOKUP('Données projet'!$B$11,Paramètres!$A$1:$I$88,3,0)*VLOOKUP('Données projet'!$B$11,Paramètres!$A$1:$I$88,5,0)</f>
        <v>129.41175000000001</v>
      </c>
      <c r="BF49" s="14">
        <f t="shared" si="37"/>
        <v>33.860396171236147</v>
      </c>
      <c r="BG49" s="22">
        <f t="shared" si="7"/>
        <v>284.36565458156963</v>
      </c>
      <c r="BH49" s="62">
        <f t="shared" si="8"/>
        <v>536.71592798029531</v>
      </c>
      <c r="BI49" s="62">
        <f ca="1">AVERAGE(OFFSET($BH$3,0,0,'Données projet'!$E$11+1,1))-AVERAGE(OFFSET($H$3,0,0,'Données projet'!$E$11+1,1))</f>
        <v>570.2785736203931</v>
      </c>
      <c r="BJ49" s="62">
        <f t="shared" si="38"/>
        <v>67.677759965081719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2.9534707986727615</v>
      </c>
      <c r="BQ49" s="23">
        <f>EXP(-LN(2)/25)*BQ48+(1-EXP(-LN(2)/25))/(LN(2)/25)*Calculateur!BL49*Calculateur!BN49*VLOOKUP('Données projet'!$B$11,Paramètres!$A$1:$I$88,3,0)*0.475*44/12</f>
        <v>0</v>
      </c>
      <c r="BR49" s="23">
        <f>EXP(-LN(2)/2)*BR48+(1-EXP(-LN(2)/2))/(LN(2)/2)*BL49*BO49*VLOOKUP('Données projet'!$B$11,Paramètres!$A$1:$I$88,3,0)*0.475*44/12</f>
        <v>0</v>
      </c>
      <c r="BS49" s="24">
        <f t="shared" si="9"/>
        <v>2.9534707986727615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>
        <f>VLOOKUP(A49,'Données projet'!$A$113:$I$133,2,0)</f>
        <v>483.3</v>
      </c>
      <c r="BW49" s="13">
        <f>VLOOKUP(A49,'Données projet'!$A$113:$I$133,9,0)</f>
        <v>16.600000000000005</v>
      </c>
      <c r="BX49" s="13">
        <f t="array" ref="BX49">INDEX(BW:BW,MIN(IF(ISNUMBER(BW49:BW245),ROW(BW49:BW245),"")))</f>
        <v>16.600000000000005</v>
      </c>
      <c r="BY49" s="13">
        <f>IF('Données projet'!$A$114&gt;35,BY48+BX49-CG48,IF(A49&lt;'Données projet'!$A$114,$BV$205^A49,IF(A49='Données projet'!$A$114,'Données projet'!$B$114,BY48+BX49-CG48)))</f>
        <v>483.29999999999984</v>
      </c>
      <c r="BZ49" s="14">
        <f>BY49*VLOOKUP('Données projet'!$B$12,Paramètres!$A$1:$I$88,3,0)*VLOOKUP('Données projet'!$B$12,Paramètres!$A$1:$I$88,5,0)</f>
        <v>289.01339999999993</v>
      </c>
      <c r="CA49" s="14">
        <f t="shared" si="39"/>
        <v>68.868272817039411</v>
      </c>
      <c r="CB49" s="22">
        <f t="shared" si="10"/>
        <v>623.31058015634346</v>
      </c>
      <c r="CC49" s="62">
        <f t="shared" si="11"/>
        <v>875.66085355506914</v>
      </c>
      <c r="CD49" s="62">
        <f ca="1">AVERAGE(OFFSET($CC$3,0,0,'Données projet'!$E$12+1,1))-AVERAGE(OFFSET($H$3,0,0,'Données projet'!$E$12+1,1))</f>
        <v>401.1031790385295</v>
      </c>
      <c r="CE49" s="62">
        <f t="shared" si="40"/>
        <v>402.09589424130615</v>
      </c>
      <c r="CF49" s="16">
        <f>IF(ISNA(VLOOKUP(A49,'Données projet'!$A$113:$I$133,3,0)),0,VLOOKUP(A49,'Données projet'!$A$113:$I$133,3,0))</f>
        <v>7</v>
      </c>
      <c r="CG49" s="16">
        <f>IF(ISNA(VLOOKUP(A49,'Données projet'!$A$113:$I$133,4,0)),0,VLOOKUP(A49,'Données projet'!$A$113:$I$133,4,0))</f>
        <v>28.7</v>
      </c>
      <c r="CH49" s="17">
        <f>IF(ISNA(VLOOKUP(A49,'Données projet'!$A$113:$I$133,5,0)),0%,VLOOKUP(A49,'Données projet'!$A$113:$I$133,5,0)*VLOOKUP('Données projet'!$B$12,Paramètres!$A$1:$I$88,7,0))</f>
        <v>0.20250000000000001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0.55000000000000004</v>
      </c>
      <c r="CK49" s="23">
        <f>EXP(-LN(2)/35)*CK48+(1-EXP(-LN(2)/35))/(LN(2)/35)*CG49*CH49*VLOOKUP('Données projet'!$B$12,Paramètres!$A$1:$I$88,3,0)*0.475*44/12</f>
        <v>21.544073159262119</v>
      </c>
      <c r="CL49" s="23">
        <f>EXP(-LN(2)/25)*CL48+(1-EXP(-LN(2)/25))/(LN(2)/25)*Calculateur!CG49*Calculateur!CI49*VLOOKUP('Données projet'!$B$12,Paramètres!$A$1:$I$88,3,0)*0.475*44/12</f>
        <v>0</v>
      </c>
      <c r="CM49" s="23">
        <f>EXP(-LN(2)/2)*CM48+(1-EXP(-LN(2)/2))/(LN(2)/2)*CG49*CJ49*VLOOKUP('Données projet'!$B$12,Paramètres!$A$1:$I$88,3,0)*0.475*44/12</f>
        <v>13.115525836676685</v>
      </c>
      <c r="CN49" s="24">
        <f t="shared" si="12"/>
        <v>34.659598995938808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>
        <f>VLOOKUP(A49,'Données projet'!$A$139:$I$159,2,0)</f>
        <v>483.3</v>
      </c>
      <c r="CR49" s="13">
        <f>VLOOKUP(A49,'Données projet'!$A$139:$I$159,9,0)</f>
        <v>16.600000000000005</v>
      </c>
      <c r="CS49" s="13">
        <f t="array" ref="CS49">INDEX(CR:CR,MIN(IF(ISNUMBER(CR49:CR245),ROW(CR49:CR245),"")))</f>
        <v>16.600000000000005</v>
      </c>
      <c r="CT49" s="13">
        <f>IF('Données projet'!$A$140&gt;35,CT48+CS49-DB48,IF(A49&lt;'Données projet'!$A$140,$CQ$205^A49,IF(A49='Données projet'!$A$140,'Données projet'!$B$140,CT48+CS49-DB48)))</f>
        <v>483.29999999999984</v>
      </c>
      <c r="CU49" s="18">
        <f>CT49*VLOOKUP('Données projet'!$B$13,Paramètres!$A$1:$I$88,3,0)*VLOOKUP('Données projet'!$B$13,Paramètres!$A$1:$I$88,5,0)</f>
        <v>289.01339999999993</v>
      </c>
      <c r="CV49" s="14">
        <f t="shared" si="41"/>
        <v>68.868272817039411</v>
      </c>
      <c r="CW49" s="22">
        <f t="shared" si="13"/>
        <v>623.31058015634346</v>
      </c>
      <c r="CX49" s="62">
        <f t="shared" si="14"/>
        <v>875.66085355506914</v>
      </c>
      <c r="CY49" s="62">
        <f ca="1">AVERAGE(OFFSET($CX$3,0,0,'Données projet'!$E$13+1,1))-AVERAGE(OFFSET($H$3,0,0,'Données projet'!$E$13+1,1))</f>
        <v>401.1031790385295</v>
      </c>
      <c r="CZ49" s="62">
        <f t="shared" si="42"/>
        <v>402.09589424130615</v>
      </c>
      <c r="DA49" s="16">
        <f>IF(ISNA(VLOOKUP(A49,'Données projet'!$A$139:$I$159,3,0)),0,VLOOKUP(A49,'Données projet'!$A$139:$I$159,3,0))</f>
        <v>7</v>
      </c>
      <c r="DB49" s="16">
        <f>IF(ISNA(VLOOKUP(A49,'Données projet'!$A$139:$I$159,4,0)),0,VLOOKUP(A49,'Données projet'!$A$139:$I$159,4,0))</f>
        <v>28.7</v>
      </c>
      <c r="DC49" s="17">
        <f>IF(ISNA(VLOOKUP(A49,'Données projet'!$A$139:$I$159,5,0)),0%,VLOOKUP(A49,'Données projet'!$A$139:$I$159,5,0)*VLOOKUP('Données projet'!$B$13,Paramètres!$A$1:$I$88,7,0))</f>
        <v>0.20250000000000001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0.55000000000000004</v>
      </c>
      <c r="DF49" s="23">
        <f>EXP(-LN(2)/35)*DF48+(1-EXP(-LN(2)/35))/(LN(2)/35)*DB49*DC49*VLOOKUP('Données projet'!$B$13,Paramètres!$A$1:$I$88,3,0)*0.475*44/12</f>
        <v>21.544073159262119</v>
      </c>
      <c r="DG49" s="23">
        <f>EXP(-LN(2)/25)*DG48+(1-EXP(-LN(2)/25))/(LN(2)/25)*Calculateur!DB49*Calculateur!DD49*VLOOKUP('Données projet'!$B$13,Paramètres!$A$1:$I$88,3,0)*0.475*44/12</f>
        <v>0</v>
      </c>
      <c r="DH49" s="23">
        <f>EXP(-LN(2)/2)*DH48+(1-EXP(-LN(2)/2))/(LN(2)/2)*DB49*DE49*VLOOKUP('Données projet'!$B$13,Paramètres!$A$1:$I$88,3,0)*0.475*44/12</f>
        <v>13.115525836676685</v>
      </c>
      <c r="DI49" s="24">
        <f t="shared" si="15"/>
        <v>34.659598995938808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28.8</v>
      </c>
      <c r="DO49" s="13">
        <f>IF('Données projet'!$A$166&gt;35,DO48+DN49-DW48,IF(A49&lt;'Données projet'!$A$166,$DL$205^A49,IF(A49='Données projet'!$A$166,'Données projet'!$B$166,DO48+DN49-DW48)))</f>
        <v>502.79999999999995</v>
      </c>
      <c r="DP49" s="18">
        <f>DO49*VLOOKUP('Données projet'!$B$14,Paramètres!$A$1:$I$88,3,0)*VLOOKUP('Données projet'!$B$14,Paramètres!$A$1:$I$88,5,0)</f>
        <v>202.6284</v>
      </c>
      <c r="DQ49" s="14">
        <f t="shared" si="43"/>
        <v>50.321370819084692</v>
      </c>
      <c r="DR49" s="22">
        <f t="shared" si="16"/>
        <v>440.55418417657251</v>
      </c>
      <c r="DS49" s="62">
        <f t="shared" si="17"/>
        <v>692.90445757529812</v>
      </c>
      <c r="DT49" s="62">
        <f ca="1">AVERAGE(OFFSET($DS$3,0,0,'Données projet'!$E$14+1,1))-AVERAGE(OFFSET($H$3,0,0,'Données projet'!$E$14+1,1))</f>
        <v>432.59662347701629</v>
      </c>
      <c r="DU49" s="62">
        <f t="shared" si="44"/>
        <v>348.67401091099748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projet'!$B$14,Paramètres!$A$1:$I$88,3,0)*0.475*44/12</f>
        <v>23.30761956227354</v>
      </c>
      <c r="EB49" s="23">
        <f>EXP(-LN(2)/25)*EB48+(1-EXP(-LN(2)/25))/(LN(2)/25)*Calculateur!DW49*Calculateur!DY49*VLOOKUP('Données projet'!$B$14,Paramètres!$A$1:$I$88,3,0)*0.475*44/12</f>
        <v>80.772009088808744</v>
      </c>
      <c r="EC49" s="23">
        <f>EXP(-LN(2)/2)*EC48+(1-EXP(-LN(2)/2))/(LN(2)/2)*DW49*DZ49*VLOOKUP('Données projet'!$B$14,Paramètres!$A$1:$I$88,3,0)*0.475*44/12</f>
        <v>0</v>
      </c>
      <c r="ED49" s="24">
        <f t="shared" si="18"/>
        <v>104.07962865108229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35.4</v>
      </c>
      <c r="EJ49" s="13">
        <f>IF('Données projet'!$A$192&gt;35,EJ48+EI49-ER48,IF(A49&lt;'Données projet'!$A$192,$EG$205^A49,IF(A49='Données projet'!$A$192,'Données projet'!$B$192,EJ48+EI49-ER48)))</f>
        <v>671.40000000000009</v>
      </c>
      <c r="EK49" s="18">
        <f>EJ49*VLOOKUP('Données projet'!$B$15,Paramètres!$A$1:$I$88,3,0)*VLOOKUP('Données projet'!$B$15,Paramètres!$A$1:$I$88,5,0)</f>
        <v>296.75880000000006</v>
      </c>
      <c r="EL49" s="14">
        <f t="shared" si="45"/>
        <v>70.496554480015604</v>
      </c>
      <c r="EM49" s="22">
        <f t="shared" si="19"/>
        <v>639.63640905269403</v>
      </c>
      <c r="EN49" s="62">
        <f t="shared" si="20"/>
        <v>891.98668245141971</v>
      </c>
      <c r="EO49" s="62">
        <f ca="1">AVERAGE(OFFSET($EN$3,0,0,'Données projet'!$E$15+1,1))-AVERAGE(OFFSET($H$3,0,0,'Données projet'!$E$15+1,1))</f>
        <v>582.26951914082088</v>
      </c>
      <c r="EP49" s="62">
        <f t="shared" si="46"/>
        <v>434.80429932654715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projet'!$B$15,Paramètres!$A$1:$I$88,3,0)*0.475*44/12</f>
        <v>30.417881657898729</v>
      </c>
      <c r="EW49" s="23">
        <f>EXP(-LN(2)/25)*EW48+(1-EXP(-LN(2)/25))/(LN(2)/25)*Calculateur!ER49*Calculateur!ET49*VLOOKUP('Données projet'!$B$15,Paramètres!$A$1:$I$88,3,0)*0.475*44/12</f>
        <v>81.497492054350971</v>
      </c>
      <c r="EX49" s="23">
        <f>EXP(-LN(2)/2)*EX48+(1-EXP(-LN(2)/2))/(LN(2)/2)*ER49*EU49*VLOOKUP('Données projet'!$B$15,Paramètres!$A$1:$I$88,3,0)*0.475*44/12</f>
        <v>0</v>
      </c>
      <c r="EY49" s="24">
        <f t="shared" si="21"/>
        <v>111.9153737122497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20.399999999999999</v>
      </c>
      <c r="FE49" s="13">
        <f>IF('Données projet'!$A$218&gt;35,FE48+FD49-FM48,IF(A49&lt;'Données projet'!$A$218,$FB$205^A49,IF(A49='Données projet'!$A$218,'Données projet'!$B$218,FE48+FD49-FM48)))</f>
        <v>298.39999999999986</v>
      </c>
      <c r="FF49" s="18">
        <f>FE49*VLOOKUP('Données projet'!$B$16,Paramètres!$A$1:$I$88,3,0)*VLOOKUP('Données projet'!$B$16,Paramètres!$A$1:$I$88,5,0)</f>
        <v>139.65119999999993</v>
      </c>
      <c r="FG49" s="14">
        <f t="shared" si="47"/>
        <v>36.217088715919452</v>
      </c>
      <c r="FH49" s="22">
        <f t="shared" si="22"/>
        <v>306.30393618022629</v>
      </c>
      <c r="FI49" s="62">
        <f t="shared" si="23"/>
        <v>558.65420957895196</v>
      </c>
      <c r="FJ49" s="62">
        <f ca="1">AVERAGE(OFFSET($FI$3,0,0,'Données projet'!$E$16+1,1))-AVERAGE(OFFSET($H$3,0,0,'Données projet'!$E$16+1,1))</f>
        <v>429.87867712133851</v>
      </c>
      <c r="FK49" s="62">
        <f t="shared" si="48"/>
        <v>182.81277865988014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projet'!$B$16,Paramètres!$A$1:$I$88,3,0)*0.475*44/12</f>
        <v>0</v>
      </c>
      <c r="FR49" s="23">
        <f>EXP(-LN(2)/25)*FR48+(1-EXP(-LN(2)/25))/(LN(2)/25)*Calculateur!FM49*Calculateur!FO49*VLOOKUP('Données projet'!$B$16,Paramètres!$A$1:$I$88,3,0)*0.475*44/12</f>
        <v>26.207025677831339</v>
      </c>
      <c r="FS49" s="23">
        <f>EXP(-LN(2)/2)*FS48+(1-EXP(-LN(2)/2))/(LN(2)/2)*FM49*FP49*VLOOKUP('Données projet'!$B$16,Paramètres!$A$1:$I$88,3,0)*0.475*44/12</f>
        <v>0</v>
      </c>
      <c r="FT49" s="24">
        <f t="shared" si="24"/>
        <v>26.207025677831339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19.399999999999999</v>
      </c>
      <c r="FZ49" s="13">
        <f>IF('Données projet'!$A$244&gt;35,FZ48+FY49-GH48,IF(A49&lt;'Données projet'!$A$244,$FW$205^A49,IF(A49='Données projet'!$A$244,'Données projet'!$B$244,FZ48+FY49-GH48)))</f>
        <v>289.39999999999975</v>
      </c>
      <c r="GA49" s="18">
        <f>FZ49*VLOOKUP('Données projet'!$B$17,Paramètres!$A$1:$I$88,3,0)*VLOOKUP('Données projet'!$B$17,Paramètres!$A$1:$I$88,5,0)</f>
        <v>139.20139999999989</v>
      </c>
      <c r="GB49" s="14">
        <f t="shared" si="49"/>
        <v>36.1139965831807</v>
      </c>
      <c r="GC49" s="22">
        <f t="shared" si="25"/>
        <v>305.34098238237283</v>
      </c>
      <c r="GD49" s="62">
        <f t="shared" si="26"/>
        <v>557.69125578109845</v>
      </c>
      <c r="GE49" s="62">
        <f ca="1">AVERAGE(OFFSET($GD$3,0,0,'Données projet'!$E$17+1,1))-AVERAGE(OFFSET($H$3,0,0,'Données projet'!$E$17+1,1))</f>
        <v>273.24375559399846</v>
      </c>
      <c r="GF49" s="62">
        <f t="shared" si="50"/>
        <v>270.77718895097848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projet'!$B$17,Paramètres!$A$1:$I$88,3,0)*0.475*44/12</f>
        <v>23.376893875532108</v>
      </c>
      <c r="GM49" s="23">
        <f>EXP(-LN(2)/25)*GM48+(1-EXP(-LN(2)/25))/(LN(2)/25)*Calculateur!GH49*Calculateur!GJ49*VLOOKUP('Données projet'!$B$17,Paramètres!$A$1:$I$88,3,0)*0.475*44/12</f>
        <v>49.249384049673743</v>
      </c>
      <c r="GN49" s="23">
        <f>EXP(-LN(2)/2)*GN48+(1-EXP(-LN(2)/2))/(LN(2)/2)*GH49*GK49*VLOOKUP('Données projet'!$B$17,Paramètres!$A$1:$I$88,3,0)*0.475*44/12</f>
        <v>0</v>
      </c>
      <c r="GO49" s="23">
        <f t="shared" si="27"/>
        <v>72.626277925205855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18.714285714285715</v>
      </c>
      <c r="N50" s="14">
        <f>IF('Données projet'!$A$36&gt;35,N49+M50-V49,IF(A50&lt;'Données projet'!$A$36,$K$205^A50,IF(A50='Données projet'!$A$36,'Données projet'!$B$36,N49+M50-V49)))</f>
        <v>435.57142857142838</v>
      </c>
      <c r="O50" s="14">
        <f>N50*VLOOKUP('Données projet'!$B$9,Paramètres!$A$1:$I$88,3,0)*VLOOKUP('Données projet'!$B$9,Paramètres!$A$1:$I$88,5,0)</f>
        <v>243.48442857142848</v>
      </c>
      <c r="P50" s="14">
        <f t="shared" si="33"/>
        <v>59.188592189821975</v>
      </c>
      <c r="Q50" s="22">
        <f t="shared" si="53"/>
        <v>527.15551115917788</v>
      </c>
      <c r="R50" s="62">
        <f t="shared" si="0"/>
        <v>780.21674902337327</v>
      </c>
      <c r="S50" s="62">
        <f ca="1">AVERAGE(OFFSET($R$3,0,0,'Données projet'!$E$9+1,1))-AVERAGE(OFFSET($H$3,0,0,'Données projet'!$E$9+1,1))</f>
        <v>289.94242154211224</v>
      </c>
      <c r="T50" s="62">
        <f t="shared" si="34"/>
        <v>369.12599166143661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23.795338814735139</v>
      </c>
      <c r="AA50" s="23">
        <f>EXP(-LN(2)/25)*AA49+(1-EXP(-LN(2)/25))/(LN(2)/25)*Calculateur!V50*Calculateur!X50*VLOOKUP('Données projet'!$B$9,Paramètres!$A$1:$I$88,3,0)*0.475*44/12</f>
        <v>41.969811669099492</v>
      </c>
      <c r="AB50" s="23">
        <f>EXP(-LN(2)/2)*AB49+(1-EXP(-LN(2)/2))/(LN(2)/2)*V50*Y50*VLOOKUP('Données projet'!$B$9,Paramètres!$A$1:$I$88,3,0)*0.475*44/12</f>
        <v>0</v>
      </c>
      <c r="AC50" s="24">
        <f t="shared" si="3"/>
        <v>65.765150483834631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9.625</v>
      </c>
      <c r="AI50" s="14">
        <f>IF('Données projet'!$A$62&gt;35,AI49+AH50-AQ49,IF(A50&lt;'Données projet'!$A$62,$AF$205^A50,IF(A50='Données projet'!$A$62,'Données projet'!$B$62,AI49+AH50-AQ49)))</f>
        <v>137.25</v>
      </c>
      <c r="AJ50" s="14">
        <f>AI50*VLOOKUP('Données projet'!$B$10,Paramètres!$A$1:$I$88,3,0)*VLOOKUP('Données projet'!$B$10,Paramètres!$A$1:$I$88,5,0)</f>
        <v>124.18379999999999</v>
      </c>
      <c r="AK50" s="14">
        <f t="shared" si="35"/>
        <v>32.648847121304541</v>
      </c>
      <c r="AL50" s="22">
        <f t="shared" si="4"/>
        <v>273.15019373627206</v>
      </c>
      <c r="AM50" s="62">
        <f t="shared" si="5"/>
        <v>526.21143160046745</v>
      </c>
      <c r="AN50" s="62">
        <f ca="1">AVERAGE(OFFSET($AM$3,0,0,'Données projet'!$E$10+1,1))-AVERAGE(OFFSET($H$3,0,0,'Données projet'!$E$10+1,1))</f>
        <v>518.31628039365785</v>
      </c>
      <c r="AO50" s="62">
        <f t="shared" si="36"/>
        <v>66.435071953154761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2.583726033684703</v>
      </c>
      <c r="AV50" s="23">
        <f>EXP(-LN(2)/25)*AV49+(1-EXP(-LN(2)/25))/(LN(2)/25)*Calculateur!AQ50*Calculateur!AS50*VLOOKUP('Données projet'!$B$10,Paramètres!$A$1:$I$88,3,0)*0.475*44/12</f>
        <v>0</v>
      </c>
      <c r="AW50" s="23">
        <f>EXP(-LN(2)/2)*AW49+(1-EXP(-LN(2)/2))/(LN(2)/2)*AQ50*AT50*VLOOKUP('Données projet'!$B$10,Paramètres!$A$1:$I$88,3,0)*0.475*44/12</f>
        <v>0</v>
      </c>
      <c r="AX50" s="23">
        <f t="shared" si="6"/>
        <v>2.583726033684703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9.625</v>
      </c>
      <c r="BD50" s="13">
        <f>IF('Données projet'!$A$88&gt;35,BD49+BC50-BL49,IF(A50&lt;'Données projet'!$A$88,$BA$205^A50,IF(A50='Données projet'!$A$88,'Données projet'!$B$88,BD49+BC50-BL49)))</f>
        <v>137.25</v>
      </c>
      <c r="BE50" s="14">
        <f>BD50*VLOOKUP('Données projet'!$B$11,Paramètres!$A$1:$I$88,3,0)*VLOOKUP('Données projet'!$B$11,Paramètres!$A$1:$I$88,5,0)</f>
        <v>139.17150000000001</v>
      </c>
      <c r="BF50" s="14">
        <f t="shared" si="37"/>
        <v>36.107142264781352</v>
      </c>
      <c r="BG50" s="22">
        <f t="shared" si="7"/>
        <v>305.27696861116084</v>
      </c>
      <c r="BH50" s="62">
        <f t="shared" si="8"/>
        <v>558.33820647535617</v>
      </c>
      <c r="BI50" s="62">
        <f ca="1">AVERAGE(OFFSET($BH$3,0,0,'Données projet'!$E$11+1,1))-AVERAGE(OFFSET($H$3,0,0,'Données projet'!$E$11+1,1))</f>
        <v>570.2785736203931</v>
      </c>
      <c r="BJ50" s="62">
        <f t="shared" si="38"/>
        <v>67.677759965081719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2.8955550377500985</v>
      </c>
      <c r="BQ50" s="23">
        <f>EXP(-LN(2)/25)*BQ49+(1-EXP(-LN(2)/25))/(LN(2)/25)*Calculateur!BL50*Calculateur!BN50*VLOOKUP('Données projet'!$B$11,Paramètres!$A$1:$I$88,3,0)*0.475*44/12</f>
        <v>0</v>
      </c>
      <c r="BR50" s="23">
        <f>EXP(-LN(2)/2)*BR49+(1-EXP(-LN(2)/2))/(LN(2)/2)*BL50*BO50*VLOOKUP('Données projet'!$B$11,Paramètres!$A$1:$I$88,3,0)*0.475*44/12</f>
        <v>0</v>
      </c>
      <c r="BS50" s="24">
        <f t="shared" si="9"/>
        <v>2.8955550377500985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9.5374999999999943</v>
      </c>
      <c r="BY50" s="13">
        <f>IF('Données projet'!$A$114&gt;35,BY49+BX50-CG49,IF(A50&lt;'Données projet'!$A$114,$BV$205^A50,IF(A50='Données projet'!$A$114,'Données projet'!$B$114,BY49+BX50-CG49)))</f>
        <v>464.13749999999987</v>
      </c>
      <c r="BZ50" s="14">
        <f>BY50*VLOOKUP('Données projet'!$B$12,Paramètres!$A$1:$I$88,3,0)*VLOOKUP('Données projet'!$B$12,Paramètres!$A$1:$I$88,5,0)</f>
        <v>277.55422499999997</v>
      </c>
      <c r="CA50" s="14">
        <f t="shared" si="39"/>
        <v>66.44988269946505</v>
      </c>
      <c r="CB50" s="22">
        <f t="shared" si="10"/>
        <v>599.14048757656815</v>
      </c>
      <c r="CC50" s="62">
        <f t="shared" si="11"/>
        <v>852.20172544076354</v>
      </c>
      <c r="CD50" s="62">
        <f ca="1">AVERAGE(OFFSET($CC$3,0,0,'Données projet'!$E$12+1,1))-AVERAGE(OFFSET($H$3,0,0,'Données projet'!$E$12+1,1))</f>
        <v>401.1031790385295</v>
      </c>
      <c r="CE50" s="62">
        <f t="shared" si="40"/>
        <v>402.09589424130615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projet'!$B$12,Paramètres!$A$1:$I$88,3,0)*0.475*44/12</f>
        <v>21.121607025196091</v>
      </c>
      <c r="CL50" s="23">
        <f>EXP(-LN(2)/25)*CL49+(1-EXP(-LN(2)/25))/(LN(2)/25)*Calculateur!CG50*Calculateur!CI50*VLOOKUP('Données projet'!$B$12,Paramètres!$A$1:$I$88,3,0)*0.475*44/12</f>
        <v>0</v>
      </c>
      <c r="CM50" s="23">
        <f>EXP(-LN(2)/2)*CM49+(1-EXP(-LN(2)/2))/(LN(2)/2)*CG50*CJ50*VLOOKUP('Données projet'!$B$12,Paramètres!$A$1:$I$88,3,0)*0.475*44/12</f>
        <v>9.2740772579414514</v>
      </c>
      <c r="CN50" s="24">
        <f t="shared" si="12"/>
        <v>30.395684283137541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9.5374999999999943</v>
      </c>
      <c r="CT50" s="13">
        <f>IF('Données projet'!$A$140&gt;35,CT49+CS50-DB49,IF(A50&lt;'Données projet'!$A$140,$CQ$205^A50,IF(A50='Données projet'!$A$140,'Données projet'!$B$140,CT49+CS50-DB49)))</f>
        <v>464.13749999999987</v>
      </c>
      <c r="CU50" s="18">
        <f>CT50*VLOOKUP('Données projet'!$B$13,Paramètres!$A$1:$I$88,3,0)*VLOOKUP('Données projet'!$B$13,Paramètres!$A$1:$I$88,5,0)</f>
        <v>277.55422499999997</v>
      </c>
      <c r="CV50" s="14">
        <f t="shared" si="41"/>
        <v>66.44988269946505</v>
      </c>
      <c r="CW50" s="22">
        <f t="shared" si="13"/>
        <v>599.14048757656815</v>
      </c>
      <c r="CX50" s="62">
        <f t="shared" si="14"/>
        <v>852.20172544076354</v>
      </c>
      <c r="CY50" s="62">
        <f ca="1">AVERAGE(OFFSET($CX$3,0,0,'Données projet'!$E$13+1,1))-AVERAGE(OFFSET($H$3,0,0,'Données projet'!$E$13+1,1))</f>
        <v>401.1031790385295</v>
      </c>
      <c r="CZ50" s="62">
        <f t="shared" si="42"/>
        <v>402.09589424130615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projet'!$B$13,Paramètres!$A$1:$I$88,3,0)*0.475*44/12</f>
        <v>21.121607025196091</v>
      </c>
      <c r="DG50" s="23">
        <f>EXP(-LN(2)/25)*DG49+(1-EXP(-LN(2)/25))/(LN(2)/25)*Calculateur!DB50*Calculateur!DD50*VLOOKUP('Données projet'!$B$13,Paramètres!$A$1:$I$88,3,0)*0.475*44/12</f>
        <v>0</v>
      </c>
      <c r="DH50" s="23">
        <f>EXP(-LN(2)/2)*DH49+(1-EXP(-LN(2)/2))/(LN(2)/2)*DB50*DE50*VLOOKUP('Données projet'!$B$13,Paramètres!$A$1:$I$88,3,0)*0.475*44/12</f>
        <v>9.2740772579414514</v>
      </c>
      <c r="DI50" s="24">
        <f t="shared" si="15"/>
        <v>30.395684283137541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28.8</v>
      </c>
      <c r="DO50" s="13">
        <f>IF('Données projet'!$A$166&gt;35,DO49+DN50-DW49,IF(A50&lt;'Données projet'!$A$166,$DL$205^A50,IF(A50='Données projet'!$A$166,'Données projet'!$B$166,DO49+DN50-DW49)))</f>
        <v>531.59999999999991</v>
      </c>
      <c r="DP50" s="18">
        <f>DO50*VLOOKUP('Données projet'!$B$14,Paramètres!$A$1:$I$88,3,0)*VLOOKUP('Données projet'!$B$14,Paramètres!$A$1:$I$88,5,0)</f>
        <v>214.23479999999995</v>
      </c>
      <c r="DQ50" s="14">
        <f t="shared" si="43"/>
        <v>52.859918006081671</v>
      </c>
      <c r="DR50" s="22">
        <f t="shared" si="16"/>
        <v>465.18996719392544</v>
      </c>
      <c r="DS50" s="62">
        <f t="shared" si="17"/>
        <v>718.25120505812083</v>
      </c>
      <c r="DT50" s="62">
        <f ca="1">AVERAGE(OFFSET($DS$3,0,0,'Données projet'!$E$14+1,1))-AVERAGE(OFFSET($H$3,0,0,'Données projet'!$E$14+1,1))</f>
        <v>432.59662347701629</v>
      </c>
      <c r="DU50" s="62">
        <f t="shared" si="44"/>
        <v>348.67401091099748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projet'!$B$14,Paramètres!$A$1:$I$88,3,0)*0.475*44/12</f>
        <v>22.850571358901551</v>
      </c>
      <c r="EB50" s="23">
        <f>EXP(-LN(2)/25)*EB49+(1-EXP(-LN(2)/25))/(LN(2)/25)*Calculateur!DW50*Calculateur!DY50*VLOOKUP('Données projet'!$B$14,Paramètres!$A$1:$I$88,3,0)*0.475*44/12</f>
        <v>78.563294252659915</v>
      </c>
      <c r="EC50" s="23">
        <f>EXP(-LN(2)/2)*EC49+(1-EXP(-LN(2)/2))/(LN(2)/2)*DW50*DZ50*VLOOKUP('Données projet'!$B$14,Paramètres!$A$1:$I$88,3,0)*0.475*44/12</f>
        <v>0</v>
      </c>
      <c r="ED50" s="24">
        <f t="shared" si="18"/>
        <v>101.41386561156146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35.4</v>
      </c>
      <c r="EJ50" s="13">
        <f>IF('Données projet'!$A$192&gt;35,EJ49+EI50-ER49,IF(A50&lt;'Données projet'!$A$192,$EG$205^A50,IF(A50='Données projet'!$A$192,'Données projet'!$B$192,EJ49+EI50-ER49)))</f>
        <v>706.80000000000007</v>
      </c>
      <c r="EK50" s="18">
        <f>EJ50*VLOOKUP('Données projet'!$B$15,Paramètres!$A$1:$I$88,3,0)*VLOOKUP('Données projet'!$B$15,Paramètres!$A$1:$I$88,5,0)</f>
        <v>312.40560000000005</v>
      </c>
      <c r="EL50" s="14">
        <f t="shared" si="45"/>
        <v>73.77098895667821</v>
      </c>
      <c r="EM50" s="22">
        <f t="shared" si="19"/>
        <v>672.59089243288122</v>
      </c>
      <c r="EN50" s="62">
        <f t="shared" si="20"/>
        <v>925.65213029707661</v>
      </c>
      <c r="EO50" s="62">
        <f ca="1">AVERAGE(OFFSET($EN$3,0,0,'Données projet'!$E$15+1,1))-AVERAGE(OFFSET($H$3,0,0,'Données projet'!$E$15+1,1))</f>
        <v>582.26951914082088</v>
      </c>
      <c r="EP50" s="62">
        <f t="shared" si="46"/>
        <v>434.80429932654715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projet'!$B$15,Paramètres!$A$1:$I$88,3,0)*0.475*44/12</f>
        <v>29.821405551663183</v>
      </c>
      <c r="EW50" s="23">
        <f>EXP(-LN(2)/25)*EW49+(1-EXP(-LN(2)/25))/(LN(2)/25)*Calculateur!ER50*Calculateur!ET50*VLOOKUP('Données projet'!$B$15,Paramètres!$A$1:$I$88,3,0)*0.475*44/12</f>
        <v>79.268938848357905</v>
      </c>
      <c r="EX50" s="23">
        <f>EXP(-LN(2)/2)*EX49+(1-EXP(-LN(2)/2))/(LN(2)/2)*ER50*EU50*VLOOKUP('Données projet'!$B$15,Paramètres!$A$1:$I$88,3,0)*0.475*44/12</f>
        <v>0</v>
      </c>
      <c r="EY50" s="24">
        <f t="shared" si="21"/>
        <v>109.09034440002108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20.399999999999999</v>
      </c>
      <c r="FE50" s="13">
        <f>IF('Données projet'!$A$218&gt;35,FE49+FD50-FM49,IF(A50&lt;'Données projet'!$A$218,$FB$205^A50,IF(A50='Données projet'!$A$218,'Données projet'!$B$218,FE49+FD50-FM49)))</f>
        <v>318.79999999999984</v>
      </c>
      <c r="FF50" s="18">
        <f>FE50*VLOOKUP('Données projet'!$B$16,Paramètres!$A$1:$I$88,3,0)*VLOOKUP('Données projet'!$B$16,Paramètres!$A$1:$I$88,5,0)</f>
        <v>149.19839999999994</v>
      </c>
      <c r="FG50" s="14">
        <f t="shared" si="47"/>
        <v>38.396362373864498</v>
      </c>
      <c r="FH50" s="22">
        <f t="shared" si="22"/>
        <v>326.72754446781386</v>
      </c>
      <c r="FI50" s="62">
        <f t="shared" si="23"/>
        <v>579.7887823320093</v>
      </c>
      <c r="FJ50" s="62">
        <f ca="1">AVERAGE(OFFSET($FI$3,0,0,'Données projet'!$E$16+1,1))-AVERAGE(OFFSET($H$3,0,0,'Données projet'!$E$16+1,1))</f>
        <v>429.87867712133851</v>
      </c>
      <c r="FK50" s="62">
        <f t="shared" si="48"/>
        <v>182.81277865988014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projet'!$B$16,Paramètres!$A$1:$I$88,3,0)*0.475*44/12</f>
        <v>0</v>
      </c>
      <c r="FR50" s="23">
        <f>EXP(-LN(2)/25)*FR49+(1-EXP(-LN(2)/25))/(LN(2)/25)*Calculateur!FM50*Calculateur!FO50*VLOOKUP('Données projet'!$B$16,Paramètres!$A$1:$I$88,3,0)*0.475*44/12</f>
        <v>25.490393182503457</v>
      </c>
      <c r="FS50" s="23">
        <f>EXP(-LN(2)/2)*FS49+(1-EXP(-LN(2)/2))/(LN(2)/2)*FM50*FP50*VLOOKUP('Données projet'!$B$16,Paramètres!$A$1:$I$88,3,0)*0.475*44/12</f>
        <v>0</v>
      </c>
      <c r="FT50" s="24">
        <f t="shared" si="24"/>
        <v>25.490393182503457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19.399999999999999</v>
      </c>
      <c r="FZ50" s="13">
        <f>IF('Données projet'!$A$244&gt;35,FZ49+FY50-GH49,IF(A50&lt;'Données projet'!$A$244,$FW$205^A50,IF(A50='Données projet'!$A$244,'Données projet'!$B$244,FZ49+FY50-GH49)))</f>
        <v>308.79999999999973</v>
      </c>
      <c r="GA50" s="18">
        <f>FZ50*VLOOKUP('Données projet'!$B$17,Paramètres!$A$1:$I$88,3,0)*VLOOKUP('Données projet'!$B$17,Paramètres!$A$1:$I$88,5,0)</f>
        <v>148.53279999999987</v>
      </c>
      <c r="GB50" s="14">
        <f t="shared" si="49"/>
        <v>38.244968650620514</v>
      </c>
      <c r="GC50" s="22">
        <f t="shared" si="25"/>
        <v>325.30461373316376</v>
      </c>
      <c r="GD50" s="62">
        <f t="shared" si="26"/>
        <v>578.3658515973591</v>
      </c>
      <c r="GE50" s="62">
        <f ca="1">AVERAGE(OFFSET($GD$3,0,0,'Données projet'!$E$17+1,1))-AVERAGE(OFFSET($H$3,0,0,'Données projet'!$E$17+1,1))</f>
        <v>273.24375559399846</v>
      </c>
      <c r="GF50" s="62">
        <f t="shared" si="50"/>
        <v>270.77718895097848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projet'!$B$17,Paramètres!$A$1:$I$88,3,0)*0.475*44/12</f>
        <v>22.918487245130279</v>
      </c>
      <c r="GM50" s="23">
        <f>EXP(-LN(2)/25)*GM49+(1-EXP(-LN(2)/25))/(LN(2)/25)*Calculateur!GH50*Calculateur!GJ50*VLOOKUP('Données projet'!$B$17,Paramètres!$A$1:$I$88,3,0)*0.475*44/12</f>
        <v>47.902657052922869</v>
      </c>
      <c r="GN50" s="23">
        <f>EXP(-LN(2)/2)*GN49+(1-EXP(-LN(2)/2))/(LN(2)/2)*GH50*GK50*VLOOKUP('Données projet'!$B$17,Paramètres!$A$1:$I$88,3,0)*0.475*44/12</f>
        <v>0</v>
      </c>
      <c r="GO50" s="23">
        <f t="shared" si="27"/>
        <v>70.821144298053156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18.714285714285715</v>
      </c>
      <c r="N51" s="14">
        <f>IF('Données projet'!$A$36&gt;35,N50+M51-V50,IF(A51&lt;'Données projet'!$A$36,$K$205^A51,IF(A51='Données projet'!$A$36,'Données projet'!$B$36,N50+M51-V50)))</f>
        <v>454.28571428571411</v>
      </c>
      <c r="O51" s="14">
        <f>N51*VLOOKUP('Données projet'!$B$9,Paramètres!$A$1:$I$88,3,0)*VLOOKUP('Données projet'!$B$9,Paramètres!$A$1:$I$88,5,0)</f>
        <v>253.94571428571419</v>
      </c>
      <c r="P51" s="14">
        <f t="shared" si="33"/>
        <v>61.430084594341928</v>
      </c>
      <c r="Q51" s="22">
        <f t="shared" si="53"/>
        <v>549.27951638276431</v>
      </c>
      <c r="R51" s="62">
        <f t="shared" si="0"/>
        <v>803.03938506843201</v>
      </c>
      <c r="S51" s="62">
        <f ca="1">AVERAGE(OFFSET($R$3,0,0,'Données projet'!$E$9+1,1))-AVERAGE(OFFSET($H$3,0,0,'Données projet'!$E$9+1,1))</f>
        <v>289.94242154211224</v>
      </c>
      <c r="T51" s="62">
        <f t="shared" si="34"/>
        <v>369.12599166143661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23.32872673430175</v>
      </c>
      <c r="AA51" s="23">
        <f>EXP(-LN(2)/25)*AA50+(1-EXP(-LN(2)/25))/(LN(2)/25)*Calculateur!V51*Calculateur!X51*VLOOKUP('Données projet'!$B$9,Paramètres!$A$1:$I$88,3,0)*0.475*44/12</f>
        <v>40.822144961911498</v>
      </c>
      <c r="AB51" s="23">
        <f>EXP(-LN(2)/2)*AB50+(1-EXP(-LN(2)/2))/(LN(2)/2)*V51*Y51*VLOOKUP('Données projet'!$B$9,Paramètres!$A$1:$I$88,3,0)*0.475*44/12</f>
        <v>0</v>
      </c>
      <c r="AC51" s="24">
        <f t="shared" si="3"/>
        <v>64.150871696213244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9.625</v>
      </c>
      <c r="AI51" s="14">
        <f>IF('Données projet'!$A$62&gt;35,AI50+AH51-AQ50,IF(A51&lt;'Données projet'!$A$62,$AF$205^A51,IF(A51='Données projet'!$A$62,'Données projet'!$B$62,AI50+AH51-AQ50)))</f>
        <v>146.875</v>
      </c>
      <c r="AJ51" s="14">
        <f>AI51*VLOOKUP('Données projet'!$B$10,Paramètres!$A$1:$I$88,3,0)*VLOOKUP('Données projet'!$B$10,Paramètres!$A$1:$I$88,5,0)</f>
        <v>132.89250000000001</v>
      </c>
      <c r="AK51" s="14">
        <f t="shared" si="35"/>
        <v>34.663872731530624</v>
      </c>
      <c r="AL51" s="22">
        <f t="shared" si="4"/>
        <v>291.82734917408254</v>
      </c>
      <c r="AM51" s="62">
        <f t="shared" si="5"/>
        <v>545.58721785975024</v>
      </c>
      <c r="AN51" s="62">
        <f ca="1">AVERAGE(OFFSET($AM$3,0,0,'Données projet'!$E$10+1,1))-AVERAGE(OFFSET($H$3,0,0,'Données projet'!$E$10+1,1))</f>
        <v>518.31628039365785</v>
      </c>
      <c r="AO51" s="62">
        <f t="shared" si="36"/>
        <v>66.435071953154761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2.5330607420814175</v>
      </c>
      <c r="AV51" s="23">
        <f>EXP(-LN(2)/25)*AV50+(1-EXP(-LN(2)/25))/(LN(2)/25)*Calculateur!AQ51*Calculateur!AS51*VLOOKUP('Données projet'!$B$10,Paramètres!$A$1:$I$88,3,0)*0.475*44/12</f>
        <v>0</v>
      </c>
      <c r="AW51" s="23">
        <f>EXP(-LN(2)/2)*AW50+(1-EXP(-LN(2)/2))/(LN(2)/2)*AQ51*AT51*VLOOKUP('Données projet'!$B$10,Paramètres!$A$1:$I$88,3,0)*0.475*44/12</f>
        <v>0</v>
      </c>
      <c r="AX51" s="23">
        <f t="shared" si="6"/>
        <v>2.5330607420814175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9.625</v>
      </c>
      <c r="BD51" s="13">
        <f>IF('Données projet'!$A$88&gt;35,BD50+BC51-BL50,IF(A51&lt;'Données projet'!$A$88,$BA$205^A51,IF(A51='Données projet'!$A$88,'Données projet'!$B$88,BD50+BC51-BL50)))</f>
        <v>146.875</v>
      </c>
      <c r="BE51" s="14">
        <f>BD51*VLOOKUP('Données projet'!$B$11,Paramètres!$A$1:$I$88,3,0)*VLOOKUP('Données projet'!$B$11,Paramètres!$A$1:$I$88,5,0)</f>
        <v>148.93125000000001</v>
      </c>
      <c r="BF51" s="14">
        <f t="shared" si="37"/>
        <v>38.335607365104401</v>
      </c>
      <c r="BG51" s="22">
        <f t="shared" si="7"/>
        <v>326.15644324422351</v>
      </c>
      <c r="BH51" s="62">
        <f t="shared" si="8"/>
        <v>579.91631192989121</v>
      </c>
      <c r="BI51" s="62">
        <f ca="1">AVERAGE(OFFSET($BH$3,0,0,'Données projet'!$E$11+1,1))-AVERAGE(OFFSET($H$3,0,0,'Données projet'!$E$11+1,1))</f>
        <v>570.2785736203931</v>
      </c>
      <c r="BJ51" s="62">
        <f t="shared" si="38"/>
        <v>67.677759965081719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2.8387749695740028</v>
      </c>
      <c r="BQ51" s="23">
        <f>EXP(-LN(2)/25)*BQ50+(1-EXP(-LN(2)/25))/(LN(2)/25)*Calculateur!BL51*Calculateur!BN51*VLOOKUP('Données projet'!$B$11,Paramètres!$A$1:$I$88,3,0)*0.475*44/12</f>
        <v>0</v>
      </c>
      <c r="BR51" s="23">
        <f>EXP(-LN(2)/2)*BR50+(1-EXP(-LN(2)/2))/(LN(2)/2)*BL51*BO51*VLOOKUP('Données projet'!$B$11,Paramètres!$A$1:$I$88,3,0)*0.475*44/12</f>
        <v>0</v>
      </c>
      <c r="BS51" s="24">
        <f t="shared" si="9"/>
        <v>2.8387749695740028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9.5374999999999943</v>
      </c>
      <c r="BY51" s="13">
        <f>IF('Données projet'!$A$114&gt;35,BY50+BX51-CG50,IF(A51&lt;'Données projet'!$A$114,$BV$205^A51,IF(A51='Données projet'!$A$114,'Données projet'!$B$114,BY50+BX51-CG50)))</f>
        <v>473.67499999999984</v>
      </c>
      <c r="BZ51" s="14">
        <f>BY51*VLOOKUP('Données projet'!$B$12,Paramètres!$A$1:$I$88,3,0)*VLOOKUP('Données projet'!$B$12,Paramètres!$A$1:$I$88,5,0)</f>
        <v>283.25764999999996</v>
      </c>
      <c r="CA51" s="14">
        <f t="shared" si="39"/>
        <v>67.654979821211583</v>
      </c>
      <c r="CB51" s="22">
        <f t="shared" si="10"/>
        <v>611.17283027194344</v>
      </c>
      <c r="CC51" s="62">
        <f t="shared" si="11"/>
        <v>864.93269895761114</v>
      </c>
      <c r="CD51" s="62">
        <f ca="1">AVERAGE(OFFSET($CC$3,0,0,'Données projet'!$E$12+1,1))-AVERAGE(OFFSET($H$3,0,0,'Données projet'!$E$12+1,1))</f>
        <v>401.1031790385295</v>
      </c>
      <c r="CE51" s="62">
        <f t="shared" si="40"/>
        <v>402.09589424130615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projet'!$B$12,Paramètres!$A$1:$I$88,3,0)*0.475*44/12</f>
        <v>20.7074251943402</v>
      </c>
      <c r="CL51" s="23">
        <f>EXP(-LN(2)/25)*CL50+(1-EXP(-LN(2)/25))/(LN(2)/25)*Calculateur!CG51*Calculateur!CI51*VLOOKUP('Données projet'!$B$12,Paramètres!$A$1:$I$88,3,0)*0.475*44/12</f>
        <v>0</v>
      </c>
      <c r="CM51" s="23">
        <f>EXP(-LN(2)/2)*CM50+(1-EXP(-LN(2)/2))/(LN(2)/2)*CG51*CJ51*VLOOKUP('Données projet'!$B$12,Paramètres!$A$1:$I$88,3,0)*0.475*44/12</f>
        <v>6.5577629183383426</v>
      </c>
      <c r="CN51" s="24">
        <f t="shared" si="12"/>
        <v>27.265188112678544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9.5374999999999943</v>
      </c>
      <c r="CT51" s="13">
        <f>IF('Données projet'!$A$140&gt;35,CT50+CS51-DB50,IF(A51&lt;'Données projet'!$A$140,$CQ$205^A51,IF(A51='Données projet'!$A$140,'Données projet'!$B$140,CT50+CS51-DB50)))</f>
        <v>473.67499999999984</v>
      </c>
      <c r="CU51" s="18">
        <f>CT51*VLOOKUP('Données projet'!$B$13,Paramètres!$A$1:$I$88,3,0)*VLOOKUP('Données projet'!$B$13,Paramètres!$A$1:$I$88,5,0)</f>
        <v>283.25764999999996</v>
      </c>
      <c r="CV51" s="14">
        <f t="shared" si="41"/>
        <v>67.654979821211583</v>
      </c>
      <c r="CW51" s="22">
        <f t="shared" si="13"/>
        <v>611.17283027194344</v>
      </c>
      <c r="CX51" s="62">
        <f t="shared" si="14"/>
        <v>864.93269895761114</v>
      </c>
      <c r="CY51" s="62">
        <f ca="1">AVERAGE(OFFSET($CX$3,0,0,'Données projet'!$E$13+1,1))-AVERAGE(OFFSET($H$3,0,0,'Données projet'!$E$13+1,1))</f>
        <v>401.1031790385295</v>
      </c>
      <c r="CZ51" s="62">
        <f t="shared" si="42"/>
        <v>402.09589424130615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projet'!$B$13,Paramètres!$A$1:$I$88,3,0)*0.475*44/12</f>
        <v>20.7074251943402</v>
      </c>
      <c r="DG51" s="23">
        <f>EXP(-LN(2)/25)*DG50+(1-EXP(-LN(2)/25))/(LN(2)/25)*Calculateur!DB51*Calculateur!DD51*VLOOKUP('Données projet'!$B$13,Paramètres!$A$1:$I$88,3,0)*0.475*44/12</f>
        <v>0</v>
      </c>
      <c r="DH51" s="23">
        <f>EXP(-LN(2)/2)*DH50+(1-EXP(-LN(2)/2))/(LN(2)/2)*DB51*DE51*VLOOKUP('Données projet'!$B$13,Paramètres!$A$1:$I$88,3,0)*0.475*44/12</f>
        <v>6.5577629183383426</v>
      </c>
      <c r="DI51" s="24">
        <f t="shared" si="15"/>
        <v>27.265188112678544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28.8</v>
      </c>
      <c r="DO51" s="13">
        <f>IF('Données projet'!$A$166&gt;35,DO50+DN51-DW50,IF(A51&lt;'Données projet'!$A$166,$DL$205^A51,IF(A51='Données projet'!$A$166,'Données projet'!$B$166,DO50+DN51-DW50)))</f>
        <v>560.39999999999986</v>
      </c>
      <c r="DP51" s="18">
        <f>DO51*VLOOKUP('Données projet'!$B$14,Paramètres!$A$1:$I$88,3,0)*VLOOKUP('Données projet'!$B$14,Paramètres!$A$1:$I$88,5,0)</f>
        <v>225.84119999999996</v>
      </c>
      <c r="DQ51" s="14">
        <f t="shared" si="43"/>
        <v>55.382498998249922</v>
      </c>
      <c r="DR51" s="22">
        <f t="shared" si="16"/>
        <v>489.7979424219518</v>
      </c>
      <c r="DS51" s="62">
        <f t="shared" si="17"/>
        <v>743.5578111076195</v>
      </c>
      <c r="DT51" s="62">
        <f ca="1">AVERAGE(OFFSET($DS$3,0,0,'Données projet'!$E$14+1,1))-AVERAGE(OFFSET($H$3,0,0,'Données projet'!$E$14+1,1))</f>
        <v>432.59662347701629</v>
      </c>
      <c r="DU51" s="62">
        <f t="shared" si="44"/>
        <v>348.67401091099748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projet'!$B$14,Paramètres!$A$1:$I$88,3,0)*0.475*44/12</f>
        <v>22.402485592025808</v>
      </c>
      <c r="EB51" s="23">
        <f>EXP(-LN(2)/25)*EB50+(1-EXP(-LN(2)/25))/(LN(2)/25)*Calculateur!DW51*Calculateur!DY51*VLOOKUP('Données projet'!$B$14,Paramètres!$A$1:$I$88,3,0)*0.475*44/12</f>
        <v>76.414976839856848</v>
      </c>
      <c r="EC51" s="23">
        <f>EXP(-LN(2)/2)*EC50+(1-EXP(-LN(2)/2))/(LN(2)/2)*DW51*DZ51*VLOOKUP('Données projet'!$B$14,Paramètres!$A$1:$I$88,3,0)*0.475*44/12</f>
        <v>0</v>
      </c>
      <c r="ED51" s="24">
        <f t="shared" si="18"/>
        <v>98.81746243188266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35.4</v>
      </c>
      <c r="EJ51" s="13">
        <f>IF('Données projet'!$A$192&gt;35,EJ50+EI51-ER50,IF(A51&lt;'Données projet'!$A$192,$EG$205^A51,IF(A51='Données projet'!$A$192,'Données projet'!$B$192,EJ50+EI51-ER50)))</f>
        <v>742.2</v>
      </c>
      <c r="EK51" s="18">
        <f>EJ51*VLOOKUP('Données projet'!$B$15,Paramètres!$A$1:$I$88,3,0)*VLOOKUP('Données projet'!$B$15,Paramètres!$A$1:$I$88,5,0)</f>
        <v>328.05240000000009</v>
      </c>
      <c r="EL51" s="14">
        <f t="shared" si="45"/>
        <v>77.026381001221225</v>
      </c>
      <c r="EM51" s="22">
        <f t="shared" si="19"/>
        <v>705.51221024379367</v>
      </c>
      <c r="EN51" s="62">
        <f t="shared" si="20"/>
        <v>959.27207892946137</v>
      </c>
      <c r="EO51" s="62">
        <f ca="1">AVERAGE(OFFSET($EN$3,0,0,'Données projet'!$E$15+1,1))-AVERAGE(OFFSET($H$3,0,0,'Données projet'!$E$15+1,1))</f>
        <v>582.26951914082088</v>
      </c>
      <c r="EP51" s="62">
        <f t="shared" si="46"/>
        <v>434.80429932654715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projet'!$B$15,Paramètres!$A$1:$I$88,3,0)*0.475*44/12</f>
        <v>29.236625978056413</v>
      </c>
      <c r="EW51" s="23">
        <f>EXP(-LN(2)/25)*EW50+(1-EXP(-LN(2)/25))/(LN(2)/25)*Calculateur!ER51*Calculateur!ET51*VLOOKUP('Données projet'!$B$15,Paramètres!$A$1:$I$88,3,0)*0.475*44/12</f>
        <v>77.101325546977236</v>
      </c>
      <c r="EX51" s="23">
        <f>EXP(-LN(2)/2)*EX50+(1-EXP(-LN(2)/2))/(LN(2)/2)*ER51*EU51*VLOOKUP('Données projet'!$B$15,Paramètres!$A$1:$I$88,3,0)*0.475*44/12</f>
        <v>0</v>
      </c>
      <c r="EY51" s="24">
        <f t="shared" si="21"/>
        <v>106.33795152503365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20.399999999999999</v>
      </c>
      <c r="FE51" s="13">
        <f>IF('Données projet'!$A$218&gt;35,FE50+FD51-FM50,IF(A51&lt;'Données projet'!$A$218,$FB$205^A51,IF(A51='Données projet'!$A$218,'Données projet'!$B$218,FE50+FD51-FM50)))</f>
        <v>339.19999999999982</v>
      </c>
      <c r="FF51" s="18">
        <f>FE51*VLOOKUP('Données projet'!$B$16,Paramètres!$A$1:$I$88,3,0)*VLOOKUP('Données projet'!$B$16,Paramètres!$A$1:$I$88,5,0)</f>
        <v>158.74559999999991</v>
      </c>
      <c r="FG51" s="14">
        <f t="shared" si="47"/>
        <v>40.559452507902058</v>
      </c>
      <c r="FH51" s="22">
        <f t="shared" si="22"/>
        <v>347.12296645126258</v>
      </c>
      <c r="FI51" s="62">
        <f t="shared" si="23"/>
        <v>600.88283513693023</v>
      </c>
      <c r="FJ51" s="62">
        <f ca="1">AVERAGE(OFFSET($FI$3,0,0,'Données projet'!$E$16+1,1))-AVERAGE(OFFSET($H$3,0,0,'Données projet'!$E$16+1,1))</f>
        <v>429.87867712133851</v>
      </c>
      <c r="FK51" s="62">
        <f t="shared" si="48"/>
        <v>182.81277865988014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projet'!$B$16,Paramètres!$A$1:$I$88,3,0)*0.475*44/12</f>
        <v>0</v>
      </c>
      <c r="FR51" s="23">
        <f>EXP(-LN(2)/25)*FR50+(1-EXP(-LN(2)/25))/(LN(2)/25)*Calculateur!FM51*Calculateur!FO51*VLOOKUP('Données projet'!$B$16,Paramètres!$A$1:$I$88,3,0)*0.475*44/12</f>
        <v>24.793357040446381</v>
      </c>
      <c r="FS51" s="23">
        <f>EXP(-LN(2)/2)*FS50+(1-EXP(-LN(2)/2))/(LN(2)/2)*FM51*FP51*VLOOKUP('Données projet'!$B$16,Paramètres!$A$1:$I$88,3,0)*0.475*44/12</f>
        <v>0</v>
      </c>
      <c r="FT51" s="24">
        <f t="shared" si="24"/>
        <v>24.793357040446381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19.399999999999999</v>
      </c>
      <c r="FZ51" s="13">
        <f>IF('Données projet'!$A$244&gt;35,FZ50+FY51-GH50,IF(A51&lt;'Données projet'!$A$244,$FW$205^A51,IF(A51='Données projet'!$A$244,'Données projet'!$B$244,FZ50+FY51-GH50)))</f>
        <v>328.1999999999997</v>
      </c>
      <c r="GA51" s="18">
        <f>FZ51*VLOOKUP('Données projet'!$B$17,Paramètres!$A$1:$I$88,3,0)*VLOOKUP('Données projet'!$B$17,Paramètres!$A$1:$I$88,5,0)</f>
        <v>157.86419999999984</v>
      </c>
      <c r="GB51" s="14">
        <f t="shared" si="49"/>
        <v>40.360403623484046</v>
      </c>
      <c r="GC51" s="22">
        <f t="shared" si="25"/>
        <v>345.24118464423441</v>
      </c>
      <c r="GD51" s="62">
        <f t="shared" si="26"/>
        <v>599.00105332990211</v>
      </c>
      <c r="GE51" s="62">
        <f ca="1">AVERAGE(OFFSET($GD$3,0,0,'Données projet'!$E$17+1,1))-AVERAGE(OFFSET($H$3,0,0,'Données projet'!$E$17+1,1))</f>
        <v>273.24375559399846</v>
      </c>
      <c r="GF51" s="62">
        <f t="shared" si="50"/>
        <v>270.77718895097848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projet'!$B$17,Paramètres!$A$1:$I$88,3,0)*0.475*44/12</f>
        <v>22.469069689150192</v>
      </c>
      <c r="GM51" s="23">
        <f>EXP(-LN(2)/25)*GM50+(1-EXP(-LN(2)/25))/(LN(2)/25)*Calculateur!GH51*Calculateur!GJ51*VLOOKUP('Données projet'!$B$17,Paramètres!$A$1:$I$88,3,0)*0.475*44/12</f>
        <v>46.592756376719443</v>
      </c>
      <c r="GN51" s="23">
        <f>EXP(-LN(2)/2)*GN50+(1-EXP(-LN(2)/2))/(LN(2)/2)*GH51*GK51*VLOOKUP('Données projet'!$B$17,Paramètres!$A$1:$I$88,3,0)*0.475*44/12</f>
        <v>0</v>
      </c>
      <c r="GO51" s="23">
        <f t="shared" si="27"/>
        <v>69.061826065869639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473</v>
      </c>
      <c r="L52" s="13">
        <f>VLOOKUP(A52,'Données projet'!$A$35:$I$55,9,0)</f>
        <v>18.714285714285715</v>
      </c>
      <c r="M52" s="13">
        <f t="array" ref="M52">INDEX(L:L,MIN(IF(ISNUMBER(L52:L248),ROW(L52:L248),"")))</f>
        <v>18.714285714285715</v>
      </c>
      <c r="N52" s="14">
        <f>IF('Données projet'!$A$36&gt;35,N51+M52-V51,IF(A52&lt;'Données projet'!$A$36,$K$205^A52,IF(A52='Données projet'!$A$36,'Données projet'!$B$36,N51+M52-V51)))</f>
        <v>472.99999999999983</v>
      </c>
      <c r="O52" s="14">
        <f>N52*VLOOKUP('Données projet'!$B$9,Paramètres!$A$1:$I$88,3,0)*VLOOKUP('Données projet'!$B$9,Paramètres!$A$1:$I$88,5,0)</f>
        <v>264.40699999999993</v>
      </c>
      <c r="P52" s="14">
        <f t="shared" si="33"/>
        <v>63.660851355620842</v>
      </c>
      <c r="Q52" s="22">
        <f t="shared" si="53"/>
        <v>571.38484111103946</v>
      </c>
      <c r="R52" s="62">
        <f t="shared" si="0"/>
        <v>825.83122093533143</v>
      </c>
      <c r="S52" s="62">
        <f ca="1">AVERAGE(OFFSET($R$3,0,0,'Données projet'!$E$9+1,1))-AVERAGE(OFFSET($H$3,0,0,'Données projet'!$E$9+1,1))</f>
        <v>289.94242154211224</v>
      </c>
      <c r="T52" s="62">
        <f t="shared" si="34"/>
        <v>369.12599166143661</v>
      </c>
      <c r="U52" s="16">
        <f>IF(ISNA(VLOOKUP(A52,'Données projet'!$A$35:$I$55,3,0)),0,VLOOKUP(A52,'Données projet'!$A$35:$I$55,3,0))</f>
        <v>4</v>
      </c>
      <c r="V52" s="16">
        <f>IF(ISNA(VLOOKUP(A52,'Données projet'!$A$35:$I$55,4,0)),0,VLOOKUP(A52,'Données projet'!$A$35:$I$55,4,0))</f>
        <v>80</v>
      </c>
      <c r="W52" s="17">
        <f>IF(ISNA(VLOOKUP(A52,'Données projet'!$A$35:$I$55,5,0)),0%,VLOOKUP(A52,'Données projet'!$A$35:$I$55,5,0)*VLOOKUP('Données projet'!$B$9,Paramètres!$A$1:$I$88,7,0))</f>
        <v>0.22000000000000003</v>
      </c>
      <c r="X52" s="17">
        <f>IF(ISNA(VLOOKUP(A52,'Données projet'!$A$35:$I$55,6,0)),0%,VLOOKUP(A52,'Données projet'!$A$35:$I$55,6,0)*VLOOKUP('Données projet'!$B$9,Paramètres!$A$1:$I$88,7,0))</f>
        <v>0.33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35.922536370556763</v>
      </c>
      <c r="AA52" s="23">
        <f>EXP(-LN(2)/25)*AA51+(1-EXP(-LN(2)/25))/(LN(2)/25)*Calculateur!V52*Calculateur!X52*VLOOKUP('Données projet'!$B$9,Paramètres!$A$1:$I$88,3,0)*0.475*44/12</f>
        <v>59.205687124141576</v>
      </c>
      <c r="AB52" s="23">
        <f>EXP(-LN(2)/2)*AB51+(1-EXP(-LN(2)/2))/(LN(2)/2)*V52*Y52*VLOOKUP('Données projet'!$B$9,Paramètres!$A$1:$I$88,3,0)*0.475*44/12</f>
        <v>0</v>
      </c>
      <c r="AC52" s="24">
        <f t="shared" si="3"/>
        <v>95.128223494698346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9.625</v>
      </c>
      <c r="AI52" s="14">
        <f>IF('Données projet'!$A$62&gt;35,AI51+AH52-AQ51,IF(A52&lt;'Données projet'!$A$62,$AF$205^A52,IF(A52='Données projet'!$A$62,'Données projet'!$B$62,AI51+AH52-AQ51)))</f>
        <v>156.5</v>
      </c>
      <c r="AJ52" s="14">
        <f>AI52*VLOOKUP('Données projet'!$B$10,Paramètres!$A$1:$I$88,3,0)*VLOOKUP('Données projet'!$B$10,Paramètres!$A$1:$I$88,5,0)</f>
        <v>141.60120000000001</v>
      </c>
      <c r="AK52" s="14">
        <f t="shared" si="35"/>
        <v>36.66357479752002</v>
      </c>
      <c r="AL52" s="22">
        <f t="shared" si="4"/>
        <v>310.47781610568069</v>
      </c>
      <c r="AM52" s="62">
        <f t="shared" si="5"/>
        <v>564.92419592997271</v>
      </c>
      <c r="AN52" s="62">
        <f ca="1">AVERAGE(OFFSET($AM$3,0,0,'Données projet'!$E$10+1,1))-AVERAGE(OFFSET($H$3,0,0,'Données projet'!$E$10+1,1))</f>
        <v>518.31628039365785</v>
      </c>
      <c r="AO52" s="62">
        <f t="shared" si="36"/>
        <v>66.435071953154761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2.4833889659436963</v>
      </c>
      <c r="AV52" s="23">
        <f>EXP(-LN(2)/25)*AV51+(1-EXP(-LN(2)/25))/(LN(2)/25)*Calculateur!AQ52*Calculateur!AS52*VLOOKUP('Données projet'!$B$10,Paramètres!$A$1:$I$88,3,0)*0.475*44/12</f>
        <v>0</v>
      </c>
      <c r="AW52" s="23">
        <f>EXP(-LN(2)/2)*AW51+(1-EXP(-LN(2)/2))/(LN(2)/2)*AQ52*AT52*VLOOKUP('Données projet'!$B$10,Paramètres!$A$1:$I$88,3,0)*0.475*44/12</f>
        <v>0</v>
      </c>
      <c r="AX52" s="23">
        <f t="shared" si="6"/>
        <v>2.4833889659436963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9.625</v>
      </c>
      <c r="BD52" s="13">
        <f>IF('Données projet'!$A$88&gt;35,BD51+BC52-BL51,IF(A52&lt;'Données projet'!$A$88,$BA$205^A52,IF(A52='Données projet'!$A$88,'Données projet'!$B$88,BD51+BC52-BL51)))</f>
        <v>156.5</v>
      </c>
      <c r="BE52" s="14">
        <f>BD52*VLOOKUP('Données projet'!$B$11,Paramètres!$A$1:$I$88,3,0)*VLOOKUP('Données projet'!$B$11,Paramètres!$A$1:$I$88,5,0)</f>
        <v>158.69100000000003</v>
      </c>
      <c r="BF52" s="14">
        <f t="shared" si="37"/>
        <v>40.547125790719562</v>
      </c>
      <c r="BG52" s="22">
        <f t="shared" si="7"/>
        <v>347.00640241883661</v>
      </c>
      <c r="BH52" s="62">
        <f t="shared" si="8"/>
        <v>601.45278224312858</v>
      </c>
      <c r="BI52" s="62">
        <f ca="1">AVERAGE(OFFSET($BH$3,0,0,'Données projet'!$E$11+1,1))-AVERAGE(OFFSET($H$3,0,0,'Données projet'!$E$11+1,1))</f>
        <v>570.2785736203931</v>
      </c>
      <c r="BJ52" s="62">
        <f t="shared" si="38"/>
        <v>67.677759965081719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2.7831083239024186</v>
      </c>
      <c r="BQ52" s="23">
        <f>EXP(-LN(2)/25)*BQ51+(1-EXP(-LN(2)/25))/(LN(2)/25)*Calculateur!BL52*Calculateur!BN52*VLOOKUP('Données projet'!$B$11,Paramètres!$A$1:$I$88,3,0)*0.475*44/12</f>
        <v>0</v>
      </c>
      <c r="BR52" s="23">
        <f>EXP(-LN(2)/2)*BR51+(1-EXP(-LN(2)/2))/(LN(2)/2)*BL52*BO52*VLOOKUP('Données projet'!$B$11,Paramètres!$A$1:$I$88,3,0)*0.475*44/12</f>
        <v>0</v>
      </c>
      <c r="BS52" s="24">
        <f t="shared" si="9"/>
        <v>2.7831083239024186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9.5374999999999943</v>
      </c>
      <c r="BY52" s="13">
        <f>IF('Données projet'!$A$114&gt;35,BY51+BX52-CG51,IF(A52&lt;'Données projet'!$A$114,$BV$205^A52,IF(A52='Données projet'!$A$114,'Données projet'!$B$114,BY51+BX52-CG51)))</f>
        <v>483.21249999999986</v>
      </c>
      <c r="BZ52" s="14">
        <f>BY52*VLOOKUP('Données projet'!$B$12,Paramètres!$A$1:$I$88,3,0)*VLOOKUP('Données projet'!$B$12,Paramètres!$A$1:$I$88,5,0)</f>
        <v>288.96107499999994</v>
      </c>
      <c r="CA52" s="14">
        <f t="shared" si="39"/>
        <v>68.857255629741545</v>
      </c>
      <c r="CB52" s="22">
        <f t="shared" si="10"/>
        <v>623.200259180133</v>
      </c>
      <c r="CC52" s="62">
        <f t="shared" si="11"/>
        <v>877.64663900442497</v>
      </c>
      <c r="CD52" s="62">
        <f ca="1">AVERAGE(OFFSET($CC$3,0,0,'Données projet'!$E$12+1,1))-AVERAGE(OFFSET($H$3,0,0,'Données projet'!$E$12+1,1))</f>
        <v>401.1031790385295</v>
      </c>
      <c r="CE52" s="62">
        <f t="shared" si="40"/>
        <v>402.09589424130615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projet'!$B$12,Paramètres!$A$1:$I$88,3,0)*0.475*44/12</f>
        <v>20.301365216561422</v>
      </c>
      <c r="CL52" s="23">
        <f>EXP(-LN(2)/25)*CL51+(1-EXP(-LN(2)/25))/(LN(2)/25)*Calculateur!CG52*Calculateur!CI52*VLOOKUP('Données projet'!$B$12,Paramètres!$A$1:$I$88,3,0)*0.475*44/12</f>
        <v>0</v>
      </c>
      <c r="CM52" s="23">
        <f>EXP(-LN(2)/2)*CM51+(1-EXP(-LN(2)/2))/(LN(2)/2)*CG52*CJ52*VLOOKUP('Données projet'!$B$12,Paramètres!$A$1:$I$88,3,0)*0.475*44/12</f>
        <v>4.6370386289707257</v>
      </c>
      <c r="CN52" s="24">
        <f t="shared" si="12"/>
        <v>24.938403845532147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9.5374999999999943</v>
      </c>
      <c r="CT52" s="13">
        <f>IF('Données projet'!$A$140&gt;35,CT51+CS52-DB51,IF(A52&lt;'Données projet'!$A$140,$CQ$205^A52,IF(A52='Données projet'!$A$140,'Données projet'!$B$140,CT51+CS52-DB51)))</f>
        <v>483.21249999999986</v>
      </c>
      <c r="CU52" s="18">
        <f>CT52*VLOOKUP('Données projet'!$B$13,Paramètres!$A$1:$I$88,3,0)*VLOOKUP('Données projet'!$B$13,Paramètres!$A$1:$I$88,5,0)</f>
        <v>288.96107499999994</v>
      </c>
      <c r="CV52" s="14">
        <f t="shared" si="41"/>
        <v>68.857255629741545</v>
      </c>
      <c r="CW52" s="22">
        <f t="shared" si="13"/>
        <v>623.200259180133</v>
      </c>
      <c r="CX52" s="62">
        <f t="shared" si="14"/>
        <v>877.64663900442497</v>
      </c>
      <c r="CY52" s="62">
        <f ca="1">AVERAGE(OFFSET($CX$3,0,0,'Données projet'!$E$13+1,1))-AVERAGE(OFFSET($H$3,0,0,'Données projet'!$E$13+1,1))</f>
        <v>401.1031790385295</v>
      </c>
      <c r="CZ52" s="62">
        <f t="shared" si="42"/>
        <v>402.09589424130615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projet'!$B$13,Paramètres!$A$1:$I$88,3,0)*0.475*44/12</f>
        <v>20.301365216561422</v>
      </c>
      <c r="DG52" s="23">
        <f>EXP(-LN(2)/25)*DG51+(1-EXP(-LN(2)/25))/(LN(2)/25)*Calculateur!DB52*Calculateur!DD52*VLOOKUP('Données projet'!$B$13,Paramètres!$A$1:$I$88,3,0)*0.475*44/12</f>
        <v>0</v>
      </c>
      <c r="DH52" s="23">
        <f>EXP(-LN(2)/2)*DH51+(1-EXP(-LN(2)/2))/(LN(2)/2)*DB52*DE52*VLOOKUP('Données projet'!$B$13,Paramètres!$A$1:$I$88,3,0)*0.475*44/12</f>
        <v>4.6370386289707257</v>
      </c>
      <c r="DI52" s="24">
        <f t="shared" si="15"/>
        <v>24.938403845532147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28.8</v>
      </c>
      <c r="DO52" s="13">
        <f>IF('Données projet'!$A$166&gt;35,DO51+DN52-DW51,IF(A52&lt;'Données projet'!$A$166,$DL$205^A52,IF(A52='Données projet'!$A$166,'Données projet'!$B$166,DO51+DN52-DW51)))</f>
        <v>589.19999999999982</v>
      </c>
      <c r="DP52" s="18">
        <f>DO52*VLOOKUP('Données projet'!$B$14,Paramètres!$A$1:$I$88,3,0)*VLOOKUP('Données projet'!$B$14,Paramètres!$A$1:$I$88,5,0)</f>
        <v>237.44759999999991</v>
      </c>
      <c r="DQ52" s="14">
        <f t="shared" si="43"/>
        <v>57.890027928396762</v>
      </c>
      <c r="DR52" s="22">
        <f t="shared" si="16"/>
        <v>514.37970197529091</v>
      </c>
      <c r="DS52" s="62">
        <f t="shared" si="17"/>
        <v>768.82608179958288</v>
      </c>
      <c r="DT52" s="62">
        <f ca="1">AVERAGE(OFFSET($DS$3,0,0,'Données projet'!$E$14+1,1))-AVERAGE(OFFSET($H$3,0,0,'Données projet'!$E$14+1,1))</f>
        <v>432.59662347701629</v>
      </c>
      <c r="DU52" s="62">
        <f t="shared" si="44"/>
        <v>348.67401091099748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projet'!$B$14,Paramètres!$A$1:$I$88,3,0)*0.475*44/12</f>
        <v>21.96318651373317</v>
      </c>
      <c r="EB52" s="23">
        <f>EXP(-LN(2)/25)*EB51+(1-EXP(-LN(2)/25))/(LN(2)/25)*Calculateur!DW52*Calculateur!DY52*VLOOKUP('Données projet'!$B$14,Paramètres!$A$1:$I$88,3,0)*0.475*44/12</f>
        <v>74.325405279681974</v>
      </c>
      <c r="EC52" s="23">
        <f>EXP(-LN(2)/2)*EC51+(1-EXP(-LN(2)/2))/(LN(2)/2)*DW52*DZ52*VLOOKUP('Données projet'!$B$14,Paramètres!$A$1:$I$88,3,0)*0.475*44/12</f>
        <v>0</v>
      </c>
      <c r="ED52" s="24">
        <f t="shared" si="18"/>
        <v>96.288591793415151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35.4</v>
      </c>
      <c r="EJ52" s="13">
        <f>IF('Données projet'!$A$192&gt;35,EJ51+EI52-ER51,IF(A52&lt;'Données projet'!$A$192,$EG$205^A52,IF(A52='Données projet'!$A$192,'Données projet'!$B$192,EJ51+EI52-ER51)))</f>
        <v>777.6</v>
      </c>
      <c r="EK52" s="18">
        <f>EJ52*VLOOKUP('Données projet'!$B$15,Paramètres!$A$1:$I$88,3,0)*VLOOKUP('Données projet'!$B$15,Paramètres!$A$1:$I$88,5,0)</f>
        <v>343.69920000000002</v>
      </c>
      <c r="EL52" s="14">
        <f t="shared" si="45"/>
        <v>80.263742557801308</v>
      </c>
      <c r="EM52" s="22">
        <f t="shared" si="19"/>
        <v>738.40212495483729</v>
      </c>
      <c r="EN52" s="62">
        <f t="shared" si="20"/>
        <v>992.84850477912926</v>
      </c>
      <c r="EO52" s="62">
        <f ca="1">AVERAGE(OFFSET($EN$3,0,0,'Données projet'!$E$15+1,1))-AVERAGE(OFFSET($H$3,0,0,'Données projet'!$E$15+1,1))</f>
        <v>582.26951914082088</v>
      </c>
      <c r="EP52" s="62">
        <f t="shared" si="46"/>
        <v>434.80429932654715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projet'!$B$15,Paramètres!$A$1:$I$88,3,0)*0.475*44/12</f>
        <v>28.663313575207752</v>
      </c>
      <c r="EW52" s="23">
        <f>EXP(-LN(2)/25)*EW51+(1-EXP(-LN(2)/25))/(LN(2)/25)*Calculateur!ER52*Calculateur!ET52*VLOOKUP('Données projet'!$B$15,Paramètres!$A$1:$I$88,3,0)*0.475*44/12</f>
        <v>74.992985745312652</v>
      </c>
      <c r="EX52" s="23">
        <f>EXP(-LN(2)/2)*EX51+(1-EXP(-LN(2)/2))/(LN(2)/2)*ER52*EU52*VLOOKUP('Données projet'!$B$15,Paramètres!$A$1:$I$88,3,0)*0.475*44/12</f>
        <v>0</v>
      </c>
      <c r="EY52" s="24">
        <f t="shared" si="21"/>
        <v>103.6562993205204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20.399999999999999</v>
      </c>
      <c r="FE52" s="13">
        <f>IF('Données projet'!$A$218&gt;35,FE51+FD52-FM51,IF(A52&lt;'Données projet'!$A$218,$FB$205^A52,IF(A52='Données projet'!$A$218,'Données projet'!$B$218,FE51+FD52-FM51)))</f>
        <v>359.5999999999998</v>
      </c>
      <c r="FF52" s="18">
        <f>FE52*VLOOKUP('Données projet'!$B$16,Paramètres!$A$1:$I$88,3,0)*VLOOKUP('Données projet'!$B$16,Paramètres!$A$1:$I$88,5,0)</f>
        <v>168.29279999999991</v>
      </c>
      <c r="FG52" s="14">
        <f t="shared" si="47"/>
        <v>42.707443263135069</v>
      </c>
      <c r="FH52" s="22">
        <f t="shared" si="22"/>
        <v>367.49209034996011</v>
      </c>
      <c r="FI52" s="62">
        <f t="shared" si="23"/>
        <v>621.93847017425207</v>
      </c>
      <c r="FJ52" s="62">
        <f ca="1">AVERAGE(OFFSET($FI$3,0,0,'Données projet'!$E$16+1,1))-AVERAGE(OFFSET($H$3,0,0,'Données projet'!$E$16+1,1))</f>
        <v>429.87867712133851</v>
      </c>
      <c r="FK52" s="62">
        <f t="shared" si="48"/>
        <v>182.81277865988014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projet'!$B$16,Paramètres!$A$1:$I$88,3,0)*0.475*44/12</f>
        <v>0</v>
      </c>
      <c r="FR52" s="23">
        <f>EXP(-LN(2)/25)*FR51+(1-EXP(-LN(2)/25))/(LN(2)/25)*Calculateur!FM52*Calculateur!FO52*VLOOKUP('Données projet'!$B$16,Paramètres!$A$1:$I$88,3,0)*0.475*44/12</f>
        <v>24.115381388349395</v>
      </c>
      <c r="FS52" s="23">
        <f>EXP(-LN(2)/2)*FS51+(1-EXP(-LN(2)/2))/(LN(2)/2)*FM52*FP52*VLOOKUP('Données projet'!$B$16,Paramètres!$A$1:$I$88,3,0)*0.475*44/12</f>
        <v>0</v>
      </c>
      <c r="FT52" s="24">
        <f t="shared" si="24"/>
        <v>24.115381388349395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19.399999999999999</v>
      </c>
      <c r="FZ52" s="13">
        <f>IF('Données projet'!$A$244&gt;35,FZ51+FY52-GH51,IF(A52&lt;'Données projet'!$A$244,$FW$205^A52,IF(A52='Données projet'!$A$244,'Données projet'!$B$244,FZ51+FY52-GH51)))</f>
        <v>347.59999999999968</v>
      </c>
      <c r="GA52" s="18">
        <f>FZ52*VLOOKUP('Données projet'!$B$17,Paramètres!$A$1:$I$88,3,0)*VLOOKUP('Données projet'!$B$17,Paramètres!$A$1:$I$88,5,0)</f>
        <v>167.19559999999984</v>
      </c>
      <c r="GB52" s="14">
        <f t="shared" si="49"/>
        <v>42.461324512897349</v>
      </c>
      <c r="GC52" s="22">
        <f t="shared" si="25"/>
        <v>365.15247685996263</v>
      </c>
      <c r="GD52" s="62">
        <f t="shared" si="26"/>
        <v>619.59885668425454</v>
      </c>
      <c r="GE52" s="62">
        <f ca="1">AVERAGE(OFFSET($GD$3,0,0,'Données projet'!$E$17+1,1))-AVERAGE(OFFSET($H$3,0,0,'Données projet'!$E$17+1,1))</f>
        <v>273.24375559399846</v>
      </c>
      <c r="GF52" s="62">
        <f t="shared" si="50"/>
        <v>270.77718895097848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projet'!$B$17,Paramètres!$A$1:$I$88,3,0)*0.475*44/12</f>
        <v>22.028464937325232</v>
      </c>
      <c r="GM52" s="23">
        <f>EXP(-LN(2)/25)*GM51+(1-EXP(-LN(2)/25))/(LN(2)/25)*Calculateur!GH52*Calculateur!GJ52*VLOOKUP('Données projet'!$B$17,Paramètres!$A$1:$I$88,3,0)*0.475*44/12</f>
        <v>45.318675003391483</v>
      </c>
      <c r="GN52" s="23">
        <f>EXP(-LN(2)/2)*GN51+(1-EXP(-LN(2)/2))/(LN(2)/2)*GH52*GK52*VLOOKUP('Données projet'!$B$17,Paramètres!$A$1:$I$88,3,0)*0.475*44/12</f>
        <v>0</v>
      </c>
      <c r="GO52" s="23">
        <f t="shared" si="27"/>
        <v>67.347139940716716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17.285714285714285</v>
      </c>
      <c r="N53" s="14">
        <f>IF('Données projet'!$A$36&gt;35,N52+M53-V52,IF(A53&lt;'Données projet'!$A$36,$K$205^A53,IF(A53='Données projet'!$A$36,'Données projet'!$B$36,N52+M53-V52)))</f>
        <v>410.28571428571411</v>
      </c>
      <c r="O53" s="14">
        <f>N53*VLOOKUP('Données projet'!$B$9,Paramètres!$A$1:$I$88,3,0)*VLOOKUP('Données projet'!$B$9,Paramètres!$A$1:$I$88,5,0)</f>
        <v>229.34971428571419</v>
      </c>
      <c r="P53" s="14">
        <f t="shared" si="33"/>
        <v>56.142051394693567</v>
      </c>
      <c r="Q53" s="22">
        <f t="shared" si="53"/>
        <v>497.23149189337681</v>
      </c>
      <c r="R53" s="62">
        <f t="shared" si="0"/>
        <v>752.35247342284697</v>
      </c>
      <c r="S53" s="62">
        <f ca="1">AVERAGE(OFFSET($R$3,0,0,'Données projet'!$E$9+1,1))-AVERAGE(OFFSET($H$3,0,0,'Données projet'!$E$9+1,1))</f>
        <v>289.94242154211224</v>
      </c>
      <c r="T53" s="62">
        <f t="shared" si="34"/>
        <v>369.12599166143661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35.218117342913843</v>
      </c>
      <c r="AA53" s="23">
        <f>EXP(-LN(2)/25)*AA52+(1-EXP(-LN(2)/25))/(LN(2)/25)*Calculateur!V53*Calculateur!X53*VLOOKUP('Données projet'!$B$9,Paramètres!$A$1:$I$88,3,0)*0.475*44/12</f>
        <v>57.586704496240152</v>
      </c>
      <c r="AB53" s="23">
        <f>EXP(-LN(2)/2)*AB52+(1-EXP(-LN(2)/2))/(LN(2)/2)*V53*Y53*VLOOKUP('Données projet'!$B$9,Paramètres!$A$1:$I$88,3,0)*0.475*44/12</f>
        <v>0</v>
      </c>
      <c r="AC53" s="24">
        <f t="shared" si="3"/>
        <v>92.804821839153988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9.625</v>
      </c>
      <c r="AI53" s="14">
        <f>IF('Données projet'!$A$62&gt;35,AI52+AH53-AQ52,IF(A53&lt;'Données projet'!$A$62,$AF$205^A53,IF(A53='Données projet'!$A$62,'Données projet'!$B$62,AI52+AH53-AQ52)))</f>
        <v>166.125</v>
      </c>
      <c r="AJ53" s="14">
        <f>AI53*VLOOKUP('Données projet'!$B$10,Paramètres!$A$1:$I$88,3,0)*VLOOKUP('Données projet'!$B$10,Paramètres!$A$1:$I$88,5,0)</f>
        <v>150.3099</v>
      </c>
      <c r="AK53" s="14">
        <f t="shared" si="35"/>
        <v>38.649003046297885</v>
      </c>
      <c r="AL53" s="22">
        <f t="shared" si="4"/>
        <v>329.10342280563549</v>
      </c>
      <c r="AM53" s="62">
        <f t="shared" si="5"/>
        <v>584.22440433510565</v>
      </c>
      <c r="AN53" s="62">
        <f ca="1">AVERAGE(OFFSET($AM$3,0,0,'Données projet'!$E$10+1,1))-AVERAGE(OFFSET($H$3,0,0,'Données projet'!$E$10+1,1))</f>
        <v>518.31628039365785</v>
      </c>
      <c r="AO53" s="62">
        <f t="shared" si="36"/>
        <v>66.435071953154761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2.4346912230392439</v>
      </c>
      <c r="AV53" s="23">
        <f>EXP(-LN(2)/25)*AV52+(1-EXP(-LN(2)/25))/(LN(2)/25)*Calculateur!AQ53*Calculateur!AS53*VLOOKUP('Données projet'!$B$10,Paramètres!$A$1:$I$88,3,0)*0.475*44/12</f>
        <v>0</v>
      </c>
      <c r="AW53" s="23">
        <f>EXP(-LN(2)/2)*AW52+(1-EXP(-LN(2)/2))/(LN(2)/2)*AQ53*AT53*VLOOKUP('Données projet'!$B$10,Paramètres!$A$1:$I$88,3,0)*0.475*44/12</f>
        <v>0</v>
      </c>
      <c r="AX53" s="23">
        <f t="shared" si="6"/>
        <v>2.4346912230392439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9.625</v>
      </c>
      <c r="BD53" s="13">
        <f>IF('Données projet'!$A$88&gt;35,BD52+BC53-BL52,IF(A53&lt;'Données projet'!$A$88,$BA$205^A53,IF(A53='Données projet'!$A$88,'Données projet'!$B$88,BD52+BC53-BL52)))</f>
        <v>166.125</v>
      </c>
      <c r="BE53" s="14">
        <f>BD53*VLOOKUP('Données projet'!$B$11,Paramètres!$A$1:$I$88,3,0)*VLOOKUP('Données projet'!$B$11,Paramètres!$A$1:$I$88,5,0)</f>
        <v>168.45075</v>
      </c>
      <c r="BF53" s="14">
        <f t="shared" si="37"/>
        <v>42.742858459894201</v>
      </c>
      <c r="BG53" s="22">
        <f t="shared" si="7"/>
        <v>367.82886806764901</v>
      </c>
      <c r="BH53" s="62">
        <f t="shared" si="8"/>
        <v>622.94984959711906</v>
      </c>
      <c r="BI53" s="62">
        <f ca="1">AVERAGE(OFFSET($BH$3,0,0,'Données projet'!$E$11+1,1))-AVERAGE(OFFSET($H$3,0,0,'Données projet'!$E$11+1,1))</f>
        <v>570.2785736203931</v>
      </c>
      <c r="BJ53" s="62">
        <f t="shared" si="38"/>
        <v>67.677759965081719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2.7285332671991527</v>
      </c>
      <c r="BQ53" s="23">
        <f>EXP(-LN(2)/25)*BQ52+(1-EXP(-LN(2)/25))/(LN(2)/25)*Calculateur!BL53*Calculateur!BN53*VLOOKUP('Données projet'!$B$11,Paramètres!$A$1:$I$88,3,0)*0.475*44/12</f>
        <v>0</v>
      </c>
      <c r="BR53" s="23">
        <f>EXP(-LN(2)/2)*BR52+(1-EXP(-LN(2)/2))/(LN(2)/2)*BL53*BO53*VLOOKUP('Données projet'!$B$11,Paramètres!$A$1:$I$88,3,0)*0.475*44/12</f>
        <v>0</v>
      </c>
      <c r="BS53" s="24">
        <f t="shared" si="9"/>
        <v>2.7285332671991527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9.5374999999999943</v>
      </c>
      <c r="BY53" s="13">
        <f>IF('Données projet'!$A$114&gt;35,BY52+BX53-CG52,IF(A53&lt;'Données projet'!$A$114,$BV$205^A53,IF(A53='Données projet'!$A$114,'Données projet'!$B$114,BY52+BX53-CG52)))</f>
        <v>492.74999999999989</v>
      </c>
      <c r="BZ53" s="14">
        <f>BY53*VLOOKUP('Données projet'!$B$12,Paramètres!$A$1:$I$88,3,0)*VLOOKUP('Données projet'!$B$12,Paramètres!$A$1:$I$88,5,0)</f>
        <v>294.66449999999998</v>
      </c>
      <c r="CA53" s="14">
        <f t="shared" si="39"/>
        <v>70.056772229922117</v>
      </c>
      <c r="CB53" s="22">
        <f t="shared" si="10"/>
        <v>635.22288246711435</v>
      </c>
      <c r="CC53" s="62">
        <f t="shared" si="11"/>
        <v>890.34386399658445</v>
      </c>
      <c r="CD53" s="62">
        <f ca="1">AVERAGE(OFFSET($CC$3,0,0,'Données projet'!$E$12+1,1))-AVERAGE(OFFSET($H$3,0,0,'Données projet'!$E$12+1,1))</f>
        <v>401.1031790385295</v>
      </c>
      <c r="CE53" s="62">
        <f t="shared" si="40"/>
        <v>402.09589424130615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projet'!$B$12,Paramètres!$A$1:$I$88,3,0)*0.475*44/12</f>
        <v>19.903267827274753</v>
      </c>
      <c r="CL53" s="23">
        <f>EXP(-LN(2)/25)*CL52+(1-EXP(-LN(2)/25))/(LN(2)/25)*Calculateur!CG53*Calculateur!CI53*VLOOKUP('Données projet'!$B$12,Paramètres!$A$1:$I$88,3,0)*0.475*44/12</f>
        <v>0</v>
      </c>
      <c r="CM53" s="23">
        <f>EXP(-LN(2)/2)*CM52+(1-EXP(-LN(2)/2))/(LN(2)/2)*CG53*CJ53*VLOOKUP('Données projet'!$B$12,Paramètres!$A$1:$I$88,3,0)*0.475*44/12</f>
        <v>3.2788814591691713</v>
      </c>
      <c r="CN53" s="24">
        <f t="shared" si="12"/>
        <v>23.182149286443924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9.5374999999999943</v>
      </c>
      <c r="CT53" s="13">
        <f>IF('Données projet'!$A$140&gt;35,CT52+CS53-DB52,IF(A53&lt;'Données projet'!$A$140,$CQ$205^A53,IF(A53='Données projet'!$A$140,'Données projet'!$B$140,CT52+CS53-DB52)))</f>
        <v>492.74999999999989</v>
      </c>
      <c r="CU53" s="18">
        <f>CT53*VLOOKUP('Données projet'!$B$13,Paramètres!$A$1:$I$88,3,0)*VLOOKUP('Données projet'!$B$13,Paramètres!$A$1:$I$88,5,0)</f>
        <v>294.66449999999998</v>
      </c>
      <c r="CV53" s="14">
        <f t="shared" si="41"/>
        <v>70.056772229922117</v>
      </c>
      <c r="CW53" s="22">
        <f t="shared" si="13"/>
        <v>635.22288246711435</v>
      </c>
      <c r="CX53" s="62">
        <f t="shared" si="14"/>
        <v>890.34386399658445</v>
      </c>
      <c r="CY53" s="62">
        <f ca="1">AVERAGE(OFFSET($CX$3,0,0,'Données projet'!$E$13+1,1))-AVERAGE(OFFSET($H$3,0,0,'Données projet'!$E$13+1,1))</f>
        <v>401.1031790385295</v>
      </c>
      <c r="CZ53" s="62">
        <f t="shared" si="42"/>
        <v>402.09589424130615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projet'!$B$13,Paramètres!$A$1:$I$88,3,0)*0.475*44/12</f>
        <v>19.903267827274753</v>
      </c>
      <c r="DG53" s="23">
        <f>EXP(-LN(2)/25)*DG52+(1-EXP(-LN(2)/25))/(LN(2)/25)*Calculateur!DB53*Calculateur!DD53*VLOOKUP('Données projet'!$B$13,Paramètres!$A$1:$I$88,3,0)*0.475*44/12</f>
        <v>0</v>
      </c>
      <c r="DH53" s="23">
        <f>EXP(-LN(2)/2)*DH52+(1-EXP(-LN(2)/2))/(LN(2)/2)*DB53*DE53*VLOOKUP('Données projet'!$B$13,Paramètres!$A$1:$I$88,3,0)*0.475*44/12</f>
        <v>3.2788814591691713</v>
      </c>
      <c r="DI53" s="24">
        <f t="shared" si="15"/>
        <v>23.182149286443924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618</v>
      </c>
      <c r="DM53" s="13">
        <f>VLOOKUP(A53,'Données projet'!$A$165:$I$185,9,0)</f>
        <v>28.8</v>
      </c>
      <c r="DN53" s="13">
        <f t="array" ref="DN53">INDEX(DM:DM,MIN(IF(ISNUMBER(DM53:DM249),ROW(DM53:DM249),"")))</f>
        <v>28.8</v>
      </c>
      <c r="DO53" s="13">
        <f>IF('Données projet'!$A$166&gt;35,DO52+DN53-DW52,IF(A53&lt;'Données projet'!$A$166,$DL$205^A53,IF(A53='Données projet'!$A$166,'Données projet'!$B$166,DO52+DN53-DW52)))</f>
        <v>617.99999999999977</v>
      </c>
      <c r="DP53" s="18">
        <f>DO53*VLOOKUP('Données projet'!$B$14,Paramètres!$A$1:$I$88,3,0)*VLOOKUP('Données projet'!$B$14,Paramètres!$A$1:$I$88,5,0)</f>
        <v>249.05399999999992</v>
      </c>
      <c r="DQ53" s="14">
        <f t="shared" si="43"/>
        <v>60.383324515200229</v>
      </c>
      <c r="DR53" s="22">
        <f t="shared" si="16"/>
        <v>538.93667353064018</v>
      </c>
      <c r="DS53" s="62">
        <f t="shared" si="17"/>
        <v>794.05765506011028</v>
      </c>
      <c r="DT53" s="62">
        <f ca="1">AVERAGE(OFFSET($DS$3,0,0,'Données projet'!$E$14+1,1))-AVERAGE(OFFSET($H$3,0,0,'Données projet'!$E$14+1,1))</f>
        <v>432.59662347701629</v>
      </c>
      <c r="DU53" s="62">
        <f t="shared" si="44"/>
        <v>348.67401091099748</v>
      </c>
      <c r="DV53" s="16">
        <f>IF(ISNA(VLOOKUP(A53,'Données projet'!$A$165:$I$185,3,0)),0,VLOOKUP(A53,'Données projet'!$A$165:$I$185,3,0))</f>
        <v>7</v>
      </c>
      <c r="DW53" s="16">
        <f>IF(ISNA(VLOOKUP(A53,'Données projet'!$A$165:$I$185,4,0)),0,VLOOKUP(A53,'Données projet'!$A$165:$I$185,4,0))</f>
        <v>79</v>
      </c>
      <c r="DX53" s="17">
        <f>IF(ISNA(VLOOKUP(A53,'Données projet'!$A$165:$I$185,5,0)),0%,VLOOKUP(A53,'Données projet'!$A$165:$I$185,5,0)*VLOOKUP('Données projet'!$B$14,Paramètres!$A$1:$I$88,7,0))</f>
        <v>0.22000000000000003</v>
      </c>
      <c r="DY53" s="17">
        <f>IF(ISNA(VLOOKUP(A53,'Données projet'!$A$165:$I$185,6,0)),0%,VLOOKUP(A53,'Données projet'!$A$165:$I$185,6,0)*VLOOKUP('Données projet'!$B$14,Paramètres!$A$1:$I$88,7,0))</f>
        <v>0.33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projet'!$B$14,Paramètres!$A$1:$I$88,3,0)*0.475*44/12</f>
        <v>30.823944987342173</v>
      </c>
      <c r="EB53" s="23">
        <f>EXP(-LN(2)/25)*EB52+(1-EXP(-LN(2)/25))/(LN(2)/25)*Calculateur!DW53*Calculateur!DY53*VLOOKUP('Données projet'!$B$14,Paramètres!$A$1:$I$88,3,0)*0.475*44/12</f>
        <v>86.175261983002784</v>
      </c>
      <c r="EC53" s="23">
        <f>EXP(-LN(2)/2)*EC52+(1-EXP(-LN(2)/2))/(LN(2)/2)*DW53*DZ53*VLOOKUP('Données projet'!$B$14,Paramètres!$A$1:$I$88,3,0)*0.475*44/12</f>
        <v>0</v>
      </c>
      <c r="ED53" s="24">
        <f t="shared" si="18"/>
        <v>116.99920697034496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813</v>
      </c>
      <c r="EH53" s="13">
        <f>VLOOKUP(A53,'Données projet'!$A$191:$I$211,9,0)</f>
        <v>35.4</v>
      </c>
      <c r="EI53" s="13">
        <f t="array" ref="EI53">INDEX(EH:EH,MIN(IF(ISNUMBER(EH53:EH249),ROW(EH53:EH249),"")))</f>
        <v>35.4</v>
      </c>
      <c r="EJ53" s="13">
        <f>IF('Données projet'!$A$192&gt;35,EJ52+EI53-ER52,IF(A53&lt;'Données projet'!$A$192,$EG$205^A53,IF(A53='Données projet'!$A$192,'Données projet'!$B$192,EJ52+EI53-ER52)))</f>
        <v>813</v>
      </c>
      <c r="EK53" s="18">
        <f>EJ53*VLOOKUP('Données projet'!$B$15,Paramètres!$A$1:$I$88,3,0)*VLOOKUP('Données projet'!$B$15,Paramètres!$A$1:$I$88,5,0)</f>
        <v>359.34600000000006</v>
      </c>
      <c r="EL53" s="14">
        <f t="shared" si="45"/>
        <v>83.483988225599418</v>
      </c>
      <c r="EM53" s="22">
        <f t="shared" si="19"/>
        <v>771.26222949291912</v>
      </c>
      <c r="EN53" s="62">
        <f t="shared" si="20"/>
        <v>1026.3832110223893</v>
      </c>
      <c r="EO53" s="62">
        <f ca="1">AVERAGE(OFFSET($EN$3,0,0,'Données projet'!$E$15+1,1))-AVERAGE(OFFSET($H$3,0,0,'Données projet'!$E$15+1,1))</f>
        <v>582.26951914082088</v>
      </c>
      <c r="EP53" s="62">
        <f t="shared" si="46"/>
        <v>434.80429932654715</v>
      </c>
      <c r="EQ53" s="16">
        <f>IF(ISNA(VLOOKUP(A53,'Données projet'!$A$191:$I$211,3,0)),0,VLOOKUP(A53,'Données projet'!$A$191:$I$211,3,0))</f>
        <v>8</v>
      </c>
      <c r="ER53" s="16">
        <f>IF(ISNA(VLOOKUP(A53,'Données projet'!$A$191:$I$211,4,0)),0,VLOOKUP(A53,'Données projet'!$A$191:$I$211,4,0))</f>
        <v>71</v>
      </c>
      <c r="ES53" s="17">
        <f>IF(ISNA(VLOOKUP(A53,'Données projet'!$A$191:$I$211,5,0)),0%,VLOOKUP(A53,'Données projet'!$A$191:$I$211,5,0)*VLOOKUP('Données projet'!$B$15,Paramètres!$A$1:$I$88,7,0))</f>
        <v>0.22000000000000003</v>
      </c>
      <c r="ET53" s="17">
        <f>IF(ISNA(VLOOKUP(A53,'Données projet'!$A$191:$I$211,6,0)),0%,VLOOKUP(A53,'Données projet'!$A$191:$I$211,6,0)*VLOOKUP('Données projet'!$B$15,Paramètres!$A$1:$I$88,7,0))</f>
        <v>0.33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projet'!$B$15,Paramètres!$A$1:$I$88,3,0)*0.475*44/12</f>
        <v>37.259897541825723</v>
      </c>
      <c r="EW53" s="23">
        <f>EXP(-LN(2)/25)*EW52+(1-EXP(-LN(2)/25))/(LN(2)/25)*Calculateur!ER53*Calculateur!ET53*VLOOKUP('Données projet'!$B$15,Paramètres!$A$1:$I$88,3,0)*0.475*44/12</f>
        <v>86.626188034646731</v>
      </c>
      <c r="EX53" s="23">
        <f>EXP(-LN(2)/2)*EX52+(1-EXP(-LN(2)/2))/(LN(2)/2)*ER53*EU53*VLOOKUP('Données projet'!$B$15,Paramètres!$A$1:$I$88,3,0)*0.475*44/12</f>
        <v>0</v>
      </c>
      <c r="EY53" s="24">
        <f t="shared" si="21"/>
        <v>123.88608557647245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380</v>
      </c>
      <c r="FC53" s="13">
        <f>VLOOKUP(A53,'Données projet'!$A$217:$I$237,9,0)</f>
        <v>20.399999999999999</v>
      </c>
      <c r="FD53" s="13">
        <f t="array" ref="FD53">INDEX(FC:FC,MIN(IF(ISNUMBER(FC53:FC249),ROW(FC53:FC249),"")))</f>
        <v>20.399999999999999</v>
      </c>
      <c r="FE53" s="13">
        <f>IF('Données projet'!$A$218&gt;35,FE52+FD53-FM52,IF(A53&lt;'Données projet'!$A$218,$FB$205^A53,IF(A53='Données projet'!$A$218,'Données projet'!$B$218,FE52+FD53-FM52)))</f>
        <v>379.99999999999977</v>
      </c>
      <c r="FF53" s="18">
        <f>FE53*VLOOKUP('Données projet'!$B$16,Paramètres!$A$1:$I$88,3,0)*VLOOKUP('Données projet'!$B$16,Paramètres!$A$1:$I$88,5,0)</f>
        <v>177.83999999999992</v>
      </c>
      <c r="FG53" s="14">
        <f t="shared" si="47"/>
        <v>44.841288830609102</v>
      </c>
      <c r="FH53" s="22">
        <f t="shared" si="22"/>
        <v>387.83657804664404</v>
      </c>
      <c r="FI53" s="62">
        <f t="shared" si="23"/>
        <v>642.95755957611414</v>
      </c>
      <c r="FJ53" s="62">
        <f ca="1">AVERAGE(OFFSET($FI$3,0,0,'Données projet'!$E$16+1,1))-AVERAGE(OFFSET($H$3,0,0,'Données projet'!$E$16+1,1))</f>
        <v>429.87867712133851</v>
      </c>
      <c r="FK53" s="62">
        <f t="shared" si="48"/>
        <v>182.81277865988014</v>
      </c>
      <c r="FL53" s="16">
        <f>IF(ISNA(VLOOKUP(A53,'Données projet'!$A$217:$I$237,3,0)),0,VLOOKUP(A53,'Données projet'!$A$217:$I$237,3,0))</f>
        <v>2</v>
      </c>
      <c r="FM53" s="16">
        <f>IF(ISNA(VLOOKUP(A53,'Données projet'!$A$217:$I$237,4,0)),0,VLOOKUP(A53,'Données projet'!$A$217:$I$237,4,0))</f>
        <v>91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0.55000000000000004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projet'!$B$16,Paramètres!$A$1:$I$88,3,0)*0.475*44/12</f>
        <v>0</v>
      </c>
      <c r="FR53" s="23">
        <f>EXP(-LN(2)/25)*FR52+(1-EXP(-LN(2)/25))/(LN(2)/25)*Calculateur!FM53*Calculateur!FO53*VLOOKUP('Données projet'!$B$16,Paramètres!$A$1:$I$88,3,0)*0.475*44/12</f>
        <v>54.406250019526269</v>
      </c>
      <c r="FS53" s="23">
        <f>EXP(-LN(2)/2)*FS52+(1-EXP(-LN(2)/2))/(LN(2)/2)*FM53*FP53*VLOOKUP('Données projet'!$B$16,Paramètres!$A$1:$I$88,3,0)*0.475*44/12</f>
        <v>0</v>
      </c>
      <c r="FT53" s="24">
        <f t="shared" si="24"/>
        <v>54.406250019526269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367</v>
      </c>
      <c r="FX53" s="13">
        <f>VLOOKUP(A53,'Données projet'!$A$243:$I$263,9,0)</f>
        <v>19.399999999999999</v>
      </c>
      <c r="FY53" s="13">
        <f t="array" ref="FY53">INDEX(FX:FX,MIN(IF(ISNUMBER(FX53:FX249),ROW(FX53:FX249),"")))</f>
        <v>19.399999999999999</v>
      </c>
      <c r="FZ53" s="13">
        <f>IF('Données projet'!$A$244&gt;35,FZ52+FY53-GH52,IF(A53&lt;'Données projet'!$A$244,$FW$205^A53,IF(A53='Données projet'!$A$244,'Données projet'!$B$244,FZ52+FY53-GH52)))</f>
        <v>366.99999999999966</v>
      </c>
      <c r="GA53" s="18">
        <f>FZ53*VLOOKUP('Données projet'!$B$17,Paramètres!$A$1:$I$88,3,0)*VLOOKUP('Données projet'!$B$17,Paramètres!$A$1:$I$88,5,0)</f>
        <v>176.52699999999984</v>
      </c>
      <c r="GB53" s="14">
        <f t="shared" si="49"/>
        <v>44.548633689427241</v>
      </c>
      <c r="GC53" s="22">
        <f t="shared" si="25"/>
        <v>385.04006200908549</v>
      </c>
      <c r="GD53" s="62">
        <f t="shared" si="26"/>
        <v>640.16104353855553</v>
      </c>
      <c r="GE53" s="62">
        <f ca="1">AVERAGE(OFFSET($GD$3,0,0,'Données projet'!$E$17+1,1))-AVERAGE(OFFSET($H$3,0,0,'Données projet'!$E$17+1,1))</f>
        <v>273.24375559399846</v>
      </c>
      <c r="GF53" s="62">
        <f t="shared" si="50"/>
        <v>270.77718895097848</v>
      </c>
      <c r="GG53" s="16">
        <f>IF(ISNA(VLOOKUP(A53,'Données projet'!$A$243:$I$263,3,0)),0,VLOOKUP(A53,'Données projet'!$A$243:$I$263,3,0))</f>
        <v>8</v>
      </c>
      <c r="GH53" s="16">
        <f>IF(ISNA(VLOOKUP(A53,'Données projet'!$A$243:$I$263,4,0)),0,VLOOKUP(A53,'Données projet'!$A$243:$I$263,4,0))</f>
        <v>47</v>
      </c>
      <c r="GI53" s="17">
        <f>IF(ISNA(VLOOKUP(A53,'Données projet'!$A$243:$I$263,5,0)),0%,VLOOKUP(A53,'Données projet'!$A$243:$I$263,5,0)*VLOOKUP('Données projet'!$B$17,Paramètres!$A$1:$I$88,7,0))</f>
        <v>0.22000000000000003</v>
      </c>
      <c r="GJ53" s="17">
        <f>IF(ISNA(VLOOKUP(A53,'Données projet'!$A$243:$I$263,6,0)),0%,VLOOKUP(A53,'Données projet'!$A$243:$I$263,6,0)*VLOOKUP('Données projet'!$B$17,Paramètres!$A$1:$I$88,7,0))</f>
        <v>0.33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projet'!$B$17,Paramètres!$A$1:$I$88,3,0)*0.475*44/12</f>
        <v>28.194221557647971</v>
      </c>
      <c r="GM53" s="23">
        <f>EXP(-LN(2)/25)*GM52+(1-EXP(-LN(2)/25))/(LN(2)/25)*Calculateur!GH53*Calculateur!GJ53*VLOOKUP('Données projet'!$B$17,Paramètres!$A$1:$I$88,3,0)*0.475*44/12</f>
        <v>53.93704891026529</v>
      </c>
      <c r="GN53" s="23">
        <f>EXP(-LN(2)/2)*GN52+(1-EXP(-LN(2)/2))/(LN(2)/2)*GH53*GK53*VLOOKUP('Données projet'!$B$17,Paramètres!$A$1:$I$88,3,0)*0.475*44/12</f>
        <v>0</v>
      </c>
      <c r="GO53" s="23">
        <f t="shared" si="27"/>
        <v>82.131270467913254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17.285714285714285</v>
      </c>
      <c r="N54" s="14">
        <f>IF('Données projet'!$A$36&gt;35,N53+M54-V53,IF(A54&lt;'Données projet'!$A$36,$K$205^A54,IF(A54='Données projet'!$A$36,'Données projet'!$B$36,N53+M54-V53)))</f>
        <v>427.57142857142838</v>
      </c>
      <c r="O54" s="14">
        <f>N54*VLOOKUP('Données projet'!$B$9,Paramètres!$A$1:$I$88,3,0)*VLOOKUP('Données projet'!$B$9,Paramètres!$A$1:$I$88,5,0)</f>
        <v>239.01242857142847</v>
      </c>
      <c r="P54" s="14">
        <f t="shared" si="33"/>
        <v>58.226998714225545</v>
      </c>
      <c r="Q54" s="22">
        <f t="shared" si="53"/>
        <v>517.69200252251403</v>
      </c>
      <c r="R54" s="62">
        <f t="shared" si="0"/>
        <v>773.47588292576086</v>
      </c>
      <c r="S54" s="62">
        <f ca="1">AVERAGE(OFFSET($R$3,0,0,'Données projet'!$E$9+1,1))-AVERAGE(OFFSET($H$3,0,0,'Données projet'!$E$9+1,1))</f>
        <v>289.94242154211224</v>
      </c>
      <c r="T54" s="62">
        <f t="shared" si="34"/>
        <v>369.12599166143661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34.527511542749814</v>
      </c>
      <c r="AA54" s="23">
        <f>EXP(-LN(2)/25)*AA53+(1-EXP(-LN(2)/25))/(LN(2)/25)*Calculateur!V54*Calculateur!X54*VLOOKUP('Données projet'!$B$9,Paramètres!$A$1:$I$88,3,0)*0.475*44/12</f>
        <v>56.011993033437292</v>
      </c>
      <c r="AB54" s="23">
        <f>EXP(-LN(2)/2)*AB53+(1-EXP(-LN(2)/2))/(LN(2)/2)*V54*Y54*VLOOKUP('Données projet'!$B$9,Paramètres!$A$1:$I$88,3,0)*0.475*44/12</f>
        <v>0</v>
      </c>
      <c r="AC54" s="24">
        <f t="shared" si="3"/>
        <v>90.539504576187113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9.625</v>
      </c>
      <c r="AI54" s="14">
        <f>IF('Données projet'!$A$62&gt;35,AI53+AH54-AQ53,IF(A54&lt;'Données projet'!$A$62,$AF$205^A54,IF(A54='Données projet'!$A$62,'Données projet'!$B$62,AI53+AH54-AQ53)))</f>
        <v>175.75</v>
      </c>
      <c r="AJ54" s="14">
        <f>AI54*VLOOKUP('Données projet'!$B$10,Paramètres!$A$1:$I$88,3,0)*VLOOKUP('Données projet'!$B$10,Paramètres!$A$1:$I$88,5,0)</f>
        <v>159.01859999999999</v>
      </c>
      <c r="AK54" s="14">
        <f t="shared" si="35"/>
        <v>40.62107869517753</v>
      </c>
      <c r="AL54" s="22">
        <f t="shared" si="4"/>
        <v>347.70577372743418</v>
      </c>
      <c r="AM54" s="62">
        <f t="shared" si="5"/>
        <v>603.48965413068095</v>
      </c>
      <c r="AN54" s="62">
        <f ca="1">AVERAGE(OFFSET($AM$3,0,0,'Données projet'!$E$10+1,1))-AVERAGE(OFFSET($H$3,0,0,'Données projet'!$E$10+1,1))</f>
        <v>518.31628039365785</v>
      </c>
      <c r="AO54" s="62">
        <f t="shared" si="36"/>
        <v>66.435071953154761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2.3869484131704573</v>
      </c>
      <c r="AV54" s="23">
        <f>EXP(-LN(2)/25)*AV53+(1-EXP(-LN(2)/25))/(LN(2)/25)*Calculateur!AQ54*Calculateur!AS54*VLOOKUP('Données projet'!$B$10,Paramètres!$A$1:$I$88,3,0)*0.475*44/12</f>
        <v>0</v>
      </c>
      <c r="AW54" s="23">
        <f>EXP(-LN(2)/2)*AW53+(1-EXP(-LN(2)/2))/(LN(2)/2)*AQ54*AT54*VLOOKUP('Données projet'!$B$10,Paramètres!$A$1:$I$88,3,0)*0.475*44/12</f>
        <v>0</v>
      </c>
      <c r="AX54" s="23">
        <f t="shared" si="6"/>
        <v>2.3869484131704573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9.625</v>
      </c>
      <c r="BD54" s="13">
        <f>IF('Données projet'!$A$88&gt;35,BD53+BC54-BL53,IF(A54&lt;'Données projet'!$A$88,$BA$205^A54,IF(A54='Données projet'!$A$88,'Données projet'!$B$88,BD53+BC54-BL53)))</f>
        <v>175.75</v>
      </c>
      <c r="BE54" s="14">
        <f>BD54*VLOOKUP('Données projet'!$B$11,Paramètres!$A$1:$I$88,3,0)*VLOOKUP('Données projet'!$B$11,Paramètres!$A$1:$I$88,5,0)</f>
        <v>178.2105</v>
      </c>
      <c r="BF54" s="14">
        <f t="shared" si="37"/>
        <v>44.923824168926657</v>
      </c>
      <c r="BG54" s="22">
        <f t="shared" si="7"/>
        <v>388.62561459421386</v>
      </c>
      <c r="BH54" s="62">
        <f t="shared" si="8"/>
        <v>644.40949499746068</v>
      </c>
      <c r="BI54" s="62">
        <f ca="1">AVERAGE(OFFSET($BH$3,0,0,'Données projet'!$E$11+1,1))-AVERAGE(OFFSET($H$3,0,0,'Données projet'!$E$11+1,1))</f>
        <v>570.2785736203931</v>
      </c>
      <c r="BJ54" s="62">
        <f t="shared" si="38"/>
        <v>67.677759965081719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2.6750283940703401</v>
      </c>
      <c r="BQ54" s="23">
        <f>EXP(-LN(2)/25)*BQ53+(1-EXP(-LN(2)/25))/(LN(2)/25)*Calculateur!BL54*Calculateur!BN54*VLOOKUP('Données projet'!$B$11,Paramètres!$A$1:$I$88,3,0)*0.475*44/12</f>
        <v>0</v>
      </c>
      <c r="BR54" s="23">
        <f>EXP(-LN(2)/2)*BR53+(1-EXP(-LN(2)/2))/(LN(2)/2)*BL54*BO54*VLOOKUP('Données projet'!$B$11,Paramètres!$A$1:$I$88,3,0)*0.475*44/12</f>
        <v>0</v>
      </c>
      <c r="BS54" s="24">
        <f t="shared" si="9"/>
        <v>2.6750283940703401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9.5374999999999943</v>
      </c>
      <c r="BY54" s="13">
        <f>IF('Données projet'!$A$114&gt;35,BY53+BX54-CG53,IF(A54&lt;'Données projet'!$A$114,$BV$205^A54,IF(A54='Données projet'!$A$114,'Données projet'!$B$114,BY53+BX54-CG53)))</f>
        <v>502.28749999999991</v>
      </c>
      <c r="BZ54" s="14">
        <f>BY54*VLOOKUP('Données projet'!$B$12,Paramètres!$A$1:$I$88,3,0)*VLOOKUP('Données projet'!$B$12,Paramètres!$A$1:$I$88,5,0)</f>
        <v>300.36792499999996</v>
      </c>
      <c r="CA54" s="14">
        <f t="shared" si="39"/>
        <v>71.253589184925175</v>
      </c>
      <c r="CB54" s="22">
        <f t="shared" si="10"/>
        <v>647.24080387207789</v>
      </c>
      <c r="CC54" s="62">
        <f t="shared" si="11"/>
        <v>903.02468427532472</v>
      </c>
      <c r="CD54" s="62">
        <f ca="1">AVERAGE(OFFSET($CC$3,0,0,'Données projet'!$E$12+1,1))-AVERAGE(OFFSET($H$3,0,0,'Données projet'!$E$12+1,1))</f>
        <v>401.1031790385295</v>
      </c>
      <c r="CE54" s="62">
        <f t="shared" si="40"/>
        <v>402.09589424130615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projet'!$B$12,Paramètres!$A$1:$I$88,3,0)*0.475*44/12</f>
        <v>19.512976884976563</v>
      </c>
      <c r="CL54" s="23">
        <f>EXP(-LN(2)/25)*CL53+(1-EXP(-LN(2)/25))/(LN(2)/25)*Calculateur!CG54*Calculateur!CI54*VLOOKUP('Données projet'!$B$12,Paramètres!$A$1:$I$88,3,0)*0.475*44/12</f>
        <v>0</v>
      </c>
      <c r="CM54" s="23">
        <f>EXP(-LN(2)/2)*CM53+(1-EXP(-LN(2)/2))/(LN(2)/2)*CG54*CJ54*VLOOKUP('Données projet'!$B$12,Paramètres!$A$1:$I$88,3,0)*0.475*44/12</f>
        <v>2.3185193144853629</v>
      </c>
      <c r="CN54" s="24">
        <f t="shared" si="12"/>
        <v>21.831496199461927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9.5374999999999943</v>
      </c>
      <c r="CT54" s="13">
        <f>IF('Données projet'!$A$140&gt;35,CT53+CS54-DB53,IF(A54&lt;'Données projet'!$A$140,$CQ$205^A54,IF(A54='Données projet'!$A$140,'Données projet'!$B$140,CT53+CS54-DB53)))</f>
        <v>502.28749999999991</v>
      </c>
      <c r="CU54" s="18">
        <f>CT54*VLOOKUP('Données projet'!$B$13,Paramètres!$A$1:$I$88,3,0)*VLOOKUP('Données projet'!$B$13,Paramètres!$A$1:$I$88,5,0)</f>
        <v>300.36792499999996</v>
      </c>
      <c r="CV54" s="14">
        <f t="shared" si="41"/>
        <v>71.253589184925175</v>
      </c>
      <c r="CW54" s="22">
        <f t="shared" si="13"/>
        <v>647.24080387207789</v>
      </c>
      <c r="CX54" s="62">
        <f t="shared" si="14"/>
        <v>903.02468427532472</v>
      </c>
      <c r="CY54" s="62">
        <f ca="1">AVERAGE(OFFSET($CX$3,0,0,'Données projet'!$E$13+1,1))-AVERAGE(OFFSET($H$3,0,0,'Données projet'!$E$13+1,1))</f>
        <v>401.1031790385295</v>
      </c>
      <c r="CZ54" s="62">
        <f t="shared" si="42"/>
        <v>402.09589424130615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projet'!$B$13,Paramètres!$A$1:$I$88,3,0)*0.475*44/12</f>
        <v>19.512976884976563</v>
      </c>
      <c r="DG54" s="23">
        <f>EXP(-LN(2)/25)*DG53+(1-EXP(-LN(2)/25))/(LN(2)/25)*Calculateur!DB54*Calculateur!DD54*VLOOKUP('Données projet'!$B$13,Paramètres!$A$1:$I$88,3,0)*0.475*44/12</f>
        <v>0</v>
      </c>
      <c r="DH54" s="23">
        <f>EXP(-LN(2)/2)*DH53+(1-EXP(-LN(2)/2))/(LN(2)/2)*DB54*DE54*VLOOKUP('Données projet'!$B$13,Paramètres!$A$1:$I$88,3,0)*0.475*44/12</f>
        <v>2.3185193144853629</v>
      </c>
      <c r="DI54" s="24">
        <f t="shared" si="15"/>
        <v>21.831496199461927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27.8</v>
      </c>
      <c r="DO54" s="13">
        <f>IF('Données projet'!$A$166&gt;35,DO53+DN54-DW53,IF(A54&lt;'Données projet'!$A$166,$DL$205^A54,IF(A54='Données projet'!$A$166,'Données projet'!$B$166,DO53+DN54-DW53)))</f>
        <v>566.79999999999973</v>
      </c>
      <c r="DP54" s="18">
        <f>DO54*VLOOKUP('Données projet'!$B$14,Paramètres!$A$1:$I$88,3,0)*VLOOKUP('Données projet'!$B$14,Paramètres!$A$1:$I$88,5,0)</f>
        <v>228.42039999999989</v>
      </c>
      <c r="DQ54" s="14">
        <f t="shared" si="43"/>
        <v>55.940998211235552</v>
      </c>
      <c r="DR54" s="22">
        <f t="shared" si="16"/>
        <v>495.26276855123501</v>
      </c>
      <c r="DS54" s="62">
        <f t="shared" si="17"/>
        <v>751.04664895448184</v>
      </c>
      <c r="DT54" s="62">
        <f ca="1">AVERAGE(OFFSET($DS$3,0,0,'Données projet'!$E$14+1,1))-AVERAGE(OFFSET($H$3,0,0,'Données projet'!$E$14+1,1))</f>
        <v>432.59662347701629</v>
      </c>
      <c r="DU54" s="62">
        <f t="shared" si="44"/>
        <v>348.67401091099748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projet'!$B$14,Paramètres!$A$1:$I$88,3,0)*0.475*44/12</f>
        <v>30.219506226890417</v>
      </c>
      <c r="EB54" s="23">
        <f>EXP(-LN(2)/25)*EB53+(1-EXP(-LN(2)/25))/(LN(2)/25)*Calculateur!DW54*Calculateur!DY54*VLOOKUP('Données projet'!$B$14,Paramètres!$A$1:$I$88,3,0)*0.475*44/12</f>
        <v>83.8187949123175</v>
      </c>
      <c r="EC54" s="23">
        <f>EXP(-LN(2)/2)*EC53+(1-EXP(-LN(2)/2))/(LN(2)/2)*DW54*DZ54*VLOOKUP('Données projet'!$B$14,Paramètres!$A$1:$I$88,3,0)*0.475*44/12</f>
        <v>0</v>
      </c>
      <c r="ED54" s="24">
        <f t="shared" si="18"/>
        <v>114.03830113920792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31</v>
      </c>
      <c r="EJ54" s="13">
        <f>IF('Données projet'!$A$192&gt;35,EJ53+EI54-ER53,IF(A54&lt;'Données projet'!$A$192,$EG$205^A54,IF(A54='Données projet'!$A$192,'Données projet'!$B$192,EJ53+EI54-ER53)))</f>
        <v>773</v>
      </c>
      <c r="EK54" s="18">
        <f>EJ54*VLOOKUP('Données projet'!$B$15,Paramètres!$A$1:$I$88,3,0)*VLOOKUP('Données projet'!$B$15,Paramètres!$A$1:$I$88,5,0)</f>
        <v>341.666</v>
      </c>
      <c r="EL54" s="14">
        <f t="shared" si="45"/>
        <v>79.84405458764067</v>
      </c>
      <c r="EM54" s="22">
        <f t="shared" si="19"/>
        <v>734.13001174014073</v>
      </c>
      <c r="EN54" s="62">
        <f t="shared" si="20"/>
        <v>989.91389214338756</v>
      </c>
      <c r="EO54" s="62">
        <f ca="1">AVERAGE(OFFSET($EN$3,0,0,'Données projet'!$E$15+1,1))-AVERAGE(OFFSET($H$3,0,0,'Données projet'!$E$15+1,1))</f>
        <v>582.26951914082088</v>
      </c>
      <c r="EP54" s="62">
        <f t="shared" si="46"/>
        <v>434.80429932654715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projet'!$B$15,Paramètres!$A$1:$I$88,3,0)*0.475*44/12</f>
        <v>36.529253677323986</v>
      </c>
      <c r="EW54" s="23">
        <f>EXP(-LN(2)/25)*EW53+(1-EXP(-LN(2)/25))/(LN(2)/25)*Calculateur!ER54*Calculateur!ET54*VLOOKUP('Données projet'!$B$15,Paramètres!$A$1:$I$88,3,0)*0.475*44/12</f>
        <v>84.257390367366071</v>
      </c>
      <c r="EX54" s="23">
        <f>EXP(-LN(2)/2)*EX53+(1-EXP(-LN(2)/2))/(LN(2)/2)*ER54*EU54*VLOOKUP('Données projet'!$B$15,Paramètres!$A$1:$I$88,3,0)*0.475*44/12</f>
        <v>0</v>
      </c>
      <c r="EY54" s="24">
        <f t="shared" si="21"/>
        <v>120.78664404469006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22.7</v>
      </c>
      <c r="FE54" s="13">
        <f>IF('Données projet'!$A$218&gt;35,FE53+FD54-FM53,IF(A54&lt;'Données projet'!$A$218,$FB$205^A54,IF(A54='Données projet'!$A$218,'Données projet'!$B$218,FE53+FD54-FM53)))</f>
        <v>311.69999999999976</v>
      </c>
      <c r="FF54" s="18">
        <f>FE54*VLOOKUP('Données projet'!$B$16,Paramètres!$A$1:$I$88,3,0)*VLOOKUP('Données projet'!$B$16,Paramètres!$A$1:$I$88,5,0)</f>
        <v>145.87559999999988</v>
      </c>
      <c r="FG54" s="14">
        <f t="shared" si="47"/>
        <v>37.639785440563593</v>
      </c>
      <c r="FH54" s="22">
        <f t="shared" si="22"/>
        <v>319.62262964231468</v>
      </c>
      <c r="FI54" s="62">
        <f t="shared" si="23"/>
        <v>575.4065100455615</v>
      </c>
      <c r="FJ54" s="62">
        <f ca="1">AVERAGE(OFFSET($FI$3,0,0,'Données projet'!$E$16+1,1))-AVERAGE(OFFSET($H$3,0,0,'Données projet'!$E$16+1,1))</f>
        <v>429.87867712133851</v>
      </c>
      <c r="FK54" s="62">
        <f t="shared" si="48"/>
        <v>182.81277865988014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projet'!$B$16,Paramètres!$A$1:$I$88,3,0)*0.475*44/12</f>
        <v>0</v>
      </c>
      <c r="FR54" s="23">
        <f>EXP(-LN(2)/25)*FR53+(1-EXP(-LN(2)/25))/(LN(2)/25)*Calculateur!FM54*Calculateur!FO54*VLOOKUP('Données projet'!$B$16,Paramètres!$A$1:$I$88,3,0)*0.475*44/12</f>
        <v>52.918508251641981</v>
      </c>
      <c r="FS54" s="23">
        <f>EXP(-LN(2)/2)*FS53+(1-EXP(-LN(2)/2))/(LN(2)/2)*FM54*FP54*VLOOKUP('Données projet'!$B$16,Paramètres!$A$1:$I$88,3,0)*0.475*44/12</f>
        <v>0</v>
      </c>
      <c r="FT54" s="24">
        <f t="shared" si="24"/>
        <v>52.918508251641981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19</v>
      </c>
      <c r="FZ54" s="13">
        <f>IF('Données projet'!$A$244&gt;35,FZ53+FY54-GH53,IF(A54&lt;'Données projet'!$A$244,$FW$205^A54,IF(A54='Données projet'!$A$244,'Données projet'!$B$244,FZ53+FY54-GH53)))</f>
        <v>338.99999999999966</v>
      </c>
      <c r="GA54" s="18">
        <f>FZ54*VLOOKUP('Données projet'!$B$17,Paramètres!$A$1:$I$88,3,0)*VLOOKUP('Données projet'!$B$17,Paramètres!$A$1:$I$88,5,0)</f>
        <v>163.05899999999986</v>
      </c>
      <c r="GB54" s="14">
        <f t="shared" si="49"/>
        <v>41.531719070070807</v>
      </c>
      <c r="GC54" s="22">
        <f t="shared" si="25"/>
        <v>356.32883571370644</v>
      </c>
      <c r="GD54" s="62">
        <f t="shared" si="26"/>
        <v>612.11271611695327</v>
      </c>
      <c r="GE54" s="62">
        <f ca="1">AVERAGE(OFFSET($GD$3,0,0,'Données projet'!$E$17+1,1))-AVERAGE(OFFSET($H$3,0,0,'Données projet'!$E$17+1,1))</f>
        <v>273.24375559399846</v>
      </c>
      <c r="GF54" s="62">
        <f t="shared" si="50"/>
        <v>270.77718895097848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projet'!$B$17,Paramètres!$A$1:$I$88,3,0)*0.475*44/12</f>
        <v>27.641350069679604</v>
      </c>
      <c r="GM54" s="23">
        <f>EXP(-LN(2)/25)*GM53+(1-EXP(-LN(2)/25))/(LN(2)/25)*Calculateur!GH54*Calculateur!GJ54*VLOOKUP('Données projet'!$B$17,Paramètres!$A$1:$I$88,3,0)*0.475*44/12</f>
        <v>52.462137471387955</v>
      </c>
      <c r="GN54" s="23">
        <f>EXP(-LN(2)/2)*GN53+(1-EXP(-LN(2)/2))/(LN(2)/2)*GH54*GK54*VLOOKUP('Données projet'!$B$17,Paramètres!$A$1:$I$88,3,0)*0.475*44/12</f>
        <v>0</v>
      </c>
      <c r="GO54" s="23">
        <f t="shared" si="27"/>
        <v>80.103487541067551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17.285714285714285</v>
      </c>
      <c r="N55" s="14">
        <f>IF('Données projet'!$A$36&gt;35,N54+M55-V54,IF(A55&lt;'Données projet'!$A$36,$K$205^A55,IF(A55='Données projet'!$A$36,'Données projet'!$B$36,N54+M55-V54)))</f>
        <v>444.85714285714266</v>
      </c>
      <c r="O55" s="14">
        <f>N55*VLOOKUP('Données projet'!$B$9,Paramètres!$A$1:$I$88,3,0)*VLOOKUP('Données projet'!$B$9,Paramètres!$A$1:$I$88,5,0)</f>
        <v>248.67514285714276</v>
      </c>
      <c r="P55" s="14">
        <f t="shared" si="33"/>
        <v>60.30215496200401</v>
      </c>
      <c r="Q55" s="22">
        <f t="shared" si="53"/>
        <v>538.13546036834725</v>
      </c>
      <c r="R55" s="62">
        <f t="shared" si="0"/>
        <v>794.57073983193061</v>
      </c>
      <c r="S55" s="62">
        <f ca="1">AVERAGE(OFFSET($R$3,0,0,'Données projet'!$E$9+1,1))-AVERAGE(OFFSET($H$3,0,0,'Données projet'!$E$9+1,1))</f>
        <v>289.94242154211224</v>
      </c>
      <c r="T55" s="62">
        <f t="shared" si="34"/>
        <v>369.12599166143661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33.850448101099055</v>
      </c>
      <c r="AA55" s="23">
        <f>EXP(-LN(2)/25)*AA54+(1-EXP(-LN(2)/25))/(LN(2)/25)*Calculateur!V55*Calculateur!X55*VLOOKUP('Données projet'!$B$9,Paramètres!$A$1:$I$88,3,0)*0.475*44/12</f>
        <v>54.480342138395251</v>
      </c>
      <c r="AB55" s="23">
        <f>EXP(-LN(2)/2)*AB54+(1-EXP(-LN(2)/2))/(LN(2)/2)*V55*Y55*VLOOKUP('Données projet'!$B$9,Paramètres!$A$1:$I$88,3,0)*0.475*44/12</f>
        <v>0</v>
      </c>
      <c r="AC55" s="24">
        <f t="shared" si="3"/>
        <v>88.330790239494306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9.625</v>
      </c>
      <c r="AI55" s="14">
        <f>IF('Données projet'!$A$62&gt;35,AI54+AH55-AQ54,IF(A55&lt;'Données projet'!$A$62,$AF$205^A55,IF(A55='Données projet'!$A$62,'Données projet'!$B$62,AI54+AH55-AQ54)))</f>
        <v>185.375</v>
      </c>
      <c r="AJ55" s="14">
        <f>AI55*VLOOKUP('Données projet'!$B$10,Paramètres!$A$1:$I$88,3,0)*VLOOKUP('Données projet'!$B$10,Paramètres!$A$1:$I$88,5,0)</f>
        <v>167.72730000000001</v>
      </c>
      <c r="AK55" s="14">
        <f t="shared" si="35"/>
        <v>42.58061636127843</v>
      </c>
      <c r="AL55" s="22">
        <f t="shared" si="4"/>
        <v>366.28628766255997</v>
      </c>
      <c r="AM55" s="62">
        <f t="shared" si="5"/>
        <v>622.72156712614333</v>
      </c>
      <c r="AN55" s="62">
        <f ca="1">AVERAGE(OFFSET($AM$3,0,0,'Données projet'!$E$10+1,1))-AVERAGE(OFFSET($H$3,0,0,'Données projet'!$E$10+1,1))</f>
        <v>518.31628039365785</v>
      </c>
      <c r="AO55" s="62">
        <f t="shared" si="36"/>
        <v>66.435071953154761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2.340141810682959</v>
      </c>
      <c r="AV55" s="23">
        <f>EXP(-LN(2)/25)*AV54+(1-EXP(-LN(2)/25))/(LN(2)/25)*Calculateur!AQ55*Calculateur!AS55*VLOOKUP('Données projet'!$B$10,Paramètres!$A$1:$I$88,3,0)*0.475*44/12</f>
        <v>0</v>
      </c>
      <c r="AW55" s="23">
        <f>EXP(-LN(2)/2)*AW54+(1-EXP(-LN(2)/2))/(LN(2)/2)*AQ55*AT55*VLOOKUP('Données projet'!$B$10,Paramètres!$A$1:$I$88,3,0)*0.475*44/12</f>
        <v>0</v>
      </c>
      <c r="AX55" s="23">
        <f t="shared" si="6"/>
        <v>2.340141810682959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9.625</v>
      </c>
      <c r="BD55" s="13">
        <f>IF('Données projet'!$A$88&gt;35,BD54+BC55-BL54,IF(A55&lt;'Données projet'!$A$88,$BA$205^A55,IF(A55='Données projet'!$A$88,'Données projet'!$B$88,BD54+BC55-BL54)))</f>
        <v>185.375</v>
      </c>
      <c r="BE55" s="14">
        <f>BD55*VLOOKUP('Données projet'!$B$11,Paramètres!$A$1:$I$88,3,0)*VLOOKUP('Données projet'!$B$11,Paramètres!$A$1:$I$88,5,0)</f>
        <v>187.97025000000002</v>
      </c>
      <c r="BF55" s="14">
        <f t="shared" si="37"/>
        <v>47.090923822406729</v>
      </c>
      <c r="BG55" s="22">
        <f t="shared" si="7"/>
        <v>409.39821107402508</v>
      </c>
      <c r="BH55" s="62">
        <f t="shared" si="8"/>
        <v>665.83349053760844</v>
      </c>
      <c r="BI55" s="62">
        <f ca="1">AVERAGE(OFFSET($BH$3,0,0,'Données projet'!$E$11+1,1))-AVERAGE(OFFSET($H$3,0,0,'Données projet'!$E$11+1,1))</f>
        <v>570.2785736203931</v>
      </c>
      <c r="BJ55" s="62">
        <f t="shared" si="38"/>
        <v>67.677759965081719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2.6225727188688333</v>
      </c>
      <c r="BQ55" s="23">
        <f>EXP(-LN(2)/25)*BQ54+(1-EXP(-LN(2)/25))/(LN(2)/25)*Calculateur!BL55*Calculateur!BN55*VLOOKUP('Données projet'!$B$11,Paramètres!$A$1:$I$88,3,0)*0.475*44/12</f>
        <v>0</v>
      </c>
      <c r="BR55" s="23">
        <f>EXP(-LN(2)/2)*BR54+(1-EXP(-LN(2)/2))/(LN(2)/2)*BL55*BO55*VLOOKUP('Données projet'!$B$11,Paramètres!$A$1:$I$88,3,0)*0.475*44/12</f>
        <v>0</v>
      </c>
      <c r="BS55" s="24">
        <f t="shared" si="9"/>
        <v>2.6225727188688333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9.5374999999999943</v>
      </c>
      <c r="BY55" s="13">
        <f>IF('Données projet'!$A$114&gt;35,BY54+BX55-CG54,IF(A55&lt;'Données projet'!$A$114,$BV$205^A55,IF(A55='Données projet'!$A$114,'Données projet'!$B$114,BY54+BX55-CG54)))</f>
        <v>511.82499999999993</v>
      </c>
      <c r="BZ55" s="14">
        <f>BY55*VLOOKUP('Données projet'!$B$12,Paramètres!$A$1:$I$88,3,0)*VLOOKUP('Données projet'!$B$12,Paramètres!$A$1:$I$88,5,0)</f>
        <v>306.07135</v>
      </c>
      <c r="CA55" s="14">
        <f t="shared" si="39"/>
        <v>72.44776366650143</v>
      </c>
      <c r="CB55" s="22">
        <f t="shared" si="10"/>
        <v>659.25412296915658</v>
      </c>
      <c r="CC55" s="62">
        <f t="shared" si="11"/>
        <v>915.68940243273994</v>
      </c>
      <c r="CD55" s="62">
        <f ca="1">AVERAGE(OFFSET($CC$3,0,0,'Données projet'!$E$12+1,1))-AVERAGE(OFFSET($H$3,0,0,'Données projet'!$E$12+1,1))</f>
        <v>401.1031790385295</v>
      </c>
      <c r="CE55" s="62">
        <f t="shared" si="40"/>
        <v>402.09589424130615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projet'!$B$12,Paramètres!$A$1:$I$88,3,0)*0.475*44/12</f>
        <v>19.130339310002874</v>
      </c>
      <c r="CL55" s="23">
        <f>EXP(-LN(2)/25)*CL54+(1-EXP(-LN(2)/25))/(LN(2)/25)*Calculateur!CG55*Calculateur!CI55*VLOOKUP('Données projet'!$B$12,Paramètres!$A$1:$I$88,3,0)*0.475*44/12</f>
        <v>0</v>
      </c>
      <c r="CM55" s="23">
        <f>EXP(-LN(2)/2)*CM54+(1-EXP(-LN(2)/2))/(LN(2)/2)*CG55*CJ55*VLOOKUP('Données projet'!$B$12,Paramètres!$A$1:$I$88,3,0)*0.475*44/12</f>
        <v>1.6394407295845856</v>
      </c>
      <c r="CN55" s="24">
        <f t="shared" si="12"/>
        <v>20.769780039587459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9.5374999999999943</v>
      </c>
      <c r="CT55" s="13">
        <f>IF('Données projet'!$A$140&gt;35,CT54+CS55-DB54,IF(A55&lt;'Données projet'!$A$140,$CQ$205^A55,IF(A55='Données projet'!$A$140,'Données projet'!$B$140,CT54+CS55-DB54)))</f>
        <v>511.82499999999993</v>
      </c>
      <c r="CU55" s="18">
        <f>CT55*VLOOKUP('Données projet'!$B$13,Paramètres!$A$1:$I$88,3,0)*VLOOKUP('Données projet'!$B$13,Paramètres!$A$1:$I$88,5,0)</f>
        <v>306.07135</v>
      </c>
      <c r="CV55" s="14">
        <f t="shared" si="41"/>
        <v>72.44776366650143</v>
      </c>
      <c r="CW55" s="22">
        <f t="shared" si="13"/>
        <v>659.25412296915658</v>
      </c>
      <c r="CX55" s="62">
        <f t="shared" si="14"/>
        <v>915.68940243273994</v>
      </c>
      <c r="CY55" s="62">
        <f ca="1">AVERAGE(OFFSET($CX$3,0,0,'Données projet'!$E$13+1,1))-AVERAGE(OFFSET($H$3,0,0,'Données projet'!$E$13+1,1))</f>
        <v>401.1031790385295</v>
      </c>
      <c r="CZ55" s="62">
        <f t="shared" si="42"/>
        <v>402.09589424130615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projet'!$B$13,Paramètres!$A$1:$I$88,3,0)*0.475*44/12</f>
        <v>19.130339310002874</v>
      </c>
      <c r="DG55" s="23">
        <f>EXP(-LN(2)/25)*DG54+(1-EXP(-LN(2)/25))/(LN(2)/25)*Calculateur!DB55*Calculateur!DD55*VLOOKUP('Données projet'!$B$13,Paramètres!$A$1:$I$88,3,0)*0.475*44/12</f>
        <v>0</v>
      </c>
      <c r="DH55" s="23">
        <f>EXP(-LN(2)/2)*DH54+(1-EXP(-LN(2)/2))/(LN(2)/2)*DB55*DE55*VLOOKUP('Données projet'!$B$13,Paramètres!$A$1:$I$88,3,0)*0.475*44/12</f>
        <v>1.6394407295845856</v>
      </c>
      <c r="DI55" s="24">
        <f t="shared" si="15"/>
        <v>20.769780039587459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27.8</v>
      </c>
      <c r="DO55" s="13">
        <f>IF('Données projet'!$A$166&gt;35,DO54+DN55-DW54,IF(A55&lt;'Données projet'!$A$166,$DL$205^A55,IF(A55='Données projet'!$A$166,'Données projet'!$B$166,DO54+DN55-DW54)))</f>
        <v>594.59999999999968</v>
      </c>
      <c r="DP55" s="18">
        <f>DO55*VLOOKUP('Données projet'!$B$14,Paramètres!$A$1:$I$88,3,0)*VLOOKUP('Données projet'!$B$14,Paramètres!$A$1:$I$88,5,0)</f>
        <v>239.62379999999987</v>
      </c>
      <c r="DQ55" s="14">
        <f t="shared" si="43"/>
        <v>58.35858183113595</v>
      </c>
      <c r="DR55" s="22">
        <f t="shared" si="16"/>
        <v>518.9859816892282</v>
      </c>
      <c r="DS55" s="62">
        <f t="shared" si="17"/>
        <v>775.42126115281155</v>
      </c>
      <c r="DT55" s="62">
        <f ca="1">AVERAGE(OFFSET($DS$3,0,0,'Données projet'!$E$14+1,1))-AVERAGE(OFFSET($H$3,0,0,'Données projet'!$E$14+1,1))</f>
        <v>432.59662347701629</v>
      </c>
      <c r="DU55" s="62">
        <f t="shared" si="44"/>
        <v>348.67401091099748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projet'!$B$14,Paramètres!$A$1:$I$88,3,0)*0.475*44/12</f>
        <v>29.626920141859877</v>
      </c>
      <c r="EB55" s="23">
        <f>EXP(-LN(2)/25)*EB54+(1-EXP(-LN(2)/25))/(LN(2)/25)*Calculateur!DW55*Calculateur!DY55*VLOOKUP('Données projet'!$B$14,Paramètres!$A$1:$I$88,3,0)*0.475*44/12</f>
        <v>81.526765557601323</v>
      </c>
      <c r="EC55" s="23">
        <f>EXP(-LN(2)/2)*EC54+(1-EXP(-LN(2)/2))/(LN(2)/2)*DW55*DZ55*VLOOKUP('Données projet'!$B$14,Paramètres!$A$1:$I$88,3,0)*0.475*44/12</f>
        <v>0</v>
      </c>
      <c r="ED55" s="24">
        <f t="shared" si="18"/>
        <v>111.15368569946119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31</v>
      </c>
      <c r="EJ55" s="13">
        <f>IF('Données projet'!$A$192&gt;35,EJ54+EI55-ER54,IF(A55&lt;'Données projet'!$A$192,$EG$205^A55,IF(A55='Données projet'!$A$192,'Données projet'!$B$192,EJ54+EI55-ER54)))</f>
        <v>804</v>
      </c>
      <c r="EK55" s="18">
        <f>EJ55*VLOOKUP('Données projet'!$B$15,Paramètres!$A$1:$I$88,3,0)*VLOOKUP('Données projet'!$B$15,Paramètres!$A$1:$I$88,5,0)</f>
        <v>355.36800000000005</v>
      </c>
      <c r="EL55" s="14">
        <f t="shared" si="45"/>
        <v>82.666857134597876</v>
      </c>
      <c r="EM55" s="22">
        <f t="shared" si="19"/>
        <v>762.91070950942469</v>
      </c>
      <c r="EN55" s="62">
        <f t="shared" si="20"/>
        <v>1019.345988973008</v>
      </c>
      <c r="EO55" s="62">
        <f ca="1">AVERAGE(OFFSET($EN$3,0,0,'Données projet'!$E$15+1,1))-AVERAGE(OFFSET($H$3,0,0,'Données projet'!$E$15+1,1))</f>
        <v>582.26951914082088</v>
      </c>
      <c r="EP55" s="62">
        <f t="shared" si="46"/>
        <v>434.80429932654715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projet'!$B$15,Paramètres!$A$1:$I$88,3,0)*0.475*44/12</f>
        <v>35.812937293356377</v>
      </c>
      <c r="EW55" s="23">
        <f>EXP(-LN(2)/25)*EW54+(1-EXP(-LN(2)/25))/(LN(2)/25)*Calculateur!ER55*Calculateur!ET55*VLOOKUP('Données projet'!$B$15,Paramètres!$A$1:$I$88,3,0)*0.475*44/12</f>
        <v>81.953367596866855</v>
      </c>
      <c r="EX55" s="23">
        <f>EXP(-LN(2)/2)*EX54+(1-EXP(-LN(2)/2))/(LN(2)/2)*ER55*EU55*VLOOKUP('Données projet'!$B$15,Paramètres!$A$1:$I$88,3,0)*0.475*44/12</f>
        <v>0</v>
      </c>
      <c r="EY55" s="24">
        <f t="shared" si="21"/>
        <v>117.76630489022324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22.7</v>
      </c>
      <c r="FE55" s="13">
        <f>IF('Données projet'!$A$218&gt;35,FE54+FD55-FM54,IF(A55&lt;'Données projet'!$A$218,$FB$205^A55,IF(A55='Données projet'!$A$218,'Données projet'!$B$218,FE54+FD55-FM54)))</f>
        <v>334.39999999999975</v>
      </c>
      <c r="FF55" s="18">
        <f>FE55*VLOOKUP('Données projet'!$B$16,Paramètres!$A$1:$I$88,3,0)*VLOOKUP('Données projet'!$B$16,Paramètres!$A$1:$I$88,5,0)</f>
        <v>156.49919999999989</v>
      </c>
      <c r="FG55" s="14">
        <f t="shared" si="47"/>
        <v>40.051886402928353</v>
      </c>
      <c r="FH55" s="22">
        <f t="shared" si="22"/>
        <v>342.32647548509999</v>
      </c>
      <c r="FI55" s="62">
        <f t="shared" si="23"/>
        <v>598.76175494868335</v>
      </c>
      <c r="FJ55" s="62">
        <f ca="1">AVERAGE(OFFSET($FI$3,0,0,'Données projet'!$E$16+1,1))-AVERAGE(OFFSET($H$3,0,0,'Données projet'!$E$16+1,1))</f>
        <v>429.87867712133851</v>
      </c>
      <c r="FK55" s="62">
        <f t="shared" si="48"/>
        <v>182.81277865988014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projet'!$B$16,Paramètres!$A$1:$I$88,3,0)*0.475*44/12</f>
        <v>0</v>
      </c>
      <c r="FR55" s="23">
        <f>EXP(-LN(2)/25)*FR54+(1-EXP(-LN(2)/25))/(LN(2)/25)*Calculateur!FM55*Calculateur!FO55*VLOOKUP('Données projet'!$B$16,Paramètres!$A$1:$I$88,3,0)*0.475*44/12</f>
        <v>51.47144886063743</v>
      </c>
      <c r="FS55" s="23">
        <f>EXP(-LN(2)/2)*FS54+(1-EXP(-LN(2)/2))/(LN(2)/2)*FM55*FP55*VLOOKUP('Données projet'!$B$16,Paramètres!$A$1:$I$88,3,0)*0.475*44/12</f>
        <v>0</v>
      </c>
      <c r="FT55" s="24">
        <f t="shared" si="24"/>
        <v>51.47144886063743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19</v>
      </c>
      <c r="FZ55" s="13">
        <f>IF('Données projet'!$A$244&gt;35,FZ54+FY55-GH54,IF(A55&lt;'Données projet'!$A$244,$FW$205^A55,IF(A55='Données projet'!$A$244,'Données projet'!$B$244,FZ54+FY55-GH54)))</f>
        <v>357.99999999999966</v>
      </c>
      <c r="GA55" s="18">
        <f>FZ55*VLOOKUP('Données projet'!$B$17,Paramètres!$A$1:$I$88,3,0)*VLOOKUP('Données projet'!$B$17,Paramètres!$A$1:$I$88,5,0)</f>
        <v>172.19799999999984</v>
      </c>
      <c r="GB55" s="14">
        <f t="shared" si="49"/>
        <v>43.581933801858348</v>
      </c>
      <c r="GC55" s="22">
        <f t="shared" si="25"/>
        <v>375.81671803823633</v>
      </c>
      <c r="GD55" s="62">
        <f t="shared" si="26"/>
        <v>632.25199750181969</v>
      </c>
      <c r="GE55" s="62">
        <f ca="1">AVERAGE(OFFSET($GD$3,0,0,'Données projet'!$E$17+1,1))-AVERAGE(OFFSET($H$3,0,0,'Données projet'!$E$17+1,1))</f>
        <v>273.24375559399846</v>
      </c>
      <c r="GF55" s="62">
        <f t="shared" si="50"/>
        <v>270.77718895097848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projet'!$B$17,Paramètres!$A$1:$I$88,3,0)*0.475*44/12</f>
        <v>27.099320054371987</v>
      </c>
      <c r="GM55" s="23">
        <f>EXP(-LN(2)/25)*GM54+(1-EXP(-LN(2)/25))/(LN(2)/25)*Calculateur!GH55*Calculateur!GJ55*VLOOKUP('Données projet'!$B$17,Paramètres!$A$1:$I$88,3,0)*0.475*44/12</f>
        <v>51.027557563368944</v>
      </c>
      <c r="GN55" s="23">
        <f>EXP(-LN(2)/2)*GN54+(1-EXP(-LN(2)/2))/(LN(2)/2)*GH55*GK55*VLOOKUP('Données projet'!$B$17,Paramètres!$A$1:$I$88,3,0)*0.475*44/12</f>
        <v>0</v>
      </c>
      <c r="GO55" s="23">
        <f t="shared" si="27"/>
        <v>78.126877617740931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17.285714285714285</v>
      </c>
      <c r="N56" s="14">
        <f>IF('Données projet'!$A$36&gt;35,N55+M56-V55,IF(A56&lt;'Données projet'!$A$36,$K$205^A56,IF(A56='Données projet'!$A$36,'Données projet'!$B$36,N55+M56-V55)))</f>
        <v>462.14285714285694</v>
      </c>
      <c r="O56" s="14">
        <f>N56*VLOOKUP('Données projet'!$B$9,Paramètres!$A$1:$I$88,3,0)*VLOOKUP('Données projet'!$B$9,Paramètres!$A$1:$I$88,5,0)</f>
        <v>258.33785714285705</v>
      </c>
      <c r="P56" s="14">
        <f t="shared" si="33"/>
        <v>62.367944130057822</v>
      </c>
      <c r="Q56" s="22">
        <f t="shared" si="53"/>
        <v>558.56260388366002</v>
      </c>
      <c r="R56" s="62">
        <f t="shared" si="0"/>
        <v>815.63798209019319</v>
      </c>
      <c r="S56" s="62">
        <f ca="1">AVERAGE(OFFSET($R$3,0,0,'Données projet'!$E$9+1,1))-AVERAGE(OFFSET($H$3,0,0,'Données projet'!$E$9+1,1))</f>
        <v>289.94242154211224</v>
      </c>
      <c r="T56" s="62">
        <f t="shared" si="34"/>
        <v>369.12599166143661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33.186661460571145</v>
      </c>
      <c r="AA56" s="23">
        <f>EXP(-LN(2)/25)*AA55+(1-EXP(-LN(2)/25))/(LN(2)/25)*Calculateur!V56*Calculateur!X56*VLOOKUP('Données projet'!$B$9,Paramètres!$A$1:$I$88,3,0)*0.475*44/12</f>
        <v>52.990574317624159</v>
      </c>
      <c r="AB56" s="23">
        <f>EXP(-LN(2)/2)*AB55+(1-EXP(-LN(2)/2))/(LN(2)/2)*V56*Y56*VLOOKUP('Données projet'!$B$9,Paramètres!$A$1:$I$88,3,0)*0.475*44/12</f>
        <v>0</v>
      </c>
      <c r="AC56" s="24">
        <f t="shared" si="3"/>
        <v>86.177235778195296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>
        <f>VLOOKUP(A56,'Données projet'!$A$61:$I$81,2,0)</f>
        <v>195</v>
      </c>
      <c r="AG56" s="13">
        <f>VLOOKUP(A56,'Données projet'!$A$61:$I$81,9,0)</f>
        <v>9.625</v>
      </c>
      <c r="AH56" s="13">
        <f t="array" ref="AH56">INDEX(AG:AG,MIN(IF(ISNUMBER(AG56:AG252),ROW(AG56:AG252),"")))</f>
        <v>9.625</v>
      </c>
      <c r="AI56" s="14">
        <f>IF('Données projet'!$A$62&gt;35,AI55+AH56-AQ55,IF(A56&lt;'Données projet'!$A$62,$AF$205^A56,IF(A56='Données projet'!$A$62,'Données projet'!$B$62,AI55+AH56-AQ55)))</f>
        <v>195</v>
      </c>
      <c r="AJ56" s="14">
        <f>AI56*VLOOKUP('Données projet'!$B$10,Paramètres!$A$1:$I$88,3,0)*VLOOKUP('Données projet'!$B$10,Paramètres!$A$1:$I$88,5,0)</f>
        <v>176.43600000000001</v>
      </c>
      <c r="AK56" s="14">
        <f t="shared" si="35"/>
        <v>44.52834129105058</v>
      </c>
      <c r="AL56" s="22">
        <f t="shared" si="4"/>
        <v>384.84622774857968</v>
      </c>
      <c r="AM56" s="62">
        <f t="shared" si="5"/>
        <v>641.92160595511291</v>
      </c>
      <c r="AN56" s="62">
        <f ca="1">AVERAGE(OFFSET($AM$3,0,0,'Données projet'!$E$10+1,1))-AVERAGE(OFFSET($H$3,0,0,'Données projet'!$E$10+1,1))</f>
        <v>518.31628039365785</v>
      </c>
      <c r="AO56" s="62">
        <f t="shared" si="36"/>
        <v>66.435071953154761</v>
      </c>
      <c r="AP56" s="16">
        <f>IF(ISNA(VLOOKUP(A56,'Données projet'!$A$61:$I$81,3,0)),0,VLOOKUP(A56,'Données projet'!$A$61:$I$81,3,0))</f>
        <v>6</v>
      </c>
      <c r="AQ56" s="16">
        <f>IF(ISNA(VLOOKUP(A56,'Données projet'!$A$61:$I$81,4,0)),0,VLOOKUP(A56,'Données projet'!$A$61:$I$81,4,0))</f>
        <v>45</v>
      </c>
      <c r="AR56" s="17">
        <f>IF(ISNA(VLOOKUP(A56,'Données projet'!$A$61:$I$81,5,0)),0%,VLOOKUP(A56,'Données projet'!$A$61:$I$81,5,0)*VLOOKUP('Données projet'!$B$10,Paramètres!$A$1:$I$88,7,0))</f>
        <v>0.1075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7.132863744225368</v>
      </c>
      <c r="AV56" s="23">
        <f>EXP(-LN(2)/25)*AV55+(1-EXP(-LN(2)/25))/(LN(2)/25)*Calculateur!AQ56*Calculateur!AS56*VLOOKUP('Données projet'!$B$10,Paramètres!$A$1:$I$88,3,0)*0.475*44/12</f>
        <v>0</v>
      </c>
      <c r="AW56" s="23">
        <f>EXP(-LN(2)/2)*AW55+(1-EXP(-LN(2)/2))/(LN(2)/2)*AQ56*AT56*VLOOKUP('Données projet'!$B$10,Paramètres!$A$1:$I$88,3,0)*0.475*44/12</f>
        <v>0</v>
      </c>
      <c r="AX56" s="23">
        <f t="shared" si="6"/>
        <v>7.132863744225368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>
        <f>VLOOKUP(A56,'Données projet'!$A$87:$I$107,2,0)</f>
        <v>195</v>
      </c>
      <c r="BB56" s="13">
        <f>VLOOKUP(A56,'Données projet'!$A$87:$I$107,9,0)</f>
        <v>9.625</v>
      </c>
      <c r="BC56" s="13">
        <f t="array" ref="BC56">INDEX(BB:BB,MIN(IF(ISNUMBER(BB56:BB252),ROW(BB56:BB252),"")))</f>
        <v>9.625</v>
      </c>
      <c r="BD56" s="13">
        <f>IF('Données projet'!$A$88&gt;35,BD55+BC56-BL55,IF(A56&lt;'Données projet'!$A$88,$BA$205^A56,IF(A56='Données projet'!$A$88,'Données projet'!$B$88,BD55+BC56-BL55)))</f>
        <v>195</v>
      </c>
      <c r="BE56" s="14">
        <f>BD56*VLOOKUP('Données projet'!$B$11,Paramètres!$A$1:$I$88,3,0)*VLOOKUP('Données projet'!$B$11,Paramètres!$A$1:$I$88,5,0)</f>
        <v>197.73000000000002</v>
      </c>
      <c r="BF56" s="14">
        <f t="shared" si="37"/>
        <v>49.244959487759665</v>
      </c>
      <c r="BG56" s="22">
        <f t="shared" si="7"/>
        <v>430.14805444118139</v>
      </c>
      <c r="BH56" s="62">
        <f t="shared" si="8"/>
        <v>687.22343264771462</v>
      </c>
      <c r="BI56" s="62">
        <f ca="1">AVERAGE(OFFSET($BH$3,0,0,'Données projet'!$E$11+1,1))-AVERAGE(OFFSET($H$3,0,0,'Données projet'!$E$11+1,1))</f>
        <v>570.2785736203931</v>
      </c>
      <c r="BJ56" s="62">
        <f t="shared" si="38"/>
        <v>67.677759965081719</v>
      </c>
      <c r="BK56" s="16">
        <f>IF(ISNA(VLOOKUP(A56,'Données projet'!$A$87:$I$107,3,0)),0,VLOOKUP(A56,'Données projet'!$A$87:$I$107,3,0))</f>
        <v>6</v>
      </c>
      <c r="BL56" s="16">
        <f>IF(ISNA(VLOOKUP(A56,'Données projet'!$A$87:$I$107,4,0)),0,VLOOKUP(A56,'Données projet'!$A$87:$I$107,4,0))</f>
        <v>45</v>
      </c>
      <c r="BM56" s="17">
        <f>IF(ISNA(VLOOKUP(A56,'Données projet'!$A$87:$I$107,5,0)),0%,VLOOKUP(A56,'Données projet'!$A$87:$I$107,5,0)*VLOOKUP('Données projet'!$B$11,Paramètres!$A$1:$I$88,7,0))</f>
        <v>0.1075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7.9937266099077409</v>
      </c>
      <c r="BQ56" s="23">
        <f>EXP(-LN(2)/25)*BQ55+(1-EXP(-LN(2)/25))/(LN(2)/25)*Calculateur!BL56*Calculateur!BN56*VLOOKUP('Données projet'!$B$11,Paramètres!$A$1:$I$88,3,0)*0.475*44/12</f>
        <v>0</v>
      </c>
      <c r="BR56" s="23">
        <f>EXP(-LN(2)/2)*BR55+(1-EXP(-LN(2)/2))/(LN(2)/2)*BL56*BO56*VLOOKUP('Données projet'!$B$11,Paramètres!$A$1:$I$88,3,0)*0.475*44/12</f>
        <v>0</v>
      </c>
      <c r="BS56" s="24">
        <f t="shared" si="9"/>
        <v>7.9937266099077409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9.5374999999999943</v>
      </c>
      <c r="BY56" s="13">
        <f>IF('Données projet'!$A$114&gt;35,BY55+BX56-CG55,IF(A56&lt;'Données projet'!$A$114,$BV$205^A56,IF(A56='Données projet'!$A$114,'Données projet'!$B$114,BY55+BX56-CG55)))</f>
        <v>521.36249999999995</v>
      </c>
      <c r="BZ56" s="14">
        <f>BY56*VLOOKUP('Données projet'!$B$12,Paramètres!$A$1:$I$88,3,0)*VLOOKUP('Données projet'!$B$12,Paramètres!$A$1:$I$88,5,0)</f>
        <v>311.77477499999998</v>
      </c>
      <c r="CA56" s="14">
        <f t="shared" si="39"/>
        <v>73.63935059373604</v>
      </c>
      <c r="CB56" s="22">
        <f t="shared" si="10"/>
        <v>671.26293540909012</v>
      </c>
      <c r="CC56" s="62">
        <f t="shared" si="11"/>
        <v>928.33831361562329</v>
      </c>
      <c r="CD56" s="62">
        <f ca="1">AVERAGE(OFFSET($CC$3,0,0,'Données projet'!$E$12+1,1))-AVERAGE(OFFSET($H$3,0,0,'Données projet'!$E$12+1,1))</f>
        <v>401.1031790385295</v>
      </c>
      <c r="CE56" s="62">
        <f t="shared" si="40"/>
        <v>402.09589424130615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projet'!$B$12,Paramètres!$A$1:$I$88,3,0)*0.475*44/12</f>
        <v>18.755205024488543</v>
      </c>
      <c r="CL56" s="23">
        <f>EXP(-LN(2)/25)*CL55+(1-EXP(-LN(2)/25))/(LN(2)/25)*Calculateur!CG56*Calculateur!CI56*VLOOKUP('Données projet'!$B$12,Paramètres!$A$1:$I$88,3,0)*0.475*44/12</f>
        <v>0</v>
      </c>
      <c r="CM56" s="23">
        <f>EXP(-LN(2)/2)*CM55+(1-EXP(-LN(2)/2))/(LN(2)/2)*CG56*CJ56*VLOOKUP('Données projet'!$B$12,Paramètres!$A$1:$I$88,3,0)*0.475*44/12</f>
        <v>1.1592596572426814</v>
      </c>
      <c r="CN56" s="24">
        <f t="shared" si="12"/>
        <v>19.914464681731225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9.5374999999999943</v>
      </c>
      <c r="CT56" s="13">
        <f>IF('Données projet'!$A$140&gt;35,CT55+CS56-DB55,IF(A56&lt;'Données projet'!$A$140,$CQ$205^A56,IF(A56='Données projet'!$A$140,'Données projet'!$B$140,CT55+CS56-DB55)))</f>
        <v>521.36249999999995</v>
      </c>
      <c r="CU56" s="18">
        <f>CT56*VLOOKUP('Données projet'!$B$13,Paramètres!$A$1:$I$88,3,0)*VLOOKUP('Données projet'!$B$13,Paramètres!$A$1:$I$88,5,0)</f>
        <v>311.77477499999998</v>
      </c>
      <c r="CV56" s="14">
        <f t="shared" si="41"/>
        <v>73.63935059373604</v>
      </c>
      <c r="CW56" s="22">
        <f t="shared" si="13"/>
        <v>671.26293540909012</v>
      </c>
      <c r="CX56" s="62">
        <f t="shared" si="14"/>
        <v>928.33831361562329</v>
      </c>
      <c r="CY56" s="62">
        <f ca="1">AVERAGE(OFFSET($CX$3,0,0,'Données projet'!$E$13+1,1))-AVERAGE(OFFSET($H$3,0,0,'Données projet'!$E$13+1,1))</f>
        <v>401.1031790385295</v>
      </c>
      <c r="CZ56" s="62">
        <f t="shared" si="42"/>
        <v>402.09589424130615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projet'!$B$13,Paramètres!$A$1:$I$88,3,0)*0.475*44/12</f>
        <v>18.755205024488543</v>
      </c>
      <c r="DG56" s="23">
        <f>EXP(-LN(2)/25)*DG55+(1-EXP(-LN(2)/25))/(LN(2)/25)*Calculateur!DB56*Calculateur!DD56*VLOOKUP('Données projet'!$B$13,Paramètres!$A$1:$I$88,3,0)*0.475*44/12</f>
        <v>0</v>
      </c>
      <c r="DH56" s="23">
        <f>EXP(-LN(2)/2)*DH55+(1-EXP(-LN(2)/2))/(LN(2)/2)*DB56*DE56*VLOOKUP('Données projet'!$B$13,Paramètres!$A$1:$I$88,3,0)*0.475*44/12</f>
        <v>1.1592596572426814</v>
      </c>
      <c r="DI56" s="24">
        <f t="shared" si="15"/>
        <v>19.914464681731225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27.8</v>
      </c>
      <c r="DO56" s="13">
        <f>IF('Données projet'!$A$166&gt;35,DO55+DN56-DW55,IF(A56&lt;'Données projet'!$A$166,$DL$205^A56,IF(A56='Données projet'!$A$166,'Données projet'!$B$166,DO55+DN56-DW55)))</f>
        <v>622.39999999999964</v>
      </c>
      <c r="DP56" s="18">
        <f>DO56*VLOOKUP('Données projet'!$B$14,Paramètres!$A$1:$I$88,3,0)*VLOOKUP('Données projet'!$B$14,Paramètres!$A$1:$I$88,5,0)</f>
        <v>250.82719999999983</v>
      </c>
      <c r="DQ56" s="14">
        <f t="shared" si="43"/>
        <v>60.763039213598908</v>
      </c>
      <c r="DR56" s="22">
        <f t="shared" si="16"/>
        <v>542.68633329701777</v>
      </c>
      <c r="DS56" s="62">
        <f t="shared" si="17"/>
        <v>799.76171150355094</v>
      </c>
      <c r="DT56" s="62">
        <f ca="1">AVERAGE(OFFSET($DS$3,0,0,'Données projet'!$E$14+1,1))-AVERAGE(OFFSET($H$3,0,0,'Données projet'!$E$14+1,1))</f>
        <v>432.59662347701629</v>
      </c>
      <c r="DU56" s="62">
        <f t="shared" si="44"/>
        <v>348.67401091099748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projet'!$B$14,Paramètres!$A$1:$I$88,3,0)*0.475*44/12</f>
        <v>29.045954308514965</v>
      </c>
      <c r="EB56" s="23">
        <f>EXP(-LN(2)/25)*EB55+(1-EXP(-LN(2)/25))/(LN(2)/25)*Calculateur!DW56*Calculateur!DY56*VLOOKUP('Données projet'!$B$14,Paramètres!$A$1:$I$88,3,0)*0.475*44/12</f>
        <v>79.297411866122445</v>
      </c>
      <c r="EC56" s="23">
        <f>EXP(-LN(2)/2)*EC55+(1-EXP(-LN(2)/2))/(LN(2)/2)*DW56*DZ56*VLOOKUP('Données projet'!$B$14,Paramètres!$A$1:$I$88,3,0)*0.475*44/12</f>
        <v>0</v>
      </c>
      <c r="ED56" s="24">
        <f t="shared" si="18"/>
        <v>108.34336617463741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31</v>
      </c>
      <c r="EJ56" s="13">
        <f>IF('Données projet'!$A$192&gt;35,EJ55+EI56-ER55,IF(A56&lt;'Données projet'!$A$192,$EG$205^A56,IF(A56='Données projet'!$A$192,'Données projet'!$B$192,EJ55+EI56-ER55)))</f>
        <v>835</v>
      </c>
      <c r="EK56" s="18">
        <f>EJ56*VLOOKUP('Données projet'!$B$15,Paramètres!$A$1:$I$88,3,0)*VLOOKUP('Données projet'!$B$15,Paramètres!$A$1:$I$88,5,0)</f>
        <v>369.07000000000005</v>
      </c>
      <c r="EL56" s="14">
        <f t="shared" si="45"/>
        <v>85.477015853186089</v>
      </c>
      <c r="EM56" s="22">
        <f t="shared" si="19"/>
        <v>791.66938594429928</v>
      </c>
      <c r="EN56" s="62">
        <f t="shared" si="20"/>
        <v>1048.7447641508325</v>
      </c>
      <c r="EO56" s="62">
        <f ca="1">AVERAGE(OFFSET($EN$3,0,0,'Données projet'!$E$15+1,1))-AVERAGE(OFFSET($H$3,0,0,'Données projet'!$E$15+1,1))</f>
        <v>582.26951914082088</v>
      </c>
      <c r="EP56" s="62">
        <f t="shared" si="46"/>
        <v>434.80429932654715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projet'!$B$15,Paramètres!$A$1:$I$88,3,0)*0.475*44/12</f>
        <v>35.110667436768516</v>
      </c>
      <c r="EW56" s="23">
        <f>EXP(-LN(2)/25)*EW55+(1-EXP(-LN(2)/25))/(LN(2)/25)*Calculateur!ER56*Calculateur!ET56*VLOOKUP('Données projet'!$B$15,Paramètres!$A$1:$I$88,3,0)*0.475*44/12</f>
        <v>79.712348450190234</v>
      </c>
      <c r="EX56" s="23">
        <f>EXP(-LN(2)/2)*EX55+(1-EXP(-LN(2)/2))/(LN(2)/2)*ER56*EU56*VLOOKUP('Données projet'!$B$15,Paramètres!$A$1:$I$88,3,0)*0.475*44/12</f>
        <v>0</v>
      </c>
      <c r="EY56" s="24">
        <f t="shared" si="21"/>
        <v>114.82301588695876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22.7</v>
      </c>
      <c r="FE56" s="13">
        <f>IF('Données projet'!$A$218&gt;35,FE55+FD56-FM55,IF(A56&lt;'Données projet'!$A$218,$FB$205^A56,IF(A56='Données projet'!$A$218,'Données projet'!$B$218,FE55+FD56-FM55)))</f>
        <v>357.09999999999974</v>
      </c>
      <c r="FF56" s="18">
        <f>FE56*VLOOKUP('Données projet'!$B$16,Paramètres!$A$1:$I$88,3,0)*VLOOKUP('Données projet'!$B$16,Paramètres!$A$1:$I$88,5,0)</f>
        <v>167.12279999999987</v>
      </c>
      <c r="FG56" s="14">
        <f t="shared" si="47"/>
        <v>42.444987720629342</v>
      </c>
      <c r="FH56" s="22">
        <f t="shared" si="22"/>
        <v>364.99723028009589</v>
      </c>
      <c r="FI56" s="62">
        <f t="shared" si="23"/>
        <v>622.07260848662918</v>
      </c>
      <c r="FJ56" s="62">
        <f ca="1">AVERAGE(OFFSET($FI$3,0,0,'Données projet'!$E$16+1,1))-AVERAGE(OFFSET($H$3,0,0,'Données projet'!$E$16+1,1))</f>
        <v>429.87867712133851</v>
      </c>
      <c r="FK56" s="62">
        <f t="shared" si="48"/>
        <v>182.81277865988014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projet'!$B$16,Paramètres!$A$1:$I$88,3,0)*0.475*44/12</f>
        <v>0</v>
      </c>
      <c r="FR56" s="23">
        <f>EXP(-LN(2)/25)*FR55+(1-EXP(-LN(2)/25))/(LN(2)/25)*Calculateur!FM56*Calculateur!FO56*VLOOKUP('Données projet'!$B$16,Paramètres!$A$1:$I$88,3,0)*0.475*44/12</f>
        <v>50.063959384777441</v>
      </c>
      <c r="FS56" s="23">
        <f>EXP(-LN(2)/2)*FS55+(1-EXP(-LN(2)/2))/(LN(2)/2)*FM56*FP56*VLOOKUP('Données projet'!$B$16,Paramètres!$A$1:$I$88,3,0)*0.475*44/12</f>
        <v>0</v>
      </c>
      <c r="FT56" s="24">
        <f t="shared" si="24"/>
        <v>50.063959384777441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19</v>
      </c>
      <c r="FZ56" s="13">
        <f>IF('Données projet'!$A$244&gt;35,FZ55+FY56-GH55,IF(A56&lt;'Données projet'!$A$244,$FW$205^A56,IF(A56='Données projet'!$A$244,'Données projet'!$B$244,FZ55+FY56-GH55)))</f>
        <v>376.99999999999966</v>
      </c>
      <c r="GA56" s="18">
        <f>FZ56*VLOOKUP('Données projet'!$B$17,Paramètres!$A$1:$I$88,3,0)*VLOOKUP('Données projet'!$B$17,Paramètres!$A$1:$I$88,5,0)</f>
        <v>181.33699999999985</v>
      </c>
      <c r="GB56" s="14">
        <f t="shared" si="49"/>
        <v>45.619515797804446</v>
      </c>
      <c r="GC56" s="22">
        <f t="shared" si="25"/>
        <v>395.2825983478424</v>
      </c>
      <c r="GD56" s="62">
        <f t="shared" si="26"/>
        <v>652.35797655437568</v>
      </c>
      <c r="GE56" s="62">
        <f ca="1">AVERAGE(OFFSET($GD$3,0,0,'Données projet'!$E$17+1,1))-AVERAGE(OFFSET($H$3,0,0,'Données projet'!$E$17+1,1))</f>
        <v>273.24375559399846</v>
      </c>
      <c r="GF56" s="62">
        <f t="shared" si="50"/>
        <v>270.77718895097848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projet'!$B$17,Paramètres!$A$1:$I$88,3,0)*0.475*44/12</f>
        <v>26.567918917058886</v>
      </c>
      <c r="GM56" s="23">
        <f>EXP(-LN(2)/25)*GM55+(1-EXP(-LN(2)/25))/(LN(2)/25)*Calculateur!GH56*Calculateur!GJ56*VLOOKUP('Données projet'!$B$17,Paramètres!$A$1:$I$88,3,0)*0.475*44/12</f>
        <v>49.632206318375992</v>
      </c>
      <c r="GN56" s="23">
        <f>EXP(-LN(2)/2)*GN55+(1-EXP(-LN(2)/2))/(LN(2)/2)*GH56*GK56*VLOOKUP('Données projet'!$B$17,Paramètres!$A$1:$I$88,3,0)*0.475*44/12</f>
        <v>0</v>
      </c>
      <c r="GO56" s="23">
        <f t="shared" si="27"/>
        <v>76.200125235434882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17.285714285714285</v>
      </c>
      <c r="N57" s="14">
        <f>IF('Données projet'!$A$36&gt;35,N56+M57-V56,IF(A57&lt;'Données projet'!$A$36,$K$205^A57,IF(A57='Données projet'!$A$36,'Données projet'!$B$36,N56+M57-V56)))</f>
        <v>479.42857142857122</v>
      </c>
      <c r="O57" s="14">
        <f>N57*VLOOKUP('Données projet'!$B$9,Paramètres!$A$1:$I$88,3,0)*VLOOKUP('Données projet'!$B$9,Paramètres!$A$1:$I$88,5,0)</f>
        <v>268.00057142857128</v>
      </c>
      <c r="P57" s="14">
        <f t="shared" si="33"/>
        <v>64.42475669606354</v>
      </c>
      <c r="Q57" s="22">
        <f t="shared" si="53"/>
        <v>578.97411315040551</v>
      </c>
      <c r="R57" s="62">
        <f t="shared" si="0"/>
        <v>836.67848581774479</v>
      </c>
      <c r="S57" s="62">
        <f ca="1">AVERAGE(OFFSET($R$3,0,0,'Données projet'!$E$9+1,1))-AVERAGE(OFFSET($H$3,0,0,'Données projet'!$E$9+1,1))</f>
        <v>289.94242154211224</v>
      </c>
      <c r="T57" s="62">
        <f t="shared" si="34"/>
        <v>369.12599166143661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32.535891271194117</v>
      </c>
      <c r="AA57" s="23">
        <f>EXP(-LN(2)/25)*AA56+(1-EXP(-LN(2)/25))/(LN(2)/25)*Calculateur!V57*Calculateur!X57*VLOOKUP('Données projet'!$B$9,Paramètres!$A$1:$I$88,3,0)*0.475*44/12</f>
        <v>51.541544276255536</v>
      </c>
      <c r="AB57" s="23">
        <f>EXP(-LN(2)/2)*AB56+(1-EXP(-LN(2)/2))/(LN(2)/2)*V57*Y57*VLOOKUP('Données projet'!$B$9,Paramètres!$A$1:$I$88,3,0)*0.475*44/12</f>
        <v>0</v>
      </c>
      <c r="AC57" s="24">
        <f t="shared" si="3"/>
        <v>84.077435547449653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8.5</v>
      </c>
      <c r="AI57" s="14">
        <f>IF('Données projet'!$A$62&gt;35,AI56+AH57-AQ56,IF(A57&lt;'Données projet'!$A$62,$AF$205^A57,IF(A57='Données projet'!$A$62,'Données projet'!$B$62,AI56+AH57-AQ56)))</f>
        <v>158.5</v>
      </c>
      <c r="AJ57" s="14">
        <f>AI57*VLOOKUP('Données projet'!$B$10,Paramètres!$A$1:$I$88,3,0)*VLOOKUP('Données projet'!$B$10,Paramètres!$A$1:$I$88,5,0)</f>
        <v>143.41079999999999</v>
      </c>
      <c r="AK57" s="14">
        <f t="shared" si="35"/>
        <v>37.07727388235331</v>
      </c>
      <c r="AL57" s="22">
        <f t="shared" si="4"/>
        <v>314.35006201176537</v>
      </c>
      <c r="AM57" s="62">
        <f t="shared" si="5"/>
        <v>572.0544346791047</v>
      </c>
      <c r="AN57" s="62">
        <f ca="1">AVERAGE(OFFSET($AM$3,0,0,'Données projet'!$E$10+1,1))-AVERAGE(OFFSET($H$3,0,0,'Données projet'!$E$10+1,1))</f>
        <v>518.31628039365785</v>
      </c>
      <c r="AO57" s="62">
        <f t="shared" si="36"/>
        <v>66.435071953154761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6.9929926368184043</v>
      </c>
      <c r="AV57" s="23">
        <f>EXP(-LN(2)/25)*AV56+(1-EXP(-LN(2)/25))/(LN(2)/25)*Calculateur!AQ57*Calculateur!AS57*VLOOKUP('Données projet'!$B$10,Paramètres!$A$1:$I$88,3,0)*0.475*44/12</f>
        <v>0</v>
      </c>
      <c r="AW57" s="23">
        <f>EXP(-LN(2)/2)*AW56+(1-EXP(-LN(2)/2))/(LN(2)/2)*AQ57*AT57*VLOOKUP('Données projet'!$B$10,Paramètres!$A$1:$I$88,3,0)*0.475*44/12</f>
        <v>0</v>
      </c>
      <c r="AX57" s="23">
        <f t="shared" si="6"/>
        <v>6.9929926368184043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8.5</v>
      </c>
      <c r="BD57" s="13">
        <f>IF('Données projet'!$A$88&gt;35,BD56+BC57-BL56,IF(A57&lt;'Données projet'!$A$88,$BA$205^A57,IF(A57='Données projet'!$A$88,'Données projet'!$B$88,BD56+BC57-BL56)))</f>
        <v>158.5</v>
      </c>
      <c r="BE57" s="14">
        <f>BD57*VLOOKUP('Données projet'!$B$11,Paramètres!$A$1:$I$88,3,0)*VLOOKUP('Données projet'!$B$11,Paramètres!$A$1:$I$88,5,0)</f>
        <v>160.71900000000002</v>
      </c>
      <c r="BF57" s="14">
        <f t="shared" si="37"/>
        <v>41.004645520447994</v>
      </c>
      <c r="BG57" s="22">
        <f t="shared" si="7"/>
        <v>351.33534928144695</v>
      </c>
      <c r="BH57" s="62">
        <f t="shared" si="8"/>
        <v>609.03972194878634</v>
      </c>
      <c r="BI57" s="62">
        <f ca="1">AVERAGE(OFFSET($BH$3,0,0,'Données projet'!$E$11+1,1))-AVERAGE(OFFSET($H$3,0,0,'Données projet'!$E$11+1,1))</f>
        <v>570.2785736203931</v>
      </c>
      <c r="BJ57" s="62">
        <f t="shared" si="38"/>
        <v>67.677759965081719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7.8369745067792476</v>
      </c>
      <c r="BQ57" s="23">
        <f>EXP(-LN(2)/25)*BQ56+(1-EXP(-LN(2)/25))/(LN(2)/25)*Calculateur!BL57*Calculateur!BN57*VLOOKUP('Données projet'!$B$11,Paramètres!$A$1:$I$88,3,0)*0.475*44/12</f>
        <v>0</v>
      </c>
      <c r="BR57" s="23">
        <f>EXP(-LN(2)/2)*BR56+(1-EXP(-LN(2)/2))/(LN(2)/2)*BL57*BO57*VLOOKUP('Données projet'!$B$11,Paramètres!$A$1:$I$88,3,0)*0.475*44/12</f>
        <v>0</v>
      </c>
      <c r="BS57" s="24">
        <f t="shared" si="9"/>
        <v>7.8369745067792476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>
        <f>VLOOKUP(A57,'Données projet'!$A$113:$I$133,2,0)</f>
        <v>530.9</v>
      </c>
      <c r="BW57" s="13">
        <f>VLOOKUP(A57,'Données projet'!$A$113:$I$133,9,0)</f>
        <v>9.5374999999999943</v>
      </c>
      <c r="BX57" s="13">
        <f t="array" ref="BX57">INDEX(BW:BW,MIN(IF(ISNUMBER(BW57:BW253),ROW(BW57:BW253),"")))</f>
        <v>9.5374999999999943</v>
      </c>
      <c r="BY57" s="13">
        <f>IF('Données projet'!$A$114&gt;35,BY56+BX57-CG56,IF(A57&lt;'Données projet'!$A$114,$BV$205^A57,IF(A57='Données projet'!$A$114,'Données projet'!$B$114,BY56+BX57-CG56)))</f>
        <v>530.9</v>
      </c>
      <c r="BZ57" s="14">
        <f>BY57*VLOOKUP('Données projet'!$B$12,Paramètres!$A$1:$I$88,3,0)*VLOOKUP('Données projet'!$B$12,Paramètres!$A$1:$I$88,5,0)</f>
        <v>317.47820000000002</v>
      </c>
      <c r="CA57" s="14">
        <f t="shared" si="39"/>
        <v>74.828402761364515</v>
      </c>
      <c r="CB57" s="22">
        <f t="shared" si="10"/>
        <v>683.26733314270984</v>
      </c>
      <c r="CC57" s="62">
        <f t="shared" si="11"/>
        <v>940.97170581004912</v>
      </c>
      <c r="CD57" s="62">
        <f ca="1">AVERAGE(OFFSET($CC$3,0,0,'Données projet'!$E$12+1,1))-AVERAGE(OFFSET($H$3,0,0,'Données projet'!$E$12+1,1))</f>
        <v>401.1031790385295</v>
      </c>
      <c r="CE57" s="62">
        <f t="shared" si="40"/>
        <v>402.09589424130615</v>
      </c>
      <c r="CF57" s="16">
        <f>IF(ISNA(VLOOKUP(A57,'Données projet'!$A$113:$I$133,3,0)),0,VLOOKUP(A57,'Données projet'!$A$113:$I$133,3,0))</f>
        <v>8</v>
      </c>
      <c r="CG57" s="16">
        <f>IF(ISNA(VLOOKUP(A57,'Données projet'!$A$113:$I$133,4,0)),0,VLOOKUP(A57,'Données projet'!$A$113:$I$133,4,0))</f>
        <v>15.6</v>
      </c>
      <c r="CH57" s="17">
        <f>IF(ISNA(VLOOKUP(A57,'Données projet'!$A$113:$I$133,5,0)),0%,VLOOKUP(A57,'Données projet'!$A$113:$I$133,5,0)*VLOOKUP('Données projet'!$B$12,Paramètres!$A$1:$I$88,7,0))</f>
        <v>0.27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0.4</v>
      </c>
      <c r="CK57" s="23">
        <f>EXP(-LN(2)/35)*CK56+(1-EXP(-LN(2)/35))/(LN(2)/35)*CG57*CH57*VLOOKUP('Données projet'!$B$12,Paramètres!$A$1:$I$88,3,0)*0.475*44/12</f>
        <v>21.728745606318007</v>
      </c>
      <c r="CL57" s="23">
        <f>EXP(-LN(2)/25)*CL56+(1-EXP(-LN(2)/25))/(LN(2)/25)*Calculateur!CG57*Calculateur!CI57*VLOOKUP('Données projet'!$B$12,Paramètres!$A$1:$I$88,3,0)*0.475*44/12</f>
        <v>0</v>
      </c>
      <c r="CM57" s="23">
        <f>EXP(-LN(2)/2)*CM56+(1-EXP(-LN(2)/2))/(LN(2)/2)*CG57*CJ57*VLOOKUP('Données projet'!$B$12,Paramètres!$A$1:$I$88,3,0)*0.475*44/12</f>
        <v>5.0446678276582508</v>
      </c>
      <c r="CN57" s="24">
        <f t="shared" si="12"/>
        <v>26.773413433976259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>
        <f>VLOOKUP(A57,'Données projet'!$A$139:$I$159,2,0)</f>
        <v>530.9</v>
      </c>
      <c r="CR57" s="13">
        <f>VLOOKUP(A57,'Données projet'!$A$139:$I$159,9,0)</f>
        <v>9.5374999999999943</v>
      </c>
      <c r="CS57" s="13">
        <f t="array" ref="CS57">INDEX(CR:CR,MIN(IF(ISNUMBER(CR57:CR253),ROW(CR57:CR253),"")))</f>
        <v>9.5374999999999943</v>
      </c>
      <c r="CT57" s="13">
        <f>IF('Données projet'!$A$140&gt;35,CT56+CS57-DB56,IF(A57&lt;'Données projet'!$A$140,$CQ$205^A57,IF(A57='Données projet'!$A$140,'Données projet'!$B$140,CT56+CS57-DB56)))</f>
        <v>530.9</v>
      </c>
      <c r="CU57" s="18">
        <f>CT57*VLOOKUP('Données projet'!$B$13,Paramètres!$A$1:$I$88,3,0)*VLOOKUP('Données projet'!$B$13,Paramètres!$A$1:$I$88,5,0)</f>
        <v>317.47820000000002</v>
      </c>
      <c r="CV57" s="14">
        <f t="shared" si="41"/>
        <v>74.828402761364515</v>
      </c>
      <c r="CW57" s="22">
        <f t="shared" si="13"/>
        <v>683.26733314270984</v>
      </c>
      <c r="CX57" s="62">
        <f t="shared" si="14"/>
        <v>940.97170581004912</v>
      </c>
      <c r="CY57" s="62">
        <f ca="1">AVERAGE(OFFSET($CX$3,0,0,'Données projet'!$E$13+1,1))-AVERAGE(OFFSET($H$3,0,0,'Données projet'!$E$13+1,1))</f>
        <v>401.1031790385295</v>
      </c>
      <c r="CZ57" s="62">
        <f t="shared" si="42"/>
        <v>402.09589424130615</v>
      </c>
      <c r="DA57" s="16">
        <f>IF(ISNA(VLOOKUP(A57,'Données projet'!$A$139:$I$159,3,0)),0,VLOOKUP(A57,'Données projet'!$A$139:$I$159,3,0))</f>
        <v>8</v>
      </c>
      <c r="DB57" s="16">
        <f>IF(ISNA(VLOOKUP(A57,'Données projet'!$A$139:$I$159,4,0)),0,VLOOKUP(A57,'Données projet'!$A$139:$I$159,4,0))</f>
        <v>15.6</v>
      </c>
      <c r="DC57" s="17">
        <f>IF(ISNA(VLOOKUP(A57,'Données projet'!$A$139:$I$159,5,0)),0%,VLOOKUP(A57,'Données projet'!$A$139:$I$159,5,0)*VLOOKUP('Données projet'!$B$13,Paramètres!$A$1:$I$88,7,0))</f>
        <v>0.27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0.4</v>
      </c>
      <c r="DF57" s="23">
        <f>EXP(-LN(2)/35)*DF56+(1-EXP(-LN(2)/35))/(LN(2)/35)*DB57*DC57*VLOOKUP('Données projet'!$B$13,Paramètres!$A$1:$I$88,3,0)*0.475*44/12</f>
        <v>21.728745606318007</v>
      </c>
      <c r="DG57" s="23">
        <f>EXP(-LN(2)/25)*DG56+(1-EXP(-LN(2)/25))/(LN(2)/25)*Calculateur!DB57*Calculateur!DD57*VLOOKUP('Données projet'!$B$13,Paramètres!$A$1:$I$88,3,0)*0.475*44/12</f>
        <v>0</v>
      </c>
      <c r="DH57" s="23">
        <f>EXP(-LN(2)/2)*DH56+(1-EXP(-LN(2)/2))/(LN(2)/2)*DB57*DE57*VLOOKUP('Données projet'!$B$13,Paramètres!$A$1:$I$88,3,0)*0.475*44/12</f>
        <v>5.0446678276582508</v>
      </c>
      <c r="DI57" s="24">
        <f t="shared" si="15"/>
        <v>26.773413433976259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27.8</v>
      </c>
      <c r="DO57" s="13">
        <f>IF('Données projet'!$A$166&gt;35,DO56+DN57-DW56,IF(A57&lt;'Données projet'!$A$166,$DL$205^A57,IF(A57='Données projet'!$A$166,'Données projet'!$B$166,DO56+DN57-DW56)))</f>
        <v>650.19999999999959</v>
      </c>
      <c r="DP57" s="18">
        <f>DO57*VLOOKUP('Données projet'!$B$14,Paramètres!$A$1:$I$88,3,0)*VLOOKUP('Données projet'!$B$14,Paramètres!$A$1:$I$88,5,0)</f>
        <v>262.03059999999982</v>
      </c>
      <c r="DQ57" s="14">
        <f t="shared" si="43"/>
        <v>63.155023642413013</v>
      </c>
      <c r="DR57" s="22">
        <f t="shared" si="16"/>
        <v>566.3649611772023</v>
      </c>
      <c r="DS57" s="62">
        <f t="shared" si="17"/>
        <v>824.06933384454169</v>
      </c>
      <c r="DT57" s="62">
        <f ca="1">AVERAGE(OFFSET($DS$3,0,0,'Données projet'!$E$14+1,1))-AVERAGE(OFFSET($H$3,0,0,'Données projet'!$E$14+1,1))</f>
        <v>432.59662347701629</v>
      </c>
      <c r="DU57" s="62">
        <f t="shared" si="44"/>
        <v>348.67401091099748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projet'!$B$14,Paramètres!$A$1:$I$88,3,0)*0.475*44/12</f>
        <v>28.476380860807776</v>
      </c>
      <c r="EB57" s="23">
        <f>EXP(-LN(2)/25)*EB56+(1-EXP(-LN(2)/25))/(LN(2)/25)*Calculateur!DW57*Calculateur!DY57*VLOOKUP('Données projet'!$B$14,Paramètres!$A$1:$I$88,3,0)*0.475*44/12</f>
        <v>77.129019968573672</v>
      </c>
      <c r="EC57" s="23">
        <f>EXP(-LN(2)/2)*EC56+(1-EXP(-LN(2)/2))/(LN(2)/2)*DW57*DZ57*VLOOKUP('Données projet'!$B$14,Paramètres!$A$1:$I$88,3,0)*0.475*44/12</f>
        <v>0</v>
      </c>
      <c r="ED57" s="24">
        <f t="shared" si="18"/>
        <v>105.60540082938145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31</v>
      </c>
      <c r="EJ57" s="13">
        <f>IF('Données projet'!$A$192&gt;35,EJ56+EI57-ER56,IF(A57&lt;'Données projet'!$A$192,$EG$205^A57,IF(A57='Données projet'!$A$192,'Données projet'!$B$192,EJ56+EI57-ER56)))</f>
        <v>866</v>
      </c>
      <c r="EK57" s="18">
        <f>EJ57*VLOOKUP('Données projet'!$B$15,Paramètres!$A$1:$I$88,3,0)*VLOOKUP('Données projet'!$B$15,Paramètres!$A$1:$I$88,5,0)</f>
        <v>382.77199999999999</v>
      </c>
      <c r="EL57" s="14">
        <f t="shared" si="45"/>
        <v>88.275053908372115</v>
      </c>
      <c r="EM57" s="22">
        <f t="shared" si="19"/>
        <v>820.40695222374814</v>
      </c>
      <c r="EN57" s="62">
        <f t="shared" si="20"/>
        <v>1078.1113248910874</v>
      </c>
      <c r="EO57" s="62">
        <f ca="1">AVERAGE(OFFSET($EN$3,0,0,'Données projet'!$E$15+1,1))-AVERAGE(OFFSET($H$3,0,0,'Données projet'!$E$15+1,1))</f>
        <v>582.26951914082088</v>
      </c>
      <c r="EP57" s="62">
        <f t="shared" si="46"/>
        <v>434.80429932654715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projet'!$B$15,Paramètres!$A$1:$I$88,3,0)*0.475*44/12</f>
        <v>34.422168663726026</v>
      </c>
      <c r="EW57" s="23">
        <f>EXP(-LN(2)/25)*EW56+(1-EXP(-LN(2)/25))/(LN(2)/25)*Calculateur!ER57*Calculateur!ET57*VLOOKUP('Données projet'!$B$15,Paramètres!$A$1:$I$88,3,0)*0.475*44/12</f>
        <v>77.532610089929562</v>
      </c>
      <c r="EX57" s="23">
        <f>EXP(-LN(2)/2)*EX56+(1-EXP(-LN(2)/2))/(LN(2)/2)*ER57*EU57*VLOOKUP('Données projet'!$B$15,Paramètres!$A$1:$I$88,3,0)*0.475*44/12</f>
        <v>0</v>
      </c>
      <c r="EY57" s="24">
        <f t="shared" si="21"/>
        <v>111.95477875365559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22.7</v>
      </c>
      <c r="FE57" s="13">
        <f>IF('Données projet'!$A$218&gt;35,FE56+FD57-FM56,IF(A57&lt;'Données projet'!$A$218,$FB$205^A57,IF(A57='Données projet'!$A$218,'Données projet'!$B$218,FE56+FD57-FM56)))</f>
        <v>379.79999999999973</v>
      </c>
      <c r="FF57" s="18">
        <f>FE57*VLOOKUP('Données projet'!$B$16,Paramètres!$A$1:$I$88,3,0)*VLOOKUP('Données projet'!$B$16,Paramètres!$A$1:$I$88,5,0)</f>
        <v>177.74639999999988</v>
      </c>
      <c r="FG57" s="14">
        <f t="shared" si="47"/>
        <v>44.820434632332443</v>
      </c>
      <c r="FH57" s="22">
        <f t="shared" si="22"/>
        <v>387.63723698464543</v>
      </c>
      <c r="FI57" s="62">
        <f t="shared" si="23"/>
        <v>645.34160965198475</v>
      </c>
      <c r="FJ57" s="62">
        <f ca="1">AVERAGE(OFFSET($FI$3,0,0,'Données projet'!$E$16+1,1))-AVERAGE(OFFSET($H$3,0,0,'Données projet'!$E$16+1,1))</f>
        <v>429.87867712133851</v>
      </c>
      <c r="FK57" s="62">
        <f t="shared" si="48"/>
        <v>182.81277865988014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projet'!$B$16,Paramètres!$A$1:$I$88,3,0)*0.475*44/12</f>
        <v>0</v>
      </c>
      <c r="FR57" s="23">
        <f>EXP(-LN(2)/25)*FR56+(1-EXP(-LN(2)/25))/(LN(2)/25)*Calculateur!FM57*Calculateur!FO57*VLOOKUP('Données projet'!$B$16,Paramètres!$A$1:$I$88,3,0)*0.475*44/12</f>
        <v>48.6949577826515</v>
      </c>
      <c r="FS57" s="23">
        <f>EXP(-LN(2)/2)*FS56+(1-EXP(-LN(2)/2))/(LN(2)/2)*FM57*FP57*VLOOKUP('Données projet'!$B$16,Paramètres!$A$1:$I$88,3,0)*0.475*44/12</f>
        <v>0</v>
      </c>
      <c r="FT57" s="24">
        <f t="shared" si="24"/>
        <v>48.6949577826515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19</v>
      </c>
      <c r="FZ57" s="13">
        <f>IF('Données projet'!$A$244&gt;35,FZ56+FY57-GH56,IF(A57&lt;'Données projet'!$A$244,$FW$205^A57,IF(A57='Données projet'!$A$244,'Données projet'!$B$244,FZ56+FY57-GH56)))</f>
        <v>395.99999999999966</v>
      </c>
      <c r="GA57" s="18">
        <f>FZ57*VLOOKUP('Données projet'!$B$17,Paramètres!$A$1:$I$88,3,0)*VLOOKUP('Données projet'!$B$17,Paramètres!$A$1:$I$88,5,0)</f>
        <v>190.47599999999983</v>
      </c>
      <c r="GB57" s="14">
        <f t="shared" si="49"/>
        <v>47.645174362968312</v>
      </c>
      <c r="GC57" s="22">
        <f t="shared" si="25"/>
        <v>414.72771201550285</v>
      </c>
      <c r="GD57" s="62">
        <f t="shared" si="26"/>
        <v>672.43208468284217</v>
      </c>
      <c r="GE57" s="62">
        <f ca="1">AVERAGE(OFFSET($GD$3,0,0,'Données projet'!$E$17+1,1))-AVERAGE(OFFSET($H$3,0,0,'Données projet'!$E$17+1,1))</f>
        <v>273.24375559399846</v>
      </c>
      <c r="GF57" s="62">
        <f t="shared" si="50"/>
        <v>270.77718895097848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projet'!$B$17,Paramètres!$A$1:$I$88,3,0)*0.475*44/12</f>
        <v>26.046938231925807</v>
      </c>
      <c r="GM57" s="23">
        <f>EXP(-LN(2)/25)*GM56+(1-EXP(-LN(2)/25))/(LN(2)/25)*Calculateur!GH57*Calculateur!GJ57*VLOOKUP('Données projet'!$B$17,Paramètres!$A$1:$I$88,3,0)*0.475*44/12</f>
        <v>48.27501102655571</v>
      </c>
      <c r="GN57" s="23">
        <f>EXP(-LN(2)/2)*GN56+(1-EXP(-LN(2)/2))/(LN(2)/2)*GH57*GK57*VLOOKUP('Données projet'!$B$17,Paramètres!$A$1:$I$88,3,0)*0.475*44/12</f>
        <v>0</v>
      </c>
      <c r="GO57" s="23">
        <f t="shared" si="27"/>
        <v>74.32194925848151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17.285714285714285</v>
      </c>
      <c r="N58" s="14">
        <f>IF('Données projet'!$A$36&gt;35,N57+M58-V57,IF(A58&lt;'Données projet'!$A$36,$K$205^A58,IF(A58='Données projet'!$A$36,'Données projet'!$B$36,N57+M58-V57)))</f>
        <v>496.7142857142855</v>
      </c>
      <c r="O58" s="14">
        <f>N58*VLOOKUP('Données projet'!$B$9,Paramètres!$A$1:$I$88,3,0)*VLOOKUP('Données projet'!$B$9,Paramètres!$A$1:$I$88,5,0)</f>
        <v>277.66328571428562</v>
      </c>
      <c r="P58" s="14">
        <f t="shared" si="33"/>
        <v>66.47295338451616</v>
      </c>
      <c r="Q58" s="22">
        <f t="shared" si="53"/>
        <v>599.37061643041295</v>
      </c>
      <c r="R58" s="62">
        <f t="shared" si="0"/>
        <v>857.69307191088433</v>
      </c>
      <c r="S58" s="62">
        <f ca="1">AVERAGE(OFFSET($R$3,0,0,'Données projet'!$E$9+1,1))-AVERAGE(OFFSET($H$3,0,0,'Données projet'!$E$9+1,1))</f>
        <v>289.94242154211224</v>
      </c>
      <c r="T58" s="62">
        <f t="shared" si="34"/>
        <v>369.12599166143661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31.897882288300153</v>
      </c>
      <c r="AA58" s="23">
        <f>EXP(-LN(2)/25)*AA57+(1-EXP(-LN(2)/25))/(LN(2)/25)*Calculateur!V58*Calculateur!X58*VLOOKUP('Données projet'!$B$9,Paramètres!$A$1:$I$88,3,0)*0.475*44/12</f>
        <v>50.132138037569312</v>
      </c>
      <c r="AB58" s="23">
        <f>EXP(-LN(2)/2)*AB57+(1-EXP(-LN(2)/2))/(LN(2)/2)*V58*Y58*VLOOKUP('Données projet'!$B$9,Paramètres!$A$1:$I$88,3,0)*0.475*44/12</f>
        <v>0</v>
      </c>
      <c r="AC58" s="24">
        <f t="shared" si="3"/>
        <v>82.030020325869458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8.5</v>
      </c>
      <c r="AI58" s="14">
        <f>IF('Données projet'!$A$62&gt;35,AI57+AH58-AQ57,IF(A58&lt;'Données projet'!$A$62,$AF$205^A58,IF(A58='Données projet'!$A$62,'Données projet'!$B$62,AI57+AH58-AQ57)))</f>
        <v>167</v>
      </c>
      <c r="AJ58" s="14">
        <f>AI58*VLOOKUP('Données projet'!$B$10,Paramètres!$A$1:$I$88,3,0)*VLOOKUP('Données projet'!$B$10,Paramètres!$A$1:$I$88,5,0)</f>
        <v>151.10159999999999</v>
      </c>
      <c r="AK58" s="14">
        <f t="shared" si="35"/>
        <v>38.82882146347977</v>
      </c>
      <c r="AL58" s="22">
        <f t="shared" si="4"/>
        <v>330.79548404889391</v>
      </c>
      <c r="AM58" s="62">
        <f t="shared" si="5"/>
        <v>589.11793952936523</v>
      </c>
      <c r="AN58" s="62">
        <f ca="1">AVERAGE(OFFSET($AM$3,0,0,'Données projet'!$E$10+1,1))-AVERAGE(OFFSET($H$3,0,0,'Données projet'!$E$10+1,1))</f>
        <v>518.31628039365785</v>
      </c>
      <c r="AO58" s="62">
        <f t="shared" si="36"/>
        <v>66.435071953154761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6.8558643165147402</v>
      </c>
      <c r="AV58" s="23">
        <f>EXP(-LN(2)/25)*AV57+(1-EXP(-LN(2)/25))/(LN(2)/25)*Calculateur!AQ58*Calculateur!AS58*VLOOKUP('Données projet'!$B$10,Paramètres!$A$1:$I$88,3,0)*0.475*44/12</f>
        <v>0</v>
      </c>
      <c r="AW58" s="23">
        <f>EXP(-LN(2)/2)*AW57+(1-EXP(-LN(2)/2))/(LN(2)/2)*AQ58*AT58*VLOOKUP('Données projet'!$B$10,Paramètres!$A$1:$I$88,3,0)*0.475*44/12</f>
        <v>0</v>
      </c>
      <c r="AX58" s="23">
        <f t="shared" si="6"/>
        <v>6.8558643165147402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8.5</v>
      </c>
      <c r="BD58" s="13">
        <f>IF('Données projet'!$A$88&gt;35,BD57+BC58-BL57,IF(A58&lt;'Données projet'!$A$88,$BA$205^A58,IF(A58='Données projet'!$A$88,'Données projet'!$B$88,BD57+BC58-BL57)))</f>
        <v>167</v>
      </c>
      <c r="BE58" s="14">
        <f>BD58*VLOOKUP('Données projet'!$B$11,Paramètres!$A$1:$I$88,3,0)*VLOOKUP('Données projet'!$B$11,Paramètres!$A$1:$I$88,5,0)</f>
        <v>169.33799999999999</v>
      </c>
      <c r="BF58" s="14">
        <f t="shared" si="37"/>
        <v>42.941723955722921</v>
      </c>
      <c r="BG58" s="22">
        <f t="shared" si="7"/>
        <v>369.72051922288409</v>
      </c>
      <c r="BH58" s="62">
        <f t="shared" si="8"/>
        <v>628.04297470335541</v>
      </c>
      <c r="BI58" s="62">
        <f ca="1">AVERAGE(OFFSET($BH$3,0,0,'Données projet'!$E$11+1,1))-AVERAGE(OFFSET($H$3,0,0,'Données projet'!$E$11+1,1))</f>
        <v>570.2785736203931</v>
      </c>
      <c r="BJ58" s="62">
        <f t="shared" si="38"/>
        <v>67.677759965081719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7.683296216783762</v>
      </c>
      <c r="BQ58" s="23">
        <f>EXP(-LN(2)/25)*BQ57+(1-EXP(-LN(2)/25))/(LN(2)/25)*Calculateur!BL58*Calculateur!BN58*VLOOKUP('Données projet'!$B$11,Paramètres!$A$1:$I$88,3,0)*0.475*44/12</f>
        <v>0</v>
      </c>
      <c r="BR58" s="23">
        <f>EXP(-LN(2)/2)*BR57+(1-EXP(-LN(2)/2))/(LN(2)/2)*BL58*BO58*VLOOKUP('Données projet'!$B$11,Paramètres!$A$1:$I$88,3,0)*0.475*44/12</f>
        <v>0</v>
      </c>
      <c r="BS58" s="24">
        <f t="shared" si="9"/>
        <v>7.683296216783762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4.4250000000000114</v>
      </c>
      <c r="BY58" s="13">
        <f>IF('Données projet'!$A$114&gt;35,BY57+BX58-CG57,IF(A58&lt;'Données projet'!$A$114,$BV$205^A58,IF(A58='Données projet'!$A$114,'Données projet'!$B$114,BY57+BX58-CG57)))</f>
        <v>519.72500000000002</v>
      </c>
      <c r="BZ58" s="14">
        <f>BY58*VLOOKUP('Données projet'!$B$12,Paramètres!$A$1:$I$88,3,0)*VLOOKUP('Données projet'!$B$12,Paramètres!$A$1:$I$88,5,0)</f>
        <v>310.79555000000005</v>
      </c>
      <c r="CA58" s="14">
        <f t="shared" si="39"/>
        <v>73.434947884480607</v>
      </c>
      <c r="CB58" s="22">
        <f t="shared" si="10"/>
        <v>669.20145048213715</v>
      </c>
      <c r="CC58" s="62">
        <f t="shared" si="11"/>
        <v>927.52390596260852</v>
      </c>
      <c r="CD58" s="62">
        <f ca="1">AVERAGE(OFFSET($CC$3,0,0,'Données projet'!$E$12+1,1))-AVERAGE(OFFSET($H$3,0,0,'Données projet'!$E$12+1,1))</f>
        <v>401.1031790385295</v>
      </c>
      <c r="CE58" s="62">
        <f t="shared" si="40"/>
        <v>402.09589424130615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projet'!$B$12,Paramètres!$A$1:$I$88,3,0)*0.475*44/12</f>
        <v>21.302658158204284</v>
      </c>
      <c r="CL58" s="23">
        <f>EXP(-LN(2)/25)*CL57+(1-EXP(-LN(2)/25))/(LN(2)/25)*Calculateur!CG58*Calculateur!CI58*VLOOKUP('Données projet'!$B$12,Paramètres!$A$1:$I$88,3,0)*0.475*44/12</f>
        <v>0</v>
      </c>
      <c r="CM58" s="23">
        <f>EXP(-LN(2)/2)*CM57+(1-EXP(-LN(2)/2))/(LN(2)/2)*CG58*CJ58*VLOOKUP('Données projet'!$B$12,Paramètres!$A$1:$I$88,3,0)*0.475*44/12</f>
        <v>3.567118829770759</v>
      </c>
      <c r="CN58" s="24">
        <f t="shared" si="12"/>
        <v>24.869776987975044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4.4250000000000114</v>
      </c>
      <c r="CT58" s="13">
        <f>IF('Données projet'!$A$140&gt;35,CT57+CS58-DB57,IF(A58&lt;'Données projet'!$A$140,$CQ$205^A58,IF(A58='Données projet'!$A$140,'Données projet'!$B$140,CT57+CS58-DB57)))</f>
        <v>519.72500000000002</v>
      </c>
      <c r="CU58" s="18">
        <f>CT58*VLOOKUP('Données projet'!$B$13,Paramètres!$A$1:$I$88,3,0)*VLOOKUP('Données projet'!$B$13,Paramètres!$A$1:$I$88,5,0)</f>
        <v>310.79555000000005</v>
      </c>
      <c r="CV58" s="14">
        <f t="shared" si="41"/>
        <v>73.434947884480607</v>
      </c>
      <c r="CW58" s="22">
        <f t="shared" si="13"/>
        <v>669.20145048213715</v>
      </c>
      <c r="CX58" s="62">
        <f t="shared" si="14"/>
        <v>927.52390596260852</v>
      </c>
      <c r="CY58" s="62">
        <f ca="1">AVERAGE(OFFSET($CX$3,0,0,'Données projet'!$E$13+1,1))-AVERAGE(OFFSET($H$3,0,0,'Données projet'!$E$13+1,1))</f>
        <v>401.1031790385295</v>
      </c>
      <c r="CZ58" s="62">
        <f t="shared" si="42"/>
        <v>402.09589424130615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projet'!$B$13,Paramètres!$A$1:$I$88,3,0)*0.475*44/12</f>
        <v>21.302658158204284</v>
      </c>
      <c r="DG58" s="23">
        <f>EXP(-LN(2)/25)*DG57+(1-EXP(-LN(2)/25))/(LN(2)/25)*Calculateur!DB58*Calculateur!DD58*VLOOKUP('Données projet'!$B$13,Paramètres!$A$1:$I$88,3,0)*0.475*44/12</f>
        <v>0</v>
      </c>
      <c r="DH58" s="23">
        <f>EXP(-LN(2)/2)*DH57+(1-EXP(-LN(2)/2))/(LN(2)/2)*DB58*DE58*VLOOKUP('Données projet'!$B$13,Paramètres!$A$1:$I$88,3,0)*0.475*44/12</f>
        <v>3.567118829770759</v>
      </c>
      <c r="DI58" s="24">
        <f t="shared" si="15"/>
        <v>24.869776987975044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678</v>
      </c>
      <c r="DM58" s="13">
        <f>VLOOKUP(A58,'Données projet'!$A$165:$I$185,9,0)</f>
        <v>27.8</v>
      </c>
      <c r="DN58" s="13">
        <f t="array" ref="DN58">INDEX(DM:DM,MIN(IF(ISNUMBER(DM58:DM254),ROW(DM58:DM254),"")))</f>
        <v>27.8</v>
      </c>
      <c r="DO58" s="13">
        <f>IF('Données projet'!$A$166&gt;35,DO57+DN58-DW57,IF(A58&lt;'Données projet'!$A$166,$DL$205^A58,IF(A58='Données projet'!$A$166,'Données projet'!$B$166,DO57+DN58-DW57)))</f>
        <v>677.99999999999955</v>
      </c>
      <c r="DP58" s="18">
        <f>DO58*VLOOKUP('Données projet'!$B$14,Paramètres!$A$1:$I$88,3,0)*VLOOKUP('Données projet'!$B$14,Paramètres!$A$1:$I$88,5,0)</f>
        <v>273.23399999999981</v>
      </c>
      <c r="DQ58" s="14">
        <f t="shared" si="43"/>
        <v>65.535129378020358</v>
      </c>
      <c r="DR58" s="22">
        <f t="shared" si="16"/>
        <v>590.02290033338511</v>
      </c>
      <c r="DS58" s="62">
        <f t="shared" si="17"/>
        <v>848.34535581385649</v>
      </c>
      <c r="DT58" s="62">
        <f ca="1">AVERAGE(OFFSET($DS$3,0,0,'Données projet'!$E$14+1,1))-AVERAGE(OFFSET($H$3,0,0,'Données projet'!$E$14+1,1))</f>
        <v>432.59662347701629</v>
      </c>
      <c r="DU58" s="62">
        <f t="shared" si="44"/>
        <v>348.67401091099748</v>
      </c>
      <c r="DV58" s="16">
        <f>IF(ISNA(VLOOKUP(A58,'Données projet'!$A$165:$I$185,3,0)),0,VLOOKUP(A58,'Données projet'!$A$165:$I$185,3,0))</f>
        <v>8</v>
      </c>
      <c r="DW58" s="16">
        <f>IF(ISNA(VLOOKUP(A58,'Données projet'!$A$165:$I$185,4,0)),0,VLOOKUP(A58,'Données projet'!$A$165:$I$185,4,0))</f>
        <v>70</v>
      </c>
      <c r="DX58" s="17">
        <f>IF(ISNA(VLOOKUP(A58,'Données projet'!$A$165:$I$185,5,0)),0%,VLOOKUP(A58,'Données projet'!$A$165:$I$185,5,0)*VLOOKUP('Données projet'!$B$14,Paramètres!$A$1:$I$88,7,0))</f>
        <v>0.22000000000000003</v>
      </c>
      <c r="DY58" s="17">
        <f>IF(ISNA(VLOOKUP(A58,'Données projet'!$A$165:$I$185,6,0)),0%,VLOOKUP(A58,'Données projet'!$A$165:$I$185,6,0)*VLOOKUP('Données projet'!$B$14,Paramètres!$A$1:$I$88,7,0))</f>
        <v>0.33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projet'!$B$14,Paramètres!$A$1:$I$88,3,0)*0.475*44/12</f>
        <v>36.150900724353505</v>
      </c>
      <c r="EB58" s="23">
        <f>EXP(-LN(2)/25)*EB57+(1-EXP(-LN(2)/25))/(LN(2)/25)*Calculateur!DW58*Calculateur!DY58*VLOOKUP('Données projet'!$B$14,Paramètres!$A$1:$I$88,3,0)*0.475*44/12</f>
        <v>87.320685106440777</v>
      </c>
      <c r="EC58" s="23">
        <f>EXP(-LN(2)/2)*EC57+(1-EXP(-LN(2)/2))/(LN(2)/2)*DW58*DZ58*VLOOKUP('Données projet'!$B$14,Paramètres!$A$1:$I$88,3,0)*0.475*44/12</f>
        <v>0</v>
      </c>
      <c r="ED58" s="24">
        <f t="shared" si="18"/>
        <v>123.47158583079428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897</v>
      </c>
      <c r="EH58" s="13">
        <f>VLOOKUP(A58,'Données projet'!$A$191:$I$211,9,0)</f>
        <v>31</v>
      </c>
      <c r="EI58" s="13">
        <f t="array" ref="EI58">INDEX(EH:EH,MIN(IF(ISNUMBER(EH58:EH254),ROW(EH58:EH254),"")))</f>
        <v>31</v>
      </c>
      <c r="EJ58" s="13">
        <f>IF('Données projet'!$A$192&gt;35,EJ57+EI58-ER57,IF(A58&lt;'Données projet'!$A$192,$EG$205^A58,IF(A58='Données projet'!$A$192,'Données projet'!$B$192,EJ57+EI58-ER57)))</f>
        <v>897</v>
      </c>
      <c r="EK58" s="18">
        <f>EJ58*VLOOKUP('Données projet'!$B$15,Paramètres!$A$1:$I$88,3,0)*VLOOKUP('Données projet'!$B$15,Paramètres!$A$1:$I$88,5,0)</f>
        <v>396.47400000000005</v>
      </c>
      <c r="EL58" s="14">
        <f t="shared" si="45"/>
        <v>91.061454886690214</v>
      </c>
      <c r="EM58" s="22">
        <f t="shared" si="19"/>
        <v>849.12425059431882</v>
      </c>
      <c r="EN58" s="62">
        <f t="shared" si="20"/>
        <v>1107.4467060747902</v>
      </c>
      <c r="EO58" s="62">
        <f ca="1">AVERAGE(OFFSET($EN$3,0,0,'Données projet'!$E$15+1,1))-AVERAGE(OFFSET($H$3,0,0,'Données projet'!$E$15+1,1))</f>
        <v>582.26951914082088</v>
      </c>
      <c r="EP58" s="62">
        <f t="shared" si="46"/>
        <v>434.80429932654715</v>
      </c>
      <c r="EQ58" s="16">
        <f>IF(ISNA(VLOOKUP(A58,'Données projet'!$A$191:$I$211,3,0)),0,VLOOKUP(A58,'Données projet'!$A$191:$I$211,3,0))</f>
        <v>9</v>
      </c>
      <c r="ER58" s="16">
        <f>IF(ISNA(VLOOKUP(A58,'Données projet'!$A$191:$I$211,4,0)),0,VLOOKUP(A58,'Données projet'!$A$191:$I$211,4,0))</f>
        <v>62</v>
      </c>
      <c r="ES58" s="17">
        <f>IF(ISNA(VLOOKUP(A58,'Données projet'!$A$191:$I$211,5,0)),0%,VLOOKUP(A58,'Données projet'!$A$191:$I$211,5,0)*VLOOKUP('Données projet'!$B$15,Paramètres!$A$1:$I$88,7,0))</f>
        <v>0.30250000000000005</v>
      </c>
      <c r="ET58" s="17">
        <f>IF(ISNA(VLOOKUP(A58,'Données projet'!$A$191:$I$211,6,0)),0%,VLOOKUP(A58,'Données projet'!$A$191:$I$211,6,0)*VLOOKUP('Données projet'!$B$15,Paramètres!$A$1:$I$88,7,0))</f>
        <v>0.24750000000000003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projet'!$B$15,Paramètres!$A$1:$I$88,3,0)*0.475*44/12</f>
        <v>44.74400556358183</v>
      </c>
      <c r="EW58" s="23">
        <f>EXP(-LN(2)/25)*EW57+(1-EXP(-LN(2)/25))/(LN(2)/25)*Calculateur!ER58*Calculateur!ET58*VLOOKUP('Données projet'!$B$15,Paramètres!$A$1:$I$88,3,0)*0.475*44/12</f>
        <v>84.374460711075926</v>
      </c>
      <c r="EX58" s="23">
        <f>EXP(-LN(2)/2)*EX57+(1-EXP(-LN(2)/2))/(LN(2)/2)*ER58*EU58*VLOOKUP('Données projet'!$B$15,Paramètres!$A$1:$I$88,3,0)*0.475*44/12</f>
        <v>0</v>
      </c>
      <c r="EY58" s="24">
        <f t="shared" si="21"/>
        <v>129.11846627465775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22.7</v>
      </c>
      <c r="FE58" s="13">
        <f>IF('Données projet'!$A$218&gt;35,FE57+FD58-FM57,IF(A58&lt;'Données projet'!$A$218,$FB$205^A58,IF(A58='Données projet'!$A$218,'Données projet'!$B$218,FE57+FD58-FM57)))</f>
        <v>402.49999999999972</v>
      </c>
      <c r="FF58" s="18">
        <f>FE58*VLOOKUP('Données projet'!$B$16,Paramètres!$A$1:$I$88,3,0)*VLOOKUP('Données projet'!$B$16,Paramètres!$A$1:$I$88,5,0)</f>
        <v>188.36999999999986</v>
      </c>
      <c r="FG58" s="14">
        <f t="shared" si="47"/>
        <v>47.179402486491256</v>
      </c>
      <c r="FH58" s="22">
        <f t="shared" si="22"/>
        <v>410.24854266397205</v>
      </c>
      <c r="FI58" s="62">
        <f t="shared" si="23"/>
        <v>668.57099814444337</v>
      </c>
      <c r="FJ58" s="62">
        <f ca="1">AVERAGE(OFFSET($FI$3,0,0,'Données projet'!$E$16+1,1))-AVERAGE(OFFSET($H$3,0,0,'Données projet'!$E$16+1,1))</f>
        <v>429.87867712133851</v>
      </c>
      <c r="FK58" s="62">
        <f t="shared" si="48"/>
        <v>182.81277865988014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projet'!$B$16,Paramètres!$A$1:$I$88,3,0)*0.475*44/12</f>
        <v>0</v>
      </c>
      <c r="FR58" s="23">
        <f>EXP(-LN(2)/25)*FR57+(1-EXP(-LN(2)/25))/(LN(2)/25)*Calculateur!FM58*Calculateur!FO58*VLOOKUP('Données projet'!$B$16,Paramètres!$A$1:$I$88,3,0)*0.475*44/12</f>
        <v>47.36339160132836</v>
      </c>
      <c r="FS58" s="23">
        <f>EXP(-LN(2)/2)*FS57+(1-EXP(-LN(2)/2))/(LN(2)/2)*FM58*FP58*VLOOKUP('Données projet'!$B$16,Paramètres!$A$1:$I$88,3,0)*0.475*44/12</f>
        <v>0</v>
      </c>
      <c r="FT58" s="24">
        <f t="shared" si="24"/>
        <v>47.36339160132836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415</v>
      </c>
      <c r="FX58" s="13">
        <f>VLOOKUP(A58,'Données projet'!$A$243:$I$263,9,0)</f>
        <v>19</v>
      </c>
      <c r="FY58" s="13">
        <f t="array" ref="FY58">INDEX(FX:FX,MIN(IF(ISNUMBER(FX58:FX254),ROW(FX58:FX254),"")))</f>
        <v>19</v>
      </c>
      <c r="FZ58" s="13">
        <f>IF('Données projet'!$A$244&gt;35,FZ57+FY58-GH57,IF(A58&lt;'Données projet'!$A$244,$FW$205^A58,IF(A58='Données projet'!$A$244,'Données projet'!$B$244,FZ57+FY58-GH57)))</f>
        <v>414.99999999999966</v>
      </c>
      <c r="GA58" s="18">
        <f>FZ58*VLOOKUP('Données projet'!$B$17,Paramètres!$A$1:$I$88,3,0)*VLOOKUP('Données projet'!$B$17,Paramètres!$A$1:$I$88,5,0)</f>
        <v>199.61499999999984</v>
      </c>
      <c r="GB58" s="14">
        <f t="shared" si="49"/>
        <v>49.65954689194411</v>
      </c>
      <c r="GC58" s="22">
        <f t="shared" si="25"/>
        <v>434.1531691701357</v>
      </c>
      <c r="GD58" s="62">
        <f t="shared" si="26"/>
        <v>692.47562465060707</v>
      </c>
      <c r="GE58" s="62">
        <f ca="1">AVERAGE(OFFSET($GD$3,0,0,'Données projet'!$E$17+1,1))-AVERAGE(OFFSET($H$3,0,0,'Données projet'!$E$17+1,1))</f>
        <v>273.24375559399846</v>
      </c>
      <c r="GF58" s="62">
        <f t="shared" si="50"/>
        <v>270.77718895097848</v>
      </c>
      <c r="GG58" s="16">
        <f>IF(ISNA(VLOOKUP(A58,'Données projet'!$A$243:$I$263,3,0)),0,VLOOKUP(A58,'Données projet'!$A$243:$I$263,3,0))</f>
        <v>9</v>
      </c>
      <c r="GH58" s="16">
        <f>IF(ISNA(VLOOKUP(A58,'Données projet'!$A$243:$I$263,4,0)),0,VLOOKUP(A58,'Données projet'!$A$243:$I$263,4,0))</f>
        <v>48</v>
      </c>
      <c r="GI58" s="17">
        <f>IF(ISNA(VLOOKUP(A58,'Données projet'!$A$243:$I$263,5,0)),0%,VLOOKUP(A58,'Données projet'!$A$243:$I$263,5,0)*VLOOKUP('Données projet'!$B$17,Paramètres!$A$1:$I$88,7,0))</f>
        <v>0.30250000000000005</v>
      </c>
      <c r="GJ58" s="17">
        <f>IF(ISNA(VLOOKUP(A58,'Données projet'!$A$243:$I$263,6,0)),0%,VLOOKUP(A58,'Données projet'!$A$243:$I$263,6,0)*VLOOKUP('Données projet'!$B$17,Paramètres!$A$1:$I$88,7,0))</f>
        <v>0.24750000000000003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projet'!$B$17,Paramètres!$A$1:$I$88,3,0)*0.475*44/12</f>
        <v>34.801059004785749</v>
      </c>
      <c r="GM58" s="23">
        <f>EXP(-LN(2)/25)*GM57+(1-EXP(-LN(2)/25))/(LN(2)/25)*Calculateur!GH58*Calculateur!GJ58*VLOOKUP('Données projet'!$B$17,Paramètres!$A$1:$I$88,3,0)*0.475*44/12</f>
        <v>54.5054422792279</v>
      </c>
      <c r="GN58" s="23">
        <f>EXP(-LN(2)/2)*GN57+(1-EXP(-LN(2)/2))/(LN(2)/2)*GH58*GK58*VLOOKUP('Données projet'!$B$17,Paramètres!$A$1:$I$88,3,0)*0.475*44/12</f>
        <v>0</v>
      </c>
      <c r="GO58" s="23">
        <f t="shared" si="27"/>
        <v>89.306501284013649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514</v>
      </c>
      <c r="L59" s="13">
        <f>VLOOKUP(A59,'Données projet'!$A$35:$I$55,9,0)</f>
        <v>17.285714285714285</v>
      </c>
      <c r="M59" s="13">
        <f t="array" ref="M59">INDEX(L:L,MIN(IF(ISNUMBER(L59:L255),ROW(L59:L255),"")))</f>
        <v>17.285714285714285</v>
      </c>
      <c r="N59" s="14">
        <f>IF('Données projet'!$A$36&gt;35,N58+M59-V58,IF(A59&lt;'Données projet'!$A$36,$K$205^A59,IF(A59='Données projet'!$A$36,'Données projet'!$B$36,N58+M59-V58)))</f>
        <v>513.99999999999977</v>
      </c>
      <c r="O59" s="14">
        <f>N59*VLOOKUP('Données projet'!$B$9,Paramètres!$A$1:$I$88,3,0)*VLOOKUP('Données projet'!$B$9,Paramètres!$A$1:$I$88,5,0)</f>
        <v>287.32599999999985</v>
      </c>
      <c r="P59" s="14">
        <f t="shared" si="33"/>
        <v>68.512868389632061</v>
      </c>
      <c r="Q59" s="22">
        <f t="shared" si="53"/>
        <v>619.75269577860888</v>
      </c>
      <c r="R59" s="62">
        <f t="shared" si="0"/>
        <v>878.68251171723068</v>
      </c>
      <c r="S59" s="62">
        <f ca="1">AVERAGE(OFFSET($R$3,0,0,'Données projet'!$E$9+1,1))-AVERAGE(OFFSET($H$3,0,0,'Données projet'!$E$9+1,1))</f>
        <v>289.94242154211224</v>
      </c>
      <c r="T59" s="62">
        <f t="shared" si="34"/>
        <v>369.12599166143661</v>
      </c>
      <c r="U59" s="16">
        <f>IF(ISNA(VLOOKUP(A59,'Données projet'!$A$35:$I$55,3,0)),0,VLOOKUP(A59,'Données projet'!$A$35:$I$55,3,0))</f>
        <v>5</v>
      </c>
      <c r="V59" s="16">
        <f>IF(ISNA(VLOOKUP(A59,'Données projet'!$A$35:$I$55,4,0)),0,VLOOKUP(A59,'Données projet'!$A$35:$I$55,4,0))</f>
        <v>85</v>
      </c>
      <c r="W59" s="17">
        <f>IF(ISNA(VLOOKUP(A59,'Données projet'!$A$35:$I$55,5,0)),0%,VLOOKUP(A59,'Données projet'!$A$35:$I$55,5,0)*VLOOKUP('Données projet'!$B$9,Paramètres!$A$1:$I$88,7,0))</f>
        <v>0.30250000000000005</v>
      </c>
      <c r="X59" s="17">
        <f>IF(ISNA(VLOOKUP(A59,'Données projet'!$A$35:$I$55,6,0)),0%,VLOOKUP(A59,'Données projet'!$A$35:$I$55,6,0)*VLOOKUP('Données projet'!$B$9,Paramètres!$A$1:$I$88,7,0))</f>
        <v>0.24750000000000003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50.33947657772714</v>
      </c>
      <c r="AA59" s="23">
        <f>EXP(-LN(2)/25)*AA58+(1-EXP(-LN(2)/25))/(LN(2)/25)*Calculateur!V59*Calculateur!X59*VLOOKUP('Données projet'!$B$9,Paramètres!$A$1:$I$88,3,0)*0.475*44/12</f>
        <v>64.300195821141159</v>
      </c>
      <c r="AB59" s="23">
        <f>EXP(-LN(2)/2)*AB58+(1-EXP(-LN(2)/2))/(LN(2)/2)*V59*Y59*VLOOKUP('Données projet'!$B$9,Paramètres!$A$1:$I$88,3,0)*0.475*44/12</f>
        <v>0</v>
      </c>
      <c r="AC59" s="24">
        <f t="shared" si="3"/>
        <v>114.6396723988683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8.5</v>
      </c>
      <c r="AI59" s="14">
        <f>IF('Données projet'!$A$62&gt;35,AI58+AH59-AQ58,IF(A59&lt;'Données projet'!$A$62,$AF$205^A59,IF(A59='Données projet'!$A$62,'Données projet'!$B$62,AI58+AH59-AQ58)))</f>
        <v>175.5</v>
      </c>
      <c r="AJ59" s="14">
        <f>AI59*VLOOKUP('Données projet'!$B$10,Paramètres!$A$1:$I$88,3,0)*VLOOKUP('Données projet'!$B$10,Paramètres!$A$1:$I$88,5,0)</f>
        <v>158.79239999999999</v>
      </c>
      <c r="AK59" s="14">
        <f t="shared" si="35"/>
        <v>40.570017872698244</v>
      </c>
      <c r="AL59" s="22">
        <f t="shared" si="4"/>
        <v>347.2228777949494</v>
      </c>
      <c r="AM59" s="62">
        <f t="shared" si="5"/>
        <v>606.15269373357114</v>
      </c>
      <c r="AN59" s="62">
        <f ca="1">AVERAGE(OFFSET($AM$3,0,0,'Données projet'!$E$10+1,1))-AVERAGE(OFFSET($H$3,0,0,'Données projet'!$E$10+1,1))</f>
        <v>518.31628039365785</v>
      </c>
      <c r="AO59" s="62">
        <f t="shared" si="36"/>
        <v>66.435071953154761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6.7214249989322141</v>
      </c>
      <c r="AV59" s="23">
        <f>EXP(-LN(2)/25)*AV58+(1-EXP(-LN(2)/25))/(LN(2)/25)*Calculateur!AQ59*Calculateur!AS59*VLOOKUP('Données projet'!$B$10,Paramètres!$A$1:$I$88,3,0)*0.475*44/12</f>
        <v>0</v>
      </c>
      <c r="AW59" s="23">
        <f>EXP(-LN(2)/2)*AW58+(1-EXP(-LN(2)/2))/(LN(2)/2)*AQ59*AT59*VLOOKUP('Données projet'!$B$10,Paramètres!$A$1:$I$88,3,0)*0.475*44/12</f>
        <v>0</v>
      </c>
      <c r="AX59" s="23">
        <f t="shared" si="6"/>
        <v>6.7214249989322141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8.5</v>
      </c>
      <c r="BD59" s="13">
        <f>IF('Données projet'!$A$88&gt;35,BD58+BC59-BL58,IF(A59&lt;'Données projet'!$A$88,$BA$205^A59,IF(A59='Données projet'!$A$88,'Données projet'!$B$88,BD58+BC59-BL58)))</f>
        <v>175.5</v>
      </c>
      <c r="BE59" s="14">
        <f>BD59*VLOOKUP('Données projet'!$B$11,Paramètres!$A$1:$I$88,3,0)*VLOOKUP('Données projet'!$B$11,Paramètres!$A$1:$I$88,5,0)</f>
        <v>177.95700000000002</v>
      </c>
      <c r="BF59" s="14">
        <f t="shared" si="37"/>
        <v>44.867354781981234</v>
      </c>
      <c r="BG59" s="22">
        <f t="shared" si="7"/>
        <v>388.08575124528397</v>
      </c>
      <c r="BH59" s="62">
        <f t="shared" si="8"/>
        <v>647.01556718390566</v>
      </c>
      <c r="BI59" s="62">
        <f ca="1">AVERAGE(OFFSET($BH$3,0,0,'Données projet'!$E$11+1,1))-AVERAGE(OFFSET($H$3,0,0,'Données projet'!$E$11+1,1))</f>
        <v>570.2785736203931</v>
      </c>
      <c r="BJ59" s="62">
        <f t="shared" si="38"/>
        <v>67.677759965081719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7.5326314643205858</v>
      </c>
      <c r="BQ59" s="23">
        <f>EXP(-LN(2)/25)*BQ58+(1-EXP(-LN(2)/25))/(LN(2)/25)*Calculateur!BL59*Calculateur!BN59*VLOOKUP('Données projet'!$B$11,Paramètres!$A$1:$I$88,3,0)*0.475*44/12</f>
        <v>0</v>
      </c>
      <c r="BR59" s="23">
        <f>EXP(-LN(2)/2)*BR58+(1-EXP(-LN(2)/2))/(LN(2)/2)*BL59*BO59*VLOOKUP('Données projet'!$B$11,Paramètres!$A$1:$I$88,3,0)*0.475*44/12</f>
        <v>0</v>
      </c>
      <c r="BS59" s="24">
        <f t="shared" si="9"/>
        <v>7.5326314643205858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4.4250000000000114</v>
      </c>
      <c r="BY59" s="13">
        <f>IF('Données projet'!$A$114&gt;35,BY58+BX59-CG58,IF(A59&lt;'Données projet'!$A$114,$BV$205^A59,IF(A59='Données projet'!$A$114,'Données projet'!$B$114,BY58+BX59-CG58)))</f>
        <v>524.15000000000009</v>
      </c>
      <c r="BZ59" s="14">
        <f>BY59*VLOOKUP('Données projet'!$B$12,Paramètres!$A$1:$I$88,3,0)*VLOOKUP('Données projet'!$B$12,Paramètres!$A$1:$I$88,5,0)</f>
        <v>313.44170000000008</v>
      </c>
      <c r="CA59" s="14">
        <f t="shared" si="39"/>
        <v>73.98713159248031</v>
      </c>
      <c r="CB59" s="22">
        <f t="shared" si="10"/>
        <v>674.77188169023657</v>
      </c>
      <c r="CC59" s="62">
        <f t="shared" si="11"/>
        <v>933.70169762885826</v>
      </c>
      <c r="CD59" s="62">
        <f ca="1">AVERAGE(OFFSET($CC$3,0,0,'Données projet'!$E$12+1,1))-AVERAGE(OFFSET($H$3,0,0,'Données projet'!$E$12+1,1))</f>
        <v>401.1031790385295</v>
      </c>
      <c r="CE59" s="62">
        <f t="shared" si="40"/>
        <v>402.09589424130615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projet'!$B$12,Paramètres!$A$1:$I$88,3,0)*0.475*44/12</f>
        <v>20.884926025060388</v>
      </c>
      <c r="CL59" s="23">
        <f>EXP(-LN(2)/25)*CL58+(1-EXP(-LN(2)/25))/(LN(2)/25)*Calculateur!CG59*Calculateur!CI59*VLOOKUP('Données projet'!$B$12,Paramètres!$A$1:$I$88,3,0)*0.475*44/12</f>
        <v>0</v>
      </c>
      <c r="CM59" s="23">
        <f>EXP(-LN(2)/2)*CM58+(1-EXP(-LN(2)/2))/(LN(2)/2)*CG59*CJ59*VLOOKUP('Données projet'!$B$12,Paramètres!$A$1:$I$88,3,0)*0.475*44/12</f>
        <v>2.5223339138291259</v>
      </c>
      <c r="CN59" s="24">
        <f t="shared" si="12"/>
        <v>23.407259938889514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4.4250000000000114</v>
      </c>
      <c r="CT59" s="13">
        <f>IF('Données projet'!$A$140&gt;35,CT58+CS59-DB58,IF(A59&lt;'Données projet'!$A$140,$CQ$205^A59,IF(A59='Données projet'!$A$140,'Données projet'!$B$140,CT58+CS59-DB58)))</f>
        <v>524.15000000000009</v>
      </c>
      <c r="CU59" s="18">
        <f>CT59*VLOOKUP('Données projet'!$B$13,Paramètres!$A$1:$I$88,3,0)*VLOOKUP('Données projet'!$B$13,Paramètres!$A$1:$I$88,5,0)</f>
        <v>313.44170000000008</v>
      </c>
      <c r="CV59" s="14">
        <f t="shared" si="41"/>
        <v>73.98713159248031</v>
      </c>
      <c r="CW59" s="22">
        <f t="shared" si="13"/>
        <v>674.77188169023657</v>
      </c>
      <c r="CX59" s="62">
        <f t="shared" si="14"/>
        <v>933.70169762885826</v>
      </c>
      <c r="CY59" s="62">
        <f ca="1">AVERAGE(OFFSET($CX$3,0,0,'Données projet'!$E$13+1,1))-AVERAGE(OFFSET($H$3,0,0,'Données projet'!$E$13+1,1))</f>
        <v>401.1031790385295</v>
      </c>
      <c r="CZ59" s="62">
        <f t="shared" si="42"/>
        <v>402.09589424130615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projet'!$B$13,Paramètres!$A$1:$I$88,3,0)*0.475*44/12</f>
        <v>20.884926025060388</v>
      </c>
      <c r="DG59" s="23">
        <f>EXP(-LN(2)/25)*DG58+(1-EXP(-LN(2)/25))/(LN(2)/25)*Calculateur!DB59*Calculateur!DD59*VLOOKUP('Données projet'!$B$13,Paramètres!$A$1:$I$88,3,0)*0.475*44/12</f>
        <v>0</v>
      </c>
      <c r="DH59" s="23">
        <f>EXP(-LN(2)/2)*DH58+(1-EXP(-LN(2)/2))/(LN(2)/2)*DB59*DE59*VLOOKUP('Données projet'!$B$13,Paramètres!$A$1:$I$88,3,0)*0.475*44/12</f>
        <v>2.5223339138291259</v>
      </c>
      <c r="DI59" s="24">
        <f t="shared" si="15"/>
        <v>23.407259938889514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25.2</v>
      </c>
      <c r="DO59" s="13">
        <f>IF('Données projet'!$A$166&gt;35,DO58+DN59-DW58,IF(A59&lt;'Données projet'!$A$166,$DL$205^A59,IF(A59='Données projet'!$A$166,'Données projet'!$B$166,DO58+DN59-DW58)))</f>
        <v>633.19999999999959</v>
      </c>
      <c r="DP59" s="18">
        <f>DO59*VLOOKUP('Données projet'!$B$14,Paramètres!$A$1:$I$88,3,0)*VLOOKUP('Données projet'!$B$14,Paramètres!$A$1:$I$88,5,0)</f>
        <v>255.17959999999982</v>
      </c>
      <c r="DQ59" s="14">
        <f t="shared" si="43"/>
        <v>61.693747030696557</v>
      </c>
      <c r="DR59" s="22">
        <f t="shared" si="16"/>
        <v>551.8877460784629</v>
      </c>
      <c r="DS59" s="62">
        <f t="shared" si="17"/>
        <v>810.81756201708458</v>
      </c>
      <c r="DT59" s="62">
        <f ca="1">AVERAGE(OFFSET($DS$3,0,0,'Données projet'!$E$14+1,1))-AVERAGE(OFFSET($H$3,0,0,'Données projet'!$E$14+1,1))</f>
        <v>432.59662347701629</v>
      </c>
      <c r="DU59" s="62">
        <f t="shared" si="44"/>
        <v>348.67401091099748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projet'!$B$14,Paramètres!$A$1:$I$88,3,0)*0.475*44/12</f>
        <v>35.442003611021129</v>
      </c>
      <c r="EB59" s="23">
        <f>EXP(-LN(2)/25)*EB58+(1-EXP(-LN(2)/25))/(LN(2)/25)*Calculateur!DW59*Calculateur!DY59*VLOOKUP('Données projet'!$B$14,Paramètres!$A$1:$I$88,3,0)*0.475*44/12</f>
        <v>84.932896380209897</v>
      </c>
      <c r="EC59" s="23">
        <f>EXP(-LN(2)/2)*EC58+(1-EXP(-LN(2)/2))/(LN(2)/2)*DW59*DZ59*VLOOKUP('Données projet'!$B$14,Paramètres!$A$1:$I$88,3,0)*0.475*44/12</f>
        <v>0</v>
      </c>
      <c r="ED59" s="24">
        <f t="shared" si="18"/>
        <v>120.37489999123102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26.6</v>
      </c>
      <c r="EJ59" s="13">
        <f>IF('Données projet'!$A$192&gt;35,EJ58+EI59-ER58,IF(A59&lt;'Données projet'!$A$192,$EG$205^A59,IF(A59='Données projet'!$A$192,'Données projet'!$B$192,EJ58+EI59-ER58)))</f>
        <v>861.6</v>
      </c>
      <c r="EK59" s="18">
        <f>EJ59*VLOOKUP('Données projet'!$B$15,Paramètres!$A$1:$I$88,3,0)*VLOOKUP('Données projet'!$B$15,Paramètres!$A$1:$I$88,5,0)</f>
        <v>380.82720000000006</v>
      </c>
      <c r="EL59" s="14">
        <f t="shared" si="45"/>
        <v>87.878632472433651</v>
      </c>
      <c r="EM59" s="22">
        <f t="shared" si="19"/>
        <v>816.3293248894887</v>
      </c>
      <c r="EN59" s="62">
        <f t="shared" si="20"/>
        <v>1075.2591408281105</v>
      </c>
      <c r="EO59" s="62">
        <f ca="1">AVERAGE(OFFSET($EN$3,0,0,'Données projet'!$E$15+1,1))-AVERAGE(OFFSET($H$3,0,0,'Données projet'!$E$15+1,1))</f>
        <v>582.26951914082088</v>
      </c>
      <c r="EP59" s="62">
        <f t="shared" si="46"/>
        <v>434.80429932654715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projet'!$B$15,Paramètres!$A$1:$I$88,3,0)*0.475*44/12</f>
        <v>43.866602905628604</v>
      </c>
      <c r="EW59" s="23">
        <f>EXP(-LN(2)/25)*EW58+(1-EXP(-LN(2)/25))/(LN(2)/25)*Calculateur!ER59*Calculateur!ET59*VLOOKUP('Données projet'!$B$15,Paramètres!$A$1:$I$88,3,0)*0.475*44/12</f>
        <v>82.067236645871503</v>
      </c>
      <c r="EX59" s="23">
        <f>EXP(-LN(2)/2)*EX58+(1-EXP(-LN(2)/2))/(LN(2)/2)*ER59*EU59*VLOOKUP('Données projet'!$B$15,Paramètres!$A$1:$I$88,3,0)*0.475*44/12</f>
        <v>0</v>
      </c>
      <c r="EY59" s="24">
        <f t="shared" si="21"/>
        <v>125.93383955150011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22.7</v>
      </c>
      <c r="FE59" s="13">
        <f>IF('Données projet'!$A$218&gt;35,FE58+FD59-FM58,IF(A59&lt;'Données projet'!$A$218,$FB$205^A59,IF(A59='Données projet'!$A$218,'Données projet'!$B$218,FE58+FD59-FM58)))</f>
        <v>425.1999999999997</v>
      </c>
      <c r="FF59" s="18">
        <f>FE59*VLOOKUP('Données projet'!$B$16,Paramètres!$A$1:$I$88,3,0)*VLOOKUP('Données projet'!$B$16,Paramètres!$A$1:$I$88,5,0)</f>
        <v>198.99359999999987</v>
      </c>
      <c r="FG59" s="14">
        <f t="shared" si="47"/>
        <v>49.522926570252494</v>
      </c>
      <c r="FH59" s="22">
        <f t="shared" si="22"/>
        <v>432.83295044318953</v>
      </c>
      <c r="FI59" s="62">
        <f t="shared" si="23"/>
        <v>691.76276638181128</v>
      </c>
      <c r="FJ59" s="62">
        <f ca="1">AVERAGE(OFFSET($FI$3,0,0,'Données projet'!$E$16+1,1))-AVERAGE(OFFSET($H$3,0,0,'Données projet'!$E$16+1,1))</f>
        <v>429.87867712133851</v>
      </c>
      <c r="FK59" s="62">
        <f t="shared" si="48"/>
        <v>182.81277865988014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projet'!$B$16,Paramètres!$A$1:$I$88,3,0)*0.475*44/12</f>
        <v>0</v>
      </c>
      <c r="FR59" s="23">
        <f>EXP(-LN(2)/25)*FR58+(1-EXP(-LN(2)/25))/(LN(2)/25)*Calculateur!FM59*Calculateur!FO59*VLOOKUP('Données projet'!$B$16,Paramètres!$A$1:$I$88,3,0)*0.475*44/12</f>
        <v>46.068237167257521</v>
      </c>
      <c r="FS59" s="23">
        <f>EXP(-LN(2)/2)*FS58+(1-EXP(-LN(2)/2))/(LN(2)/2)*FM59*FP59*VLOOKUP('Données projet'!$B$16,Paramètres!$A$1:$I$88,3,0)*0.475*44/12</f>
        <v>0</v>
      </c>
      <c r="FT59" s="24">
        <f t="shared" si="24"/>
        <v>46.068237167257521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20.2</v>
      </c>
      <c r="FZ59" s="13">
        <f>IF('Données projet'!$A$244&gt;35,FZ58+FY59-GH58,IF(A59&lt;'Données projet'!$A$244,$FW$205^A59,IF(A59='Données projet'!$A$244,'Données projet'!$B$244,FZ58+FY59-GH58)))</f>
        <v>387.19999999999965</v>
      </c>
      <c r="GA59" s="18">
        <f>FZ59*VLOOKUP('Données projet'!$B$17,Paramètres!$A$1:$I$88,3,0)*VLOOKUP('Données projet'!$B$17,Paramètres!$A$1:$I$88,5,0)</f>
        <v>186.24319999999983</v>
      </c>
      <c r="GB59" s="14">
        <f t="shared" si="49"/>
        <v>46.708414805171451</v>
      </c>
      <c r="GC59" s="22">
        <f t="shared" si="25"/>
        <v>405.72406245233998</v>
      </c>
      <c r="GD59" s="62">
        <f t="shared" si="26"/>
        <v>664.65387839096172</v>
      </c>
      <c r="GE59" s="62">
        <f ca="1">AVERAGE(OFFSET($GD$3,0,0,'Données projet'!$E$17+1,1))-AVERAGE(OFFSET($H$3,0,0,'Données projet'!$E$17+1,1))</f>
        <v>273.24375559399846</v>
      </c>
      <c r="GF59" s="62">
        <f t="shared" si="50"/>
        <v>270.77718895097848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projet'!$B$17,Paramètres!$A$1:$I$88,3,0)*0.475*44/12</f>
        <v>34.118631464251948</v>
      </c>
      <c r="GM59" s="23">
        <f>EXP(-LN(2)/25)*GM58+(1-EXP(-LN(2)/25))/(LN(2)/25)*Calculateur!GH59*Calculateur!GJ59*VLOOKUP('Données projet'!$B$17,Paramètres!$A$1:$I$88,3,0)*0.475*44/12</f>
        <v>53.014988093785774</v>
      </c>
      <c r="GN59" s="23">
        <f>EXP(-LN(2)/2)*GN58+(1-EXP(-LN(2)/2))/(LN(2)/2)*GH59*GK59*VLOOKUP('Données projet'!$B$17,Paramètres!$A$1:$I$88,3,0)*0.475*44/12</f>
        <v>0</v>
      </c>
      <c r="GO59" s="23">
        <f t="shared" si="27"/>
        <v>87.133619558037722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15.571428571428571</v>
      </c>
      <c r="N60" s="14">
        <f>IF('Données projet'!$A$36&gt;35,N59+M60-V59,IF(A60&lt;'Données projet'!$A$36,$K$205^A60,IF(A60='Données projet'!$A$36,'Données projet'!$B$36,N59+M60-V59)))</f>
        <v>444.57142857142833</v>
      </c>
      <c r="O60" s="14">
        <f>N60*VLOOKUP('Données projet'!$B$9,Paramètres!$A$1:$I$88,3,0)*VLOOKUP('Données projet'!$B$9,Paramètres!$A$1:$I$88,5,0)</f>
        <v>248.51542857142846</v>
      </c>
      <c r="P60" s="14">
        <f t="shared" si="33"/>
        <v>60.267932112745214</v>
      </c>
      <c r="Q60" s="22">
        <f t="shared" si="53"/>
        <v>537.79768652493578</v>
      </c>
      <c r="R60" s="62">
        <f t="shared" si="0"/>
        <v>797.32432657561344</v>
      </c>
      <c r="S60" s="62">
        <f ca="1">AVERAGE(OFFSET($R$3,0,0,'Données projet'!$E$9+1,1))-AVERAGE(OFFSET($H$3,0,0,'Données projet'!$E$9+1,1))</f>
        <v>289.94242154211224</v>
      </c>
      <c r="T60" s="62">
        <f t="shared" si="34"/>
        <v>369.12599166143661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49.352350146086849</v>
      </c>
      <c r="AA60" s="23">
        <f>EXP(-LN(2)/25)*AA59+(1-EXP(-LN(2)/25))/(LN(2)/25)*Calculateur!V60*Calculateur!X60*VLOOKUP('Données projet'!$B$9,Paramètres!$A$1:$I$88,3,0)*0.475*44/12</f>
        <v>62.541903585011717</v>
      </c>
      <c r="AB60" s="23">
        <f>EXP(-LN(2)/2)*AB59+(1-EXP(-LN(2)/2))/(LN(2)/2)*V60*Y60*VLOOKUP('Données projet'!$B$9,Paramètres!$A$1:$I$88,3,0)*0.475*44/12</f>
        <v>0</v>
      </c>
      <c r="AC60" s="24">
        <f t="shared" si="3"/>
        <v>111.89425373109856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8.5</v>
      </c>
      <c r="AI60" s="14">
        <f>IF('Données projet'!$A$62&gt;35,AI59+AH60-AQ59,IF(A60&lt;'Données projet'!$A$62,$AF$205^A60,IF(A60='Données projet'!$A$62,'Données projet'!$B$62,AI59+AH60-AQ59)))</f>
        <v>184</v>
      </c>
      <c r="AJ60" s="14">
        <f>AI60*VLOOKUP('Données projet'!$B$10,Paramètres!$A$1:$I$88,3,0)*VLOOKUP('Données projet'!$B$10,Paramètres!$A$1:$I$88,5,0)</f>
        <v>166.48320000000001</v>
      </c>
      <c r="AK60" s="14">
        <f t="shared" si="35"/>
        <v>42.301421676867136</v>
      </c>
      <c r="AL60" s="22">
        <f t="shared" si="4"/>
        <v>363.63321608721026</v>
      </c>
      <c r="AM60" s="62">
        <f t="shared" si="5"/>
        <v>623.15985613788803</v>
      </c>
      <c r="AN60" s="62">
        <f ca="1">AVERAGE(OFFSET($AM$3,0,0,'Données projet'!$E$10+1,1))-AVERAGE(OFFSET($H$3,0,0,'Données projet'!$E$10+1,1))</f>
        <v>518.31628039365785</v>
      </c>
      <c r="AO60" s="62">
        <f t="shared" si="36"/>
        <v>66.435071953154761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6.5896219543675949</v>
      </c>
      <c r="AV60" s="23">
        <f>EXP(-LN(2)/25)*AV59+(1-EXP(-LN(2)/25))/(LN(2)/25)*Calculateur!AQ60*Calculateur!AS60*VLOOKUP('Données projet'!$B$10,Paramètres!$A$1:$I$88,3,0)*0.475*44/12</f>
        <v>0</v>
      </c>
      <c r="AW60" s="23">
        <f>EXP(-LN(2)/2)*AW59+(1-EXP(-LN(2)/2))/(LN(2)/2)*AQ60*AT60*VLOOKUP('Données projet'!$B$10,Paramètres!$A$1:$I$88,3,0)*0.475*44/12</f>
        <v>0</v>
      </c>
      <c r="AX60" s="23">
        <f t="shared" si="6"/>
        <v>6.5896219543675949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8.5</v>
      </c>
      <c r="BD60" s="13">
        <f>IF('Données projet'!$A$88&gt;35,BD59+BC60-BL59,IF(A60&lt;'Données projet'!$A$88,$BA$205^A60,IF(A60='Données projet'!$A$88,'Données projet'!$B$88,BD59+BC60-BL59)))</f>
        <v>184</v>
      </c>
      <c r="BE60" s="14">
        <f>BD60*VLOOKUP('Données projet'!$B$11,Paramètres!$A$1:$I$88,3,0)*VLOOKUP('Données projet'!$B$11,Paramètres!$A$1:$I$88,5,0)</f>
        <v>186.57600000000002</v>
      </c>
      <c r="BF60" s="14">
        <f t="shared" si="37"/>
        <v>46.782155731694274</v>
      </c>
      <c r="BG60" s="22">
        <f t="shared" si="7"/>
        <v>406.43212123270087</v>
      </c>
      <c r="BH60" s="62">
        <f t="shared" si="8"/>
        <v>665.95876128337864</v>
      </c>
      <c r="BI60" s="62">
        <f ca="1">AVERAGE(OFFSET($BH$3,0,0,'Données projet'!$E$11+1,1))-AVERAGE(OFFSET($H$3,0,0,'Données projet'!$E$11+1,1))</f>
        <v>570.2785736203931</v>
      </c>
      <c r="BJ60" s="62">
        <f t="shared" si="38"/>
        <v>67.677759965081719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7.3849211557567882</v>
      </c>
      <c r="BQ60" s="23">
        <f>EXP(-LN(2)/25)*BQ59+(1-EXP(-LN(2)/25))/(LN(2)/25)*Calculateur!BL60*Calculateur!BN60*VLOOKUP('Données projet'!$B$11,Paramètres!$A$1:$I$88,3,0)*0.475*44/12</f>
        <v>0</v>
      </c>
      <c r="BR60" s="23">
        <f>EXP(-LN(2)/2)*BR59+(1-EXP(-LN(2)/2))/(LN(2)/2)*BL60*BO60*VLOOKUP('Données projet'!$B$11,Paramètres!$A$1:$I$88,3,0)*0.475*44/12</f>
        <v>0</v>
      </c>
      <c r="BS60" s="24">
        <f t="shared" si="9"/>
        <v>7.3849211557567882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4.4250000000000114</v>
      </c>
      <c r="BY60" s="13">
        <f>IF('Données projet'!$A$114&gt;35,BY59+BX60-CG59,IF(A60&lt;'Données projet'!$A$114,$BV$205^A60,IF(A60='Données projet'!$A$114,'Données projet'!$B$114,BY59+BX60-CG59)))</f>
        <v>528.57500000000005</v>
      </c>
      <c r="BZ60" s="14">
        <f>BY60*VLOOKUP('Données projet'!$B$12,Paramètres!$A$1:$I$88,3,0)*VLOOKUP('Données projet'!$B$12,Paramètres!$A$1:$I$88,5,0)</f>
        <v>316.08785000000006</v>
      </c>
      <c r="CA60" s="14">
        <f t="shared" si="39"/>
        <v>74.538772942115486</v>
      </c>
      <c r="CB60" s="22">
        <f t="shared" si="10"/>
        <v>680.34136829085116</v>
      </c>
      <c r="CC60" s="62">
        <f t="shared" si="11"/>
        <v>939.86800834152882</v>
      </c>
      <c r="CD60" s="62">
        <f ca="1">AVERAGE(OFFSET($CC$3,0,0,'Données projet'!$E$12+1,1))-AVERAGE(OFFSET($H$3,0,0,'Données projet'!$E$12+1,1))</f>
        <v>401.1031790385295</v>
      </c>
      <c r="CE60" s="62">
        <f t="shared" si="40"/>
        <v>402.09589424130615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projet'!$B$12,Paramètres!$A$1:$I$88,3,0)*0.475*44/12</f>
        <v>20.475385364256002</v>
      </c>
      <c r="CL60" s="23">
        <f>EXP(-LN(2)/25)*CL59+(1-EXP(-LN(2)/25))/(LN(2)/25)*Calculateur!CG60*Calculateur!CI60*VLOOKUP('Données projet'!$B$12,Paramètres!$A$1:$I$88,3,0)*0.475*44/12</f>
        <v>0</v>
      </c>
      <c r="CM60" s="23">
        <f>EXP(-LN(2)/2)*CM59+(1-EXP(-LN(2)/2))/(LN(2)/2)*CG60*CJ60*VLOOKUP('Données projet'!$B$12,Paramètres!$A$1:$I$88,3,0)*0.475*44/12</f>
        <v>1.7835594148853799</v>
      </c>
      <c r="CN60" s="24">
        <f t="shared" si="12"/>
        <v>22.258944779141384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4.4250000000000114</v>
      </c>
      <c r="CT60" s="13">
        <f>IF('Données projet'!$A$140&gt;35,CT59+CS60-DB59,IF(A60&lt;'Données projet'!$A$140,$CQ$205^A60,IF(A60='Données projet'!$A$140,'Données projet'!$B$140,CT59+CS60-DB59)))</f>
        <v>528.57500000000005</v>
      </c>
      <c r="CU60" s="18">
        <f>CT60*VLOOKUP('Données projet'!$B$13,Paramètres!$A$1:$I$88,3,0)*VLOOKUP('Données projet'!$B$13,Paramètres!$A$1:$I$88,5,0)</f>
        <v>316.08785000000006</v>
      </c>
      <c r="CV60" s="14">
        <f t="shared" si="41"/>
        <v>74.538772942115486</v>
      </c>
      <c r="CW60" s="22">
        <f t="shared" si="13"/>
        <v>680.34136829085116</v>
      </c>
      <c r="CX60" s="62">
        <f t="shared" si="14"/>
        <v>939.86800834152882</v>
      </c>
      <c r="CY60" s="62">
        <f ca="1">AVERAGE(OFFSET($CX$3,0,0,'Données projet'!$E$13+1,1))-AVERAGE(OFFSET($H$3,0,0,'Données projet'!$E$13+1,1))</f>
        <v>401.1031790385295</v>
      </c>
      <c r="CZ60" s="62">
        <f t="shared" si="42"/>
        <v>402.09589424130615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projet'!$B$13,Paramètres!$A$1:$I$88,3,0)*0.475*44/12</f>
        <v>20.475385364256002</v>
      </c>
      <c r="DG60" s="23">
        <f>EXP(-LN(2)/25)*DG59+(1-EXP(-LN(2)/25))/(LN(2)/25)*Calculateur!DB60*Calculateur!DD60*VLOOKUP('Données projet'!$B$13,Paramètres!$A$1:$I$88,3,0)*0.475*44/12</f>
        <v>0</v>
      </c>
      <c r="DH60" s="23">
        <f>EXP(-LN(2)/2)*DH59+(1-EXP(-LN(2)/2))/(LN(2)/2)*DB60*DE60*VLOOKUP('Données projet'!$B$13,Paramètres!$A$1:$I$88,3,0)*0.475*44/12</f>
        <v>1.7835594148853799</v>
      </c>
      <c r="DI60" s="24">
        <f t="shared" si="15"/>
        <v>22.258944779141384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25.2</v>
      </c>
      <c r="DO60" s="13">
        <f>IF('Données projet'!$A$166&gt;35,DO59+DN60-DW59,IF(A60&lt;'Données projet'!$A$166,$DL$205^A60,IF(A60='Données projet'!$A$166,'Données projet'!$B$166,DO59+DN60-DW59)))</f>
        <v>658.39999999999964</v>
      </c>
      <c r="DP60" s="18">
        <f>DO60*VLOOKUP('Données projet'!$B$14,Paramètres!$A$1:$I$88,3,0)*VLOOKUP('Données projet'!$B$14,Paramètres!$A$1:$I$88,5,0)</f>
        <v>265.33519999999987</v>
      </c>
      <c r="DQ60" s="14">
        <f t="shared" si="43"/>
        <v>63.858279080346882</v>
      </c>
      <c r="DR60" s="22">
        <f t="shared" si="16"/>
        <v>573.34530939827062</v>
      </c>
      <c r="DS60" s="62">
        <f t="shared" si="17"/>
        <v>832.87194944894827</v>
      </c>
      <c r="DT60" s="62">
        <f ca="1">AVERAGE(OFFSET($DS$3,0,0,'Données projet'!$E$14+1,1))-AVERAGE(OFFSET($H$3,0,0,'Données projet'!$E$14+1,1))</f>
        <v>432.59662347701629</v>
      </c>
      <c r="DU60" s="62">
        <f t="shared" si="44"/>
        <v>348.67401091099748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projet'!$B$14,Paramètres!$A$1:$I$88,3,0)*0.475*44/12</f>
        <v>34.747007537696661</v>
      </c>
      <c r="EB60" s="23">
        <f>EXP(-LN(2)/25)*EB59+(1-EXP(-LN(2)/25))/(LN(2)/25)*Calculateur!DW60*Calculateur!DY60*VLOOKUP('Données projet'!$B$14,Paramètres!$A$1:$I$88,3,0)*0.475*44/12</f>
        <v>82.610401862266158</v>
      </c>
      <c r="EC60" s="23">
        <f>EXP(-LN(2)/2)*EC59+(1-EXP(-LN(2)/2))/(LN(2)/2)*DW60*DZ60*VLOOKUP('Données projet'!$B$14,Paramètres!$A$1:$I$88,3,0)*0.475*44/12</f>
        <v>0</v>
      </c>
      <c r="ED60" s="24">
        <f t="shared" si="18"/>
        <v>117.35740939996282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26.6</v>
      </c>
      <c r="EJ60" s="13">
        <f>IF('Données projet'!$A$192&gt;35,EJ59+EI60-ER59,IF(A60&lt;'Données projet'!$A$192,$EG$205^A60,IF(A60='Données projet'!$A$192,'Données projet'!$B$192,EJ59+EI60-ER59)))</f>
        <v>888.2</v>
      </c>
      <c r="EK60" s="18">
        <f>EJ60*VLOOKUP('Données projet'!$B$15,Paramètres!$A$1:$I$88,3,0)*VLOOKUP('Données projet'!$B$15,Paramètres!$A$1:$I$88,5,0)</f>
        <v>392.58440000000007</v>
      </c>
      <c r="EL60" s="14">
        <f t="shared" si="45"/>
        <v>90.271632700677941</v>
      </c>
      <c r="EM60" s="22">
        <f t="shared" si="19"/>
        <v>840.97425695368077</v>
      </c>
      <c r="EN60" s="62">
        <f t="shared" si="20"/>
        <v>1100.5008970043584</v>
      </c>
      <c r="EO60" s="62">
        <f ca="1">AVERAGE(OFFSET($EN$3,0,0,'Données projet'!$E$15+1,1))-AVERAGE(OFFSET($H$3,0,0,'Données projet'!$E$15+1,1))</f>
        <v>582.26951914082088</v>
      </c>
      <c r="EP60" s="62">
        <f t="shared" si="46"/>
        <v>434.80429932654715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projet'!$B$15,Paramètres!$A$1:$I$88,3,0)*0.475*44/12</f>
        <v>43.006405578635068</v>
      </c>
      <c r="EW60" s="23">
        <f>EXP(-LN(2)/25)*EW59+(1-EXP(-LN(2)/25))/(LN(2)/25)*Calculateur!ER60*Calculateur!ET60*VLOOKUP('Données projet'!$B$15,Paramètres!$A$1:$I$88,3,0)*0.475*44/12</f>
        <v>79.82310374406174</v>
      </c>
      <c r="EX60" s="23">
        <f>EXP(-LN(2)/2)*EX59+(1-EXP(-LN(2)/2))/(LN(2)/2)*ER60*EU60*VLOOKUP('Données projet'!$B$15,Paramètres!$A$1:$I$88,3,0)*0.475*44/12</f>
        <v>0</v>
      </c>
      <c r="EY60" s="24">
        <f t="shared" si="21"/>
        <v>122.82950932269681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22.7</v>
      </c>
      <c r="FE60" s="13">
        <f>IF('Données projet'!$A$218&gt;35,FE59+FD60-FM59,IF(A60&lt;'Données projet'!$A$218,$FB$205^A60,IF(A60='Données projet'!$A$218,'Données projet'!$B$218,FE59+FD60-FM59)))</f>
        <v>447.89999999999969</v>
      </c>
      <c r="FF60" s="18">
        <f>FE60*VLOOKUP('Données projet'!$B$16,Paramètres!$A$1:$I$88,3,0)*VLOOKUP('Données projet'!$B$16,Paramètres!$A$1:$I$88,5,0)</f>
        <v>209.61719999999985</v>
      </c>
      <c r="FG60" s="14">
        <f t="shared" si="47"/>
        <v>51.851925386563117</v>
      </c>
      <c r="FH60" s="22">
        <f t="shared" si="22"/>
        <v>455.39206004826383</v>
      </c>
      <c r="FI60" s="62">
        <f t="shared" si="23"/>
        <v>714.9187000989416</v>
      </c>
      <c r="FJ60" s="62">
        <f ca="1">AVERAGE(OFFSET($FI$3,0,0,'Données projet'!$E$16+1,1))-AVERAGE(OFFSET($H$3,0,0,'Données projet'!$E$16+1,1))</f>
        <v>429.87867712133851</v>
      </c>
      <c r="FK60" s="62">
        <f t="shared" si="48"/>
        <v>182.81277865988014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projet'!$B$16,Paramètres!$A$1:$I$88,3,0)*0.475*44/12</f>
        <v>0</v>
      </c>
      <c r="FR60" s="23">
        <f>EXP(-LN(2)/25)*FR59+(1-EXP(-LN(2)/25))/(LN(2)/25)*Calculateur!FM60*Calculateur!FO60*VLOOKUP('Données projet'!$B$16,Paramètres!$A$1:$I$88,3,0)*0.475*44/12</f>
        <v>44.808498799295563</v>
      </c>
      <c r="FS60" s="23">
        <f>EXP(-LN(2)/2)*FS59+(1-EXP(-LN(2)/2))/(LN(2)/2)*FM60*FP60*VLOOKUP('Données projet'!$B$16,Paramètres!$A$1:$I$88,3,0)*0.475*44/12</f>
        <v>0</v>
      </c>
      <c r="FT60" s="24">
        <f t="shared" si="24"/>
        <v>44.808498799295563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20.2</v>
      </c>
      <c r="FZ60" s="13">
        <f>IF('Données projet'!$A$244&gt;35,FZ59+FY60-GH59,IF(A60&lt;'Données projet'!$A$244,$FW$205^A60,IF(A60='Données projet'!$A$244,'Données projet'!$B$244,FZ59+FY60-GH59)))</f>
        <v>407.39999999999964</v>
      </c>
      <c r="GA60" s="18">
        <f>FZ60*VLOOKUP('Données projet'!$B$17,Paramètres!$A$1:$I$88,3,0)*VLOOKUP('Données projet'!$B$17,Paramètres!$A$1:$I$88,5,0)</f>
        <v>195.95939999999982</v>
      </c>
      <c r="GB60" s="14">
        <f t="shared" si="49"/>
        <v>48.855114082018311</v>
      </c>
      <c r="GC60" s="22">
        <f t="shared" si="25"/>
        <v>426.3852786928482</v>
      </c>
      <c r="GD60" s="62">
        <f t="shared" si="26"/>
        <v>685.91191874352592</v>
      </c>
      <c r="GE60" s="62">
        <f ca="1">AVERAGE(OFFSET($GD$3,0,0,'Données projet'!$E$17+1,1))-AVERAGE(OFFSET($H$3,0,0,'Données projet'!$E$17+1,1))</f>
        <v>273.24375559399846</v>
      </c>
      <c r="GF60" s="62">
        <f t="shared" si="50"/>
        <v>270.77718895097848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projet'!$B$17,Paramètres!$A$1:$I$88,3,0)*0.475*44/12</f>
        <v>33.449585911548311</v>
      </c>
      <c r="GM60" s="23">
        <f>EXP(-LN(2)/25)*GM59+(1-EXP(-LN(2)/25))/(LN(2)/25)*Calculateur!GH60*Calculateur!GJ60*VLOOKUP('Données projet'!$B$17,Paramètres!$A$1:$I$88,3,0)*0.475*44/12</f>
        <v>51.565290456424144</v>
      </c>
      <c r="GN60" s="23">
        <f>EXP(-LN(2)/2)*GN59+(1-EXP(-LN(2)/2))/(LN(2)/2)*GH60*GK60*VLOOKUP('Données projet'!$B$17,Paramètres!$A$1:$I$88,3,0)*0.475*44/12</f>
        <v>0</v>
      </c>
      <c r="GO60" s="23">
        <f t="shared" si="27"/>
        <v>85.014876367972448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15.571428571428571</v>
      </c>
      <c r="N61" s="14">
        <f>IF('Données projet'!$A$36&gt;35,N60+M61-V60,IF(A61&lt;'Données projet'!$A$36,$K$205^A61,IF(A61='Données projet'!$A$36,'Données projet'!$B$36,N60+M61-V60)))</f>
        <v>460.14285714285688</v>
      </c>
      <c r="O61" s="14">
        <f>N61*VLOOKUP('Données projet'!$B$9,Paramètres!$A$1:$I$88,3,0)*VLOOKUP('Données projet'!$B$9,Paramètres!$A$1:$I$88,5,0)</f>
        <v>257.21985714285699</v>
      </c>
      <c r="P61" s="14">
        <f t="shared" si="33"/>
        <v>62.129393573116417</v>
      </c>
      <c r="Q61" s="22">
        <f t="shared" si="53"/>
        <v>556.19994499698703</v>
      </c>
      <c r="R61" s="62">
        <f t="shared" si="0"/>
        <v>816.31305559567545</v>
      </c>
      <c r="S61" s="62">
        <f ca="1">AVERAGE(OFFSET($R$3,0,0,'Données projet'!$E$9+1,1))-AVERAGE(OFFSET($H$3,0,0,'Données projet'!$E$9+1,1))</f>
        <v>289.94242154211224</v>
      </c>
      <c r="T61" s="62">
        <f t="shared" si="34"/>
        <v>369.12599166143661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48.384580661683351</v>
      </c>
      <c r="AA61" s="23">
        <f>EXP(-LN(2)/25)*AA60+(1-EXP(-LN(2)/25))/(LN(2)/25)*Calculateur!V61*Calculateur!X61*VLOOKUP('Données projet'!$B$9,Paramètres!$A$1:$I$88,3,0)*0.475*44/12</f>
        <v>60.831691942543806</v>
      </c>
      <c r="AB61" s="23">
        <f>EXP(-LN(2)/2)*AB60+(1-EXP(-LN(2)/2))/(LN(2)/2)*V61*Y61*VLOOKUP('Données projet'!$B$9,Paramètres!$A$1:$I$88,3,0)*0.475*44/12</f>
        <v>0</v>
      </c>
      <c r="AC61" s="24">
        <f t="shared" si="3"/>
        <v>109.21627260422716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8.5</v>
      </c>
      <c r="AI61" s="14">
        <f>IF('Données projet'!$A$62&gt;35,AI60+AH61-AQ60,IF(A61&lt;'Données projet'!$A$62,$AF$205^A61,IF(A61='Données projet'!$A$62,'Données projet'!$B$62,AI60+AH61-AQ60)))</f>
        <v>192.5</v>
      </c>
      <c r="AJ61" s="14">
        <f>AI61*VLOOKUP('Données projet'!$B$10,Paramètres!$A$1:$I$88,3,0)*VLOOKUP('Données projet'!$B$10,Paramètres!$A$1:$I$88,5,0)</f>
        <v>174.17400000000001</v>
      </c>
      <c r="AK61" s="14">
        <f t="shared" si="35"/>
        <v>44.023536919386274</v>
      </c>
      <c r="AL61" s="22">
        <f t="shared" si="4"/>
        <v>380.02737680126438</v>
      </c>
      <c r="AM61" s="62">
        <f t="shared" si="5"/>
        <v>640.1404873999528</v>
      </c>
      <c r="AN61" s="62">
        <f ca="1">AVERAGE(OFFSET($AM$3,0,0,'Données projet'!$E$10+1,1))-AVERAGE(OFFSET($H$3,0,0,'Données projet'!$E$10+1,1))</f>
        <v>518.31628039365785</v>
      </c>
      <c r="AO61" s="62">
        <f t="shared" si="36"/>
        <v>66.435071953154761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6.4604034871149683</v>
      </c>
      <c r="AV61" s="23">
        <f>EXP(-LN(2)/25)*AV60+(1-EXP(-LN(2)/25))/(LN(2)/25)*Calculateur!AQ61*Calculateur!AS61*VLOOKUP('Données projet'!$B$10,Paramètres!$A$1:$I$88,3,0)*0.475*44/12</f>
        <v>0</v>
      </c>
      <c r="AW61" s="23">
        <f>EXP(-LN(2)/2)*AW60+(1-EXP(-LN(2)/2))/(LN(2)/2)*AQ61*AT61*VLOOKUP('Données projet'!$B$10,Paramètres!$A$1:$I$88,3,0)*0.475*44/12</f>
        <v>0</v>
      </c>
      <c r="AX61" s="23">
        <f t="shared" si="6"/>
        <v>6.4604034871149683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8.5</v>
      </c>
      <c r="BD61" s="13">
        <f>IF('Données projet'!$A$88&gt;35,BD60+BC61-BL60,IF(A61&lt;'Données projet'!$A$88,$BA$205^A61,IF(A61='Données projet'!$A$88,'Données projet'!$B$88,BD60+BC61-BL60)))</f>
        <v>192.5</v>
      </c>
      <c r="BE61" s="14">
        <f>BD61*VLOOKUP('Données projet'!$B$11,Paramètres!$A$1:$I$88,3,0)*VLOOKUP('Données projet'!$B$11,Paramètres!$A$1:$I$88,5,0)</f>
        <v>195.19499999999999</v>
      </c>
      <c r="BF61" s="14">
        <f t="shared" si="37"/>
        <v>48.686684238534276</v>
      </c>
      <c r="BG61" s="22">
        <f t="shared" si="7"/>
        <v>424.76060004878042</v>
      </c>
      <c r="BH61" s="62">
        <f t="shared" si="8"/>
        <v>684.8737106474689</v>
      </c>
      <c r="BI61" s="62">
        <f ca="1">AVERAGE(OFFSET($BH$3,0,0,'Données projet'!$E$11+1,1))-AVERAGE(OFFSET($H$3,0,0,'Données projet'!$E$11+1,1))</f>
        <v>570.2785736203931</v>
      </c>
      <c r="BJ61" s="62">
        <f t="shared" si="38"/>
        <v>67.677759965081719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7.2401073562495339</v>
      </c>
      <c r="BQ61" s="23">
        <f>EXP(-LN(2)/25)*BQ60+(1-EXP(-LN(2)/25))/(LN(2)/25)*Calculateur!BL61*Calculateur!BN61*VLOOKUP('Données projet'!$B$11,Paramètres!$A$1:$I$88,3,0)*0.475*44/12</f>
        <v>0</v>
      </c>
      <c r="BR61" s="23">
        <f>EXP(-LN(2)/2)*BR60+(1-EXP(-LN(2)/2))/(LN(2)/2)*BL61*BO61*VLOOKUP('Données projet'!$B$11,Paramètres!$A$1:$I$88,3,0)*0.475*44/12</f>
        <v>0</v>
      </c>
      <c r="BS61" s="24">
        <f t="shared" si="9"/>
        <v>7.2401073562495339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4.4250000000000114</v>
      </c>
      <c r="BY61" s="13">
        <f>IF('Données projet'!$A$114&gt;35,BY60+BX61-CG60,IF(A61&lt;'Données projet'!$A$114,$BV$205^A61,IF(A61='Données projet'!$A$114,'Données projet'!$B$114,BY60+BX61-CG60)))</f>
        <v>533</v>
      </c>
      <c r="BZ61" s="14">
        <f>BY61*VLOOKUP('Données projet'!$B$12,Paramètres!$A$1:$I$88,3,0)*VLOOKUP('Données projet'!$B$12,Paramètres!$A$1:$I$88,5,0)</f>
        <v>318.73400000000004</v>
      </c>
      <c r="CA61" s="14">
        <f t="shared" si="39"/>
        <v>75.089876999925679</v>
      </c>
      <c r="CB61" s="22">
        <f t="shared" si="10"/>
        <v>685.90991910820378</v>
      </c>
      <c r="CC61" s="62">
        <f t="shared" si="11"/>
        <v>946.0230297068922</v>
      </c>
      <c r="CD61" s="62">
        <f ca="1">AVERAGE(OFFSET($CC$3,0,0,'Données projet'!$E$12+1,1))-AVERAGE(OFFSET($H$3,0,0,'Données projet'!$E$12+1,1))</f>
        <v>401.1031790385295</v>
      </c>
      <c r="CE61" s="62">
        <f t="shared" si="40"/>
        <v>402.09589424130615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projet'!$B$12,Paramètres!$A$1:$I$88,3,0)*0.475*44/12</f>
        <v>20.073875546014854</v>
      </c>
      <c r="CL61" s="23">
        <f>EXP(-LN(2)/25)*CL60+(1-EXP(-LN(2)/25))/(LN(2)/25)*Calculateur!CG61*Calculateur!CI61*VLOOKUP('Données projet'!$B$12,Paramètres!$A$1:$I$88,3,0)*0.475*44/12</f>
        <v>0</v>
      </c>
      <c r="CM61" s="23">
        <f>EXP(-LN(2)/2)*CM60+(1-EXP(-LN(2)/2))/(LN(2)/2)*CG61*CJ61*VLOOKUP('Données projet'!$B$12,Paramètres!$A$1:$I$88,3,0)*0.475*44/12</f>
        <v>1.2611669569145632</v>
      </c>
      <c r="CN61" s="24">
        <f t="shared" si="12"/>
        <v>21.335042502929419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4.4250000000000114</v>
      </c>
      <c r="CT61" s="13">
        <f>IF('Données projet'!$A$140&gt;35,CT60+CS61-DB60,IF(A61&lt;'Données projet'!$A$140,$CQ$205^A61,IF(A61='Données projet'!$A$140,'Données projet'!$B$140,CT60+CS61-DB60)))</f>
        <v>533</v>
      </c>
      <c r="CU61" s="18">
        <f>CT61*VLOOKUP('Données projet'!$B$13,Paramètres!$A$1:$I$88,3,0)*VLOOKUP('Données projet'!$B$13,Paramètres!$A$1:$I$88,5,0)</f>
        <v>318.73400000000004</v>
      </c>
      <c r="CV61" s="14">
        <f t="shared" si="41"/>
        <v>75.089876999925679</v>
      </c>
      <c r="CW61" s="22">
        <f t="shared" si="13"/>
        <v>685.90991910820378</v>
      </c>
      <c r="CX61" s="62">
        <f t="shared" si="14"/>
        <v>946.0230297068922</v>
      </c>
      <c r="CY61" s="62">
        <f ca="1">AVERAGE(OFFSET($CX$3,0,0,'Données projet'!$E$13+1,1))-AVERAGE(OFFSET($H$3,0,0,'Données projet'!$E$13+1,1))</f>
        <v>401.1031790385295</v>
      </c>
      <c r="CZ61" s="62">
        <f t="shared" si="42"/>
        <v>402.09589424130615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projet'!$B$13,Paramètres!$A$1:$I$88,3,0)*0.475*44/12</f>
        <v>20.073875546014854</v>
      </c>
      <c r="DG61" s="23">
        <f>EXP(-LN(2)/25)*DG60+(1-EXP(-LN(2)/25))/(LN(2)/25)*Calculateur!DB61*Calculateur!DD61*VLOOKUP('Données projet'!$B$13,Paramètres!$A$1:$I$88,3,0)*0.475*44/12</f>
        <v>0</v>
      </c>
      <c r="DH61" s="23">
        <f>EXP(-LN(2)/2)*DH60+(1-EXP(-LN(2)/2))/(LN(2)/2)*DB61*DE61*VLOOKUP('Données projet'!$B$13,Paramètres!$A$1:$I$88,3,0)*0.475*44/12</f>
        <v>1.2611669569145632</v>
      </c>
      <c r="DI61" s="24">
        <f t="shared" si="15"/>
        <v>21.335042502929419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25.2</v>
      </c>
      <c r="DO61" s="13">
        <f>IF('Données projet'!$A$166&gt;35,DO60+DN61-DW60,IF(A61&lt;'Données projet'!$A$166,$DL$205^A61,IF(A61='Données projet'!$A$166,'Données projet'!$B$166,DO60+DN61-DW60)))</f>
        <v>683.59999999999968</v>
      </c>
      <c r="DP61" s="18">
        <f>DO61*VLOOKUP('Données projet'!$B$14,Paramètres!$A$1:$I$88,3,0)*VLOOKUP('Données projet'!$B$14,Paramètres!$A$1:$I$88,5,0)</f>
        <v>275.49079999999992</v>
      </c>
      <c r="DQ61" s="14">
        <f t="shared" si="43"/>
        <v>66.013186752162994</v>
      </c>
      <c r="DR61" s="22">
        <f t="shared" si="16"/>
        <v>594.78611026001704</v>
      </c>
      <c r="DS61" s="62">
        <f t="shared" si="17"/>
        <v>854.89922085870546</v>
      </c>
      <c r="DT61" s="62">
        <f ca="1">AVERAGE(OFFSET($DS$3,0,0,'Données projet'!$E$14+1,1))-AVERAGE(OFFSET($H$3,0,0,'Données projet'!$E$14+1,1))</f>
        <v>432.59662347701629</v>
      </c>
      <c r="DU61" s="62">
        <f t="shared" si="44"/>
        <v>348.67401091099748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projet'!$B$14,Paramètres!$A$1:$I$88,3,0)*0.475*44/12</f>
        <v>34.065639913464338</v>
      </c>
      <c r="EB61" s="23">
        <f>EXP(-LN(2)/25)*EB60+(1-EXP(-LN(2)/25))/(LN(2)/25)*Calculateur!DW61*Calculateur!DY61*VLOOKUP('Données projet'!$B$14,Paramètres!$A$1:$I$88,3,0)*0.475*44/12</f>
        <v>80.351416079050267</v>
      </c>
      <c r="EC61" s="23">
        <f>EXP(-LN(2)/2)*EC60+(1-EXP(-LN(2)/2))/(LN(2)/2)*DW61*DZ61*VLOOKUP('Données projet'!$B$14,Paramètres!$A$1:$I$88,3,0)*0.475*44/12</f>
        <v>0</v>
      </c>
      <c r="ED61" s="24">
        <f t="shared" si="18"/>
        <v>114.41705599251461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26.6</v>
      </c>
      <c r="EJ61" s="13">
        <f>IF('Données projet'!$A$192&gt;35,EJ60+EI61-ER60,IF(A61&lt;'Données projet'!$A$192,$EG$205^A61,IF(A61='Données projet'!$A$192,'Données projet'!$B$192,EJ60+EI61-ER60)))</f>
        <v>914.80000000000007</v>
      </c>
      <c r="EK61" s="18">
        <f>EJ61*VLOOKUP('Données projet'!$B$15,Paramètres!$A$1:$I$88,3,0)*VLOOKUP('Données projet'!$B$15,Paramètres!$A$1:$I$88,5,0)</f>
        <v>404.34160000000008</v>
      </c>
      <c r="EL61" s="14">
        <f t="shared" si="45"/>
        <v>92.65630420555884</v>
      </c>
      <c r="EM61" s="22">
        <f t="shared" si="19"/>
        <v>865.60468315801518</v>
      </c>
      <c r="EN61" s="62">
        <f t="shared" si="20"/>
        <v>1125.7177937567035</v>
      </c>
      <c r="EO61" s="62">
        <f ca="1">AVERAGE(OFFSET($EN$3,0,0,'Données projet'!$E$15+1,1))-AVERAGE(OFFSET($H$3,0,0,'Données projet'!$E$15+1,1))</f>
        <v>582.26951914082088</v>
      </c>
      <c r="EP61" s="62">
        <f t="shared" si="46"/>
        <v>434.80429932654715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projet'!$B$15,Paramètres!$A$1:$I$88,3,0)*0.475*44/12</f>
        <v>42.163076196555309</v>
      </c>
      <c r="EW61" s="23">
        <f>EXP(-LN(2)/25)*EW60+(1-EXP(-LN(2)/25))/(LN(2)/25)*Calculateur!ER61*Calculateur!ET61*VLOOKUP('Données projet'!$B$15,Paramètres!$A$1:$I$88,3,0)*0.475*44/12</f>
        <v>77.64033677446578</v>
      </c>
      <c r="EX61" s="23">
        <f>EXP(-LN(2)/2)*EX60+(1-EXP(-LN(2)/2))/(LN(2)/2)*ER61*EU61*VLOOKUP('Données projet'!$B$15,Paramètres!$A$1:$I$88,3,0)*0.475*44/12</f>
        <v>0</v>
      </c>
      <c r="EY61" s="24">
        <f t="shared" si="21"/>
        <v>119.80341297102109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22.7</v>
      </c>
      <c r="FE61" s="13">
        <f>IF('Données projet'!$A$218&gt;35,FE60+FD61-FM60,IF(A61&lt;'Données projet'!$A$218,$FB$205^A61,IF(A61='Données projet'!$A$218,'Données projet'!$B$218,FE60+FD61-FM60)))</f>
        <v>470.59999999999968</v>
      </c>
      <c r="FF61" s="18">
        <f>FE61*VLOOKUP('Données projet'!$B$16,Paramètres!$A$1:$I$88,3,0)*VLOOKUP('Données projet'!$B$16,Paramètres!$A$1:$I$88,5,0)</f>
        <v>220.24079999999987</v>
      </c>
      <c r="FG61" s="14">
        <f t="shared" si="47"/>
        <v>54.167219078226751</v>
      </c>
      <c r="FH61" s="22">
        <f t="shared" si="22"/>
        <v>477.92729989457803</v>
      </c>
      <c r="FI61" s="62">
        <f t="shared" si="23"/>
        <v>738.04041049326645</v>
      </c>
      <c r="FJ61" s="62">
        <f ca="1">AVERAGE(OFFSET($FI$3,0,0,'Données projet'!$E$16+1,1))-AVERAGE(OFFSET($H$3,0,0,'Données projet'!$E$16+1,1))</f>
        <v>429.87867712133851</v>
      </c>
      <c r="FK61" s="62">
        <f t="shared" si="48"/>
        <v>182.81277865988014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projet'!$B$16,Paramètres!$A$1:$I$88,3,0)*0.475*44/12</f>
        <v>0</v>
      </c>
      <c r="FR61" s="23">
        <f>EXP(-LN(2)/25)*FR60+(1-EXP(-LN(2)/25))/(LN(2)/25)*Calculateur!FM61*Calculateur!FO61*VLOOKUP('Données projet'!$B$16,Paramètres!$A$1:$I$88,3,0)*0.475*44/12</f>
        <v>43.583208043252284</v>
      </c>
      <c r="FS61" s="23">
        <f>EXP(-LN(2)/2)*FS60+(1-EXP(-LN(2)/2))/(LN(2)/2)*FM61*FP61*VLOOKUP('Données projet'!$B$16,Paramètres!$A$1:$I$88,3,0)*0.475*44/12</f>
        <v>0</v>
      </c>
      <c r="FT61" s="24">
        <f t="shared" si="24"/>
        <v>43.583208043252284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20.2</v>
      </c>
      <c r="FZ61" s="13">
        <f>IF('Données projet'!$A$244&gt;35,FZ60+FY61-GH60,IF(A61&lt;'Données projet'!$A$244,$FW$205^A61,IF(A61='Données projet'!$A$244,'Données projet'!$B$244,FZ60+FY61-GH60)))</f>
        <v>427.59999999999962</v>
      </c>
      <c r="GA61" s="18">
        <f>FZ61*VLOOKUP('Données projet'!$B$17,Paramètres!$A$1:$I$88,3,0)*VLOOKUP('Données projet'!$B$17,Paramètres!$A$1:$I$88,5,0)</f>
        <v>205.6755999999998</v>
      </c>
      <c r="GB61" s="14">
        <f t="shared" si="49"/>
        <v>50.989454174729858</v>
      </c>
      <c r="GC61" s="22">
        <f t="shared" si="25"/>
        <v>447.02496935432083</v>
      </c>
      <c r="GD61" s="62">
        <f t="shared" si="26"/>
        <v>707.13807995300931</v>
      </c>
      <c r="GE61" s="62">
        <f ca="1">AVERAGE(OFFSET($GD$3,0,0,'Données projet'!$E$17+1,1))-AVERAGE(OFFSET($H$3,0,0,'Données projet'!$E$17+1,1))</f>
        <v>273.24375559399846</v>
      </c>
      <c r="GF61" s="62">
        <f t="shared" si="50"/>
        <v>270.77718895097848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projet'!$B$17,Paramètres!$A$1:$I$88,3,0)*0.475*44/12</f>
        <v>32.793659934055704</v>
      </c>
      <c r="GM61" s="23">
        <f>EXP(-LN(2)/25)*GM60+(1-EXP(-LN(2)/25))/(LN(2)/25)*Calculateur!GH61*Calculateur!GJ61*VLOOKUP('Données projet'!$B$17,Paramètres!$A$1:$I$88,3,0)*0.475*44/12</f>
        <v>50.155234877192456</v>
      </c>
      <c r="GN61" s="23">
        <f>EXP(-LN(2)/2)*GN60+(1-EXP(-LN(2)/2))/(LN(2)/2)*GH61*GK61*VLOOKUP('Données projet'!$B$17,Paramètres!$A$1:$I$88,3,0)*0.475*44/12</f>
        <v>0</v>
      </c>
      <c r="GO61" s="23">
        <f t="shared" si="27"/>
        <v>82.948894811248152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15.571428571428571</v>
      </c>
      <c r="N62" s="14">
        <f>IF('Données projet'!$A$36&gt;35,N61+M62-V61,IF(A62&lt;'Données projet'!$A$36,$K$205^A62,IF(A62='Données projet'!$A$36,'Données projet'!$B$36,N61+M62-V61)))</f>
        <v>475.71428571428544</v>
      </c>
      <c r="O62" s="14">
        <f>N62*VLOOKUP('Données projet'!$B$9,Paramètres!$A$1:$I$88,3,0)*VLOOKUP('Données projet'!$B$9,Paramètres!$A$1:$I$88,5,0)</f>
        <v>265.92428571428559</v>
      </c>
      <c r="P62" s="14">
        <f t="shared" si="33"/>
        <v>63.983535636381461</v>
      </c>
      <c r="Q62" s="22">
        <f t="shared" si="53"/>
        <v>574.58945551907846</v>
      </c>
      <c r="R62" s="62">
        <f t="shared" si="0"/>
        <v>835.27886271292118</v>
      </c>
      <c r="S62" s="62">
        <f ca="1">AVERAGE(OFFSET($R$3,0,0,'Données projet'!$E$9+1,1))-AVERAGE(OFFSET($H$3,0,0,'Données projet'!$E$9+1,1))</f>
        <v>289.94242154211224</v>
      </c>
      <c r="T62" s="62">
        <f t="shared" si="34"/>
        <v>369.12599166143661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47.435788546587908</v>
      </c>
      <c r="AA62" s="23">
        <f>EXP(-LN(2)/25)*AA61+(1-EXP(-LN(2)/25))/(LN(2)/25)*Calculateur!V62*Calculateur!X62*VLOOKUP('Données projet'!$B$9,Paramètres!$A$1:$I$88,3,0)*0.475*44/12</f>
        <v>59.168246127375298</v>
      </c>
      <c r="AB62" s="23">
        <f>EXP(-LN(2)/2)*AB61+(1-EXP(-LN(2)/2))/(LN(2)/2)*V62*Y62*VLOOKUP('Données projet'!$B$9,Paramètres!$A$1:$I$88,3,0)*0.475*44/12</f>
        <v>0</v>
      </c>
      <c r="AC62" s="24">
        <f t="shared" si="3"/>
        <v>106.60403467396321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8.5</v>
      </c>
      <c r="AI62" s="14">
        <f>IF('Données projet'!$A$62&gt;35,AI61+AH62-AQ61,IF(A62&lt;'Données projet'!$A$62,$AF$205^A62,IF(A62='Données projet'!$A$62,'Données projet'!$B$62,AI61+AH62-AQ61)))</f>
        <v>201</v>
      </c>
      <c r="AJ62" s="14">
        <f>AI62*VLOOKUP('Données projet'!$B$10,Paramètres!$A$1:$I$88,3,0)*VLOOKUP('Données projet'!$B$10,Paramètres!$A$1:$I$88,5,0)</f>
        <v>181.8648</v>
      </c>
      <c r="AK62" s="14">
        <f t="shared" si="35"/>
        <v>45.73682061391029</v>
      </c>
      <c r="AL62" s="22">
        <f t="shared" si="4"/>
        <v>396.40615590256039</v>
      </c>
      <c r="AM62" s="62">
        <f t="shared" si="5"/>
        <v>657.09556309640311</v>
      </c>
      <c r="AN62" s="62">
        <f ca="1">AVERAGE(OFFSET($AM$3,0,0,'Données projet'!$E$10+1,1))-AVERAGE(OFFSET($H$3,0,0,'Données projet'!$E$10+1,1))</f>
        <v>518.31628039365785</v>
      </c>
      <c r="AO62" s="62">
        <f t="shared" si="36"/>
        <v>66.435071953154761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6.3337189151896833</v>
      </c>
      <c r="AV62" s="23">
        <f>EXP(-LN(2)/25)*AV61+(1-EXP(-LN(2)/25))/(LN(2)/25)*Calculateur!AQ62*Calculateur!AS62*VLOOKUP('Données projet'!$B$10,Paramètres!$A$1:$I$88,3,0)*0.475*44/12</f>
        <v>0</v>
      </c>
      <c r="AW62" s="23">
        <f>EXP(-LN(2)/2)*AW61+(1-EXP(-LN(2)/2))/(LN(2)/2)*AQ62*AT62*VLOOKUP('Données projet'!$B$10,Paramètres!$A$1:$I$88,3,0)*0.475*44/12</f>
        <v>0</v>
      </c>
      <c r="AX62" s="23">
        <f t="shared" si="6"/>
        <v>6.3337189151896833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8.5</v>
      </c>
      <c r="BD62" s="13">
        <f>IF('Données projet'!$A$88&gt;35,BD61+BC62-BL61,IF(A62&lt;'Données projet'!$A$88,$BA$205^A62,IF(A62='Données projet'!$A$88,'Données projet'!$B$88,BD61+BC62-BL61)))</f>
        <v>201</v>
      </c>
      <c r="BE62" s="14">
        <f>BD62*VLOOKUP('Données projet'!$B$11,Paramètres!$A$1:$I$88,3,0)*VLOOKUP('Données projet'!$B$11,Paramètres!$A$1:$I$88,5,0)</f>
        <v>203.81400000000002</v>
      </c>
      <c r="BF62" s="14">
        <f t="shared" si="37"/>
        <v>50.581445724851562</v>
      </c>
      <c r="BG62" s="22">
        <f t="shared" si="7"/>
        <v>443.07206797078311</v>
      </c>
      <c r="BH62" s="62">
        <f t="shared" si="8"/>
        <v>703.76147516462584</v>
      </c>
      <c r="BI62" s="62">
        <f ca="1">AVERAGE(OFFSET($BH$3,0,0,'Données projet'!$E$11+1,1))-AVERAGE(OFFSET($H$3,0,0,'Données projet'!$E$11+1,1))</f>
        <v>570.2785736203931</v>
      </c>
      <c r="BJ62" s="62">
        <f t="shared" si="38"/>
        <v>67.677759965081719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7.0981332670229209</v>
      </c>
      <c r="BQ62" s="23">
        <f>EXP(-LN(2)/25)*BQ61+(1-EXP(-LN(2)/25))/(LN(2)/25)*Calculateur!BL62*Calculateur!BN62*VLOOKUP('Données projet'!$B$11,Paramètres!$A$1:$I$88,3,0)*0.475*44/12</f>
        <v>0</v>
      </c>
      <c r="BR62" s="23">
        <f>EXP(-LN(2)/2)*BR61+(1-EXP(-LN(2)/2))/(LN(2)/2)*BL62*BO62*VLOOKUP('Données projet'!$B$11,Paramètres!$A$1:$I$88,3,0)*0.475*44/12</f>
        <v>0</v>
      </c>
      <c r="BS62" s="24">
        <f t="shared" si="9"/>
        <v>7.0981332670229209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4.4250000000000114</v>
      </c>
      <c r="BY62" s="13">
        <f>IF('Données projet'!$A$114&gt;35,BY61+BX62-CG61,IF(A62&lt;'Données projet'!$A$114,$BV$205^A62,IF(A62='Données projet'!$A$114,'Données projet'!$B$114,BY61+BX62-CG61)))</f>
        <v>537.42499999999995</v>
      </c>
      <c r="BZ62" s="14">
        <f>BY62*VLOOKUP('Données projet'!$B$12,Paramètres!$A$1:$I$88,3,0)*VLOOKUP('Données projet'!$B$12,Paramètres!$A$1:$I$88,5,0)</f>
        <v>321.38015000000001</v>
      </c>
      <c r="CA62" s="14">
        <f t="shared" si="39"/>
        <v>75.64044874346871</v>
      </c>
      <c r="CB62" s="22">
        <f t="shared" si="10"/>
        <v>691.4775428115413</v>
      </c>
      <c r="CC62" s="62">
        <f t="shared" si="11"/>
        <v>952.16695000538402</v>
      </c>
      <c r="CD62" s="62">
        <f ca="1">AVERAGE(OFFSET($CC$3,0,0,'Données projet'!$E$12+1,1))-AVERAGE(OFFSET($H$3,0,0,'Données projet'!$E$12+1,1))</f>
        <v>401.1031790385295</v>
      </c>
      <c r="CE62" s="62">
        <f t="shared" si="40"/>
        <v>402.09589424130615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projet'!$B$12,Paramètres!$A$1:$I$88,3,0)*0.475*44/12</f>
        <v>19.680239090412606</v>
      </c>
      <c r="CL62" s="23">
        <f>EXP(-LN(2)/25)*CL61+(1-EXP(-LN(2)/25))/(LN(2)/25)*Calculateur!CG62*Calculateur!CI62*VLOOKUP('Données projet'!$B$12,Paramètres!$A$1:$I$88,3,0)*0.475*44/12</f>
        <v>0</v>
      </c>
      <c r="CM62" s="23">
        <f>EXP(-LN(2)/2)*CM61+(1-EXP(-LN(2)/2))/(LN(2)/2)*CG62*CJ62*VLOOKUP('Données projet'!$B$12,Paramètres!$A$1:$I$88,3,0)*0.475*44/12</f>
        <v>0.89177970744269008</v>
      </c>
      <c r="CN62" s="24">
        <f t="shared" si="12"/>
        <v>20.572018797855296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4.4250000000000114</v>
      </c>
      <c r="CT62" s="13">
        <f>IF('Données projet'!$A$140&gt;35,CT61+CS62-DB61,IF(A62&lt;'Données projet'!$A$140,$CQ$205^A62,IF(A62='Données projet'!$A$140,'Données projet'!$B$140,CT61+CS62-DB61)))</f>
        <v>537.42499999999995</v>
      </c>
      <c r="CU62" s="18">
        <f>CT62*VLOOKUP('Données projet'!$B$13,Paramètres!$A$1:$I$88,3,0)*VLOOKUP('Données projet'!$B$13,Paramètres!$A$1:$I$88,5,0)</f>
        <v>321.38015000000001</v>
      </c>
      <c r="CV62" s="14">
        <f t="shared" si="41"/>
        <v>75.64044874346871</v>
      </c>
      <c r="CW62" s="22">
        <f t="shared" si="13"/>
        <v>691.4775428115413</v>
      </c>
      <c r="CX62" s="62">
        <f t="shared" si="14"/>
        <v>952.16695000538402</v>
      </c>
      <c r="CY62" s="62">
        <f ca="1">AVERAGE(OFFSET($CX$3,0,0,'Données projet'!$E$13+1,1))-AVERAGE(OFFSET($H$3,0,0,'Données projet'!$E$13+1,1))</f>
        <v>401.1031790385295</v>
      </c>
      <c r="CZ62" s="62">
        <f t="shared" si="42"/>
        <v>402.09589424130615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projet'!$B$13,Paramètres!$A$1:$I$88,3,0)*0.475*44/12</f>
        <v>19.680239090412606</v>
      </c>
      <c r="DG62" s="23">
        <f>EXP(-LN(2)/25)*DG61+(1-EXP(-LN(2)/25))/(LN(2)/25)*Calculateur!DB62*Calculateur!DD62*VLOOKUP('Données projet'!$B$13,Paramètres!$A$1:$I$88,3,0)*0.475*44/12</f>
        <v>0</v>
      </c>
      <c r="DH62" s="23">
        <f>EXP(-LN(2)/2)*DH61+(1-EXP(-LN(2)/2))/(LN(2)/2)*DB62*DE62*VLOOKUP('Données projet'!$B$13,Paramètres!$A$1:$I$88,3,0)*0.475*44/12</f>
        <v>0.89177970744269008</v>
      </c>
      <c r="DI62" s="24">
        <f t="shared" si="15"/>
        <v>20.572018797855296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25.2</v>
      </c>
      <c r="DO62" s="13">
        <f>IF('Données projet'!$A$166&gt;35,DO61+DN62-DW61,IF(A62&lt;'Données projet'!$A$166,$DL$205^A62,IF(A62='Données projet'!$A$166,'Données projet'!$B$166,DO61+DN62-DW61)))</f>
        <v>708.79999999999973</v>
      </c>
      <c r="DP62" s="18">
        <f>DO62*VLOOKUP('Données projet'!$B$14,Paramètres!$A$1:$I$88,3,0)*VLOOKUP('Données projet'!$B$14,Paramètres!$A$1:$I$88,5,0)</f>
        <v>285.64639999999991</v>
      </c>
      <c r="DQ62" s="14">
        <f t="shared" si="43"/>
        <v>68.158865467145716</v>
      </c>
      <c r="DR62" s="22">
        <f t="shared" si="16"/>
        <v>616.21083735527861</v>
      </c>
      <c r="DS62" s="62">
        <f t="shared" si="17"/>
        <v>876.90024454912145</v>
      </c>
      <c r="DT62" s="62">
        <f ca="1">AVERAGE(OFFSET($DS$3,0,0,'Données projet'!$E$14+1,1))-AVERAGE(OFFSET($H$3,0,0,'Données projet'!$E$14+1,1))</f>
        <v>432.59662347701629</v>
      </c>
      <c r="DU62" s="62">
        <f t="shared" si="44"/>
        <v>348.67401091099748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projet'!$B$14,Paramètres!$A$1:$I$88,3,0)*0.475*44/12</f>
        <v>33.397633492749996</v>
      </c>
      <c r="EB62" s="23">
        <f>EXP(-LN(2)/25)*EB61+(1-EXP(-LN(2)/25))/(LN(2)/25)*Calculateur!DW62*Calculateur!DY62*VLOOKUP('Données projet'!$B$14,Paramètres!$A$1:$I$88,3,0)*0.475*44/12</f>
        <v>78.154202380871311</v>
      </c>
      <c r="EC62" s="23">
        <f>EXP(-LN(2)/2)*EC61+(1-EXP(-LN(2)/2))/(LN(2)/2)*DW62*DZ62*VLOOKUP('Données projet'!$B$14,Paramètres!$A$1:$I$88,3,0)*0.475*44/12</f>
        <v>0</v>
      </c>
      <c r="ED62" s="24">
        <f t="shared" si="18"/>
        <v>111.55183587362131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26.6</v>
      </c>
      <c r="EJ62" s="13">
        <f>IF('Données projet'!$A$192&gt;35,EJ61+EI62-ER61,IF(A62&lt;'Données projet'!$A$192,$EG$205^A62,IF(A62='Données projet'!$A$192,'Données projet'!$B$192,EJ61+EI62-ER61)))</f>
        <v>941.40000000000009</v>
      </c>
      <c r="EK62" s="18">
        <f>EJ62*VLOOKUP('Données projet'!$B$15,Paramètres!$A$1:$I$88,3,0)*VLOOKUP('Données projet'!$B$15,Paramètres!$A$1:$I$88,5,0)</f>
        <v>416.0988000000001</v>
      </c>
      <c r="EL62" s="14">
        <f t="shared" si="45"/>
        <v>95.032916974205335</v>
      </c>
      <c r="EM62" s="22">
        <f t="shared" si="19"/>
        <v>890.22107373007441</v>
      </c>
      <c r="EN62" s="62">
        <f t="shared" si="20"/>
        <v>1150.9104809239172</v>
      </c>
      <c r="EO62" s="62">
        <f ca="1">AVERAGE(OFFSET($EN$3,0,0,'Données projet'!$E$15+1,1))-AVERAGE(OFFSET($H$3,0,0,'Données projet'!$E$15+1,1))</f>
        <v>582.26951914082088</v>
      </c>
      <c r="EP62" s="62">
        <f t="shared" si="46"/>
        <v>434.80429932654715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projet'!$B$15,Paramètres!$A$1:$I$88,3,0)*0.475*44/12</f>
        <v>41.336283989278002</v>
      </c>
      <c r="EW62" s="23">
        <f>EXP(-LN(2)/25)*EW61+(1-EXP(-LN(2)/25))/(LN(2)/25)*Calculateur!ER62*Calculateur!ET62*VLOOKUP('Données projet'!$B$15,Paramètres!$A$1:$I$88,3,0)*0.475*44/12</f>
        <v>75.517257682440146</v>
      </c>
      <c r="EX62" s="23">
        <f>EXP(-LN(2)/2)*EX61+(1-EXP(-LN(2)/2))/(LN(2)/2)*ER62*EU62*VLOOKUP('Données projet'!$B$15,Paramètres!$A$1:$I$88,3,0)*0.475*44/12</f>
        <v>0</v>
      </c>
      <c r="EY62" s="24">
        <f t="shared" si="21"/>
        <v>116.85354167171815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22.7</v>
      </c>
      <c r="FE62" s="13">
        <f>IF('Données projet'!$A$218&gt;35,FE61+FD62-FM61,IF(A62&lt;'Données projet'!$A$218,$FB$205^A62,IF(A62='Données projet'!$A$218,'Données projet'!$B$218,FE61+FD62-FM61)))</f>
        <v>493.29999999999967</v>
      </c>
      <c r="FF62" s="18">
        <f>FE62*VLOOKUP('Données projet'!$B$16,Paramètres!$A$1:$I$88,3,0)*VLOOKUP('Données projet'!$B$16,Paramètres!$A$1:$I$88,5,0)</f>
        <v>230.86439999999985</v>
      </c>
      <c r="FG62" s="14">
        <f t="shared" si="47"/>
        <v>56.469544196332308</v>
      </c>
      <c r="FH62" s="22">
        <f t="shared" si="22"/>
        <v>500.43995280861185</v>
      </c>
      <c r="FI62" s="62">
        <f t="shared" si="23"/>
        <v>761.12936000245463</v>
      </c>
      <c r="FJ62" s="62">
        <f ca="1">AVERAGE(OFFSET($FI$3,0,0,'Données projet'!$E$16+1,1))-AVERAGE(OFFSET($H$3,0,0,'Données projet'!$E$16+1,1))</f>
        <v>429.87867712133851</v>
      </c>
      <c r="FK62" s="62">
        <f t="shared" si="48"/>
        <v>182.81277865988014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projet'!$B$16,Paramètres!$A$1:$I$88,3,0)*0.475*44/12</f>
        <v>0</v>
      </c>
      <c r="FR62" s="23">
        <f>EXP(-LN(2)/25)*FR61+(1-EXP(-LN(2)/25))/(LN(2)/25)*Calculateur!FM62*Calculateur!FO62*VLOOKUP('Données projet'!$B$16,Paramètres!$A$1:$I$88,3,0)*0.475*44/12</f>
        <v>42.391422927368254</v>
      </c>
      <c r="FS62" s="23">
        <f>EXP(-LN(2)/2)*FS61+(1-EXP(-LN(2)/2))/(LN(2)/2)*FM62*FP62*VLOOKUP('Données projet'!$B$16,Paramètres!$A$1:$I$88,3,0)*0.475*44/12</f>
        <v>0</v>
      </c>
      <c r="FT62" s="24">
        <f t="shared" si="24"/>
        <v>42.391422927368254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20.2</v>
      </c>
      <c r="FZ62" s="13">
        <f>IF('Données projet'!$A$244&gt;35,FZ61+FY62-GH61,IF(A62&lt;'Données projet'!$A$244,$FW$205^A62,IF(A62='Données projet'!$A$244,'Données projet'!$B$244,FZ61+FY62-GH61)))</f>
        <v>447.79999999999961</v>
      </c>
      <c r="GA62" s="18">
        <f>FZ62*VLOOKUP('Données projet'!$B$17,Paramètres!$A$1:$I$88,3,0)*VLOOKUP('Données projet'!$B$17,Paramètres!$A$1:$I$88,5,0)</f>
        <v>215.39179999999982</v>
      </c>
      <c r="GB62" s="14">
        <f t="shared" si="49"/>
        <v>53.112085602796661</v>
      </c>
      <c r="GC62" s="22">
        <f t="shared" si="25"/>
        <v>467.64426742487052</v>
      </c>
      <c r="GD62" s="62">
        <f t="shared" si="26"/>
        <v>728.3336746187133</v>
      </c>
      <c r="GE62" s="62">
        <f ca="1">AVERAGE(OFFSET($GD$3,0,0,'Données projet'!$E$17+1,1))-AVERAGE(OFFSET($H$3,0,0,'Données projet'!$E$17+1,1))</f>
        <v>273.24375559399846</v>
      </c>
      <c r="GF62" s="62">
        <f t="shared" si="50"/>
        <v>270.77718895097848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projet'!$B$17,Paramètres!$A$1:$I$88,3,0)*0.475*44/12</f>
        <v>32.150596264906383</v>
      </c>
      <c r="GM62" s="23">
        <f>EXP(-LN(2)/25)*GM61+(1-EXP(-LN(2)/25))/(LN(2)/25)*Calculateur!GH62*Calculateur!GJ62*VLOOKUP('Données projet'!$B$17,Paramètres!$A$1:$I$88,3,0)*0.475*44/12</f>
        <v>48.783737341926454</v>
      </c>
      <c r="GN62" s="23">
        <f>EXP(-LN(2)/2)*GN61+(1-EXP(-LN(2)/2))/(LN(2)/2)*GH62*GK62*VLOOKUP('Données projet'!$B$17,Paramètres!$A$1:$I$88,3,0)*0.475*44/12</f>
        <v>0</v>
      </c>
      <c r="GO62" s="23">
        <f t="shared" si="27"/>
        <v>80.934333606832837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15.571428571428571</v>
      </c>
      <c r="N63" s="14">
        <f>IF('Données projet'!$A$36&gt;35,N62+M63-V62,IF(A63&lt;'Données projet'!$A$36,$K$205^A63,IF(A63='Données projet'!$A$36,'Données projet'!$B$36,N62+M63-V62)))</f>
        <v>491.28571428571399</v>
      </c>
      <c r="O63" s="14">
        <f>N63*VLOOKUP('Données projet'!$B$9,Paramètres!$A$1:$I$88,3,0)*VLOOKUP('Données projet'!$B$9,Paramètres!$A$1:$I$88,5,0)</f>
        <v>274.62871428571412</v>
      </c>
      <c r="P63" s="14">
        <f t="shared" si="33"/>
        <v>65.830625361909483</v>
      </c>
      <c r="Q63" s="22">
        <f t="shared" si="53"/>
        <v>592.96668321961113</v>
      </c>
      <c r="R63" s="62">
        <f t="shared" si="0"/>
        <v>854.22238955108855</v>
      </c>
      <c r="S63" s="62">
        <f ca="1">AVERAGE(OFFSET($R$3,0,0,'Données projet'!$E$9+1,1))-AVERAGE(OFFSET($H$3,0,0,'Données projet'!$E$9+1,1))</f>
        <v>289.94242154211224</v>
      </c>
      <c r="T63" s="62">
        <f t="shared" si="34"/>
        <v>369.12599166143661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46.505601666163436</v>
      </c>
      <c r="AA63" s="23">
        <f>EXP(-LN(2)/25)*AA62+(1-EXP(-LN(2)/25))/(LN(2)/25)*Calculateur!V63*Calculateur!X63*VLOOKUP('Données projet'!$B$9,Paramètres!$A$1:$I$88,3,0)*0.475*44/12</f>
        <v>57.55028732549939</v>
      </c>
      <c r="AB63" s="23">
        <f>EXP(-LN(2)/2)*AB62+(1-EXP(-LN(2)/2))/(LN(2)/2)*V63*Y63*VLOOKUP('Données projet'!$B$9,Paramètres!$A$1:$I$88,3,0)*0.475*44/12</f>
        <v>0</v>
      </c>
      <c r="AC63" s="24">
        <f t="shared" si="3"/>
        <v>104.05588899166283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8.5</v>
      </c>
      <c r="AI63" s="14">
        <f>IF('Données projet'!$A$62&gt;35,AI62+AH63-AQ62,IF(A63&lt;'Données projet'!$A$62,$AF$205^A63,IF(A63='Données projet'!$A$62,'Données projet'!$B$62,AI62+AH63-AQ62)))</f>
        <v>209.5</v>
      </c>
      <c r="AJ63" s="14">
        <f>AI63*VLOOKUP('Données projet'!$B$10,Paramètres!$A$1:$I$88,3,0)*VLOOKUP('Données projet'!$B$10,Paramètres!$A$1:$I$88,5,0)</f>
        <v>189.5556</v>
      </c>
      <c r="AK63" s="14">
        <f t="shared" si="35"/>
        <v>47.441688934734636</v>
      </c>
      <c r="AL63" s="22">
        <f t="shared" si="4"/>
        <v>412.77027822799613</v>
      </c>
      <c r="AM63" s="62">
        <f t="shared" si="5"/>
        <v>674.02598455947361</v>
      </c>
      <c r="AN63" s="62">
        <f ca="1">AVERAGE(OFFSET($AM$3,0,0,'Données projet'!$E$10+1,1))-AVERAGE(OFFSET($H$3,0,0,'Données projet'!$E$10+1,1))</f>
        <v>518.31628039365785</v>
      </c>
      <c r="AO63" s="62">
        <f t="shared" si="36"/>
        <v>66.435071953154761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6.2095185504498938</v>
      </c>
      <c r="AV63" s="23">
        <f>EXP(-LN(2)/25)*AV62+(1-EXP(-LN(2)/25))/(LN(2)/25)*Calculateur!AQ63*Calculateur!AS63*VLOOKUP('Données projet'!$B$10,Paramètres!$A$1:$I$88,3,0)*0.475*44/12</f>
        <v>0</v>
      </c>
      <c r="AW63" s="23">
        <f>EXP(-LN(2)/2)*AW62+(1-EXP(-LN(2)/2))/(LN(2)/2)*AQ63*AT63*VLOOKUP('Données projet'!$B$10,Paramètres!$A$1:$I$88,3,0)*0.475*44/12</f>
        <v>0</v>
      </c>
      <c r="AX63" s="23">
        <f t="shared" si="6"/>
        <v>6.2095185504498938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8.5</v>
      </c>
      <c r="BD63" s="13">
        <f>IF('Données projet'!$A$88&gt;35,BD62+BC63-BL62,IF(A63&lt;'Données projet'!$A$88,$BA$205^A63,IF(A63='Données projet'!$A$88,'Données projet'!$B$88,BD62+BC63-BL62)))</f>
        <v>209.5</v>
      </c>
      <c r="BE63" s="14">
        <f>BD63*VLOOKUP('Données projet'!$B$11,Paramètres!$A$1:$I$88,3,0)*VLOOKUP('Données projet'!$B$11,Paramètres!$A$1:$I$88,5,0)</f>
        <v>212.43300000000002</v>
      </c>
      <c r="BF63" s="14">
        <f t="shared" si="37"/>
        <v>52.466900447770541</v>
      </c>
      <c r="BG63" s="22">
        <f t="shared" si="7"/>
        <v>461.36732661320042</v>
      </c>
      <c r="BH63" s="62">
        <f t="shared" si="8"/>
        <v>722.6230329446779</v>
      </c>
      <c r="BI63" s="62">
        <f ca="1">AVERAGE(OFFSET($BH$3,0,0,'Données projet'!$E$11+1,1))-AVERAGE(OFFSET($H$3,0,0,'Données projet'!$E$11+1,1))</f>
        <v>570.2785736203931</v>
      </c>
      <c r="BJ63" s="62">
        <f t="shared" si="38"/>
        <v>67.677759965081719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6.9589432030903984</v>
      </c>
      <c r="BQ63" s="23">
        <f>EXP(-LN(2)/25)*BQ62+(1-EXP(-LN(2)/25))/(LN(2)/25)*Calculateur!BL63*Calculateur!BN63*VLOOKUP('Données projet'!$B$11,Paramètres!$A$1:$I$88,3,0)*0.475*44/12</f>
        <v>0</v>
      </c>
      <c r="BR63" s="23">
        <f>EXP(-LN(2)/2)*BR62+(1-EXP(-LN(2)/2))/(LN(2)/2)*BL63*BO63*VLOOKUP('Données projet'!$B$11,Paramètres!$A$1:$I$88,3,0)*0.475*44/12</f>
        <v>0</v>
      </c>
      <c r="BS63" s="24">
        <f t="shared" si="9"/>
        <v>6.9589432030903984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4.4250000000000114</v>
      </c>
      <c r="BY63" s="13">
        <f>IF('Données projet'!$A$114&gt;35,BY62+BX63-CG62,IF(A63&lt;'Données projet'!$A$114,$BV$205^A63,IF(A63='Données projet'!$A$114,'Données projet'!$B$114,BY62+BX63-CG62)))</f>
        <v>541.84999999999991</v>
      </c>
      <c r="BZ63" s="14">
        <f>BY63*VLOOKUP('Données projet'!$B$12,Paramètres!$A$1:$I$88,3,0)*VLOOKUP('Données projet'!$B$12,Paramètres!$A$1:$I$88,5,0)</f>
        <v>324.02629999999999</v>
      </c>
      <c r="CA63" s="14">
        <f t="shared" si="39"/>
        <v>76.190493063602986</v>
      </c>
      <c r="CB63" s="22">
        <f t="shared" si="10"/>
        <v>697.04424791910844</v>
      </c>
      <c r="CC63" s="62">
        <f t="shared" si="11"/>
        <v>958.29995425058587</v>
      </c>
      <c r="CD63" s="62">
        <f ca="1">AVERAGE(OFFSET($CC$3,0,0,'Données projet'!$E$12+1,1))-AVERAGE(OFFSET($H$3,0,0,'Données projet'!$E$12+1,1))</f>
        <v>401.1031790385295</v>
      </c>
      <c r="CE63" s="62">
        <f t="shared" si="40"/>
        <v>402.09589424130615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projet'!$B$12,Paramètres!$A$1:$I$88,3,0)*0.475*44/12</f>
        <v>19.294321605610186</v>
      </c>
      <c r="CL63" s="23">
        <f>EXP(-LN(2)/25)*CL62+(1-EXP(-LN(2)/25))/(LN(2)/25)*Calculateur!CG63*Calculateur!CI63*VLOOKUP('Données projet'!$B$12,Paramètres!$A$1:$I$88,3,0)*0.475*44/12</f>
        <v>0</v>
      </c>
      <c r="CM63" s="23">
        <f>EXP(-LN(2)/2)*CM62+(1-EXP(-LN(2)/2))/(LN(2)/2)*CG63*CJ63*VLOOKUP('Données projet'!$B$12,Paramètres!$A$1:$I$88,3,0)*0.475*44/12</f>
        <v>0.63058347845728169</v>
      </c>
      <c r="CN63" s="24">
        <f t="shared" si="12"/>
        <v>19.924905084067468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4.4250000000000114</v>
      </c>
      <c r="CT63" s="13">
        <f>IF('Données projet'!$A$140&gt;35,CT62+CS63-DB62,IF(A63&lt;'Données projet'!$A$140,$CQ$205^A63,IF(A63='Données projet'!$A$140,'Données projet'!$B$140,CT62+CS63-DB62)))</f>
        <v>541.84999999999991</v>
      </c>
      <c r="CU63" s="18">
        <f>CT63*VLOOKUP('Données projet'!$B$13,Paramètres!$A$1:$I$88,3,0)*VLOOKUP('Données projet'!$B$13,Paramètres!$A$1:$I$88,5,0)</f>
        <v>324.02629999999999</v>
      </c>
      <c r="CV63" s="14">
        <f t="shared" si="41"/>
        <v>76.190493063602986</v>
      </c>
      <c r="CW63" s="22">
        <f t="shared" si="13"/>
        <v>697.04424791910844</v>
      </c>
      <c r="CX63" s="62">
        <f t="shared" si="14"/>
        <v>958.29995425058587</v>
      </c>
      <c r="CY63" s="62">
        <f ca="1">AVERAGE(OFFSET($CX$3,0,0,'Données projet'!$E$13+1,1))-AVERAGE(OFFSET($H$3,0,0,'Données projet'!$E$13+1,1))</f>
        <v>401.1031790385295</v>
      </c>
      <c r="CZ63" s="62">
        <f t="shared" si="42"/>
        <v>402.09589424130615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projet'!$B$13,Paramètres!$A$1:$I$88,3,0)*0.475*44/12</f>
        <v>19.294321605610186</v>
      </c>
      <c r="DG63" s="23">
        <f>EXP(-LN(2)/25)*DG62+(1-EXP(-LN(2)/25))/(LN(2)/25)*Calculateur!DB63*Calculateur!DD63*VLOOKUP('Données projet'!$B$13,Paramètres!$A$1:$I$88,3,0)*0.475*44/12</f>
        <v>0</v>
      </c>
      <c r="DH63" s="23">
        <f>EXP(-LN(2)/2)*DH62+(1-EXP(-LN(2)/2))/(LN(2)/2)*DB63*DE63*VLOOKUP('Données projet'!$B$13,Paramètres!$A$1:$I$88,3,0)*0.475*44/12</f>
        <v>0.63058347845728169</v>
      </c>
      <c r="DI63" s="24">
        <f t="shared" si="15"/>
        <v>19.924905084067468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734</v>
      </c>
      <c r="DM63" s="13">
        <f>VLOOKUP(A63,'Données projet'!$A$165:$I$185,9,0)</f>
        <v>25.2</v>
      </c>
      <c r="DN63" s="13">
        <f t="array" ref="DN63">INDEX(DM:DM,MIN(IF(ISNUMBER(DM63:DM259),ROW(DM63:DM259),"")))</f>
        <v>25.2</v>
      </c>
      <c r="DO63" s="13">
        <f>IF('Données projet'!$A$166&gt;35,DO62+DN63-DW62,IF(A63&lt;'Données projet'!$A$166,$DL$205^A63,IF(A63='Données projet'!$A$166,'Données projet'!$B$166,DO62+DN63-DW62)))</f>
        <v>733.99999999999977</v>
      </c>
      <c r="DP63" s="18">
        <f>DO63*VLOOKUP('Données projet'!$B$14,Paramètres!$A$1:$I$88,3,0)*VLOOKUP('Données projet'!$B$14,Paramètres!$A$1:$I$88,5,0)</f>
        <v>295.80199999999991</v>
      </c>
      <c r="DQ63" s="14">
        <f t="shared" si="43"/>
        <v>70.295680935455096</v>
      </c>
      <c r="DR63" s="22">
        <f t="shared" si="16"/>
        <v>637.62012762925076</v>
      </c>
      <c r="DS63" s="62">
        <f t="shared" si="17"/>
        <v>898.87583396072819</v>
      </c>
      <c r="DT63" s="62">
        <f ca="1">AVERAGE(OFFSET($DS$3,0,0,'Données projet'!$E$14+1,1))-AVERAGE(OFFSET($H$3,0,0,'Données projet'!$E$14+1,1))</f>
        <v>432.59662347701629</v>
      </c>
      <c r="DU63" s="62">
        <f t="shared" si="44"/>
        <v>348.67401091099748</v>
      </c>
      <c r="DV63" s="16">
        <f>IF(ISNA(VLOOKUP(A63,'Données projet'!$A$165:$I$185,3,0)),0,VLOOKUP(A63,'Données projet'!$A$165:$I$185,3,0))</f>
        <v>9</v>
      </c>
      <c r="DW63" s="16">
        <f>IF(ISNA(VLOOKUP(A63,'Données projet'!$A$165:$I$185,4,0)),0,VLOOKUP(A63,'Données projet'!$A$165:$I$185,4,0))</f>
        <v>64</v>
      </c>
      <c r="DX63" s="17">
        <f>IF(ISNA(VLOOKUP(A63,'Données projet'!$A$165:$I$185,5,0)),0%,VLOOKUP(A63,'Données projet'!$A$165:$I$185,5,0)*VLOOKUP('Données projet'!$B$14,Paramètres!$A$1:$I$88,7,0))</f>
        <v>0.30250000000000005</v>
      </c>
      <c r="DY63" s="17">
        <f>IF(ISNA(VLOOKUP(A63,'Données projet'!$A$165:$I$185,6,0)),0%,VLOOKUP(A63,'Données projet'!$A$165:$I$185,6,0)*VLOOKUP('Données projet'!$B$14,Paramètres!$A$1:$I$88,7,0))</f>
        <v>0.24750000000000003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projet'!$B$14,Paramètres!$A$1:$I$88,3,0)*0.475*44/12</f>
        <v>43.092688276997904</v>
      </c>
      <c r="EB63" s="23">
        <f>EXP(-LN(2)/25)*EB62+(1-EXP(-LN(2)/25))/(LN(2)/25)*Calculateur!DW63*Calculateur!DY63*VLOOKUP('Données projet'!$B$14,Paramètres!$A$1:$I$88,3,0)*0.475*44/12</f>
        <v>84.45188000335034</v>
      </c>
      <c r="EC63" s="23">
        <f>EXP(-LN(2)/2)*EC62+(1-EXP(-LN(2)/2))/(LN(2)/2)*DW63*DZ63*VLOOKUP('Données projet'!$B$14,Paramètres!$A$1:$I$88,3,0)*0.475*44/12</f>
        <v>0</v>
      </c>
      <c r="ED63" s="24">
        <f t="shared" si="18"/>
        <v>127.54456828034824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968</v>
      </c>
      <c r="EH63" s="13">
        <f>VLOOKUP(A63,'Données projet'!$A$191:$I$211,9,0)</f>
        <v>26.6</v>
      </c>
      <c r="EI63" s="13">
        <f t="array" ref="EI63">INDEX(EH:EH,MIN(IF(ISNUMBER(EH63:EH259),ROW(EH63:EH259),"")))</f>
        <v>26.6</v>
      </c>
      <c r="EJ63" s="13">
        <f>IF('Données projet'!$A$192&gt;35,EJ62+EI63-ER62,IF(A63&lt;'Données projet'!$A$192,$EG$205^A63,IF(A63='Données projet'!$A$192,'Données projet'!$B$192,EJ62+EI63-ER62)))</f>
        <v>968.00000000000011</v>
      </c>
      <c r="EK63" s="18">
        <f>EJ63*VLOOKUP('Données projet'!$B$15,Paramètres!$A$1:$I$88,3,0)*VLOOKUP('Données projet'!$B$15,Paramètres!$A$1:$I$88,5,0)</f>
        <v>427.85600000000011</v>
      </c>
      <c r="EL63" s="14">
        <f t="shared" si="45"/>
        <v>97.401724868398716</v>
      </c>
      <c r="EM63" s="22">
        <f t="shared" si="19"/>
        <v>914.82387081246122</v>
      </c>
      <c r="EN63" s="62">
        <f t="shared" si="20"/>
        <v>1176.0795771439386</v>
      </c>
      <c r="EO63" s="62">
        <f ca="1">AVERAGE(OFFSET($EN$3,0,0,'Données projet'!$E$15+1,1))-AVERAGE(OFFSET($H$3,0,0,'Données projet'!$E$15+1,1))</f>
        <v>582.26951914082088</v>
      </c>
      <c r="EP63" s="62">
        <f t="shared" si="46"/>
        <v>434.80429932654715</v>
      </c>
      <c r="EQ63" s="16">
        <f>IF(ISNA(VLOOKUP(A63,'Données projet'!$A$191:$I$211,3,0)),0,VLOOKUP(A63,'Données projet'!$A$191:$I$211,3,0))</f>
        <v>10</v>
      </c>
      <c r="ER63" s="16">
        <f>IF(ISNA(VLOOKUP(A63,'Données projet'!$A$191:$I$211,4,0)),0,VLOOKUP(A63,'Données projet'!$A$191:$I$211,4,0))</f>
        <v>55</v>
      </c>
      <c r="ES63" s="17">
        <f>IF(ISNA(VLOOKUP(A63,'Données projet'!$A$191:$I$211,5,0)),0%,VLOOKUP(A63,'Données projet'!$A$191:$I$211,5,0)*VLOOKUP('Données projet'!$B$15,Paramètres!$A$1:$I$88,7,0))</f>
        <v>0.30250000000000005</v>
      </c>
      <c r="ET63" s="17">
        <f>IF(ISNA(VLOOKUP(A63,'Données projet'!$A$191:$I$211,6,0)),0%,VLOOKUP(A63,'Données projet'!$A$191:$I$211,6,0)*VLOOKUP('Données projet'!$B$15,Paramètres!$A$1:$I$88,7,0))</f>
        <v>0.24750000000000003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projet'!$B$15,Paramètres!$A$1:$I$88,3,0)*0.475*44/12</f>
        <v>50.280961201191857</v>
      </c>
      <c r="EW63" s="23">
        <f>EXP(-LN(2)/25)*EW62+(1-EXP(-LN(2)/25))/(LN(2)/25)*Calculateur!ER63*Calculateur!ET63*VLOOKUP('Données projet'!$B$15,Paramètres!$A$1:$I$88,3,0)*0.475*44/12</f>
        <v>81.402381326809703</v>
      </c>
      <c r="EX63" s="23">
        <f>EXP(-LN(2)/2)*EX62+(1-EXP(-LN(2)/2))/(LN(2)/2)*ER63*EU63*VLOOKUP('Données projet'!$B$15,Paramètres!$A$1:$I$88,3,0)*0.475*44/12</f>
        <v>0</v>
      </c>
      <c r="EY63" s="24">
        <f t="shared" si="21"/>
        <v>131.68334252800156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516</v>
      </c>
      <c r="FC63" s="13">
        <f>VLOOKUP(A63,'Données projet'!$A$217:$I$237,9,0)</f>
        <v>22.7</v>
      </c>
      <c r="FD63" s="13">
        <f t="array" ref="FD63">INDEX(FC:FC,MIN(IF(ISNUMBER(FC63:FC259),ROW(FC63:FC259),"")))</f>
        <v>22.7</v>
      </c>
      <c r="FE63" s="13">
        <f>IF('Données projet'!$A$218&gt;35,FE62+FD63-FM62,IF(A63&lt;'Données projet'!$A$218,$FB$205^A63,IF(A63='Données projet'!$A$218,'Données projet'!$B$218,FE62+FD63-FM62)))</f>
        <v>515.99999999999966</v>
      </c>
      <c r="FF63" s="18">
        <f>FE63*VLOOKUP('Données projet'!$B$16,Paramètres!$A$1:$I$88,3,0)*VLOOKUP('Données projet'!$B$16,Paramètres!$A$1:$I$88,5,0)</f>
        <v>241.48799999999986</v>
      </c>
      <c r="FG63" s="14">
        <f t="shared" si="47"/>
        <v>58.759565673424916</v>
      </c>
      <c r="FH63" s="22">
        <f t="shared" si="22"/>
        <v>522.93117688121481</v>
      </c>
      <c r="FI63" s="62">
        <f t="shared" si="23"/>
        <v>784.18688321269224</v>
      </c>
      <c r="FJ63" s="62">
        <f ca="1">AVERAGE(OFFSET($FI$3,0,0,'Données projet'!$E$16+1,1))-AVERAGE(OFFSET($H$3,0,0,'Données projet'!$E$16+1,1))</f>
        <v>429.87867712133851</v>
      </c>
      <c r="FK63" s="62">
        <f t="shared" si="48"/>
        <v>182.81277865988014</v>
      </c>
      <c r="FL63" s="16">
        <f>IF(ISNA(VLOOKUP(A63,'Données projet'!$A$217:$I$237,3,0)),0,VLOOKUP(A63,'Données projet'!$A$217:$I$237,3,0))</f>
        <v>3</v>
      </c>
      <c r="FM63" s="16">
        <f>IF(ISNA(VLOOKUP(A63,'Données projet'!$A$217:$I$237,4,0)),0,VLOOKUP(A63,'Données projet'!$A$217:$I$237,4,0))</f>
        <v>112</v>
      </c>
      <c r="FN63" s="17">
        <f>IF(ISNA(VLOOKUP(A63,'Données projet'!$A$217:$I$237,5,0)),0%,VLOOKUP(A63,'Données projet'!$A$217:$I$237,5,0)*VLOOKUP('Données projet'!$B$16,Paramètres!$A$1:$I$88,7,0))</f>
        <v>0.1925</v>
      </c>
      <c r="FO63" s="17">
        <f>IF(ISNA(VLOOKUP(A63,'Données projet'!$A$217:$I$237,6,0)),0%,VLOOKUP(A63,'Données projet'!$A$217:$I$237,6,0)*VLOOKUP('Données projet'!$B$16,Paramètres!$A$1:$I$88,7,0))</f>
        <v>0.35750000000000004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projet'!$B$16,Paramètres!$A$1:$I$88,3,0)*0.475*44/12</f>
        <v>13.385141480541394</v>
      </c>
      <c r="FR63" s="23">
        <f>EXP(-LN(2)/25)*FR62+(1-EXP(-LN(2)/25))/(LN(2)/25)*Calculateur!FM63*Calculateur!FO63*VLOOKUP('Données projet'!$B$16,Paramètres!$A$1:$I$88,3,0)*0.475*44/12</f>
        <v>65.99247124088258</v>
      </c>
      <c r="FS63" s="23">
        <f>EXP(-LN(2)/2)*FS62+(1-EXP(-LN(2)/2))/(LN(2)/2)*FM63*FP63*VLOOKUP('Données projet'!$B$16,Paramètres!$A$1:$I$88,3,0)*0.475*44/12</f>
        <v>0</v>
      </c>
      <c r="FT63" s="24">
        <f t="shared" si="24"/>
        <v>79.377612721423972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468</v>
      </c>
      <c r="FX63" s="13">
        <f>VLOOKUP(A63,'Données projet'!$A$243:$I$263,9,0)</f>
        <v>20.2</v>
      </c>
      <c r="FY63" s="13">
        <f t="array" ref="FY63">INDEX(FX:FX,MIN(IF(ISNUMBER(FX63:FX259),ROW(FX63:FX259),"")))</f>
        <v>20.2</v>
      </c>
      <c r="FZ63" s="13">
        <f>IF('Données projet'!$A$244&gt;35,FZ62+FY63-GH62,IF(A63&lt;'Données projet'!$A$244,$FW$205^A63,IF(A63='Données projet'!$A$244,'Données projet'!$B$244,FZ62+FY63-GH62)))</f>
        <v>467.9999999999996</v>
      </c>
      <c r="GA63" s="18">
        <f>FZ63*VLOOKUP('Données projet'!$B$17,Paramètres!$A$1:$I$88,3,0)*VLOOKUP('Données projet'!$B$17,Paramètres!$A$1:$I$88,5,0)</f>
        <v>225.10799999999981</v>
      </c>
      <c r="GB63" s="14">
        <f t="shared" si="49"/>
        <v>55.223596878889587</v>
      </c>
      <c r="GC63" s="22">
        <f t="shared" si="25"/>
        <v>488.24419789739903</v>
      </c>
      <c r="GD63" s="62">
        <f t="shared" si="26"/>
        <v>749.49990422887652</v>
      </c>
      <c r="GE63" s="62">
        <f ca="1">AVERAGE(OFFSET($GD$3,0,0,'Données projet'!$E$17+1,1))-AVERAGE(OFFSET($H$3,0,0,'Données projet'!$E$17+1,1))</f>
        <v>273.24375559399846</v>
      </c>
      <c r="GF63" s="62">
        <f t="shared" si="50"/>
        <v>270.77718895097848</v>
      </c>
      <c r="GG63" s="16">
        <f>IF(ISNA(VLOOKUP(A63,'Données projet'!$A$243:$I$263,3,0)),0,VLOOKUP(A63,'Données projet'!$A$243:$I$263,3,0))</f>
        <v>10</v>
      </c>
      <c r="GH63" s="16">
        <f>IF(ISNA(VLOOKUP(A63,'Données projet'!$A$243:$I$263,4,0)),0,VLOOKUP(A63,'Données projet'!$A$243:$I$263,4,0))</f>
        <v>32</v>
      </c>
      <c r="GI63" s="17">
        <f>IF(ISNA(VLOOKUP(A63,'Données projet'!$A$243:$I$263,5,0)),0%,VLOOKUP(A63,'Données projet'!$A$243:$I$263,5,0)*VLOOKUP('Données projet'!$B$17,Paramètres!$A$1:$I$88,7,0))</f>
        <v>0.41250000000000003</v>
      </c>
      <c r="GJ63" s="17">
        <f>IF(ISNA(VLOOKUP(A63,'Données projet'!$A$243:$I$263,6,0)),0%,VLOOKUP(A63,'Données projet'!$A$243:$I$263,6,0)*VLOOKUP('Données projet'!$B$17,Paramètres!$A$1:$I$88,7,0))</f>
        <v>0.13750000000000001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projet'!$B$17,Paramètres!$A$1:$I$88,3,0)*0.475*44/12</f>
        <v>39.942765722555706</v>
      </c>
      <c r="GM63" s="23">
        <f>EXP(-LN(2)/25)*GM62+(1-EXP(-LN(2)/25))/(LN(2)/25)*Calculateur!GH63*Calculateur!GJ63*VLOOKUP('Données projet'!$B$17,Paramètres!$A$1:$I$88,3,0)*0.475*44/12</f>
        <v>50.246230133651359</v>
      </c>
      <c r="GN63" s="23">
        <f>EXP(-LN(2)/2)*GN62+(1-EXP(-LN(2)/2))/(LN(2)/2)*GH63*GK63*VLOOKUP('Données projet'!$B$17,Paramètres!$A$1:$I$88,3,0)*0.475*44/12</f>
        <v>0</v>
      </c>
      <c r="GO63" s="23">
        <f t="shared" si="27"/>
        <v>90.188995856207072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15.571428571428571</v>
      </c>
      <c r="N64" s="14">
        <f>IF('Données projet'!$A$36&gt;35,N63+M64-V63,IF(A64&lt;'Données projet'!$A$36,$K$205^A64,IF(A64='Données projet'!$A$36,'Données projet'!$B$36,N63+M64-V63)))</f>
        <v>506.85714285714255</v>
      </c>
      <c r="O64" s="14">
        <f>N64*VLOOKUP('Données projet'!$B$9,Paramètres!$A$1:$I$88,3,0)*VLOOKUP('Données projet'!$B$9,Paramètres!$A$1:$I$88,5,0)</f>
        <v>283.33314285714266</v>
      </c>
      <c r="P64" s="14">
        <f t="shared" si="33"/>
        <v>67.670911918680105</v>
      </c>
      <c r="Q64" s="22">
        <f t="shared" si="53"/>
        <v>611.33206206789123</v>
      </c>
      <c r="R64" s="62">
        <f t="shared" si="0"/>
        <v>873.14424351302057</v>
      </c>
      <c r="S64" s="62">
        <f ca="1">AVERAGE(OFFSET($R$3,0,0,'Données projet'!$E$9+1,1))-AVERAGE(OFFSET($H$3,0,0,'Données projet'!$E$9+1,1))</f>
        <v>289.94242154211224</v>
      </c>
      <c r="T64" s="62">
        <f t="shared" si="34"/>
        <v>369.12599166143661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45.593655183106115</v>
      </c>
      <c r="AA64" s="23">
        <f>EXP(-LN(2)/25)*AA63+(1-EXP(-LN(2)/25))/(LN(2)/25)*Calculateur!V64*Calculateur!X64*VLOOKUP('Données projet'!$B$9,Paramètres!$A$1:$I$88,3,0)*0.475*44/12</f>
        <v>55.976571692145534</v>
      </c>
      <c r="AB64" s="23">
        <f>EXP(-LN(2)/2)*AB63+(1-EXP(-LN(2)/2))/(LN(2)/2)*V64*Y64*VLOOKUP('Données projet'!$B$9,Paramètres!$A$1:$I$88,3,0)*0.475*44/12</f>
        <v>0</v>
      </c>
      <c r="AC64" s="24">
        <f t="shared" si="3"/>
        <v>101.57022687525165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>
        <f>VLOOKUP(A64,'Données projet'!$A$61:$I$81,2,0)</f>
        <v>218</v>
      </c>
      <c r="AG64" s="13">
        <f>VLOOKUP(A64,'Données projet'!$A$61:$I$81,9,0)</f>
        <v>8.5</v>
      </c>
      <c r="AH64" s="13">
        <f t="array" ref="AH64">INDEX(AG:AG,MIN(IF(ISNUMBER(AG64:AG260),ROW(AG64:AG260),"")))</f>
        <v>8.5</v>
      </c>
      <c r="AI64" s="14">
        <f>IF('Données projet'!$A$62&gt;35,AI63+AH64-AQ63,IF(A64&lt;'Données projet'!$A$62,$AF$205^A64,IF(A64='Données projet'!$A$62,'Données projet'!$B$62,AI63+AH64-AQ63)))</f>
        <v>218</v>
      </c>
      <c r="AJ64" s="14">
        <f>AI64*VLOOKUP('Données projet'!$B$10,Paramètres!$A$1:$I$88,3,0)*VLOOKUP('Données projet'!$B$10,Paramètres!$A$1:$I$88,5,0)</f>
        <v>197.24639999999999</v>
      </c>
      <c r="AK64" s="14">
        <f t="shared" si="35"/>
        <v>49.138522374247202</v>
      </c>
      <c r="AL64" s="22">
        <f t="shared" si="4"/>
        <v>429.12040646848055</v>
      </c>
      <c r="AM64" s="62">
        <f t="shared" si="5"/>
        <v>690.93258791360995</v>
      </c>
      <c r="AN64" s="62">
        <f ca="1">AVERAGE(OFFSET($AM$3,0,0,'Données projet'!$E$10+1,1))-AVERAGE(OFFSET($H$3,0,0,'Données projet'!$E$10+1,1))</f>
        <v>518.31628039365785</v>
      </c>
      <c r="AO64" s="62">
        <f t="shared" si="36"/>
        <v>66.435071953154761</v>
      </c>
      <c r="AP64" s="16">
        <f>IF(ISNA(VLOOKUP(A64,'Données projet'!$A$61:$I$81,3,0)),0,VLOOKUP(A64,'Données projet'!$A$61:$I$81,3,0))</f>
        <v>7</v>
      </c>
      <c r="AQ64" s="16">
        <f>IF(ISNA(VLOOKUP(A64,'Données projet'!$A$61:$I$81,4,0)),0,VLOOKUP(A64,'Données projet'!$A$61:$I$81,4,0))</f>
        <v>47</v>
      </c>
      <c r="AR64" s="17">
        <f>IF(ISNA(VLOOKUP(A64,'Données projet'!$A$61:$I$81,5,0)),0%,VLOOKUP(A64,'Données projet'!$A$61:$I$81,5,0)*VLOOKUP('Données projet'!$B$10,Paramètres!$A$1:$I$88,7,0))</f>
        <v>0.129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12.152145740278678</v>
      </c>
      <c r="AV64" s="23">
        <f>EXP(-LN(2)/25)*AV63+(1-EXP(-LN(2)/25))/(LN(2)/25)*Calculateur!AQ64*Calculateur!AS64*VLOOKUP('Données projet'!$B$10,Paramètres!$A$1:$I$88,3,0)*0.475*44/12</f>
        <v>0</v>
      </c>
      <c r="AW64" s="23">
        <f>EXP(-LN(2)/2)*AW63+(1-EXP(-LN(2)/2))/(LN(2)/2)*AQ64*AT64*VLOOKUP('Données projet'!$B$10,Paramètres!$A$1:$I$88,3,0)*0.475*44/12</f>
        <v>0</v>
      </c>
      <c r="AX64" s="23">
        <f t="shared" si="6"/>
        <v>12.152145740278678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>
        <f>VLOOKUP(A64,'Données projet'!$A$87:$I$107,2,0)</f>
        <v>218</v>
      </c>
      <c r="BB64" s="13">
        <f>VLOOKUP(A64,'Données projet'!$A$87:$I$107,9,0)</f>
        <v>8.5</v>
      </c>
      <c r="BC64" s="13">
        <f t="array" ref="BC64">INDEX(BB:BB,MIN(IF(ISNUMBER(BB64:BB260),ROW(BB64:BB260),"")))</f>
        <v>8.5</v>
      </c>
      <c r="BD64" s="13">
        <f>IF('Données projet'!$A$88&gt;35,BD63+BC64-BL63,IF(A64&lt;'Données projet'!$A$88,$BA$205^A64,IF(A64='Données projet'!$A$88,'Données projet'!$B$88,BD63+BC64-BL63)))</f>
        <v>218</v>
      </c>
      <c r="BE64" s="14">
        <f>BD64*VLOOKUP('Données projet'!$B$11,Paramètres!$A$1:$I$88,3,0)*VLOOKUP('Données projet'!$B$11,Paramètres!$A$1:$I$88,5,0)</f>
        <v>221.05200000000002</v>
      </c>
      <c r="BF64" s="14">
        <f t="shared" si="37"/>
        <v>54.343469202939254</v>
      </c>
      <c r="BG64" s="22">
        <f t="shared" si="7"/>
        <v>479.64710886178597</v>
      </c>
      <c r="BH64" s="62">
        <f t="shared" si="8"/>
        <v>741.45929030691536</v>
      </c>
      <c r="BI64" s="62">
        <f ca="1">AVERAGE(OFFSET($BH$3,0,0,'Données projet'!$E$11+1,1))-AVERAGE(OFFSET($H$3,0,0,'Données projet'!$E$11+1,1))</f>
        <v>570.2785736203931</v>
      </c>
      <c r="BJ64" s="62">
        <f t="shared" si="38"/>
        <v>67.677759965081719</v>
      </c>
      <c r="BK64" s="16">
        <f>IF(ISNA(VLOOKUP(A64,'Données projet'!$A$87:$I$107,3,0)),0,VLOOKUP(A64,'Données projet'!$A$87:$I$107,3,0))</f>
        <v>7</v>
      </c>
      <c r="BL64" s="16">
        <f>IF(ISNA(VLOOKUP(A64,'Données projet'!$A$87:$I$107,4,0)),0,VLOOKUP(A64,'Données projet'!$A$87:$I$107,4,0))</f>
        <v>47</v>
      </c>
      <c r="BM64" s="17">
        <f>IF(ISNA(VLOOKUP(A64,'Données projet'!$A$87:$I$107,5,0)),0%,VLOOKUP(A64,'Données projet'!$A$87:$I$107,5,0)*VLOOKUP('Données projet'!$B$11,Paramètres!$A$1:$I$88,7,0))</f>
        <v>0.129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13.618784019277829</v>
      </c>
      <c r="BQ64" s="23">
        <f>EXP(-LN(2)/25)*BQ63+(1-EXP(-LN(2)/25))/(LN(2)/25)*Calculateur!BL64*Calculateur!BN64*VLOOKUP('Données projet'!$B$11,Paramètres!$A$1:$I$88,3,0)*0.475*44/12</f>
        <v>0</v>
      </c>
      <c r="BR64" s="23">
        <f>EXP(-LN(2)/2)*BR63+(1-EXP(-LN(2)/2))/(LN(2)/2)*BL64*BO64*VLOOKUP('Données projet'!$B$11,Paramètres!$A$1:$I$88,3,0)*0.475*44/12</f>
        <v>0</v>
      </c>
      <c r="BS64" s="24">
        <f t="shared" si="9"/>
        <v>13.618784019277829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4.4250000000000114</v>
      </c>
      <c r="BY64" s="13">
        <f>IF('Données projet'!$A$114&gt;35,BY63+BX64-CG63,IF(A64&lt;'Données projet'!$A$114,$BV$205^A64,IF(A64='Données projet'!$A$114,'Données projet'!$B$114,BY63+BX64-CG63)))</f>
        <v>546.27499999999986</v>
      </c>
      <c r="BZ64" s="14">
        <f>BY64*VLOOKUP('Données projet'!$B$12,Paramètres!$A$1:$I$88,3,0)*VLOOKUP('Données projet'!$B$12,Paramètres!$A$1:$I$88,5,0)</f>
        <v>326.67244999999997</v>
      </c>
      <c r="CA64" s="14">
        <f t="shared" si="39"/>
        <v>76.740014766693236</v>
      </c>
      <c r="CB64" s="22">
        <f t="shared" si="10"/>
        <v>702.61004280199074</v>
      </c>
      <c r="CC64" s="62">
        <f t="shared" si="11"/>
        <v>964.42222424712008</v>
      </c>
      <c r="CD64" s="62">
        <f ca="1">AVERAGE(OFFSET($CC$3,0,0,'Données projet'!$E$12+1,1))-AVERAGE(OFFSET($H$3,0,0,'Données projet'!$E$12+1,1))</f>
        <v>401.1031790385295</v>
      </c>
      <c r="CE64" s="62">
        <f t="shared" si="40"/>
        <v>402.09589424130615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projet'!$B$12,Paramètres!$A$1:$I$88,3,0)*0.475*44/12</f>
        <v>18.91597172729832</v>
      </c>
      <c r="CL64" s="23">
        <f>EXP(-LN(2)/25)*CL63+(1-EXP(-LN(2)/25))/(LN(2)/25)*Calculateur!CG64*Calculateur!CI64*VLOOKUP('Données projet'!$B$12,Paramètres!$A$1:$I$88,3,0)*0.475*44/12</f>
        <v>0</v>
      </c>
      <c r="CM64" s="23">
        <f>EXP(-LN(2)/2)*CM63+(1-EXP(-LN(2)/2))/(LN(2)/2)*CG64*CJ64*VLOOKUP('Données projet'!$B$12,Paramètres!$A$1:$I$88,3,0)*0.475*44/12</f>
        <v>0.4458898537213451</v>
      </c>
      <c r="CN64" s="24">
        <f t="shared" si="12"/>
        <v>19.361861581019664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4.4250000000000114</v>
      </c>
      <c r="CT64" s="13">
        <f>IF('Données projet'!$A$140&gt;35,CT63+CS64-DB63,IF(A64&lt;'Données projet'!$A$140,$CQ$205^A64,IF(A64='Données projet'!$A$140,'Données projet'!$B$140,CT63+CS64-DB63)))</f>
        <v>546.27499999999986</v>
      </c>
      <c r="CU64" s="18">
        <f>CT64*VLOOKUP('Données projet'!$B$13,Paramètres!$A$1:$I$88,3,0)*VLOOKUP('Données projet'!$B$13,Paramètres!$A$1:$I$88,5,0)</f>
        <v>326.67244999999997</v>
      </c>
      <c r="CV64" s="14">
        <f t="shared" si="41"/>
        <v>76.740014766693236</v>
      </c>
      <c r="CW64" s="22">
        <f t="shared" si="13"/>
        <v>702.61004280199074</v>
      </c>
      <c r="CX64" s="62">
        <f t="shared" si="14"/>
        <v>964.42222424712008</v>
      </c>
      <c r="CY64" s="62">
        <f ca="1">AVERAGE(OFFSET($CX$3,0,0,'Données projet'!$E$13+1,1))-AVERAGE(OFFSET($H$3,0,0,'Données projet'!$E$13+1,1))</f>
        <v>401.1031790385295</v>
      </c>
      <c r="CZ64" s="62">
        <f t="shared" si="42"/>
        <v>402.09589424130615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projet'!$B$13,Paramètres!$A$1:$I$88,3,0)*0.475*44/12</f>
        <v>18.91597172729832</v>
      </c>
      <c r="DG64" s="23">
        <f>EXP(-LN(2)/25)*DG63+(1-EXP(-LN(2)/25))/(LN(2)/25)*Calculateur!DB64*Calculateur!DD64*VLOOKUP('Données projet'!$B$13,Paramètres!$A$1:$I$88,3,0)*0.475*44/12</f>
        <v>0</v>
      </c>
      <c r="DH64" s="23">
        <f>EXP(-LN(2)/2)*DH63+(1-EXP(-LN(2)/2))/(LN(2)/2)*DB64*DE64*VLOOKUP('Données projet'!$B$13,Paramètres!$A$1:$I$88,3,0)*0.475*44/12</f>
        <v>0.4458898537213451</v>
      </c>
      <c r="DI64" s="24">
        <f t="shared" si="15"/>
        <v>19.361861581019664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23.2</v>
      </c>
      <c r="DO64" s="13">
        <f>IF('Données projet'!$A$166&gt;35,DO63+DN64-DW63,IF(A64&lt;'Données projet'!$A$166,$DL$205^A64,IF(A64='Données projet'!$A$166,'Données projet'!$B$166,DO63+DN64-DW63)))</f>
        <v>693.19999999999982</v>
      </c>
      <c r="DP64" s="18">
        <f>DO64*VLOOKUP('Données projet'!$B$14,Paramètres!$A$1:$I$88,3,0)*VLOOKUP('Données projet'!$B$14,Paramètres!$A$1:$I$88,5,0)</f>
        <v>279.35959999999994</v>
      </c>
      <c r="DQ64" s="14">
        <f t="shared" si="43"/>
        <v>66.83165592177113</v>
      </c>
      <c r="DR64" s="22">
        <f t="shared" si="16"/>
        <v>602.94977073041787</v>
      </c>
      <c r="DS64" s="62">
        <f t="shared" si="17"/>
        <v>864.76195217554721</v>
      </c>
      <c r="DT64" s="62">
        <f ca="1">AVERAGE(OFFSET($DS$3,0,0,'Données projet'!$E$14+1,1))-AVERAGE(OFFSET($H$3,0,0,'Données projet'!$E$14+1,1))</f>
        <v>432.59662347701629</v>
      </c>
      <c r="DU64" s="62">
        <f t="shared" si="44"/>
        <v>348.67401091099748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projet'!$B$14,Paramètres!$A$1:$I$88,3,0)*0.475*44/12</f>
        <v>42.247666943830502</v>
      </c>
      <c r="EB64" s="23">
        <f>EXP(-LN(2)/25)*EB63+(1-EXP(-LN(2)/25))/(LN(2)/25)*Calculateur!DW64*Calculateur!DY64*VLOOKUP('Données projet'!$B$14,Paramètres!$A$1:$I$88,3,0)*0.475*44/12</f>
        <v>82.142538903527367</v>
      </c>
      <c r="EC64" s="23">
        <f>EXP(-LN(2)/2)*EC63+(1-EXP(-LN(2)/2))/(LN(2)/2)*DW64*DZ64*VLOOKUP('Données projet'!$B$14,Paramètres!$A$1:$I$88,3,0)*0.475*44/12</f>
        <v>0</v>
      </c>
      <c r="ED64" s="24">
        <f t="shared" si="18"/>
        <v>124.39020584735786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23</v>
      </c>
      <c r="EJ64" s="13">
        <f>IF('Données projet'!$A$192&gt;35,EJ63+EI64-ER63,IF(A64&lt;'Données projet'!$A$192,$EG$205^A64,IF(A64='Données projet'!$A$192,'Données projet'!$B$192,EJ63+EI64-ER63)))</f>
        <v>936.00000000000011</v>
      </c>
      <c r="EK64" s="18">
        <f>EJ64*VLOOKUP('Données projet'!$B$15,Paramètres!$A$1:$I$88,3,0)*VLOOKUP('Données projet'!$B$15,Paramètres!$A$1:$I$88,5,0)</f>
        <v>413.7120000000001</v>
      </c>
      <c r="EL64" s="14">
        <f t="shared" si="45"/>
        <v>94.55108612160069</v>
      </c>
      <c r="EM64" s="22">
        <f t="shared" si="19"/>
        <v>885.22487499512135</v>
      </c>
      <c r="EN64" s="62">
        <f t="shared" si="20"/>
        <v>1147.0370564402506</v>
      </c>
      <c r="EO64" s="62">
        <f ca="1">AVERAGE(OFFSET($EN$3,0,0,'Données projet'!$E$15+1,1))-AVERAGE(OFFSET($H$3,0,0,'Données projet'!$E$15+1,1))</f>
        <v>582.26951914082088</v>
      </c>
      <c r="EP64" s="62">
        <f t="shared" si="46"/>
        <v>434.80429932654715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projet'!$B$15,Paramètres!$A$1:$I$88,3,0)*0.475*44/12</f>
        <v>49.294982220394566</v>
      </c>
      <c r="EW64" s="23">
        <f>EXP(-LN(2)/25)*EW63+(1-EXP(-LN(2)/25))/(LN(2)/25)*Calculateur!ER64*Calculateur!ET64*VLOOKUP('Données projet'!$B$15,Paramètres!$A$1:$I$88,3,0)*0.475*44/12</f>
        <v>79.176428928662901</v>
      </c>
      <c r="EX64" s="23">
        <f>EXP(-LN(2)/2)*EX63+(1-EXP(-LN(2)/2))/(LN(2)/2)*ER64*EU64*VLOOKUP('Données projet'!$B$15,Paramètres!$A$1:$I$88,3,0)*0.475*44/12</f>
        <v>0</v>
      </c>
      <c r="EY64" s="24">
        <f t="shared" si="21"/>
        <v>128.47141114905747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22.7</v>
      </c>
      <c r="FE64" s="13">
        <f>IF('Données projet'!$A$218&gt;35,FE63+FD64-FM63,IF(A64&lt;'Données projet'!$A$218,$FB$205^A64,IF(A64='Données projet'!$A$218,'Données projet'!$B$218,FE63+FD64-FM63)))</f>
        <v>426.6999999999997</v>
      </c>
      <c r="FF64" s="18">
        <f>FE64*VLOOKUP('Données projet'!$B$16,Paramètres!$A$1:$I$88,3,0)*VLOOKUP('Données projet'!$B$16,Paramètres!$A$1:$I$88,5,0)</f>
        <v>199.69559999999984</v>
      </c>
      <c r="FG64" s="14">
        <f t="shared" si="47"/>
        <v>49.677263889452327</v>
      </c>
      <c r="FH64" s="22">
        <f t="shared" si="22"/>
        <v>434.32440460746255</v>
      </c>
      <c r="FI64" s="62">
        <f t="shared" si="23"/>
        <v>696.13658605259184</v>
      </c>
      <c r="FJ64" s="62">
        <f ca="1">AVERAGE(OFFSET($FI$3,0,0,'Données projet'!$E$16+1,1))-AVERAGE(OFFSET($H$3,0,0,'Données projet'!$E$16+1,1))</f>
        <v>429.87867712133851</v>
      </c>
      <c r="FK64" s="62">
        <f t="shared" si="48"/>
        <v>182.81277865988014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projet'!$B$16,Paramètres!$A$1:$I$88,3,0)*0.475*44/12</f>
        <v>13.12266702023814</v>
      </c>
      <c r="FR64" s="23">
        <f>EXP(-LN(2)/25)*FR63+(1-EXP(-LN(2)/25))/(LN(2)/25)*Calculateur!FM64*Calculateur!FO64*VLOOKUP('Données projet'!$B$16,Paramètres!$A$1:$I$88,3,0)*0.475*44/12</f>
        <v>64.187903644407413</v>
      </c>
      <c r="FS64" s="23">
        <f>EXP(-LN(2)/2)*FS63+(1-EXP(-LN(2)/2))/(LN(2)/2)*FM64*FP64*VLOOKUP('Données projet'!$B$16,Paramètres!$A$1:$I$88,3,0)*0.475*44/12</f>
        <v>0</v>
      </c>
      <c r="FT64" s="24">
        <f t="shared" si="24"/>
        <v>77.310570664645553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18.2</v>
      </c>
      <c r="FZ64" s="13">
        <f>IF('Données projet'!$A$244&gt;35,FZ63+FY64-GH63,IF(A64&lt;'Données projet'!$A$244,$FW$205^A64,IF(A64='Données projet'!$A$244,'Données projet'!$B$244,FZ63+FY64-GH63)))</f>
        <v>454.19999999999959</v>
      </c>
      <c r="GA64" s="18">
        <f>FZ64*VLOOKUP('Données projet'!$B$17,Paramètres!$A$1:$I$88,3,0)*VLOOKUP('Données projet'!$B$17,Paramètres!$A$1:$I$88,5,0)</f>
        <v>218.47019999999983</v>
      </c>
      <c r="GB64" s="14">
        <f t="shared" si="49"/>
        <v>53.782256338496374</v>
      </c>
      <c r="GC64" s="22">
        <f t="shared" si="25"/>
        <v>474.17302812288079</v>
      </c>
      <c r="GD64" s="62">
        <f t="shared" si="26"/>
        <v>735.98520956801008</v>
      </c>
      <c r="GE64" s="62">
        <f ca="1">AVERAGE(OFFSET($GD$3,0,0,'Données projet'!$E$17+1,1))-AVERAGE(OFFSET($H$3,0,0,'Données projet'!$E$17+1,1))</f>
        <v>273.24375559399846</v>
      </c>
      <c r="GF64" s="62">
        <f t="shared" si="50"/>
        <v>270.77718895097848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projet'!$B$17,Paramètres!$A$1:$I$88,3,0)*0.475*44/12</f>
        <v>39.159512449417861</v>
      </c>
      <c r="GM64" s="23">
        <f>EXP(-LN(2)/25)*GM63+(1-EXP(-LN(2)/25))/(LN(2)/25)*Calculateur!GH64*Calculateur!GJ64*VLOOKUP('Données projet'!$B$17,Paramètres!$A$1:$I$88,3,0)*0.475*44/12</f>
        <v>48.872244328312256</v>
      </c>
      <c r="GN64" s="23">
        <f>EXP(-LN(2)/2)*GN63+(1-EXP(-LN(2)/2))/(LN(2)/2)*GH64*GK64*VLOOKUP('Données projet'!$B$17,Paramètres!$A$1:$I$88,3,0)*0.475*44/12</f>
        <v>0</v>
      </c>
      <c r="GO64" s="23">
        <f t="shared" si="27"/>
        <v>88.031756777730124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15.571428571428571</v>
      </c>
      <c r="N65" s="14">
        <f>IF('Données projet'!$A$36&gt;35,N64+M65-V64,IF(A65&lt;'Données projet'!$A$36,$K$205^A65,IF(A65='Données projet'!$A$36,'Données projet'!$B$36,N64+M65-V64)))</f>
        <v>522.4285714285711</v>
      </c>
      <c r="O65" s="14">
        <f>N65*VLOOKUP('Données projet'!$B$9,Paramètres!$A$1:$I$88,3,0)*VLOOKUP('Données projet'!$B$9,Paramètres!$A$1:$I$88,5,0)</f>
        <v>292.03757142857125</v>
      </c>
      <c r="P65" s="14">
        <f t="shared" si="33"/>
        <v>69.504628296156</v>
      </c>
      <c r="Q65" s="22">
        <f t="shared" si="53"/>
        <v>629.68599785389995</v>
      </c>
      <c r="R65" s="62">
        <f t="shared" si="0"/>
        <v>892.04500081355127</v>
      </c>
      <c r="S65" s="62">
        <f ca="1">AVERAGE(OFFSET($R$3,0,0,'Données projet'!$E$9+1,1))-AVERAGE(OFFSET($H$3,0,0,'Données projet'!$E$9+1,1))</f>
        <v>289.94242154211224</v>
      </c>
      <c r="T65" s="62">
        <f t="shared" si="34"/>
        <v>369.12599166143661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44.699591414349115</v>
      </c>
      <c r="AA65" s="23">
        <f>EXP(-LN(2)/25)*AA64+(1-EXP(-LN(2)/25))/(LN(2)/25)*Calculateur!V65*Calculateur!X65*VLOOKUP('Données projet'!$B$9,Paramètres!$A$1:$I$88,3,0)*0.475*44/12</f>
        <v>54.445889395543844</v>
      </c>
      <c r="AB65" s="23">
        <f>EXP(-LN(2)/2)*AB64+(1-EXP(-LN(2)/2))/(LN(2)/2)*V65*Y65*VLOOKUP('Données projet'!$B$9,Paramètres!$A$1:$I$88,3,0)*0.475*44/12</f>
        <v>0</v>
      </c>
      <c r="AC65" s="24">
        <f t="shared" si="3"/>
        <v>99.145480809892959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8.125</v>
      </c>
      <c r="AI65" s="14">
        <f>IF('Données projet'!$A$62&gt;35,AI64+AH65-AQ64,IF(A65&lt;'Données projet'!$A$62,$AF$205^A65,IF(A65='Données projet'!$A$62,'Données projet'!$B$62,AI64+AH65-AQ64)))</f>
        <v>179.125</v>
      </c>
      <c r="AJ65" s="14">
        <f>AI65*VLOOKUP('Données projet'!$B$10,Paramètres!$A$1:$I$88,3,0)*VLOOKUP('Données projet'!$B$10,Paramètres!$A$1:$I$88,5,0)</f>
        <v>162.07230000000001</v>
      </c>
      <c r="AK65" s="14">
        <f t="shared" si="35"/>
        <v>41.309577807279609</v>
      </c>
      <c r="AL65" s="22">
        <f t="shared" si="4"/>
        <v>354.223437181012</v>
      </c>
      <c r="AM65" s="62">
        <f t="shared" si="5"/>
        <v>616.58244014066327</v>
      </c>
      <c r="AN65" s="62">
        <f ca="1">AVERAGE(OFFSET($AM$3,0,0,'Données projet'!$E$10+1,1))-AVERAGE(OFFSET($H$3,0,0,'Données projet'!$E$10+1,1))</f>
        <v>518.31628039365785</v>
      </c>
      <c r="AO65" s="62">
        <f t="shared" si="36"/>
        <v>66.435071953154761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11.913849574388832</v>
      </c>
      <c r="AV65" s="23">
        <f>EXP(-LN(2)/25)*AV64+(1-EXP(-LN(2)/25))/(LN(2)/25)*Calculateur!AQ65*Calculateur!AS65*VLOOKUP('Données projet'!$B$10,Paramètres!$A$1:$I$88,3,0)*0.475*44/12</f>
        <v>0</v>
      </c>
      <c r="AW65" s="23">
        <f>EXP(-LN(2)/2)*AW64+(1-EXP(-LN(2)/2))/(LN(2)/2)*AQ65*AT65*VLOOKUP('Données projet'!$B$10,Paramètres!$A$1:$I$88,3,0)*0.475*44/12</f>
        <v>0</v>
      </c>
      <c r="AX65" s="23">
        <f t="shared" si="6"/>
        <v>11.913849574388832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8.125</v>
      </c>
      <c r="BD65" s="13">
        <f>IF('Données projet'!$A$88&gt;35,BD64+BC65-BL64,IF(A65&lt;'Données projet'!$A$88,$BA$205^A65,IF(A65='Données projet'!$A$88,'Données projet'!$B$88,BD64+BC65-BL64)))</f>
        <v>179.125</v>
      </c>
      <c r="BE65" s="14">
        <f>BD65*VLOOKUP('Données projet'!$B$11,Paramètres!$A$1:$I$88,3,0)*VLOOKUP('Données projet'!$B$11,Paramètres!$A$1:$I$88,5,0)</f>
        <v>181.63275000000002</v>
      </c>
      <c r="BF65" s="14">
        <f t="shared" si="37"/>
        <v>45.685251832742189</v>
      </c>
      <c r="BG65" s="22">
        <f t="shared" si="7"/>
        <v>395.91218652535935</v>
      </c>
      <c r="BH65" s="62">
        <f t="shared" si="8"/>
        <v>658.27118948501061</v>
      </c>
      <c r="BI65" s="62">
        <f ca="1">AVERAGE(OFFSET($BH$3,0,0,'Données projet'!$E$11+1,1))-AVERAGE(OFFSET($H$3,0,0,'Données projet'!$E$11+1,1))</f>
        <v>570.2785736203931</v>
      </c>
      <c r="BJ65" s="62">
        <f t="shared" si="38"/>
        <v>67.677759965081719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13.35172797129783</v>
      </c>
      <c r="BQ65" s="23">
        <f>EXP(-LN(2)/25)*BQ64+(1-EXP(-LN(2)/25))/(LN(2)/25)*Calculateur!BL65*Calculateur!BN65*VLOOKUP('Données projet'!$B$11,Paramètres!$A$1:$I$88,3,0)*0.475*44/12</f>
        <v>0</v>
      </c>
      <c r="BR65" s="23">
        <f>EXP(-LN(2)/2)*BR64+(1-EXP(-LN(2)/2))/(LN(2)/2)*BL65*BO65*VLOOKUP('Données projet'!$B$11,Paramètres!$A$1:$I$88,3,0)*0.475*44/12</f>
        <v>0</v>
      </c>
      <c r="BS65" s="24">
        <f t="shared" si="9"/>
        <v>13.35172797129783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>
        <f>VLOOKUP(A65,'Données projet'!$A$113:$I$133,2,0)</f>
        <v>550.70000000000005</v>
      </c>
      <c r="BW65" s="13">
        <f>VLOOKUP(A65,'Données projet'!$A$113:$I$133,9,0)</f>
        <v>4.4250000000000114</v>
      </c>
      <c r="BX65" s="13">
        <f t="array" ref="BX65">INDEX(BW:BW,MIN(IF(ISNUMBER(BW65:BW261),ROW(BW65:BW261),"")))</f>
        <v>4.4250000000000114</v>
      </c>
      <c r="BY65" s="13">
        <f>IF('Données projet'!$A$114&gt;35,BY64+BX65-CG64,IF(A65&lt;'Données projet'!$A$114,$BV$205^A65,IF(A65='Données projet'!$A$114,'Données projet'!$B$114,BY64+BX65-CG64)))</f>
        <v>550.69999999999982</v>
      </c>
      <c r="BZ65" s="14">
        <f>BY65*VLOOKUP('Données projet'!$B$12,Paramètres!$A$1:$I$88,3,0)*VLOOKUP('Données projet'!$B$12,Paramètres!$A$1:$I$88,5,0)</f>
        <v>329.31859999999989</v>
      </c>
      <c r="CA65" s="14">
        <f t="shared" si="39"/>
        <v>77.289018576742336</v>
      </c>
      <c r="CB65" s="22">
        <f t="shared" si="10"/>
        <v>708.17493568782595</v>
      </c>
      <c r="CC65" s="62">
        <f t="shared" si="11"/>
        <v>970.53393864747727</v>
      </c>
      <c r="CD65" s="62">
        <f ca="1">AVERAGE(OFFSET($CC$3,0,0,'Données projet'!$E$12+1,1))-AVERAGE(OFFSET($H$3,0,0,'Données projet'!$E$12+1,1))</f>
        <v>401.1031790385295</v>
      </c>
      <c r="CE65" s="62">
        <f t="shared" si="40"/>
        <v>402.09589424130615</v>
      </c>
      <c r="CF65" s="16">
        <f>IF(ISNA(VLOOKUP(A65,'Données projet'!$A$113:$I$133,3,0)),0,VLOOKUP(A65,'Données projet'!$A$113:$I$133,3,0))</f>
        <v>9</v>
      </c>
      <c r="CG65" s="16">
        <f>IF(ISNA(VLOOKUP(A65,'Données projet'!$A$113:$I$133,4,0)),0,VLOOKUP(A65,'Données projet'!$A$113:$I$133,4,0))</f>
        <v>6.5</v>
      </c>
      <c r="CH65" s="17">
        <f>IF(ISNA(VLOOKUP(A65,'Données projet'!$A$113:$I$133,5,0)),0%,VLOOKUP(A65,'Données projet'!$A$113:$I$133,5,0)*VLOOKUP('Données projet'!$B$12,Paramètres!$A$1:$I$88,7,0))</f>
        <v>0.27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0.4</v>
      </c>
      <c r="CK65" s="23">
        <f>EXP(-LN(2)/35)*CK64+(1-EXP(-LN(2)/35))/(LN(2)/35)*CG65*CH65*VLOOKUP('Données projet'!$B$12,Paramètres!$A$1:$I$88,3,0)*0.475*44/12</f>
        <v>19.937257189668752</v>
      </c>
      <c r="CL65" s="23">
        <f>EXP(-LN(2)/25)*CL64+(1-EXP(-LN(2)/25))/(LN(2)/25)*Calculateur!CG65*Calculateur!CI65*VLOOKUP('Données projet'!$B$12,Paramètres!$A$1:$I$88,3,0)*0.475*44/12</f>
        <v>0</v>
      </c>
      <c r="CM65" s="23">
        <f>EXP(-LN(2)/2)*CM64+(1-EXP(-LN(2)/2))/(LN(2)/2)*CG65*CJ65*VLOOKUP('Données projet'!$B$12,Paramètres!$A$1:$I$88,3,0)*0.475*44/12</f>
        <v>2.0756865154227899</v>
      </c>
      <c r="CN65" s="24">
        <f t="shared" si="12"/>
        <v>22.012943705091544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>
        <f>VLOOKUP(A65,'Données projet'!$A$139:$I$159,2,0)</f>
        <v>550.70000000000005</v>
      </c>
      <c r="CR65" s="13">
        <f>VLOOKUP(A65,'Données projet'!$A$139:$I$159,9,0)</f>
        <v>4.4250000000000114</v>
      </c>
      <c r="CS65" s="13">
        <f t="array" ref="CS65">INDEX(CR:CR,MIN(IF(ISNUMBER(CR65:CR261),ROW(CR65:CR261),"")))</f>
        <v>4.4250000000000114</v>
      </c>
      <c r="CT65" s="13">
        <f>IF('Données projet'!$A$140&gt;35,CT64+CS65-DB64,IF(A65&lt;'Données projet'!$A$140,$CQ$205^A65,IF(A65='Données projet'!$A$140,'Données projet'!$B$140,CT64+CS65-DB64)))</f>
        <v>550.69999999999982</v>
      </c>
      <c r="CU65" s="18">
        <f>CT65*VLOOKUP('Données projet'!$B$13,Paramètres!$A$1:$I$88,3,0)*VLOOKUP('Données projet'!$B$13,Paramètres!$A$1:$I$88,5,0)</f>
        <v>329.31859999999989</v>
      </c>
      <c r="CV65" s="14">
        <f t="shared" si="41"/>
        <v>77.289018576742336</v>
      </c>
      <c r="CW65" s="22">
        <f t="shared" si="13"/>
        <v>708.17493568782595</v>
      </c>
      <c r="CX65" s="62">
        <f t="shared" si="14"/>
        <v>970.53393864747727</v>
      </c>
      <c r="CY65" s="62">
        <f ca="1">AVERAGE(OFFSET($CX$3,0,0,'Données projet'!$E$13+1,1))-AVERAGE(OFFSET($H$3,0,0,'Données projet'!$E$13+1,1))</f>
        <v>401.1031790385295</v>
      </c>
      <c r="CZ65" s="62">
        <f t="shared" si="42"/>
        <v>402.09589424130615</v>
      </c>
      <c r="DA65" s="16">
        <f>IF(ISNA(VLOOKUP(A65,'Données projet'!$A$139:$I$159,3,0)),0,VLOOKUP(A65,'Données projet'!$A$139:$I$159,3,0))</f>
        <v>9</v>
      </c>
      <c r="DB65" s="16">
        <f>IF(ISNA(VLOOKUP(A65,'Données projet'!$A$139:$I$159,4,0)),0,VLOOKUP(A65,'Données projet'!$A$139:$I$159,4,0))</f>
        <v>6.5</v>
      </c>
      <c r="DC65" s="17">
        <f>IF(ISNA(VLOOKUP(A65,'Données projet'!$A$139:$I$159,5,0)),0%,VLOOKUP(A65,'Données projet'!$A$139:$I$159,5,0)*VLOOKUP('Données projet'!$B$13,Paramètres!$A$1:$I$88,7,0))</f>
        <v>0.27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0.4</v>
      </c>
      <c r="DF65" s="23">
        <f>EXP(-LN(2)/35)*DF64+(1-EXP(-LN(2)/35))/(LN(2)/35)*DB65*DC65*VLOOKUP('Données projet'!$B$13,Paramètres!$A$1:$I$88,3,0)*0.475*44/12</f>
        <v>19.937257189668752</v>
      </c>
      <c r="DG65" s="23">
        <f>EXP(-LN(2)/25)*DG64+(1-EXP(-LN(2)/25))/(LN(2)/25)*Calculateur!DB65*Calculateur!DD65*VLOOKUP('Données projet'!$B$13,Paramètres!$A$1:$I$88,3,0)*0.475*44/12</f>
        <v>0</v>
      </c>
      <c r="DH65" s="23">
        <f>EXP(-LN(2)/2)*DH64+(1-EXP(-LN(2)/2))/(LN(2)/2)*DB65*DE65*VLOOKUP('Données projet'!$B$13,Paramètres!$A$1:$I$88,3,0)*0.475*44/12</f>
        <v>2.0756865154227899</v>
      </c>
      <c r="DI65" s="24">
        <f t="shared" si="15"/>
        <v>22.012943705091544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23.2</v>
      </c>
      <c r="DO65" s="13">
        <f>IF('Données projet'!$A$166&gt;35,DO64+DN65-DW64,IF(A65&lt;'Données projet'!$A$166,$DL$205^A65,IF(A65='Données projet'!$A$166,'Données projet'!$B$166,DO64+DN65-DW64)))</f>
        <v>716.39999999999986</v>
      </c>
      <c r="DP65" s="18">
        <f>DO65*VLOOKUP('Données projet'!$B$14,Paramètres!$A$1:$I$88,3,0)*VLOOKUP('Données projet'!$B$14,Paramètres!$A$1:$I$88,5,0)</f>
        <v>288.70919999999995</v>
      </c>
      <c r="DQ65" s="14">
        <f t="shared" si="43"/>
        <v>68.804219335128607</v>
      </c>
      <c r="DR65" s="22">
        <f t="shared" si="16"/>
        <v>622.66920534201552</v>
      </c>
      <c r="DS65" s="62">
        <f t="shared" si="17"/>
        <v>885.02820830166684</v>
      </c>
      <c r="DT65" s="62">
        <f ca="1">AVERAGE(OFFSET($DS$3,0,0,'Données projet'!$E$14+1,1))-AVERAGE(OFFSET($H$3,0,0,'Données projet'!$E$14+1,1))</f>
        <v>432.59662347701629</v>
      </c>
      <c r="DU65" s="62">
        <f t="shared" si="44"/>
        <v>348.67401091099748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projet'!$B$14,Paramètres!$A$1:$I$88,3,0)*0.475*44/12</f>
        <v>41.41921596359439</v>
      </c>
      <c r="EB65" s="23">
        <f>EXP(-LN(2)/25)*EB64+(1-EXP(-LN(2)/25))/(LN(2)/25)*Calculateur!DW65*Calculateur!DY65*VLOOKUP('Données projet'!$B$14,Paramètres!$A$1:$I$88,3,0)*0.475*44/12</f>
        <v>79.896346857522033</v>
      </c>
      <c r="EC65" s="23">
        <f>EXP(-LN(2)/2)*EC64+(1-EXP(-LN(2)/2))/(LN(2)/2)*DW65*DZ65*VLOOKUP('Données projet'!$B$14,Paramètres!$A$1:$I$88,3,0)*0.475*44/12</f>
        <v>0</v>
      </c>
      <c r="ED65" s="24">
        <f t="shared" si="18"/>
        <v>121.31556282111643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23</v>
      </c>
      <c r="EJ65" s="13">
        <f>IF('Données projet'!$A$192&gt;35,EJ64+EI65-ER64,IF(A65&lt;'Données projet'!$A$192,$EG$205^A65,IF(A65='Données projet'!$A$192,'Données projet'!$B$192,EJ64+EI65-ER64)))</f>
        <v>959.00000000000011</v>
      </c>
      <c r="EK65" s="18">
        <f>EJ65*VLOOKUP('Données projet'!$B$15,Paramètres!$A$1:$I$88,3,0)*VLOOKUP('Données projet'!$B$15,Paramètres!$A$1:$I$88,5,0)</f>
        <v>423.8780000000001</v>
      </c>
      <c r="EL65" s="14">
        <f t="shared" si="45"/>
        <v>96.601107027251544</v>
      </c>
      <c r="EM65" s="22">
        <f t="shared" si="19"/>
        <v>906.50111140579656</v>
      </c>
      <c r="EN65" s="62">
        <f t="shared" si="20"/>
        <v>1168.8601143654478</v>
      </c>
      <c r="EO65" s="62">
        <f ca="1">AVERAGE(OFFSET($EN$3,0,0,'Données projet'!$E$15+1,1))-AVERAGE(OFFSET($H$3,0,0,'Données projet'!$E$15+1,1))</f>
        <v>582.26951914082088</v>
      </c>
      <c r="EP65" s="62">
        <f t="shared" si="46"/>
        <v>434.80429932654715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projet'!$B$15,Paramètres!$A$1:$I$88,3,0)*0.475*44/12</f>
        <v>48.328337686022913</v>
      </c>
      <c r="EW65" s="23">
        <f>EXP(-LN(2)/25)*EW64+(1-EXP(-LN(2)/25))/(LN(2)/25)*Calculateur!ER65*Calculateur!ET65*VLOOKUP('Données projet'!$B$15,Paramètres!$A$1:$I$88,3,0)*0.475*44/12</f>
        <v>77.011345315901181</v>
      </c>
      <c r="EX65" s="23">
        <f>EXP(-LN(2)/2)*EX64+(1-EXP(-LN(2)/2))/(LN(2)/2)*ER65*EU65*VLOOKUP('Données projet'!$B$15,Paramètres!$A$1:$I$88,3,0)*0.475*44/12</f>
        <v>0</v>
      </c>
      <c r="EY65" s="24">
        <f t="shared" si="21"/>
        <v>125.3396830019241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22.7</v>
      </c>
      <c r="FE65" s="13">
        <f>IF('Données projet'!$A$218&gt;35,FE64+FD65-FM64,IF(A65&lt;'Données projet'!$A$218,$FB$205^A65,IF(A65='Données projet'!$A$218,'Données projet'!$B$218,FE64+FD65-FM64)))</f>
        <v>449.39999999999969</v>
      </c>
      <c r="FF65" s="18">
        <f>FE65*VLOOKUP('Données projet'!$B$16,Paramètres!$A$1:$I$88,3,0)*VLOOKUP('Données projet'!$B$16,Paramètres!$A$1:$I$88,5,0)</f>
        <v>210.31919999999985</v>
      </c>
      <c r="FG65" s="14">
        <f t="shared" si="47"/>
        <v>52.005332762093687</v>
      </c>
      <c r="FH65" s="22">
        <f t="shared" si="22"/>
        <v>456.88189456064629</v>
      </c>
      <c r="FI65" s="62">
        <f t="shared" si="23"/>
        <v>719.24089752029761</v>
      </c>
      <c r="FJ65" s="62">
        <f ca="1">AVERAGE(OFFSET($FI$3,0,0,'Données projet'!$E$16+1,1))-AVERAGE(OFFSET($H$3,0,0,'Données projet'!$E$16+1,1))</f>
        <v>429.87867712133851</v>
      </c>
      <c r="FK65" s="62">
        <f t="shared" si="48"/>
        <v>182.81277865988014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projet'!$B$16,Paramètres!$A$1:$I$88,3,0)*0.475*44/12</f>
        <v>12.865339524007819</v>
      </c>
      <c r="FR65" s="23">
        <f>EXP(-LN(2)/25)*FR64+(1-EXP(-LN(2)/25))/(LN(2)/25)*Calculateur!FM65*Calculateur!FO65*VLOOKUP('Données projet'!$B$16,Paramètres!$A$1:$I$88,3,0)*0.475*44/12</f>
        <v>62.432682043755946</v>
      </c>
      <c r="FS65" s="23">
        <f>EXP(-LN(2)/2)*FS64+(1-EXP(-LN(2)/2))/(LN(2)/2)*FM65*FP65*VLOOKUP('Données projet'!$B$16,Paramètres!$A$1:$I$88,3,0)*0.475*44/12</f>
        <v>0</v>
      </c>
      <c r="FT65" s="24">
        <f t="shared" si="24"/>
        <v>75.298021567763769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18.2</v>
      </c>
      <c r="FZ65" s="13">
        <f>IF('Données projet'!$A$244&gt;35,FZ64+FY65-GH64,IF(A65&lt;'Données projet'!$A$244,$FW$205^A65,IF(A65='Données projet'!$A$244,'Données projet'!$B$244,FZ64+FY65-GH64)))</f>
        <v>472.39999999999958</v>
      </c>
      <c r="GA65" s="18">
        <f>FZ65*VLOOKUP('Données projet'!$B$17,Paramètres!$A$1:$I$88,3,0)*VLOOKUP('Données projet'!$B$17,Paramètres!$A$1:$I$88,5,0)</f>
        <v>227.2243999999998</v>
      </c>
      <c r="GB65" s="14">
        <f t="shared" si="49"/>
        <v>55.682108498905791</v>
      </c>
      <c r="GC65" s="22">
        <f t="shared" si="25"/>
        <v>492.72883563559395</v>
      </c>
      <c r="GD65" s="62">
        <f t="shared" si="26"/>
        <v>755.08783859524533</v>
      </c>
      <c r="GE65" s="62">
        <f ca="1">AVERAGE(OFFSET($GD$3,0,0,'Données projet'!$E$17+1,1))-AVERAGE(OFFSET($H$3,0,0,'Données projet'!$E$17+1,1))</f>
        <v>273.24375559399846</v>
      </c>
      <c r="GF65" s="62">
        <f t="shared" si="50"/>
        <v>270.77718895097848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projet'!$B$17,Paramètres!$A$1:$I$88,3,0)*0.475*44/12</f>
        <v>38.39161829522893</v>
      </c>
      <c r="GM65" s="23">
        <f>EXP(-LN(2)/25)*GM64+(1-EXP(-LN(2)/25))/(LN(2)/25)*Calculateur!GH65*Calculateur!GJ65*VLOOKUP('Données projet'!$B$17,Paramètres!$A$1:$I$88,3,0)*0.475*44/12</f>
        <v>47.535830237074926</v>
      </c>
      <c r="GN65" s="23">
        <f>EXP(-LN(2)/2)*GN64+(1-EXP(-LN(2)/2))/(LN(2)/2)*GH65*GK65*VLOOKUP('Données projet'!$B$17,Paramètres!$A$1:$I$88,3,0)*0.475*44/12</f>
        <v>0</v>
      </c>
      <c r="GO65" s="23">
        <f t="shared" si="27"/>
        <v>85.927448532303856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538</v>
      </c>
      <c r="L66" s="13">
        <f>VLOOKUP(A66,'Données projet'!$A$35:$I$55,9,0)</f>
        <v>15.571428571428571</v>
      </c>
      <c r="M66" s="13">
        <f t="array" ref="M66">INDEX(L:L,MIN(IF(ISNUMBER(L66:L262),ROW(L66:L262),"")))</f>
        <v>15.571428571428571</v>
      </c>
      <c r="N66" s="14">
        <f>IF('Données projet'!$A$36&gt;35,N65+M66-V65,IF(A66&lt;'Données projet'!$A$36,$K$205^A66,IF(A66='Données projet'!$A$36,'Données projet'!$B$36,N65+M66-V65)))</f>
        <v>537.99999999999966</v>
      </c>
      <c r="O66" s="14">
        <f>N66*VLOOKUP('Données projet'!$B$9,Paramètres!$A$1:$I$88,3,0)*VLOOKUP('Données projet'!$B$9,Paramètres!$A$1:$I$88,5,0)</f>
        <v>300.74199999999985</v>
      </c>
      <c r="P66" s="14">
        <f t="shared" si="33"/>
        <v>71.331992805448763</v>
      </c>
      <c r="Q66" s="22">
        <f t="shared" si="53"/>
        <v>648.02887080282289</v>
      </c>
      <c r="R66" s="62">
        <f t="shared" si="0"/>
        <v>910.92520914622901</v>
      </c>
      <c r="S66" s="62">
        <f ca="1">AVERAGE(OFFSET($R$3,0,0,'Données projet'!$E$9+1,1))-AVERAGE(OFFSET($H$3,0,0,'Données projet'!$E$9+1,1))</f>
        <v>289.94242154211224</v>
      </c>
      <c r="T66" s="62">
        <f t="shared" si="34"/>
        <v>369.12599166143661</v>
      </c>
      <c r="U66" s="16">
        <f>IF(ISNA(VLOOKUP(A66,'Données projet'!$A$35:$I$55,3,0)),0,VLOOKUP(A66,'Données projet'!$A$35:$I$55,3,0))</f>
        <v>6</v>
      </c>
      <c r="V66" s="16">
        <f>IF(ISNA(VLOOKUP(A66,'Données projet'!$A$35:$I$55,4,0)),0,VLOOKUP(A66,'Données projet'!$A$35:$I$55,4,0))</f>
        <v>84</v>
      </c>
      <c r="W66" s="17">
        <f>IF(ISNA(VLOOKUP(A66,'Données projet'!$A$35:$I$55,5,0)),0%,VLOOKUP(A66,'Données projet'!$A$35:$I$55,5,0)*VLOOKUP('Données projet'!$B$9,Paramètres!$A$1:$I$88,7,0))</f>
        <v>0.41250000000000003</v>
      </c>
      <c r="X66" s="17">
        <f>IF(ISNA(VLOOKUP(A66,'Données projet'!$A$35:$I$55,6,0)),0%,VLOOKUP(A66,'Données projet'!$A$35:$I$55,6,0)*VLOOKUP('Données projet'!$B$9,Paramètres!$A$1:$I$88,7,0))</f>
        <v>0.13750000000000001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69.517750925740245</v>
      </c>
      <c r="AA66" s="23">
        <f>EXP(-LN(2)/25)*AA65+(1-EXP(-LN(2)/25))/(LN(2)/25)*Calculateur!V66*Calculateur!X66*VLOOKUP('Données projet'!$B$9,Paramètres!$A$1:$I$88,3,0)*0.475*44/12</f>
        <v>61.488237501881436</v>
      </c>
      <c r="AB66" s="23">
        <f>EXP(-LN(2)/2)*AB65+(1-EXP(-LN(2)/2))/(LN(2)/2)*V66*Y66*VLOOKUP('Données projet'!$B$9,Paramètres!$A$1:$I$88,3,0)*0.475*44/12</f>
        <v>0</v>
      </c>
      <c r="AC66" s="24">
        <f t="shared" si="3"/>
        <v>131.00598842762167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8.125</v>
      </c>
      <c r="AI66" s="14">
        <f>IF('Données projet'!$A$62&gt;35,AI65+AH66-AQ65,IF(A66&lt;'Données projet'!$A$62,$AF$205^A66,IF(A66='Données projet'!$A$62,'Données projet'!$B$62,AI65+AH66-AQ65)))</f>
        <v>187.25</v>
      </c>
      <c r="AJ66" s="14">
        <f>AI66*VLOOKUP('Données projet'!$B$10,Paramètres!$A$1:$I$88,3,0)*VLOOKUP('Données projet'!$B$10,Paramètres!$A$1:$I$88,5,0)</f>
        <v>169.4238</v>
      </c>
      <c r="AK66" s="14">
        <f t="shared" si="35"/>
        <v>42.960948463994995</v>
      </c>
      <c r="AL66" s="22">
        <f t="shared" si="4"/>
        <v>369.9034369081246</v>
      </c>
      <c r="AM66" s="62">
        <f t="shared" si="5"/>
        <v>632.79977525153072</v>
      </c>
      <c r="AN66" s="62">
        <f ca="1">AVERAGE(OFFSET($AM$3,0,0,'Données projet'!$E$10+1,1))-AVERAGE(OFFSET($H$3,0,0,'Données projet'!$E$10+1,1))</f>
        <v>518.31628039365785</v>
      </c>
      <c r="AO66" s="62">
        <f t="shared" si="36"/>
        <v>66.435071953154761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11.680226250965777</v>
      </c>
      <c r="AV66" s="23">
        <f>EXP(-LN(2)/25)*AV65+(1-EXP(-LN(2)/25))/(LN(2)/25)*Calculateur!AQ66*Calculateur!AS66*VLOOKUP('Données projet'!$B$10,Paramètres!$A$1:$I$88,3,0)*0.475*44/12</f>
        <v>0</v>
      </c>
      <c r="AW66" s="23">
        <f>EXP(-LN(2)/2)*AW65+(1-EXP(-LN(2)/2))/(LN(2)/2)*AQ66*AT66*VLOOKUP('Données projet'!$B$10,Paramètres!$A$1:$I$88,3,0)*0.475*44/12</f>
        <v>0</v>
      </c>
      <c r="AX66" s="23">
        <f t="shared" si="6"/>
        <v>11.680226250965777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8.125</v>
      </c>
      <c r="BD66" s="13">
        <f>IF('Données projet'!$A$88&gt;35,BD65+BC66-BL65,IF(A66&lt;'Données projet'!$A$88,$BA$205^A66,IF(A66='Données projet'!$A$88,'Données projet'!$B$88,BD65+BC66-BL65)))</f>
        <v>187.25</v>
      </c>
      <c r="BE66" s="14">
        <f>BD66*VLOOKUP('Données projet'!$B$11,Paramètres!$A$1:$I$88,3,0)*VLOOKUP('Données projet'!$B$11,Paramètres!$A$1:$I$88,5,0)</f>
        <v>189.87150000000003</v>
      </c>
      <c r="BF66" s="14">
        <f t="shared" si="37"/>
        <v>47.511542207173235</v>
      </c>
      <c r="BG66" s="22">
        <f t="shared" si="7"/>
        <v>413.44213184416009</v>
      </c>
      <c r="BH66" s="62">
        <f t="shared" si="8"/>
        <v>676.33847018756614</v>
      </c>
      <c r="BI66" s="62">
        <f ca="1">AVERAGE(OFFSET($BH$3,0,0,'Données projet'!$E$11+1,1))-AVERAGE(OFFSET($H$3,0,0,'Données projet'!$E$11+1,1))</f>
        <v>570.2785736203931</v>
      </c>
      <c r="BJ66" s="62">
        <f t="shared" si="38"/>
        <v>67.677759965081719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13.089908729530613</v>
      </c>
      <c r="BQ66" s="23">
        <f>EXP(-LN(2)/25)*BQ65+(1-EXP(-LN(2)/25))/(LN(2)/25)*Calculateur!BL66*Calculateur!BN66*VLOOKUP('Données projet'!$B$11,Paramètres!$A$1:$I$88,3,0)*0.475*44/12</f>
        <v>0</v>
      </c>
      <c r="BR66" s="23">
        <f>EXP(-LN(2)/2)*BR65+(1-EXP(-LN(2)/2))/(LN(2)/2)*BL66*BO66*VLOOKUP('Données projet'!$B$11,Paramètres!$A$1:$I$88,3,0)*0.475*44/12</f>
        <v>0</v>
      </c>
      <c r="BS66" s="24">
        <f t="shared" si="9"/>
        <v>13.089908729530613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544.19999999999982</v>
      </c>
      <c r="BZ66" s="14">
        <f>BY66*VLOOKUP('Données projet'!$B$12,Paramètres!$A$1:$I$88,3,0)*VLOOKUP('Données projet'!$B$12,Paramètres!$A$1:$I$88,5,0)</f>
        <v>325.43159999999995</v>
      </c>
      <c r="CA66" s="14">
        <f t="shared" si="39"/>
        <v>76.482394221016762</v>
      </c>
      <c r="CB66" s="22">
        <f t="shared" si="10"/>
        <v>700.00020660160408</v>
      </c>
      <c r="CC66" s="62">
        <f t="shared" si="11"/>
        <v>962.89654494501019</v>
      </c>
      <c r="CD66" s="62">
        <f ca="1">AVERAGE(OFFSET($CC$3,0,0,'Données projet'!$E$12+1,1))-AVERAGE(OFFSET($H$3,0,0,'Données projet'!$E$12+1,1))</f>
        <v>401.1031790385295</v>
      </c>
      <c r="CE66" s="62">
        <f t="shared" si="40"/>
        <v>402.09589424130615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projet'!$B$12,Paramètres!$A$1:$I$88,3,0)*0.475*44/12</f>
        <v>19.546299736705482</v>
      </c>
      <c r="CL66" s="23">
        <f>EXP(-LN(2)/25)*CL65+(1-EXP(-LN(2)/25))/(LN(2)/25)*Calculateur!CG66*Calculateur!CI66*VLOOKUP('Données projet'!$B$12,Paramètres!$A$1:$I$88,3,0)*0.475*44/12</f>
        <v>0</v>
      </c>
      <c r="CM66" s="23">
        <f>EXP(-LN(2)/2)*CM65+(1-EXP(-LN(2)/2))/(LN(2)/2)*CG66*CJ66*VLOOKUP('Données projet'!$B$12,Paramètres!$A$1:$I$88,3,0)*0.475*44/12</f>
        <v>1.4677320106729301</v>
      </c>
      <c r="CN66" s="24">
        <f t="shared" si="12"/>
        <v>21.014031747378411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544.19999999999982</v>
      </c>
      <c r="CU66" s="18">
        <f>CT66*VLOOKUP('Données projet'!$B$13,Paramètres!$A$1:$I$88,3,0)*VLOOKUP('Données projet'!$B$13,Paramètres!$A$1:$I$88,5,0)</f>
        <v>325.43159999999995</v>
      </c>
      <c r="CV66" s="14">
        <f t="shared" si="41"/>
        <v>76.482394221016762</v>
      </c>
      <c r="CW66" s="22">
        <f t="shared" si="13"/>
        <v>700.00020660160408</v>
      </c>
      <c r="CX66" s="62">
        <f t="shared" si="14"/>
        <v>962.89654494501019</v>
      </c>
      <c r="CY66" s="62">
        <f ca="1">AVERAGE(OFFSET($CX$3,0,0,'Données projet'!$E$13+1,1))-AVERAGE(OFFSET($H$3,0,0,'Données projet'!$E$13+1,1))</f>
        <v>401.1031790385295</v>
      </c>
      <c r="CZ66" s="62">
        <f t="shared" si="42"/>
        <v>402.09589424130615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projet'!$B$13,Paramètres!$A$1:$I$88,3,0)*0.475*44/12</f>
        <v>19.546299736705482</v>
      </c>
      <c r="DG66" s="23">
        <f>EXP(-LN(2)/25)*DG65+(1-EXP(-LN(2)/25))/(LN(2)/25)*Calculateur!DB66*Calculateur!DD66*VLOOKUP('Données projet'!$B$13,Paramètres!$A$1:$I$88,3,0)*0.475*44/12</f>
        <v>0</v>
      </c>
      <c r="DH66" s="23">
        <f>EXP(-LN(2)/2)*DH65+(1-EXP(-LN(2)/2))/(LN(2)/2)*DB66*DE66*VLOOKUP('Données projet'!$B$13,Paramètres!$A$1:$I$88,3,0)*0.475*44/12</f>
        <v>1.4677320106729301</v>
      </c>
      <c r="DI66" s="24">
        <f t="shared" si="15"/>
        <v>21.014031747378411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23.2</v>
      </c>
      <c r="DO66" s="13">
        <f>IF('Données projet'!$A$166&gt;35,DO65+DN66-DW65,IF(A66&lt;'Données projet'!$A$166,$DL$205^A66,IF(A66='Données projet'!$A$166,'Données projet'!$B$166,DO65+DN66-DW65)))</f>
        <v>739.59999999999991</v>
      </c>
      <c r="DP66" s="18">
        <f>DO66*VLOOKUP('Données projet'!$B$14,Paramètres!$A$1:$I$88,3,0)*VLOOKUP('Données projet'!$B$14,Paramètres!$A$1:$I$88,5,0)</f>
        <v>298.05879999999996</v>
      </c>
      <c r="DQ66" s="14">
        <f t="shared" si="43"/>
        <v>70.769359768605042</v>
      </c>
      <c r="DR66" s="22">
        <f t="shared" si="16"/>
        <v>642.375711596987</v>
      </c>
      <c r="DS66" s="62">
        <f t="shared" si="17"/>
        <v>905.27204994039312</v>
      </c>
      <c r="DT66" s="62">
        <f ca="1">AVERAGE(OFFSET($DS$3,0,0,'Données projet'!$E$14+1,1))-AVERAGE(OFFSET($H$3,0,0,'Données projet'!$E$14+1,1))</f>
        <v>432.59662347701629</v>
      </c>
      <c r="DU66" s="62">
        <f t="shared" si="44"/>
        <v>348.67401091099748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projet'!$B$14,Paramètres!$A$1:$I$88,3,0)*0.475*44/12</f>
        <v>40.607010401775504</v>
      </c>
      <c r="EB66" s="23">
        <f>EXP(-LN(2)/25)*EB65+(1-EXP(-LN(2)/25))/(LN(2)/25)*Calculateur!DW66*Calculateur!DY66*VLOOKUP('Données projet'!$B$14,Paramètres!$A$1:$I$88,3,0)*0.475*44/12</f>
        <v>77.711577051136814</v>
      </c>
      <c r="EC66" s="23">
        <f>EXP(-LN(2)/2)*EC65+(1-EXP(-LN(2)/2))/(LN(2)/2)*DW66*DZ66*VLOOKUP('Données projet'!$B$14,Paramètres!$A$1:$I$88,3,0)*0.475*44/12</f>
        <v>0</v>
      </c>
      <c r="ED66" s="24">
        <f t="shared" si="18"/>
        <v>118.31858745291231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23</v>
      </c>
      <c r="EJ66" s="13">
        <f>IF('Données projet'!$A$192&gt;35,EJ65+EI66-ER65,IF(A66&lt;'Données projet'!$A$192,$EG$205^A66,IF(A66='Données projet'!$A$192,'Données projet'!$B$192,EJ65+EI66-ER65)))</f>
        <v>982.00000000000011</v>
      </c>
      <c r="EK66" s="18">
        <f>EJ66*VLOOKUP('Données projet'!$B$15,Paramètres!$A$1:$I$88,3,0)*VLOOKUP('Données projet'!$B$15,Paramètres!$A$1:$I$88,5,0)</f>
        <v>434.0440000000001</v>
      </c>
      <c r="EL66" s="14">
        <f t="shared" si="45"/>
        <v>98.645412377437069</v>
      </c>
      <c r="EM66" s="22">
        <f t="shared" si="19"/>
        <v>927.76739322403637</v>
      </c>
      <c r="EN66" s="62">
        <f t="shared" si="20"/>
        <v>1190.6637315674425</v>
      </c>
      <c r="EO66" s="62">
        <f ca="1">AVERAGE(OFFSET($EN$3,0,0,'Données projet'!$E$15+1,1))-AVERAGE(OFFSET($H$3,0,0,'Données projet'!$E$15+1,1))</f>
        <v>582.26951914082088</v>
      </c>
      <c r="EP66" s="62">
        <f t="shared" si="46"/>
        <v>434.80429932654715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projet'!$B$15,Paramètres!$A$1:$I$88,3,0)*0.475*44/12</f>
        <v>47.380648461375344</v>
      </c>
      <c r="EW66" s="23">
        <f>EXP(-LN(2)/25)*EW65+(1-EXP(-LN(2)/25))/(LN(2)/25)*Calculateur!ER66*Calculateur!ET66*VLOOKUP('Données projet'!$B$15,Paramètres!$A$1:$I$88,3,0)*0.475*44/12</f>
        <v>74.905466028387224</v>
      </c>
      <c r="EX66" s="23">
        <f>EXP(-LN(2)/2)*EX65+(1-EXP(-LN(2)/2))/(LN(2)/2)*ER66*EU66*VLOOKUP('Données projet'!$B$15,Paramètres!$A$1:$I$88,3,0)*0.475*44/12</f>
        <v>0</v>
      </c>
      <c r="EY66" s="24">
        <f t="shared" si="21"/>
        <v>122.28611448976257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22.7</v>
      </c>
      <c r="FE66" s="13">
        <f>IF('Données projet'!$A$218&gt;35,FE65+FD66-FM65,IF(A66&lt;'Données projet'!$A$218,$FB$205^A66,IF(A66='Données projet'!$A$218,'Données projet'!$B$218,FE65+FD66-FM65)))</f>
        <v>472.09999999999968</v>
      </c>
      <c r="FF66" s="18">
        <f>FE66*VLOOKUP('Données projet'!$B$16,Paramètres!$A$1:$I$88,3,0)*VLOOKUP('Données projet'!$B$16,Paramètres!$A$1:$I$88,5,0)</f>
        <v>220.94279999999983</v>
      </c>
      <c r="FG66" s="14">
        <f t="shared" si="47"/>
        <v>54.31974761568528</v>
      </c>
      <c r="FH66" s="22">
        <f t="shared" si="22"/>
        <v>479.41560376398479</v>
      </c>
      <c r="FI66" s="62">
        <f t="shared" si="23"/>
        <v>742.31194210739091</v>
      </c>
      <c r="FJ66" s="62">
        <f ca="1">AVERAGE(OFFSET($FI$3,0,0,'Données projet'!$E$16+1,1))-AVERAGE(OFFSET($H$3,0,0,'Données projet'!$E$16+1,1))</f>
        <v>429.87867712133851</v>
      </c>
      <c r="FK66" s="62">
        <f t="shared" si="48"/>
        <v>182.81277865988014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projet'!$B$16,Paramètres!$A$1:$I$88,3,0)*0.475*44/12</f>
        <v>12.613058063024301</v>
      </c>
      <c r="FR66" s="23">
        <f>EXP(-LN(2)/25)*FR65+(1-EXP(-LN(2)/25))/(LN(2)/25)*Calculateur!FM66*Calculateur!FO66*VLOOKUP('Données projet'!$B$16,Paramètres!$A$1:$I$88,3,0)*0.475*44/12</f>
        <v>60.725457070077383</v>
      </c>
      <c r="FS66" s="23">
        <f>EXP(-LN(2)/2)*FS65+(1-EXP(-LN(2)/2))/(LN(2)/2)*FM66*FP66*VLOOKUP('Données projet'!$B$16,Paramètres!$A$1:$I$88,3,0)*0.475*44/12</f>
        <v>0</v>
      </c>
      <c r="FT66" s="24">
        <f t="shared" si="24"/>
        <v>73.33851513310168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18.2</v>
      </c>
      <c r="FZ66" s="13">
        <f>IF('Données projet'!$A$244&gt;35,FZ65+FY66-GH65,IF(A66&lt;'Données projet'!$A$244,$FW$205^A66,IF(A66='Données projet'!$A$244,'Données projet'!$B$244,FZ65+FY66-GH65)))</f>
        <v>490.59999999999957</v>
      </c>
      <c r="GA66" s="18">
        <f>FZ66*VLOOKUP('Données projet'!$B$17,Paramètres!$A$1:$I$88,3,0)*VLOOKUP('Données projet'!$B$17,Paramètres!$A$1:$I$88,5,0)</f>
        <v>235.9785999999998</v>
      </c>
      <c r="GB66" s="14">
        <f t="shared" si="49"/>
        <v>57.573457616931258</v>
      </c>
      <c r="GC66" s="22">
        <f t="shared" si="25"/>
        <v>511.26983368282157</v>
      </c>
      <c r="GD66" s="62">
        <f t="shared" si="26"/>
        <v>774.16617202622774</v>
      </c>
      <c r="GE66" s="62">
        <f ca="1">AVERAGE(OFFSET($GD$3,0,0,'Données projet'!$E$17+1,1))-AVERAGE(OFFSET($H$3,0,0,'Données projet'!$E$17+1,1))</f>
        <v>273.24375559399846</v>
      </c>
      <c r="GF66" s="62">
        <f t="shared" si="50"/>
        <v>270.77718895097848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projet'!$B$17,Paramètres!$A$1:$I$88,3,0)*0.475*44/12</f>
        <v>37.638782077034456</v>
      </c>
      <c r="GM66" s="23">
        <f>EXP(-LN(2)/25)*GM65+(1-EXP(-LN(2)/25))/(LN(2)/25)*Calculateur!GH66*Calculateur!GJ66*VLOOKUP('Données projet'!$B$17,Paramètres!$A$1:$I$88,3,0)*0.475*44/12</f>
        <v>46.235960459441444</v>
      </c>
      <c r="GN66" s="23">
        <f>EXP(-LN(2)/2)*GN65+(1-EXP(-LN(2)/2))/(LN(2)/2)*GH66*GK66*VLOOKUP('Données projet'!$B$17,Paramètres!$A$1:$I$88,3,0)*0.475*44/12</f>
        <v>0</v>
      </c>
      <c r="GO66" s="23">
        <f t="shared" si="27"/>
        <v>83.874742536475907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13.857142857142858</v>
      </c>
      <c r="N67" s="14">
        <f>IF('Données projet'!$A$36&gt;35,N66+M67-V66,IF(A67&lt;'Données projet'!$A$36,$K$205^A67,IF(A67='Données projet'!$A$36,'Données projet'!$B$36,N66+M67-V66)))</f>
        <v>467.85714285714255</v>
      </c>
      <c r="O67" s="14">
        <f>N67*VLOOKUP('Données projet'!$B$9,Paramètres!$A$1:$I$88,3,0)*VLOOKUP('Données projet'!$B$9,Paramètres!$A$1:$I$88,5,0)</f>
        <v>261.53214285714273</v>
      </c>
      <c r="P67" s="14">
        <f t="shared" si="33"/>
        <v>63.048857133846255</v>
      </c>
      <c r="Q67" s="22">
        <f t="shared" ref="Q67:Q98" si="54">(O67+P67)*0.475*44/12</f>
        <v>565.31190831763899</v>
      </c>
      <c r="R67" s="62">
        <f t="shared" ref="R67:R130" si="55">Q67+(I67+J67)*44/12</f>
        <v>828.73626047719381</v>
      </c>
      <c r="S67" s="62">
        <f ca="1">AVERAGE(OFFSET($R$3,0,0,'Données projet'!$E$9+1,1))-AVERAGE(OFFSET($H$3,0,0,'Données projet'!$E$9+1,1))</f>
        <v>289.94242154211224</v>
      </c>
      <c r="T67" s="62">
        <f t="shared" si="34"/>
        <v>369.12599166143661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68.154550231727725</v>
      </c>
      <c r="AA67" s="23">
        <f>EXP(-LN(2)/25)*AA66+(1-EXP(-LN(2)/25))/(LN(2)/25)*Calculateur!V67*Calculateur!X67*VLOOKUP('Données projet'!$B$9,Paramètres!$A$1:$I$88,3,0)*0.475*44/12</f>
        <v>59.806838413866608</v>
      </c>
      <c r="AB67" s="23">
        <f>EXP(-LN(2)/2)*AB66+(1-EXP(-LN(2)/2))/(LN(2)/2)*V67*Y67*VLOOKUP('Données projet'!$B$9,Paramètres!$A$1:$I$88,3,0)*0.475*44/12</f>
        <v>0</v>
      </c>
      <c r="AC67" s="24">
        <f t="shared" si="3"/>
        <v>127.96138864559433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8.125</v>
      </c>
      <c r="AI67" s="14">
        <f>IF('Données projet'!$A$62&gt;35,AI66+AH67-AQ66,IF(A67&lt;'Données projet'!$A$62,$AF$205^A67,IF(A67='Données projet'!$A$62,'Données projet'!$B$62,AI66+AH67-AQ66)))</f>
        <v>195.375</v>
      </c>
      <c r="AJ67" s="14">
        <f>AI67*VLOOKUP('Données projet'!$B$10,Paramètres!$A$1:$I$88,3,0)*VLOOKUP('Données projet'!$B$10,Paramètres!$A$1:$I$88,5,0)</f>
        <v>176.77529999999999</v>
      </c>
      <c r="AK67" s="14">
        <f t="shared" si="35"/>
        <v>44.603996756189858</v>
      </c>
      <c r="AL67" s="22">
        <f t="shared" si="4"/>
        <v>385.56894185036396</v>
      </c>
      <c r="AM67" s="62">
        <f t="shared" si="5"/>
        <v>648.99329400991871</v>
      </c>
      <c r="AN67" s="62">
        <f ca="1">AVERAGE(OFFSET($AM$3,0,0,'Données projet'!$E$10+1,1))-AVERAGE(OFFSET($H$3,0,0,'Données projet'!$E$10+1,1))</f>
        <v>518.31628039365785</v>
      </c>
      <c r="AO67" s="62">
        <f t="shared" si="36"/>
        <v>66.435071953154761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11.451184138418892</v>
      </c>
      <c r="AV67" s="23">
        <f>EXP(-LN(2)/25)*AV66+(1-EXP(-LN(2)/25))/(LN(2)/25)*Calculateur!AQ67*Calculateur!AS67*VLOOKUP('Données projet'!$B$10,Paramètres!$A$1:$I$88,3,0)*0.475*44/12</f>
        <v>0</v>
      </c>
      <c r="AW67" s="23">
        <f>EXP(-LN(2)/2)*AW66+(1-EXP(-LN(2)/2))/(LN(2)/2)*AQ67*AT67*VLOOKUP('Données projet'!$B$10,Paramètres!$A$1:$I$88,3,0)*0.475*44/12</f>
        <v>0</v>
      </c>
      <c r="AX67" s="23">
        <f t="shared" si="6"/>
        <v>11.451184138418892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8.125</v>
      </c>
      <c r="BD67" s="13">
        <f>IF('Données projet'!$A$88&gt;35,BD66+BC67-BL66,IF(A67&lt;'Données projet'!$A$88,$BA$205^A67,IF(A67='Données projet'!$A$88,'Données projet'!$B$88,BD66+BC67-BL66)))</f>
        <v>195.375</v>
      </c>
      <c r="BE67" s="14">
        <f>BD67*VLOOKUP('Données projet'!$B$11,Paramètres!$A$1:$I$88,3,0)*VLOOKUP('Données projet'!$B$11,Paramètres!$A$1:$I$88,5,0)</f>
        <v>198.11025000000001</v>
      </c>
      <c r="BF67" s="14">
        <f t="shared" si="37"/>
        <v>49.328628679285515</v>
      </c>
      <c r="BG67" s="22">
        <f t="shared" si="7"/>
        <v>430.95604703308896</v>
      </c>
      <c r="BH67" s="62">
        <f t="shared" si="8"/>
        <v>694.38039919264372</v>
      </c>
      <c r="BI67" s="62">
        <f ca="1">AVERAGE(OFFSET($BH$3,0,0,'Données projet'!$E$11+1,1))-AVERAGE(OFFSET($H$3,0,0,'Données projet'!$E$11+1,1))</f>
        <v>570.2785736203931</v>
      </c>
      <c r="BJ67" s="62">
        <f t="shared" si="38"/>
        <v>67.677759965081719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12.833223603400484</v>
      </c>
      <c r="BQ67" s="23">
        <f>EXP(-LN(2)/25)*BQ66+(1-EXP(-LN(2)/25))/(LN(2)/25)*Calculateur!BL67*Calculateur!BN67*VLOOKUP('Données projet'!$B$11,Paramètres!$A$1:$I$88,3,0)*0.475*44/12</f>
        <v>0</v>
      </c>
      <c r="BR67" s="23">
        <f>EXP(-LN(2)/2)*BR66+(1-EXP(-LN(2)/2))/(LN(2)/2)*BL67*BO67*VLOOKUP('Données projet'!$B$11,Paramètres!$A$1:$I$88,3,0)*0.475*44/12</f>
        <v>0</v>
      </c>
      <c r="BS67" s="24">
        <f t="shared" si="9"/>
        <v>12.833223603400484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544.19999999999982</v>
      </c>
      <c r="BZ67" s="14">
        <f>BY67*VLOOKUP('Données projet'!$B$12,Paramètres!$A$1:$I$88,3,0)*VLOOKUP('Données projet'!$B$12,Paramètres!$A$1:$I$88,5,0)</f>
        <v>325.43159999999995</v>
      </c>
      <c r="CA67" s="14">
        <f t="shared" si="39"/>
        <v>76.482394221016762</v>
      </c>
      <c r="CB67" s="22">
        <f t="shared" si="10"/>
        <v>700.00020660160408</v>
      </c>
      <c r="CC67" s="62">
        <f t="shared" si="11"/>
        <v>963.42455876115878</v>
      </c>
      <c r="CD67" s="62">
        <f ca="1">AVERAGE(OFFSET($CC$3,0,0,'Données projet'!$E$12+1,1))-AVERAGE(OFFSET($H$3,0,0,'Données projet'!$E$12+1,1))</f>
        <v>401.1031790385295</v>
      </c>
      <c r="CE67" s="62">
        <f t="shared" si="40"/>
        <v>402.09589424130615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projet'!$B$12,Paramètres!$A$1:$I$88,3,0)*0.475*44/12</f>
        <v>19.163008720934322</v>
      </c>
      <c r="CL67" s="23">
        <f>EXP(-LN(2)/25)*CL66+(1-EXP(-LN(2)/25))/(LN(2)/25)*Calculateur!CG67*Calculateur!CI67*VLOOKUP('Données projet'!$B$12,Paramètres!$A$1:$I$88,3,0)*0.475*44/12</f>
        <v>0</v>
      </c>
      <c r="CM67" s="23">
        <f>EXP(-LN(2)/2)*CM66+(1-EXP(-LN(2)/2))/(LN(2)/2)*CG67*CJ67*VLOOKUP('Données projet'!$B$12,Paramètres!$A$1:$I$88,3,0)*0.475*44/12</f>
        <v>1.0378432577113952</v>
      </c>
      <c r="CN67" s="24">
        <f t="shared" si="12"/>
        <v>20.200851978645716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544.19999999999982</v>
      </c>
      <c r="CU67" s="18">
        <f>CT67*VLOOKUP('Données projet'!$B$13,Paramètres!$A$1:$I$88,3,0)*VLOOKUP('Données projet'!$B$13,Paramètres!$A$1:$I$88,5,0)</f>
        <v>325.43159999999995</v>
      </c>
      <c r="CV67" s="14">
        <f t="shared" si="41"/>
        <v>76.482394221016762</v>
      </c>
      <c r="CW67" s="22">
        <f t="shared" si="13"/>
        <v>700.00020660160408</v>
      </c>
      <c r="CX67" s="62">
        <f t="shared" si="14"/>
        <v>963.42455876115878</v>
      </c>
      <c r="CY67" s="62">
        <f ca="1">AVERAGE(OFFSET($CX$3,0,0,'Données projet'!$E$13+1,1))-AVERAGE(OFFSET($H$3,0,0,'Données projet'!$E$13+1,1))</f>
        <v>401.1031790385295</v>
      </c>
      <c r="CZ67" s="62">
        <f t="shared" si="42"/>
        <v>402.09589424130615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projet'!$B$13,Paramètres!$A$1:$I$88,3,0)*0.475*44/12</f>
        <v>19.163008720934322</v>
      </c>
      <c r="DG67" s="23">
        <f>EXP(-LN(2)/25)*DG66+(1-EXP(-LN(2)/25))/(LN(2)/25)*Calculateur!DB67*Calculateur!DD67*VLOOKUP('Données projet'!$B$13,Paramètres!$A$1:$I$88,3,0)*0.475*44/12</f>
        <v>0</v>
      </c>
      <c r="DH67" s="23">
        <f>EXP(-LN(2)/2)*DH66+(1-EXP(-LN(2)/2))/(LN(2)/2)*DB67*DE67*VLOOKUP('Données projet'!$B$13,Paramètres!$A$1:$I$88,3,0)*0.475*44/12</f>
        <v>1.0378432577113952</v>
      </c>
      <c r="DI67" s="24">
        <f t="shared" si="15"/>
        <v>20.200851978645716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23.2</v>
      </c>
      <c r="DO67" s="13">
        <f>IF('Données projet'!$A$166&gt;35,DO66+DN67-DW66,IF(A67&lt;'Données projet'!$A$166,$DL$205^A67,IF(A67='Données projet'!$A$166,'Données projet'!$B$166,DO66+DN67-DW66)))</f>
        <v>762.8</v>
      </c>
      <c r="DP67" s="18">
        <f>DO67*VLOOKUP('Données projet'!$B$14,Paramètres!$A$1:$I$88,3,0)*VLOOKUP('Données projet'!$B$14,Paramètres!$A$1:$I$88,5,0)</f>
        <v>307.40839999999997</v>
      </c>
      <c r="DQ67" s="14">
        <f t="shared" si="43"/>
        <v>72.727336784205889</v>
      </c>
      <c r="DR67" s="22">
        <f t="shared" si="16"/>
        <v>662.06974156582521</v>
      </c>
      <c r="DS67" s="62">
        <f t="shared" si="17"/>
        <v>925.49409372538003</v>
      </c>
      <c r="DT67" s="62">
        <f ca="1">AVERAGE(OFFSET($DS$3,0,0,'Données projet'!$E$14+1,1))-AVERAGE(OFFSET($H$3,0,0,'Données projet'!$E$14+1,1))</f>
        <v>432.59662347701629</v>
      </c>
      <c r="DU67" s="62">
        <f t="shared" si="44"/>
        <v>348.67401091099748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projet'!$B$14,Paramètres!$A$1:$I$88,3,0)*0.475*44/12</f>
        <v>39.81073169562741</v>
      </c>
      <c r="EB67" s="23">
        <f>EXP(-LN(2)/25)*EB66+(1-EXP(-LN(2)/25))/(LN(2)/25)*Calculateur!DW67*Calculateur!DY67*VLOOKUP('Données projet'!$B$14,Paramètres!$A$1:$I$88,3,0)*0.475*44/12</f>
        <v>75.586549889999247</v>
      </c>
      <c r="EC67" s="23">
        <f>EXP(-LN(2)/2)*EC66+(1-EXP(-LN(2)/2))/(LN(2)/2)*DW67*DZ67*VLOOKUP('Données projet'!$B$14,Paramètres!$A$1:$I$88,3,0)*0.475*44/12</f>
        <v>0</v>
      </c>
      <c r="ED67" s="24">
        <f t="shared" si="18"/>
        <v>115.39728158562666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23</v>
      </c>
      <c r="EJ67" s="13">
        <f>IF('Données projet'!$A$192&gt;35,EJ66+EI67-ER66,IF(A67&lt;'Données projet'!$A$192,$EG$205^A67,IF(A67='Données projet'!$A$192,'Données projet'!$B$192,EJ66+EI67-ER66)))</f>
        <v>1005.0000000000001</v>
      </c>
      <c r="EK67" s="18">
        <f>EJ67*VLOOKUP('Données projet'!$B$15,Paramètres!$A$1:$I$88,3,0)*VLOOKUP('Données projet'!$B$15,Paramètres!$A$1:$I$88,5,0)</f>
        <v>444.21000000000009</v>
      </c>
      <c r="EL67" s="14">
        <f t="shared" si="45"/>
        <v>100.68415144576424</v>
      </c>
      <c r="EM67" s="22">
        <f t="shared" si="19"/>
        <v>949.02398043470623</v>
      </c>
      <c r="EN67" s="62">
        <f t="shared" si="20"/>
        <v>1212.448332594261</v>
      </c>
      <c r="EO67" s="62">
        <f ca="1">AVERAGE(OFFSET($EN$3,0,0,'Données projet'!$E$15+1,1))-AVERAGE(OFFSET($H$3,0,0,'Données projet'!$E$15+1,1))</f>
        <v>582.26951914082088</v>
      </c>
      <c r="EP67" s="62">
        <f t="shared" si="46"/>
        <v>434.80429932654715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projet'!$B$15,Paramètres!$A$1:$I$88,3,0)*0.475*44/12</f>
        <v>46.451542844389763</v>
      </c>
      <c r="EW67" s="23">
        <f>EXP(-LN(2)/25)*EW66+(1-EXP(-LN(2)/25))/(LN(2)/25)*Calculateur!ER67*Calculateur!ET67*VLOOKUP('Données projet'!$B$15,Paramètres!$A$1:$I$88,3,0)*0.475*44/12</f>
        <v>72.857172120733722</v>
      </c>
      <c r="EX67" s="23">
        <f>EXP(-LN(2)/2)*EX66+(1-EXP(-LN(2)/2))/(LN(2)/2)*ER67*EU67*VLOOKUP('Données projet'!$B$15,Paramètres!$A$1:$I$88,3,0)*0.475*44/12</f>
        <v>0</v>
      </c>
      <c r="EY67" s="24">
        <f t="shared" si="21"/>
        <v>119.30871496512349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22.7</v>
      </c>
      <c r="FE67" s="13">
        <f>IF('Données projet'!$A$218&gt;35,FE66+FD67-FM66,IF(A67&lt;'Données projet'!$A$218,$FB$205^A67,IF(A67='Données projet'!$A$218,'Données projet'!$B$218,FE66+FD67-FM66)))</f>
        <v>494.79999999999967</v>
      </c>
      <c r="FF67" s="18">
        <f>FE67*VLOOKUP('Données projet'!$B$16,Paramètres!$A$1:$I$88,3,0)*VLOOKUP('Données projet'!$B$16,Paramètres!$A$1:$I$88,5,0)</f>
        <v>231.56639999999985</v>
      </c>
      <c r="FG67" s="14">
        <f t="shared" si="47"/>
        <v>56.621239926036594</v>
      </c>
      <c r="FH67" s="22">
        <f t="shared" si="22"/>
        <v>501.92680620451353</v>
      </c>
      <c r="FI67" s="62">
        <f t="shared" si="23"/>
        <v>765.35115836406828</v>
      </c>
      <c r="FJ67" s="62">
        <f ca="1">AVERAGE(OFFSET($FI$3,0,0,'Données projet'!$E$16+1,1))-AVERAGE(OFFSET($H$3,0,0,'Données projet'!$E$16+1,1))</f>
        <v>429.87867712133851</v>
      </c>
      <c r="FK67" s="62">
        <f t="shared" si="48"/>
        <v>182.81277865988014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projet'!$B$16,Paramètres!$A$1:$I$88,3,0)*0.475*44/12</f>
        <v>12.365723687614173</v>
      </c>
      <c r="FR67" s="23">
        <f>EXP(-LN(2)/25)*FR66+(1-EXP(-LN(2)/25))/(LN(2)/25)*Calculateur!FM67*Calculateur!FO67*VLOOKUP('Données projet'!$B$16,Paramètres!$A$1:$I$88,3,0)*0.475*44/12</f>
        <v>59.064916253083119</v>
      </c>
      <c r="FS67" s="23">
        <f>EXP(-LN(2)/2)*FS66+(1-EXP(-LN(2)/2))/(LN(2)/2)*FM67*FP67*VLOOKUP('Données projet'!$B$16,Paramètres!$A$1:$I$88,3,0)*0.475*44/12</f>
        <v>0</v>
      </c>
      <c r="FT67" s="24">
        <f t="shared" si="24"/>
        <v>71.43063994069729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18.2</v>
      </c>
      <c r="FZ67" s="13">
        <f>IF('Données projet'!$A$244&gt;35,FZ66+FY67-GH66,IF(A67&lt;'Données projet'!$A$244,$FW$205^A67,IF(A67='Données projet'!$A$244,'Données projet'!$B$244,FZ66+FY67-GH66)))</f>
        <v>508.79999999999956</v>
      </c>
      <c r="GA67" s="18">
        <f>FZ67*VLOOKUP('Données projet'!$B$17,Paramètres!$A$1:$I$88,3,0)*VLOOKUP('Données projet'!$B$17,Paramètres!$A$1:$I$88,5,0)</f>
        <v>244.7327999999998</v>
      </c>
      <c r="GB67" s="14">
        <f t="shared" si="49"/>
        <v>59.456655255793528</v>
      </c>
      <c r="GC67" s="22">
        <f t="shared" si="25"/>
        <v>529.79663457050674</v>
      </c>
      <c r="GD67" s="62">
        <f t="shared" si="26"/>
        <v>793.22098673006144</v>
      </c>
      <c r="GE67" s="62">
        <f ca="1">AVERAGE(OFFSET($GD$3,0,0,'Données projet'!$E$17+1,1))-AVERAGE(OFFSET($H$3,0,0,'Données projet'!$E$17+1,1))</f>
        <v>273.24375559399846</v>
      </c>
      <c r="GF67" s="62">
        <f t="shared" si="50"/>
        <v>270.77718895097848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projet'!$B$17,Paramètres!$A$1:$I$88,3,0)*0.475*44/12</f>
        <v>36.900708517894024</v>
      </c>
      <c r="GM67" s="23">
        <f>EXP(-LN(2)/25)*GM66+(1-EXP(-LN(2)/25))/(LN(2)/25)*Calculateur!GH67*Calculateur!GJ67*VLOOKUP('Données projet'!$B$17,Paramètres!$A$1:$I$88,3,0)*0.475*44/12</f>
        <v>44.971635689234532</v>
      </c>
      <c r="GN67" s="23">
        <f>EXP(-LN(2)/2)*GN66+(1-EXP(-LN(2)/2))/(LN(2)/2)*GH67*GK67*VLOOKUP('Données projet'!$B$17,Paramètres!$A$1:$I$88,3,0)*0.475*44/12</f>
        <v>0</v>
      </c>
      <c r="GO67" s="23">
        <f t="shared" si="27"/>
        <v>81.872344207128549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13.857142857142858</v>
      </c>
      <c r="N68" s="14">
        <f>IF('Données projet'!$A$36&gt;35,N67+M68-V67,IF(A68&lt;'Données projet'!$A$36,$K$205^A68,IF(A68='Données projet'!$A$36,'Données projet'!$B$36,N67+M68-V67)))</f>
        <v>481.71428571428538</v>
      </c>
      <c r="O68" s="14">
        <f>N68*VLOOKUP('Données projet'!$B$9,Paramètres!$A$1:$I$88,3,0)*VLOOKUP('Données projet'!$B$9,Paramètres!$A$1:$I$88,5,0)</f>
        <v>269.27828571428557</v>
      </c>
      <c r="P68" s="14">
        <f t="shared" si="33"/>
        <v>64.696079449868591</v>
      </c>
      <c r="Q68" s="22">
        <f t="shared" si="54"/>
        <v>581.67201932756836</v>
      </c>
      <c r="R68" s="62">
        <f t="shared" si="55"/>
        <v>845.61522544402351</v>
      </c>
      <c r="S68" s="62">
        <f ca="1">AVERAGE(OFFSET($R$3,0,0,'Données projet'!$E$9+1,1))-AVERAGE(OFFSET($H$3,0,0,'Données projet'!$E$9+1,1))</f>
        <v>289.94242154211224</v>
      </c>
      <c r="T68" s="62">
        <f t="shared" si="34"/>
        <v>369.12599166143661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66.818081071854479</v>
      </c>
      <c r="AA68" s="23">
        <f>EXP(-LN(2)/25)*AA67+(1-EXP(-LN(2)/25))/(LN(2)/25)*Calculateur!V68*Calculateur!X68*VLOOKUP('Données projet'!$B$9,Paramètres!$A$1:$I$88,3,0)*0.475*44/12</f>
        <v>58.17141727233448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7">SUM(Z68:AB68)</f>
        <v>124.98949834418896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8.125</v>
      </c>
      <c r="AI68" s="14">
        <f>IF('Données projet'!$A$62&gt;35,AI67+AH68-AQ67,IF(A68&lt;'Données projet'!$A$62,$AF$205^A68,IF(A68='Données projet'!$A$62,'Données projet'!$B$62,AI67+AH68-AQ67)))</f>
        <v>203.5</v>
      </c>
      <c r="AJ68" s="14">
        <f>AI68*VLOOKUP('Données projet'!$B$10,Paramètres!$A$1:$I$88,3,0)*VLOOKUP('Données projet'!$B$10,Paramètres!$A$1:$I$88,5,0)</f>
        <v>184.12679999999997</v>
      </c>
      <c r="AK68" s="14">
        <f t="shared" si="35"/>
        <v>46.239108362516738</v>
      </c>
      <c r="AL68" s="22">
        <f t="shared" ref="AL68:AL131" si="58">(AJ68+AK68)*0.475*44/12</f>
        <v>401.22062373138323</v>
      </c>
      <c r="AM68" s="62">
        <f t="shared" ref="AM68:AM131" si="59">AL68+(AD68+AE68)*44/12</f>
        <v>665.16382984783843</v>
      </c>
      <c r="AN68" s="62">
        <f ca="1">AVERAGE(OFFSET($AM$3,0,0,'Données projet'!$E$10+1,1))-AVERAGE(OFFSET($H$3,0,0,'Données projet'!$E$10+1,1))</f>
        <v>518.31628039365785</v>
      </c>
      <c r="AO68" s="62">
        <f t="shared" si="36"/>
        <v>66.435071953154761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11.226633401997157</v>
      </c>
      <c r="AV68" s="23">
        <f>EXP(-LN(2)/25)*AV67+(1-EXP(-LN(2)/25))/(LN(2)/25)*Calculateur!AQ68*Calculateur!AS68*VLOOKUP('Données projet'!$B$10,Paramètres!$A$1:$I$88,3,0)*0.475*44/12</f>
        <v>0</v>
      </c>
      <c r="AW68" s="23">
        <f>EXP(-LN(2)/2)*AW67+(1-EXP(-LN(2)/2))/(LN(2)/2)*AQ68*AT68*VLOOKUP('Données projet'!$B$10,Paramètres!$A$1:$I$88,3,0)*0.475*44/12</f>
        <v>0</v>
      </c>
      <c r="AX68" s="23">
        <f t="shared" ref="AX68:AX131" si="60">SUM(AU68:AW68)</f>
        <v>11.226633401997157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8.125</v>
      </c>
      <c r="BD68" s="13">
        <f>IF('Données projet'!$A$88&gt;35,BD67+BC68-BL67,IF(A68&lt;'Données projet'!$A$88,$BA$205^A68,IF(A68='Données projet'!$A$88,'Données projet'!$B$88,BD67+BC68-BL67)))</f>
        <v>203.5</v>
      </c>
      <c r="BE68" s="14">
        <f>BD68*VLOOKUP('Données projet'!$B$11,Paramètres!$A$1:$I$88,3,0)*VLOOKUP('Données projet'!$B$11,Paramètres!$A$1:$I$88,5,0)</f>
        <v>206.34900000000002</v>
      </c>
      <c r="BF68" s="14">
        <f t="shared" si="37"/>
        <v>51.136937780341476</v>
      </c>
      <c r="BG68" s="22">
        <f t="shared" ref="BG68:BG131" si="61">(BE68+BF68)*0.475*44/12</f>
        <v>448.45467496742805</v>
      </c>
      <c r="BH68" s="62">
        <f t="shared" ref="BH68:BH131" si="62">BG68+(AY68+AZ68)*44/12</f>
        <v>712.39788108388325</v>
      </c>
      <c r="BI68" s="62">
        <f ca="1">AVERAGE(OFFSET($BH$3,0,0,'Données projet'!$E$11+1,1))-AVERAGE(OFFSET($H$3,0,0,'Données projet'!$E$11+1,1))</f>
        <v>570.2785736203931</v>
      </c>
      <c r="BJ68" s="62">
        <f t="shared" si="38"/>
        <v>67.677759965081719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12.581571916031297</v>
      </c>
      <c r="BQ68" s="23">
        <f>EXP(-LN(2)/25)*BQ67+(1-EXP(-LN(2)/25))/(LN(2)/25)*Calculateur!BL68*Calculateur!BN68*VLOOKUP('Données projet'!$B$11,Paramètres!$A$1:$I$88,3,0)*0.475*44/12</f>
        <v>0</v>
      </c>
      <c r="BR68" s="23">
        <f>EXP(-LN(2)/2)*BR67+(1-EXP(-LN(2)/2))/(LN(2)/2)*BL68*BO68*VLOOKUP('Données projet'!$B$11,Paramètres!$A$1:$I$88,3,0)*0.475*44/12</f>
        <v>0</v>
      </c>
      <c r="BS68" s="24">
        <f t="shared" ref="BS68:BS131" si="63">SUM(BP68:BR68)</f>
        <v>12.581571916031297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544.19999999999982</v>
      </c>
      <c r="BZ68" s="14">
        <f>BY68*VLOOKUP('Données projet'!$B$12,Paramètres!$A$1:$I$88,3,0)*VLOOKUP('Données projet'!$B$12,Paramètres!$A$1:$I$88,5,0)</f>
        <v>325.43159999999995</v>
      </c>
      <c r="CA68" s="14">
        <f t="shared" si="39"/>
        <v>76.482394221016762</v>
      </c>
      <c r="CB68" s="22">
        <f t="shared" ref="CB68:CB131" si="64">(BZ68+CA68)*0.475*44/12</f>
        <v>700.00020660160408</v>
      </c>
      <c r="CC68" s="62">
        <f t="shared" ref="CC68:CC131" si="65">CB68+(BT68+BU68)*44/12</f>
        <v>963.94341271805934</v>
      </c>
      <c r="CD68" s="62">
        <f ca="1">AVERAGE(OFFSET($CC$3,0,0,'Données projet'!$E$12+1,1))-AVERAGE(OFFSET($H$3,0,0,'Données projet'!$E$12+1,1))</f>
        <v>401.1031790385295</v>
      </c>
      <c r="CE68" s="62">
        <f t="shared" si="40"/>
        <v>402.09589424130615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projet'!$B$12,Paramètres!$A$1:$I$88,3,0)*0.475*44/12</f>
        <v>18.787233808197996</v>
      </c>
      <c r="CL68" s="23">
        <f>EXP(-LN(2)/25)*CL67+(1-EXP(-LN(2)/25))/(LN(2)/25)*Calculateur!CG68*Calculateur!CI68*VLOOKUP('Données projet'!$B$12,Paramètres!$A$1:$I$88,3,0)*0.475*44/12</f>
        <v>0</v>
      </c>
      <c r="CM68" s="23">
        <f>EXP(-LN(2)/2)*CM67+(1-EXP(-LN(2)/2))/(LN(2)/2)*CG68*CJ68*VLOOKUP('Données projet'!$B$12,Paramètres!$A$1:$I$88,3,0)*0.475*44/12</f>
        <v>0.73386600533646518</v>
      </c>
      <c r="CN68" s="24">
        <f t="shared" ref="CN68:CN131" si="66">SUM(CK68:CM68)</f>
        <v>19.521099813534462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544.19999999999982</v>
      </c>
      <c r="CU68" s="18">
        <f>CT68*VLOOKUP('Données projet'!$B$13,Paramètres!$A$1:$I$88,3,0)*VLOOKUP('Données projet'!$B$13,Paramètres!$A$1:$I$88,5,0)</f>
        <v>325.43159999999995</v>
      </c>
      <c r="CV68" s="14">
        <f t="shared" si="41"/>
        <v>76.482394221016762</v>
      </c>
      <c r="CW68" s="22">
        <f t="shared" ref="CW68:CW131" si="67">(CU68+CV68)*0.475*44/12</f>
        <v>700.00020660160408</v>
      </c>
      <c r="CX68" s="62">
        <f t="shared" ref="CX68:CX131" si="68">CW68+(CO68+CP68)*44/12</f>
        <v>963.94341271805934</v>
      </c>
      <c r="CY68" s="62">
        <f ca="1">AVERAGE(OFFSET($CX$3,0,0,'Données projet'!$E$13+1,1))-AVERAGE(OFFSET($H$3,0,0,'Données projet'!$E$13+1,1))</f>
        <v>401.1031790385295</v>
      </c>
      <c r="CZ68" s="62">
        <f t="shared" si="42"/>
        <v>402.09589424130615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projet'!$B$13,Paramètres!$A$1:$I$88,3,0)*0.475*44/12</f>
        <v>18.787233808197996</v>
      </c>
      <c r="DG68" s="23">
        <f>EXP(-LN(2)/25)*DG67+(1-EXP(-LN(2)/25))/(LN(2)/25)*Calculateur!DB68*Calculateur!DD68*VLOOKUP('Données projet'!$B$13,Paramètres!$A$1:$I$88,3,0)*0.475*44/12</f>
        <v>0</v>
      </c>
      <c r="DH68" s="23">
        <f>EXP(-LN(2)/2)*DH67+(1-EXP(-LN(2)/2))/(LN(2)/2)*DB68*DE68*VLOOKUP('Données projet'!$B$13,Paramètres!$A$1:$I$88,3,0)*0.475*44/12</f>
        <v>0.73386600533646518</v>
      </c>
      <c r="DI68" s="24">
        <f t="shared" ref="DI68:DI131" si="69">SUM(DF68:DH68)</f>
        <v>19.521099813534462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786</v>
      </c>
      <c r="DM68" s="13">
        <f>VLOOKUP(A68,'Données projet'!$A$165:$I$185,9,0)</f>
        <v>23.2</v>
      </c>
      <c r="DN68" s="13">
        <f t="array" ref="DN68">INDEX(DM:DM,MIN(IF(ISNUMBER(DM68:DM264),ROW(DM68:DM264),"")))</f>
        <v>23.2</v>
      </c>
      <c r="DO68" s="13">
        <f>IF('Données projet'!$A$166&gt;35,DO67+DN68-DW67,IF(A68&lt;'Données projet'!$A$166,$DL$205^A68,IF(A68='Données projet'!$A$166,'Données projet'!$B$166,DO67+DN68-DW67)))</f>
        <v>786</v>
      </c>
      <c r="DP68" s="18">
        <f>DO68*VLOOKUP('Données projet'!$B$14,Paramètres!$A$1:$I$88,3,0)*VLOOKUP('Données projet'!$B$14,Paramètres!$A$1:$I$88,5,0)</f>
        <v>316.75799999999998</v>
      </c>
      <c r="DQ68" s="14">
        <f t="shared" si="43"/>
        <v>74.678393257996404</v>
      </c>
      <c r="DR68" s="22">
        <f t="shared" ref="DR68:DR131" si="70">(DP68+DQ68)*0.475*44/12</f>
        <v>681.751718257677</v>
      </c>
      <c r="DS68" s="62">
        <f t="shared" ref="DS68:DS131" si="71">DR68+(DJ68+DK68)*44/12</f>
        <v>945.69492437413214</v>
      </c>
      <c r="DT68" s="62">
        <f ca="1">AVERAGE(OFFSET($DS$3,0,0,'Données projet'!$E$14+1,1))-AVERAGE(OFFSET($H$3,0,0,'Données projet'!$E$14+1,1))</f>
        <v>432.59662347701629</v>
      </c>
      <c r="DU68" s="62">
        <f t="shared" si="44"/>
        <v>348.67401091099748</v>
      </c>
      <c r="DV68" s="16">
        <f>IF(ISNA(VLOOKUP(A68,'Données projet'!$A$165:$I$185,3,0)),0,VLOOKUP(A68,'Données projet'!$A$165:$I$185,3,0))</f>
        <v>10</v>
      </c>
      <c r="DW68" s="16">
        <f>IF(ISNA(VLOOKUP(A68,'Données projet'!$A$165:$I$185,4,0)),0,VLOOKUP(A68,'Données projet'!$A$165:$I$185,4,0))</f>
        <v>60</v>
      </c>
      <c r="DX68" s="17">
        <f>IF(ISNA(VLOOKUP(A68,'Données projet'!$A$165:$I$185,5,0)),0%,VLOOKUP(A68,'Données projet'!$A$165:$I$185,5,0)*VLOOKUP('Données projet'!$B$14,Paramètres!$A$1:$I$88,7,0))</f>
        <v>0.30250000000000005</v>
      </c>
      <c r="DY68" s="17">
        <f>IF(ISNA(VLOOKUP(A68,'Données projet'!$A$165:$I$185,6,0)),0%,VLOOKUP(A68,'Données projet'!$A$165:$I$185,6,0)*VLOOKUP('Données projet'!$B$14,Paramètres!$A$1:$I$88,7,0))</f>
        <v>0.24750000000000003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projet'!$B$14,Paramètres!$A$1:$I$88,3,0)*0.475*44/12</f>
        <v>48.733156910314577</v>
      </c>
      <c r="EB68" s="23">
        <f>EXP(-LN(2)/25)*EB67+(1-EXP(-LN(2)/25))/(LN(2)/25)*Calculateur!DW68*Calculateur!DY68*VLOOKUP('Données projet'!$B$14,Paramètres!$A$1:$I$88,3,0)*0.475*44/12</f>
        <v>81.427264580084724</v>
      </c>
      <c r="EC68" s="23">
        <f>EXP(-LN(2)/2)*EC67+(1-EXP(-LN(2)/2))/(LN(2)/2)*DW68*DZ68*VLOOKUP('Données projet'!$B$14,Paramètres!$A$1:$I$88,3,0)*0.475*44/12</f>
        <v>0</v>
      </c>
      <c r="ED68" s="24">
        <f t="shared" ref="ED68:ED131" si="72">SUM(EA68:EC68)</f>
        <v>130.1604214903993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1028</v>
      </c>
      <c r="EH68" s="13">
        <f>VLOOKUP(A68,'Données projet'!$A$191:$I$211,9,0)</f>
        <v>23</v>
      </c>
      <c r="EI68" s="13">
        <f t="array" ref="EI68">INDEX(EH:EH,MIN(IF(ISNUMBER(EH68:EH264),ROW(EH68:EH264),"")))</f>
        <v>23</v>
      </c>
      <c r="EJ68" s="13">
        <f>IF('Données projet'!$A$192&gt;35,EJ67+EI68-ER67,IF(A68&lt;'Données projet'!$A$192,$EG$205^A68,IF(A68='Données projet'!$A$192,'Données projet'!$B$192,EJ67+EI68-ER67)))</f>
        <v>1028</v>
      </c>
      <c r="EK68" s="18">
        <f>EJ68*VLOOKUP('Données projet'!$B$15,Paramètres!$A$1:$I$88,3,0)*VLOOKUP('Données projet'!$B$15,Paramètres!$A$1:$I$88,5,0)</f>
        <v>454.37600000000009</v>
      </c>
      <c r="EL68" s="14">
        <f t="shared" si="45"/>
        <v>102.71746628349389</v>
      </c>
      <c r="EM68" s="22">
        <f t="shared" ref="EM68:EM131" si="73">(EK68+EL68)*0.475*44/12</f>
        <v>970.2711204437519</v>
      </c>
      <c r="EN68" s="62">
        <f t="shared" ref="EN68:EN131" si="74">EM68+(EE68+EF68)*44/12</f>
        <v>1234.2143265602072</v>
      </c>
      <c r="EO68" s="62">
        <f ca="1">AVERAGE(OFFSET($EN$3,0,0,'Données projet'!$E$15+1,1))-AVERAGE(OFFSET($H$3,0,0,'Données projet'!$E$15+1,1))</f>
        <v>582.26951914082088</v>
      </c>
      <c r="EP68" s="62">
        <f t="shared" si="46"/>
        <v>434.80429932654715</v>
      </c>
      <c r="EQ68" s="16">
        <f>IF(ISNA(VLOOKUP(A68,'Données projet'!$A$191:$I$211,3,0)),0,VLOOKUP(A68,'Données projet'!$A$191:$I$211,3,0))</f>
        <v>11</v>
      </c>
      <c r="ER68" s="16">
        <f>IF(ISNA(VLOOKUP(A68,'Données projet'!$A$191:$I$211,4,0)),0,VLOOKUP(A68,'Données projet'!$A$191:$I$211,4,0))</f>
        <v>49</v>
      </c>
      <c r="ES68" s="17">
        <f>IF(ISNA(VLOOKUP(A68,'Données projet'!$A$191:$I$211,5,0)),0%,VLOOKUP(A68,'Données projet'!$A$191:$I$211,5,0)*VLOOKUP('Données projet'!$B$15,Paramètres!$A$1:$I$88,7,0))</f>
        <v>0.33</v>
      </c>
      <c r="ET68" s="17">
        <f>IF(ISNA(VLOOKUP(A68,'Données projet'!$A$191:$I$211,6,0)),0%,VLOOKUP(A68,'Données projet'!$A$191:$I$211,6,0)*VLOOKUP('Données projet'!$B$15,Paramètres!$A$1:$I$88,7,0))</f>
        <v>0.22000000000000003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projet'!$B$15,Paramètres!$A$1:$I$88,3,0)*0.475*44/12</f>
        <v>55.021798303904959</v>
      </c>
      <c r="EW68" s="23">
        <f>EXP(-LN(2)/25)*EW67+(1-EXP(-LN(2)/25))/(LN(2)/25)*Calculateur!ER68*Calculateur!ET68*VLOOKUP('Données projet'!$B$15,Paramètres!$A$1:$I$88,3,0)*0.475*44/12</f>
        <v>77.160762926941601</v>
      </c>
      <c r="EX68" s="23">
        <f>EXP(-LN(2)/2)*EX67+(1-EXP(-LN(2)/2))/(LN(2)/2)*ER68*EU68*VLOOKUP('Données projet'!$B$15,Paramètres!$A$1:$I$88,3,0)*0.475*44/12</f>
        <v>0</v>
      </c>
      <c r="EY68" s="24">
        <f t="shared" ref="EY68:EY131" si="75">SUM(EV68:EX68)</f>
        <v>132.18256123084655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22.7</v>
      </c>
      <c r="FE68" s="13">
        <f>IF('Données projet'!$A$218&gt;35,FE67+FD68-FM67,IF(A68&lt;'Données projet'!$A$218,$FB$205^A68,IF(A68='Données projet'!$A$218,'Données projet'!$B$218,FE67+FD68-FM67)))</f>
        <v>517.49999999999966</v>
      </c>
      <c r="FF68" s="18">
        <f>FE68*VLOOKUP('Données projet'!$B$16,Paramètres!$A$1:$I$88,3,0)*VLOOKUP('Données projet'!$B$16,Paramètres!$A$1:$I$88,5,0)</f>
        <v>242.18999999999983</v>
      </c>
      <c r="FG68" s="14">
        <f t="shared" si="47"/>
        <v>58.910470259429303</v>
      </c>
      <c r="FH68" s="22">
        <f t="shared" ref="FH68:FH131" si="76">(FF68+FG68)*0.475*44/12</f>
        <v>524.41665236850577</v>
      </c>
      <c r="FI68" s="62">
        <f t="shared" ref="FI68:FI131" si="77">FH68+(EZ68+FA68)*44/12</f>
        <v>788.35985848496102</v>
      </c>
      <c r="FJ68" s="62">
        <f ca="1">AVERAGE(OFFSET($FI$3,0,0,'Données projet'!$E$16+1,1))-AVERAGE(OFFSET($H$3,0,0,'Données projet'!$E$16+1,1))</f>
        <v>429.87867712133851</v>
      </c>
      <c r="FK68" s="62">
        <f t="shared" si="48"/>
        <v>182.81277865988014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projet'!$B$16,Paramètres!$A$1:$I$88,3,0)*0.475*44/12</f>
        <v>12.123239388446763</v>
      </c>
      <c r="FR68" s="23">
        <f>EXP(-LN(2)/25)*FR67+(1-EXP(-LN(2)/25))/(LN(2)/25)*Calculateur!FM68*Calculateur!FO68*VLOOKUP('Données projet'!$B$16,Paramètres!$A$1:$I$88,3,0)*0.475*44/12</f>
        <v>57.449783012053608</v>
      </c>
      <c r="FS68" s="23">
        <f>EXP(-LN(2)/2)*FS67+(1-EXP(-LN(2)/2))/(LN(2)/2)*FM68*FP68*VLOOKUP('Données projet'!$B$16,Paramètres!$A$1:$I$88,3,0)*0.475*44/12</f>
        <v>0</v>
      </c>
      <c r="FT68" s="24">
        <f t="shared" ref="FT68:FT131" si="78">SUM(FQ68:FS68)</f>
        <v>69.573022400500378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527</v>
      </c>
      <c r="FX68" s="13">
        <f>VLOOKUP(A68,'Données projet'!$A$243:$I$263,9,0)</f>
        <v>18.2</v>
      </c>
      <c r="FY68" s="13">
        <f t="array" ref="FY68">INDEX(FX:FX,MIN(IF(ISNUMBER(FX68:FX264),ROW(FX68:FX264),"")))</f>
        <v>18.2</v>
      </c>
      <c r="FZ68" s="13">
        <f>IF('Données projet'!$A$244&gt;35,FZ67+FY68-GH67,IF(A68&lt;'Données projet'!$A$244,$FW$205^A68,IF(A68='Données projet'!$A$244,'Données projet'!$B$244,FZ67+FY68-GH67)))</f>
        <v>526.99999999999955</v>
      </c>
      <c r="GA68" s="18">
        <f>FZ68*VLOOKUP('Données projet'!$B$17,Paramètres!$A$1:$I$88,3,0)*VLOOKUP('Données projet'!$B$17,Paramètres!$A$1:$I$88,5,0)</f>
        <v>253.4869999999998</v>
      </c>
      <c r="GB68" s="14">
        <f t="shared" si="49"/>
        <v>61.332026401827136</v>
      </c>
      <c r="GC68" s="22">
        <f t="shared" ref="GC68:GC131" si="79">(GA68+GB68)*0.475*44/12</f>
        <v>548.30980431651517</v>
      </c>
      <c r="GD68" s="62">
        <f t="shared" ref="GD68:GD131" si="80">GC68+(FU68+FV68)*44/12</f>
        <v>812.25301043297031</v>
      </c>
      <c r="GE68" s="62">
        <f ca="1">AVERAGE(OFFSET($GD$3,0,0,'Données projet'!$E$17+1,1))-AVERAGE(OFFSET($H$3,0,0,'Données projet'!$E$17+1,1))</f>
        <v>273.24375559399846</v>
      </c>
      <c r="GF68" s="62">
        <f t="shared" si="50"/>
        <v>270.77718895097848</v>
      </c>
      <c r="GG68" s="16">
        <f>IF(ISNA(VLOOKUP(A68,'Données projet'!$A$243:$I$263,3,0)),0,VLOOKUP(A68,'Données projet'!$A$243:$I$263,3,0))</f>
        <v>11</v>
      </c>
      <c r="GH68" s="16">
        <f>IF(ISNA(VLOOKUP(A68,'Données projet'!$A$243:$I$263,4,0)),0,VLOOKUP(A68,'Données projet'!$A$243:$I$263,4,0))</f>
        <v>28</v>
      </c>
      <c r="GI68" s="17">
        <f>IF(ISNA(VLOOKUP(A68,'Données projet'!$A$243:$I$263,5,0)),0%,VLOOKUP(A68,'Données projet'!$A$243:$I$263,5,0)*VLOOKUP('Données projet'!$B$17,Paramètres!$A$1:$I$88,7,0))</f>
        <v>0.41250000000000003</v>
      </c>
      <c r="GJ68" s="17">
        <f>IF(ISNA(VLOOKUP(A68,'Données projet'!$A$243:$I$263,6,0)),0%,VLOOKUP(A68,'Données projet'!$A$243:$I$263,6,0)*VLOOKUP('Données projet'!$B$17,Paramètres!$A$1:$I$88,7,0))</f>
        <v>0.13750000000000001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projet'!$B$17,Paramètres!$A$1:$I$88,3,0)*0.475*44/12</f>
        <v>43.546903291485052</v>
      </c>
      <c r="GM68" s="23">
        <f>EXP(-LN(2)/25)*GM67+(1-EXP(-LN(2)/25))/(LN(2)/25)*Calculateur!GH68*Calculateur!GJ68*VLOOKUP('Données projet'!$B$17,Paramètres!$A$1:$I$88,3,0)*0.475*44/12</f>
        <v>46.188809769276368</v>
      </c>
      <c r="GN68" s="23">
        <f>EXP(-LN(2)/2)*GN67+(1-EXP(-LN(2)/2))/(LN(2)/2)*GH68*GK68*VLOOKUP('Données projet'!$B$17,Paramètres!$A$1:$I$88,3,0)*0.475*44/12</f>
        <v>0</v>
      </c>
      <c r="GO68" s="23">
        <f t="shared" ref="GO68:GO131" si="81">SUM(GL68:GN68)</f>
        <v>89.735713060761412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13.857142857142858</v>
      </c>
      <c r="N69" s="14">
        <f>IF('Données projet'!$A$36&gt;35,N68+M69-V68,IF(A69&lt;'Données projet'!$A$36,$K$205^A69,IF(A69='Données projet'!$A$36,'Données projet'!$B$36,N68+M69-V68)))</f>
        <v>495.57142857142821</v>
      </c>
      <c r="O69" s="14">
        <f>N69*VLOOKUP('Données projet'!$B$9,Paramètres!$A$1:$I$88,3,0)*VLOOKUP('Données projet'!$B$9,Paramètres!$A$1:$I$88,5,0)</f>
        <v>277.02442857142842</v>
      </c>
      <c r="P69" s="14">
        <f t="shared" ref="P69:P132" si="87">EXP(-1.0587+0.8836*LN(O69)+0.284)</f>
        <v>66.337794630329327</v>
      </c>
      <c r="Q69" s="22">
        <f t="shared" si="54"/>
        <v>598.02253874306132</v>
      </c>
      <c r="R69" s="62">
        <f t="shared" si="55"/>
        <v>862.4755978602484</v>
      </c>
      <c r="S69" s="62">
        <f ca="1">AVERAGE(OFFSET($R$3,0,0,'Données projet'!$E$9+1,1))-AVERAGE(OFFSET($H$3,0,0,'Données projet'!$E$9+1,1))</f>
        <v>289.94242154211224</v>
      </c>
      <c r="T69" s="62">
        <f t="shared" ref="T69:T132" si="88">$T$3</f>
        <v>369.12599166143661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65.507819257040637</v>
      </c>
      <c r="AA69" s="23">
        <f>EXP(-LN(2)/25)*AA68+(1-EXP(-LN(2)/25))/(LN(2)/25)*Calculateur!V69*Calculateur!X69*VLOOKUP('Données projet'!$B$9,Paramètres!$A$1:$I$88,3,0)*0.475*44/12</f>
        <v>56.580716807920609</v>
      </c>
      <c r="AB69" s="23">
        <f>EXP(-LN(2)/2)*AB68+(1-EXP(-LN(2)/2))/(LN(2)/2)*V69*Y69*VLOOKUP('Données projet'!$B$9,Paramètres!$A$1:$I$88,3,0)*0.475*44/12</f>
        <v>0</v>
      </c>
      <c r="AC69" s="24">
        <f t="shared" si="57"/>
        <v>122.08853606496125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8.125</v>
      </c>
      <c r="AI69" s="14">
        <f>IF('Données projet'!$A$62&gt;35,AI68+AH69-AQ68,IF(A69&lt;'Données projet'!$A$62,$AF$205^A69,IF(A69='Données projet'!$A$62,'Données projet'!$B$62,AI68+AH69-AQ68)))</f>
        <v>211.625</v>
      </c>
      <c r="AJ69" s="14">
        <f>AI69*VLOOKUP('Données projet'!$B$10,Paramètres!$A$1:$I$88,3,0)*VLOOKUP('Données projet'!$B$10,Paramètres!$A$1:$I$88,5,0)</f>
        <v>191.47829999999999</v>
      </c>
      <c r="AK69" s="14">
        <f t="shared" ref="AK69:AK132" si="89">EXP(-1.0587+0.8836*LN(AJ69)+0.284)</f>
        <v>47.866636420920138</v>
      </c>
      <c r="AL69" s="22">
        <f t="shared" si="58"/>
        <v>416.8590975997692</v>
      </c>
      <c r="AM69" s="62">
        <f t="shared" si="59"/>
        <v>681.31215671695622</v>
      </c>
      <c r="AN69" s="62">
        <f ca="1">AVERAGE(OFFSET($AM$3,0,0,'Données projet'!$E$10+1,1))-AVERAGE(OFFSET($H$3,0,0,'Données projet'!$E$10+1,1))</f>
        <v>518.31628039365785</v>
      </c>
      <c r="AO69" s="62">
        <f t="shared" ref="AO69:AO132" si="90">$AO$3</f>
        <v>66.435071953154761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11.006485968554227</v>
      </c>
      <c r="AV69" s="23">
        <f>EXP(-LN(2)/25)*AV68+(1-EXP(-LN(2)/25))/(LN(2)/25)*Calculateur!AQ69*Calculateur!AS69*VLOOKUP('Données projet'!$B$10,Paramètres!$A$1:$I$88,3,0)*0.475*44/12</f>
        <v>0</v>
      </c>
      <c r="AW69" s="23">
        <f>EXP(-LN(2)/2)*AW68+(1-EXP(-LN(2)/2))/(LN(2)/2)*AQ69*AT69*VLOOKUP('Données projet'!$B$10,Paramètres!$A$1:$I$88,3,0)*0.475*44/12</f>
        <v>0</v>
      </c>
      <c r="AX69" s="23">
        <f t="shared" si="60"/>
        <v>11.006485968554227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8.125</v>
      </c>
      <c r="BD69" s="13">
        <f>IF('Données projet'!$A$88&gt;35,BD68+BC69-BL68,IF(A69&lt;'Données projet'!$A$88,$BA$205^A69,IF(A69='Données projet'!$A$88,'Données projet'!$B$88,BD68+BC69-BL68)))</f>
        <v>211.625</v>
      </c>
      <c r="BE69" s="14">
        <f>BD69*VLOOKUP('Données projet'!$B$11,Paramètres!$A$1:$I$88,3,0)*VLOOKUP('Données projet'!$B$11,Paramètres!$A$1:$I$88,5,0)</f>
        <v>214.58775000000003</v>
      </c>
      <c r="BF69" s="14">
        <f t="shared" ref="BF69:BF132" si="91">EXP(-1.0587+0.8836*LN(BE69)+0.284)</f>
        <v>52.936860054054783</v>
      </c>
      <c r="BG69" s="22">
        <f t="shared" si="61"/>
        <v>465.93869584414534</v>
      </c>
      <c r="BH69" s="62">
        <f t="shared" si="62"/>
        <v>730.39175496133248</v>
      </c>
      <c r="BI69" s="62">
        <f ca="1">AVERAGE(OFFSET($BH$3,0,0,'Données projet'!$E$11+1,1))-AVERAGE(OFFSET($H$3,0,0,'Données projet'!$E$11+1,1))</f>
        <v>570.2785736203931</v>
      </c>
      <c r="BJ69" s="62">
        <f t="shared" ref="BJ69:BJ132" si="92">$BJ$3</f>
        <v>67.677759965081719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12.334854964759048</v>
      </c>
      <c r="BQ69" s="23">
        <f>EXP(-LN(2)/25)*BQ68+(1-EXP(-LN(2)/25))/(LN(2)/25)*Calculateur!BL69*Calculateur!BN69*VLOOKUP('Données projet'!$B$11,Paramètres!$A$1:$I$88,3,0)*0.475*44/12</f>
        <v>0</v>
      </c>
      <c r="BR69" s="23">
        <f>EXP(-LN(2)/2)*BR68+(1-EXP(-LN(2)/2))/(LN(2)/2)*BL69*BO69*VLOOKUP('Données projet'!$B$11,Paramètres!$A$1:$I$88,3,0)*0.475*44/12</f>
        <v>0</v>
      </c>
      <c r="BS69" s="24">
        <f t="shared" si="63"/>
        <v>12.334854964759048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544.19999999999982</v>
      </c>
      <c r="BZ69" s="14">
        <f>BY69*VLOOKUP('Données projet'!$B$12,Paramètres!$A$1:$I$88,3,0)*VLOOKUP('Données projet'!$B$12,Paramètres!$A$1:$I$88,5,0)</f>
        <v>325.43159999999995</v>
      </c>
      <c r="CA69" s="14">
        <f t="shared" ref="CA69:CA132" si="93">EXP(-1.0587+0.8836*LN(BZ69)+0.284)</f>
        <v>76.482394221016762</v>
      </c>
      <c r="CB69" s="22">
        <f t="shared" si="64"/>
        <v>700.00020660160408</v>
      </c>
      <c r="CC69" s="62">
        <f t="shared" si="65"/>
        <v>964.45326571879116</v>
      </c>
      <c r="CD69" s="62">
        <f ca="1">AVERAGE(OFFSET($CC$3,0,0,'Données projet'!$E$12+1,1))-AVERAGE(OFFSET($H$3,0,0,'Données projet'!$E$12+1,1))</f>
        <v>401.1031790385295</v>
      </c>
      <c r="CE69" s="62">
        <f t="shared" ref="CE69:CE132" si="94">$CE$3</f>
        <v>402.09589424130615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projet'!$B$12,Paramètres!$A$1:$I$88,3,0)*0.475*44/12</f>
        <v>18.418827612300365</v>
      </c>
      <c r="CL69" s="23">
        <f>EXP(-LN(2)/25)*CL68+(1-EXP(-LN(2)/25))/(LN(2)/25)*Calculateur!CG69*Calculateur!CI69*VLOOKUP('Données projet'!$B$12,Paramètres!$A$1:$I$88,3,0)*0.475*44/12</f>
        <v>0</v>
      </c>
      <c r="CM69" s="23">
        <f>EXP(-LN(2)/2)*CM68+(1-EXP(-LN(2)/2))/(LN(2)/2)*CG69*CJ69*VLOOKUP('Données projet'!$B$12,Paramètres!$A$1:$I$88,3,0)*0.475*44/12</f>
        <v>0.51892162885569759</v>
      </c>
      <c r="CN69" s="24">
        <f t="shared" si="66"/>
        <v>18.937749241156062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544.19999999999982</v>
      </c>
      <c r="CU69" s="18">
        <f>CT69*VLOOKUP('Données projet'!$B$13,Paramètres!$A$1:$I$88,3,0)*VLOOKUP('Données projet'!$B$13,Paramètres!$A$1:$I$88,5,0)</f>
        <v>325.43159999999995</v>
      </c>
      <c r="CV69" s="14">
        <f t="shared" ref="CV69:CV132" si="95">EXP(-1.0587+0.8836*LN(CU69)+0.284)</f>
        <v>76.482394221016762</v>
      </c>
      <c r="CW69" s="22">
        <f t="shared" si="67"/>
        <v>700.00020660160408</v>
      </c>
      <c r="CX69" s="62">
        <f t="shared" si="68"/>
        <v>964.45326571879116</v>
      </c>
      <c r="CY69" s="62">
        <f ca="1">AVERAGE(OFFSET($CX$3,0,0,'Données projet'!$E$13+1,1))-AVERAGE(OFFSET($H$3,0,0,'Données projet'!$E$13+1,1))</f>
        <v>401.1031790385295</v>
      </c>
      <c r="CZ69" s="62">
        <f t="shared" ref="CZ69:CZ132" si="96">$CZ$3</f>
        <v>402.09589424130615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projet'!$B$13,Paramètres!$A$1:$I$88,3,0)*0.475*44/12</f>
        <v>18.418827612300365</v>
      </c>
      <c r="DG69" s="23">
        <f>EXP(-LN(2)/25)*DG68+(1-EXP(-LN(2)/25))/(LN(2)/25)*Calculateur!DB69*Calculateur!DD69*VLOOKUP('Données projet'!$B$13,Paramètres!$A$1:$I$88,3,0)*0.475*44/12</f>
        <v>0</v>
      </c>
      <c r="DH69" s="23">
        <f>EXP(-LN(2)/2)*DH68+(1-EXP(-LN(2)/2))/(LN(2)/2)*DB69*DE69*VLOOKUP('Données projet'!$B$13,Paramètres!$A$1:$I$88,3,0)*0.475*44/12</f>
        <v>0.51892162885569759</v>
      </c>
      <c r="DI69" s="24">
        <f t="shared" si="69"/>
        <v>18.937749241156062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21.2</v>
      </c>
      <c r="DO69" s="13">
        <f>IF('Données projet'!$A$166&gt;35,DO68+DN69-DW68,IF(A69&lt;'Données projet'!$A$166,$DL$205^A69,IF(A69='Données projet'!$A$166,'Données projet'!$B$166,DO68+DN69-DW68)))</f>
        <v>747.2</v>
      </c>
      <c r="DP69" s="18">
        <f>DO69*VLOOKUP('Données projet'!$B$14,Paramètres!$A$1:$I$88,3,0)*VLOOKUP('Données projet'!$B$14,Paramètres!$A$1:$I$88,5,0)</f>
        <v>301.1216</v>
      </c>
      <c r="DQ69" s="14">
        <f t="shared" ref="DQ69:DQ132" si="97">EXP(-1.0587+0.8836*LN(DP69)+0.284)</f>
        <v>71.411542825733292</v>
      </c>
      <c r="DR69" s="22">
        <f t="shared" si="70"/>
        <v>648.82855708815214</v>
      </c>
      <c r="DS69" s="62">
        <f t="shared" si="71"/>
        <v>913.28161620533922</v>
      </c>
      <c r="DT69" s="62">
        <f ca="1">AVERAGE(OFFSET($DS$3,0,0,'Données projet'!$E$14+1,1))-AVERAGE(OFFSET($H$3,0,0,'Données projet'!$E$14+1,1))</f>
        <v>432.59662347701629</v>
      </c>
      <c r="DU69" s="62">
        <f t="shared" ref="DU69:DU132" si="98">$DU$3</f>
        <v>348.67401091099748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projet'!$B$14,Paramètres!$A$1:$I$88,3,0)*0.475*44/12</f>
        <v>47.77752942759399</v>
      </c>
      <c r="EB69" s="23">
        <f>EXP(-LN(2)/25)*EB68+(1-EXP(-LN(2)/25))/(LN(2)/25)*Calculateur!DW69*Calculateur!DY69*VLOOKUP('Données projet'!$B$14,Paramètres!$A$1:$I$88,3,0)*0.475*44/12</f>
        <v>79.200631748068574</v>
      </c>
      <c r="EC69" s="23">
        <f>EXP(-LN(2)/2)*EC68+(1-EXP(-LN(2)/2))/(LN(2)/2)*DW69*DZ69*VLOOKUP('Données projet'!$B$14,Paramètres!$A$1:$I$88,3,0)*0.475*44/12</f>
        <v>0</v>
      </c>
      <c r="ED69" s="24">
        <f t="shared" si="72"/>
        <v>126.97816117566256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19.399999999999999</v>
      </c>
      <c r="EJ69" s="13">
        <f>IF('Données projet'!$A$192&gt;35,EJ68+EI69-ER68,IF(A69&lt;'Données projet'!$A$192,$EG$205^A69,IF(A69='Données projet'!$A$192,'Données projet'!$B$192,EJ68+EI69-ER68)))</f>
        <v>998.40000000000009</v>
      </c>
      <c r="EK69" s="18">
        <f>EJ69*VLOOKUP('Données projet'!$B$15,Paramètres!$A$1:$I$88,3,0)*VLOOKUP('Données projet'!$B$15,Paramètres!$A$1:$I$88,5,0)</f>
        <v>441.29280000000011</v>
      </c>
      <c r="EL69" s="14">
        <f t="shared" ref="EL69:EL132" si="99">EXP(-1.0587+0.8836*LN(EK69)+0.284)</f>
        <v>100.09968301051076</v>
      </c>
      <c r="EM69" s="22">
        <f t="shared" si="73"/>
        <v>942.92524124330646</v>
      </c>
      <c r="EN69" s="62">
        <f t="shared" si="74"/>
        <v>1207.3783003604935</v>
      </c>
      <c r="EO69" s="62">
        <f ca="1">AVERAGE(OFFSET($EN$3,0,0,'Données projet'!$E$15+1,1))-AVERAGE(OFFSET($H$3,0,0,'Données projet'!$E$15+1,1))</f>
        <v>582.26951914082088</v>
      </c>
      <c r="EP69" s="62">
        <f t="shared" ref="EP69:EP132" si="100">$EP$3</f>
        <v>434.80429932654715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projet'!$B$15,Paramètres!$A$1:$I$88,3,0)*0.475*44/12</f>
        <v>53.942854399148572</v>
      </c>
      <c r="EW69" s="23">
        <f>EXP(-LN(2)/25)*EW68+(1-EXP(-LN(2)/25))/(LN(2)/25)*Calculateur!ER69*Calculateur!ET69*VLOOKUP('Données projet'!$B$15,Paramètres!$A$1:$I$88,3,0)*0.475*44/12</f>
        <v>75.050797806996215</v>
      </c>
      <c r="EX69" s="23">
        <f>EXP(-LN(2)/2)*EX68+(1-EXP(-LN(2)/2))/(LN(2)/2)*ER69*EU69*VLOOKUP('Données projet'!$B$15,Paramètres!$A$1:$I$88,3,0)*0.475*44/12</f>
        <v>0</v>
      </c>
      <c r="EY69" s="24">
        <f t="shared" si="75"/>
        <v>128.99365220614479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22.7</v>
      </c>
      <c r="FE69" s="13">
        <f>IF('Données projet'!$A$218&gt;35,FE68+FD69-FM68,IF(A69&lt;'Données projet'!$A$218,$FB$205^A69,IF(A69='Données projet'!$A$218,'Données projet'!$B$218,FE68+FD69-FM68)))</f>
        <v>540.1999999999997</v>
      </c>
      <c r="FF69" s="18">
        <f>FE69*VLOOKUP('Données projet'!$B$16,Paramètres!$A$1:$I$88,3,0)*VLOOKUP('Données projet'!$B$16,Paramètres!$A$1:$I$88,5,0)</f>
        <v>252.81359999999987</v>
      </c>
      <c r="FG69" s="14">
        <f t="shared" ref="FG69:FG132" si="101">EXP(-1.0587+0.8836*LN(FF69)+0.284)</f>
        <v>61.188037954168315</v>
      </c>
      <c r="FH69" s="22">
        <f t="shared" si="76"/>
        <v>546.88618610350966</v>
      </c>
      <c r="FI69" s="62">
        <f t="shared" si="77"/>
        <v>811.33924522069674</v>
      </c>
      <c r="FJ69" s="62">
        <f ca="1">AVERAGE(OFFSET($FI$3,0,0,'Données projet'!$E$16+1,1))-AVERAGE(OFFSET($H$3,0,0,'Données projet'!$E$16+1,1))</f>
        <v>429.87867712133851</v>
      </c>
      <c r="FK69" s="62">
        <f t="shared" ref="FK69:FK132" si="102">$FK$3</f>
        <v>182.81277865988014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projet'!$B$16,Paramètres!$A$1:$I$88,3,0)*0.475*44/12</f>
        <v>11.885510058485208</v>
      </c>
      <c r="FR69" s="23">
        <f>EXP(-LN(2)/25)*FR68+(1-EXP(-LN(2)/25))/(LN(2)/25)*Calculateur!FM69*Calculateur!FO69*VLOOKUP('Données projet'!$B$16,Paramètres!$A$1:$I$88,3,0)*0.475*44/12</f>
        <v>55.878815674436218</v>
      </c>
      <c r="FS69" s="23">
        <f>EXP(-LN(2)/2)*FS68+(1-EXP(-LN(2)/2))/(LN(2)/2)*FM69*FP69*VLOOKUP('Données projet'!$B$16,Paramètres!$A$1:$I$88,3,0)*0.475*44/12</f>
        <v>0</v>
      </c>
      <c r="FT69" s="24">
        <f t="shared" si="78"/>
        <v>67.764325732921421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498.99999999999955</v>
      </c>
      <c r="GA69" s="18">
        <f>FZ69*VLOOKUP('Données projet'!$B$17,Paramètres!$A$1:$I$88,3,0)*VLOOKUP('Données projet'!$B$17,Paramètres!$A$1:$I$88,5,0)</f>
        <v>240.01899999999978</v>
      </c>
      <c r="GB69" s="14">
        <f t="shared" ref="GB69:GB132" si="103">EXP(-1.0587+0.8836*LN(GA69)+0.284)</f>
        <v>58.443618405936313</v>
      </c>
      <c r="GC69" s="22">
        <f t="shared" si="79"/>
        <v>519.82239372367201</v>
      </c>
      <c r="GD69" s="62">
        <f t="shared" si="80"/>
        <v>784.27545284085909</v>
      </c>
      <c r="GE69" s="62">
        <f ca="1">AVERAGE(OFFSET($GD$3,0,0,'Données projet'!$E$17+1,1))-AVERAGE(OFFSET($H$3,0,0,'Données projet'!$E$17+1,1))</f>
        <v>273.24375559399846</v>
      </c>
      <c r="GF69" s="62">
        <f t="shared" ref="GF69:GF132" si="104">$GF$3</f>
        <v>270.77718895097848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projet'!$B$17,Paramètres!$A$1:$I$88,3,0)*0.475*44/12</f>
        <v>42.692975078927361</v>
      </c>
      <c r="GM69" s="23">
        <f>EXP(-LN(2)/25)*GM68+(1-EXP(-LN(2)/25))/(LN(2)/25)*Calculateur!GH69*Calculateur!GJ69*VLOOKUP('Données projet'!$B$17,Paramètres!$A$1:$I$88,3,0)*0.475*44/12</f>
        <v>44.925774337171568</v>
      </c>
      <c r="GN69" s="23">
        <f>EXP(-LN(2)/2)*GN68+(1-EXP(-LN(2)/2))/(LN(2)/2)*GH69*GK69*VLOOKUP('Données projet'!$B$17,Paramètres!$A$1:$I$88,3,0)*0.475*44/12</f>
        <v>0</v>
      </c>
      <c r="GO69" s="23">
        <f t="shared" si="81"/>
        <v>87.618749416098922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13.857142857142858</v>
      </c>
      <c r="N70" s="14">
        <f>IF('Données projet'!$A$36&gt;35,N69+M70-V69,IF(A70&lt;'Données projet'!$A$36,$K$205^A70,IF(A70='Données projet'!$A$36,'Données projet'!$B$36,N69+M70-V69)))</f>
        <v>509.42857142857105</v>
      </c>
      <c r="O70" s="14">
        <f>N70*VLOOKUP('Données projet'!$B$9,Paramètres!$A$1:$I$88,3,0)*VLOOKUP('Données projet'!$B$9,Paramètres!$A$1:$I$88,5,0)</f>
        <v>284.77057142857126</v>
      </c>
      <c r="P70" s="14">
        <f t="shared" si="87"/>
        <v>67.974174355789401</v>
      </c>
      <c r="Q70" s="22">
        <f t="shared" si="54"/>
        <v>614.36376557442816</v>
      </c>
      <c r="R70" s="62">
        <f t="shared" si="55"/>
        <v>879.31783288264501</v>
      </c>
      <c r="S70" s="62">
        <f ca="1">AVERAGE(OFFSET($R$3,0,0,'Données projet'!$E$9+1,1))-AVERAGE(OFFSET($H$3,0,0,'Données projet'!$E$9+1,1))</f>
        <v>289.94242154211224</v>
      </c>
      <c r="T70" s="62">
        <f t="shared" si="88"/>
        <v>369.12599166143661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64.223250877234506</v>
      </c>
      <c r="AA70" s="23">
        <f>EXP(-LN(2)/25)*AA69+(1-EXP(-LN(2)/25))/(LN(2)/25)*Calculateur!V70*Calculateur!X70*VLOOKUP('Données projet'!$B$9,Paramètres!$A$1:$I$88,3,0)*0.475*44/12</f>
        <v>55.033514131357443</v>
      </c>
      <c r="AB70" s="23">
        <f>EXP(-LN(2)/2)*AB69+(1-EXP(-LN(2)/2))/(LN(2)/2)*V70*Y70*VLOOKUP('Données projet'!$B$9,Paramètres!$A$1:$I$88,3,0)*0.475*44/12</f>
        <v>0</v>
      </c>
      <c r="AC70" s="24">
        <f t="shared" si="57"/>
        <v>119.25676500859194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8.125</v>
      </c>
      <c r="AI70" s="14">
        <f>IF('Données projet'!$A$62&gt;35,AI69+AH70-AQ69,IF(A70&lt;'Données projet'!$A$62,$AF$205^A70,IF(A70='Données projet'!$A$62,'Données projet'!$B$62,AI69+AH70-AQ69)))</f>
        <v>219.75</v>
      </c>
      <c r="AJ70" s="14">
        <f>AI70*VLOOKUP('Données projet'!$B$10,Paramètres!$A$1:$I$88,3,0)*VLOOKUP('Données projet'!$B$10,Paramètres!$A$1:$I$88,5,0)</f>
        <v>198.82980000000001</v>
      </c>
      <c r="AK70" s="14">
        <f t="shared" si="89"/>
        <v>49.486905417355814</v>
      </c>
      <c r="AL70" s="22">
        <f t="shared" si="58"/>
        <v>432.48492860189475</v>
      </c>
      <c r="AM70" s="62">
        <f t="shared" si="59"/>
        <v>697.43899591011166</v>
      </c>
      <c r="AN70" s="62">
        <f ca="1">AVERAGE(OFFSET($AM$3,0,0,'Données projet'!$E$10+1,1))-AVERAGE(OFFSET($H$3,0,0,'Données projet'!$E$10+1,1))</f>
        <v>518.31628039365785</v>
      </c>
      <c r="AO70" s="62">
        <f t="shared" si="90"/>
        <v>66.435071953154761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10.790655492004436</v>
      </c>
      <c r="AV70" s="23">
        <f>EXP(-LN(2)/25)*AV69+(1-EXP(-LN(2)/25))/(LN(2)/25)*Calculateur!AQ70*Calculateur!AS70*VLOOKUP('Données projet'!$B$10,Paramètres!$A$1:$I$88,3,0)*0.475*44/12</f>
        <v>0</v>
      </c>
      <c r="AW70" s="23">
        <f>EXP(-LN(2)/2)*AW69+(1-EXP(-LN(2)/2))/(LN(2)/2)*AQ70*AT70*VLOOKUP('Données projet'!$B$10,Paramètres!$A$1:$I$88,3,0)*0.475*44/12</f>
        <v>0</v>
      </c>
      <c r="AX70" s="23">
        <f t="shared" si="60"/>
        <v>10.790655492004436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8.125</v>
      </c>
      <c r="BD70" s="13">
        <f>IF('Données projet'!$A$88&gt;35,BD69+BC70-BL69,IF(A70&lt;'Données projet'!$A$88,$BA$205^A70,IF(A70='Données projet'!$A$88,'Données projet'!$B$88,BD69+BC70-BL69)))</f>
        <v>219.75</v>
      </c>
      <c r="BE70" s="14">
        <f>BD70*VLOOKUP('Données projet'!$B$11,Paramètres!$A$1:$I$88,3,0)*VLOOKUP('Données projet'!$B$11,Paramètres!$A$1:$I$88,5,0)</f>
        <v>222.82650000000001</v>
      </c>
      <c r="BF70" s="14">
        <f t="shared" si="91"/>
        <v>54.728754357218108</v>
      </c>
      <c r="BG70" s="22">
        <f t="shared" si="61"/>
        <v>483.40873467215488</v>
      </c>
      <c r="BH70" s="62">
        <f t="shared" si="62"/>
        <v>748.36280198037184</v>
      </c>
      <c r="BI70" s="62">
        <f ca="1">AVERAGE(OFFSET($BH$3,0,0,'Données projet'!$E$11+1,1))-AVERAGE(OFFSET($H$3,0,0,'Données projet'!$E$11+1,1))</f>
        <v>570.2785736203931</v>
      </c>
      <c r="BJ70" s="62">
        <f t="shared" si="92"/>
        <v>67.677759965081719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12.092975982418766</v>
      </c>
      <c r="BQ70" s="23">
        <f>EXP(-LN(2)/25)*BQ69+(1-EXP(-LN(2)/25))/(LN(2)/25)*Calculateur!BL70*Calculateur!BN70*VLOOKUP('Données projet'!$B$11,Paramètres!$A$1:$I$88,3,0)*0.475*44/12</f>
        <v>0</v>
      </c>
      <c r="BR70" s="23">
        <f>EXP(-LN(2)/2)*BR69+(1-EXP(-LN(2)/2))/(LN(2)/2)*BL70*BO70*VLOOKUP('Données projet'!$B$11,Paramètres!$A$1:$I$88,3,0)*0.475*44/12</f>
        <v>0</v>
      </c>
      <c r="BS70" s="24">
        <f t="shared" si="63"/>
        <v>12.092975982418766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544.19999999999982</v>
      </c>
      <c r="BZ70" s="14">
        <f>BY70*VLOOKUP('Données projet'!$B$12,Paramètres!$A$1:$I$88,3,0)*VLOOKUP('Données projet'!$B$12,Paramètres!$A$1:$I$88,5,0)</f>
        <v>325.43159999999995</v>
      </c>
      <c r="CA70" s="14">
        <f t="shared" si="93"/>
        <v>76.482394221016762</v>
      </c>
      <c r="CB70" s="22">
        <f t="shared" si="64"/>
        <v>700.00020660160408</v>
      </c>
      <c r="CC70" s="62">
        <f t="shared" si="65"/>
        <v>964.95427390982104</v>
      </c>
      <c r="CD70" s="62">
        <f ca="1">AVERAGE(OFFSET($CC$3,0,0,'Données projet'!$E$12+1,1))-AVERAGE(OFFSET($H$3,0,0,'Données projet'!$E$12+1,1))</f>
        <v>401.1031790385295</v>
      </c>
      <c r="CE70" s="62">
        <f t="shared" si="94"/>
        <v>402.09589424130615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projet'!$B$12,Paramètres!$A$1:$I$88,3,0)*0.475*44/12</f>
        <v>18.057645637198696</v>
      </c>
      <c r="CL70" s="23">
        <f>EXP(-LN(2)/25)*CL69+(1-EXP(-LN(2)/25))/(LN(2)/25)*Calculateur!CG70*Calculateur!CI70*VLOOKUP('Données projet'!$B$12,Paramètres!$A$1:$I$88,3,0)*0.475*44/12</f>
        <v>0</v>
      </c>
      <c r="CM70" s="23">
        <f>EXP(-LN(2)/2)*CM69+(1-EXP(-LN(2)/2))/(LN(2)/2)*CG70*CJ70*VLOOKUP('Données projet'!$B$12,Paramètres!$A$1:$I$88,3,0)*0.475*44/12</f>
        <v>0.36693300266823259</v>
      </c>
      <c r="CN70" s="24">
        <f t="shared" si="66"/>
        <v>18.42457863986693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544.19999999999982</v>
      </c>
      <c r="CU70" s="18">
        <f>CT70*VLOOKUP('Données projet'!$B$13,Paramètres!$A$1:$I$88,3,0)*VLOOKUP('Données projet'!$B$13,Paramètres!$A$1:$I$88,5,0)</f>
        <v>325.43159999999995</v>
      </c>
      <c r="CV70" s="14">
        <f t="shared" si="95"/>
        <v>76.482394221016762</v>
      </c>
      <c r="CW70" s="22">
        <f t="shared" si="67"/>
        <v>700.00020660160408</v>
      </c>
      <c r="CX70" s="62">
        <f t="shared" si="68"/>
        <v>964.95427390982104</v>
      </c>
      <c r="CY70" s="62">
        <f ca="1">AVERAGE(OFFSET($CX$3,0,0,'Données projet'!$E$13+1,1))-AVERAGE(OFFSET($H$3,0,0,'Données projet'!$E$13+1,1))</f>
        <v>401.1031790385295</v>
      </c>
      <c r="CZ70" s="62">
        <f t="shared" si="96"/>
        <v>402.09589424130615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projet'!$B$13,Paramètres!$A$1:$I$88,3,0)*0.475*44/12</f>
        <v>18.057645637198696</v>
      </c>
      <c r="DG70" s="23">
        <f>EXP(-LN(2)/25)*DG69+(1-EXP(-LN(2)/25))/(LN(2)/25)*Calculateur!DB70*Calculateur!DD70*VLOOKUP('Données projet'!$B$13,Paramètres!$A$1:$I$88,3,0)*0.475*44/12</f>
        <v>0</v>
      </c>
      <c r="DH70" s="23">
        <f>EXP(-LN(2)/2)*DH69+(1-EXP(-LN(2)/2))/(LN(2)/2)*DB70*DE70*VLOOKUP('Données projet'!$B$13,Paramètres!$A$1:$I$88,3,0)*0.475*44/12</f>
        <v>0.36693300266823259</v>
      </c>
      <c r="DI70" s="24">
        <f t="shared" si="69"/>
        <v>18.42457863986693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21.2</v>
      </c>
      <c r="DO70" s="13">
        <f>IF('Données projet'!$A$166&gt;35,DO69+DN70-DW69,IF(A70&lt;'Données projet'!$A$166,$DL$205^A70,IF(A70='Données projet'!$A$166,'Données projet'!$B$166,DO69+DN70-DW69)))</f>
        <v>768.40000000000009</v>
      </c>
      <c r="DP70" s="18">
        <f>DO70*VLOOKUP('Données projet'!$B$14,Paramètres!$A$1:$I$88,3,0)*VLOOKUP('Données projet'!$B$14,Paramètres!$A$1:$I$88,5,0)</f>
        <v>309.66520000000008</v>
      </c>
      <c r="DQ70" s="14">
        <f t="shared" si="97"/>
        <v>73.198906209742276</v>
      </c>
      <c r="DR70" s="22">
        <f t="shared" si="70"/>
        <v>666.82165164863466</v>
      </c>
      <c r="DS70" s="62">
        <f t="shared" si="71"/>
        <v>931.77571895685151</v>
      </c>
      <c r="DT70" s="62">
        <f ca="1">AVERAGE(OFFSET($DS$3,0,0,'Données projet'!$E$14+1,1))-AVERAGE(OFFSET($H$3,0,0,'Données projet'!$E$14+1,1))</f>
        <v>432.59662347701629</v>
      </c>
      <c r="DU70" s="62">
        <f t="shared" si="98"/>
        <v>348.67401091099748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projet'!$B$14,Paramètres!$A$1:$I$88,3,0)*0.475*44/12</f>
        <v>46.840641216934344</v>
      </c>
      <c r="EB70" s="23">
        <f>EXP(-LN(2)/25)*EB69+(1-EXP(-LN(2)/25))/(LN(2)/25)*Calculateur!DW70*Calculateur!DY70*VLOOKUP('Données projet'!$B$14,Paramètres!$A$1:$I$88,3,0)*0.475*44/12</f>
        <v>77.034886307937427</v>
      </c>
      <c r="EC70" s="23">
        <f>EXP(-LN(2)/2)*EC69+(1-EXP(-LN(2)/2))/(LN(2)/2)*DW70*DZ70*VLOOKUP('Données projet'!$B$14,Paramètres!$A$1:$I$88,3,0)*0.475*44/12</f>
        <v>0</v>
      </c>
      <c r="ED70" s="24">
        <f t="shared" si="72"/>
        <v>123.87552752487177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19.399999999999999</v>
      </c>
      <c r="EJ70" s="13">
        <f>IF('Données projet'!$A$192&gt;35,EJ69+EI70-ER69,IF(A70&lt;'Données projet'!$A$192,$EG$205^A70,IF(A70='Données projet'!$A$192,'Données projet'!$B$192,EJ69+EI70-ER69)))</f>
        <v>1017.8000000000001</v>
      </c>
      <c r="EK70" s="18">
        <f>EJ70*VLOOKUP('Données projet'!$B$15,Paramètres!$A$1:$I$88,3,0)*VLOOKUP('Données projet'!$B$15,Paramètres!$A$1:$I$88,5,0)</f>
        <v>449.86760000000004</v>
      </c>
      <c r="EL70" s="14">
        <f t="shared" si="99"/>
        <v>101.81639590542467</v>
      </c>
      <c r="EM70" s="22">
        <f t="shared" si="73"/>
        <v>960.84962620194801</v>
      </c>
      <c r="EN70" s="62">
        <f t="shared" si="74"/>
        <v>1225.803693510165</v>
      </c>
      <c r="EO70" s="62">
        <f ca="1">AVERAGE(OFFSET($EN$3,0,0,'Données projet'!$E$15+1,1))-AVERAGE(OFFSET($H$3,0,0,'Données projet'!$E$15+1,1))</f>
        <v>582.26951914082088</v>
      </c>
      <c r="EP70" s="62">
        <f t="shared" si="100"/>
        <v>434.80429932654715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projet'!$B$15,Paramètres!$A$1:$I$88,3,0)*0.475*44/12</f>
        <v>52.885067926273663</v>
      </c>
      <c r="EW70" s="23">
        <f>EXP(-LN(2)/25)*EW69+(1-EXP(-LN(2)/25))/(LN(2)/25)*Calculateur!ER70*Calculateur!ET70*VLOOKUP('Données projet'!$B$15,Paramètres!$A$1:$I$88,3,0)*0.475*44/12</f>
        <v>72.998529794213979</v>
      </c>
      <c r="EX70" s="23">
        <f>EXP(-LN(2)/2)*EX69+(1-EXP(-LN(2)/2))/(LN(2)/2)*ER70*EU70*VLOOKUP('Données projet'!$B$15,Paramètres!$A$1:$I$88,3,0)*0.475*44/12</f>
        <v>0</v>
      </c>
      <c r="EY70" s="24">
        <f t="shared" si="75"/>
        <v>125.88359772048764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22.7</v>
      </c>
      <c r="FE70" s="13">
        <f>IF('Données projet'!$A$218&gt;35,FE69+FD70-FM69,IF(A70&lt;'Données projet'!$A$218,$FB$205^A70,IF(A70='Données projet'!$A$218,'Données projet'!$B$218,FE69+FD70-FM69)))</f>
        <v>562.89999999999975</v>
      </c>
      <c r="FF70" s="18">
        <f>FE70*VLOOKUP('Données projet'!$B$16,Paramètres!$A$1:$I$88,3,0)*VLOOKUP('Données projet'!$B$16,Paramètres!$A$1:$I$88,5,0)</f>
        <v>263.43719999999985</v>
      </c>
      <c r="FG70" s="14">
        <f t="shared" si="101"/>
        <v>63.454489128933133</v>
      </c>
      <c r="FH70" s="22">
        <f t="shared" si="76"/>
        <v>569.33635856622493</v>
      </c>
      <c r="FI70" s="62">
        <f t="shared" si="77"/>
        <v>834.29042587444178</v>
      </c>
      <c r="FJ70" s="62">
        <f ca="1">AVERAGE(OFFSET($FI$3,0,0,'Données projet'!$E$16+1,1))-AVERAGE(OFFSET($H$3,0,0,'Données projet'!$E$16+1,1))</f>
        <v>429.87867712133851</v>
      </c>
      <c r="FK70" s="62">
        <f t="shared" si="102"/>
        <v>182.81277865988014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projet'!$B$16,Paramètres!$A$1:$I$88,3,0)*0.475*44/12</f>
        <v>11.652442455683625</v>
      </c>
      <c r="FR70" s="23">
        <f>EXP(-LN(2)/25)*FR69+(1-EXP(-LN(2)/25))/(LN(2)/25)*Calculateur!FM70*Calculateur!FO70*VLOOKUP('Données projet'!$B$16,Paramètres!$A$1:$I$88,3,0)*0.475*44/12</f>
        <v>54.350806521279559</v>
      </c>
      <c r="FS70" s="23">
        <f>EXP(-LN(2)/2)*FS69+(1-EXP(-LN(2)/2))/(LN(2)/2)*FM70*FP70*VLOOKUP('Données projet'!$B$16,Paramètres!$A$1:$I$88,3,0)*0.475*44/12</f>
        <v>0</v>
      </c>
      <c r="FT70" s="24">
        <f t="shared" si="78"/>
        <v>66.003248976963178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498.99999999999955</v>
      </c>
      <c r="GA70" s="18">
        <f>FZ70*VLOOKUP('Données projet'!$B$17,Paramètres!$A$1:$I$88,3,0)*VLOOKUP('Données projet'!$B$17,Paramètres!$A$1:$I$88,5,0)</f>
        <v>240.01899999999978</v>
      </c>
      <c r="GB70" s="14">
        <f t="shared" si="103"/>
        <v>58.443618405936313</v>
      </c>
      <c r="GC70" s="22">
        <f t="shared" si="79"/>
        <v>519.82239372367201</v>
      </c>
      <c r="GD70" s="62">
        <f t="shared" si="80"/>
        <v>784.77646103188886</v>
      </c>
      <c r="GE70" s="62">
        <f ca="1">AVERAGE(OFFSET($GD$3,0,0,'Données projet'!$E$17+1,1))-AVERAGE(OFFSET($H$3,0,0,'Données projet'!$E$17+1,1))</f>
        <v>273.24375559399846</v>
      </c>
      <c r="GF70" s="62">
        <f t="shared" si="104"/>
        <v>270.77718895097848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projet'!$B$17,Paramètres!$A$1:$I$88,3,0)*0.475*44/12</f>
        <v>41.855791877773143</v>
      </c>
      <c r="GM70" s="23">
        <f>EXP(-LN(2)/25)*GM69+(1-EXP(-LN(2)/25))/(LN(2)/25)*Calculateur!GH70*Calculateur!GJ70*VLOOKUP('Données projet'!$B$17,Paramètres!$A$1:$I$88,3,0)*0.475*44/12</f>
        <v>43.697276675377815</v>
      </c>
      <c r="GN70" s="23">
        <f>EXP(-LN(2)/2)*GN69+(1-EXP(-LN(2)/2))/(LN(2)/2)*GH70*GK70*VLOOKUP('Données projet'!$B$17,Paramètres!$A$1:$I$88,3,0)*0.475*44/12</f>
        <v>0</v>
      </c>
      <c r="GO70" s="23">
        <f t="shared" si="81"/>
        <v>85.55306855315095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13.857142857142858</v>
      </c>
      <c r="N71" s="14">
        <f>IF('Données projet'!$A$36&gt;35,N70+M71-V70,IF(A71&lt;'Données projet'!$A$36,$K$205^A71,IF(A71='Données projet'!$A$36,'Données projet'!$B$36,N70+M71-V70)))</f>
        <v>523.28571428571388</v>
      </c>
      <c r="O71" s="14">
        <f>N71*VLOOKUP('Données projet'!$B$9,Paramètres!$A$1:$I$88,3,0)*VLOOKUP('Données projet'!$B$9,Paramètres!$A$1:$I$88,5,0)</f>
        <v>292.5167142857141</v>
      </c>
      <c r="P71" s="14">
        <f t="shared" si="87"/>
        <v>69.605380435295899</v>
      </c>
      <c r="Q71" s="22">
        <f t="shared" si="54"/>
        <v>630.69598163909245</v>
      </c>
      <c r="R71" s="62">
        <f t="shared" si="55"/>
        <v>896.14236576631129</v>
      </c>
      <c r="S71" s="62">
        <f ca="1">AVERAGE(OFFSET($R$3,0,0,'Données projet'!$E$9+1,1))-AVERAGE(OFFSET($H$3,0,0,'Données projet'!$E$9+1,1))</f>
        <v>289.94242154211224</v>
      </c>
      <c r="T71" s="62">
        <f t="shared" si="88"/>
        <v>369.12599166143661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62.96387209984703</v>
      </c>
      <c r="AA71" s="23">
        <f>EXP(-LN(2)/25)*AA70+(1-EXP(-LN(2)/25))/(LN(2)/25)*Calculateur!V71*Calculateur!X71*VLOOKUP('Données projet'!$B$9,Paramètres!$A$1:$I$88,3,0)*0.475*44/12</f>
        <v>53.528619793348746</v>
      </c>
      <c r="AB71" s="23">
        <f>EXP(-LN(2)/2)*AB70+(1-EXP(-LN(2)/2))/(LN(2)/2)*V71*Y71*VLOOKUP('Données projet'!$B$9,Paramètres!$A$1:$I$88,3,0)*0.475*44/12</f>
        <v>0</v>
      </c>
      <c r="AC71" s="24">
        <f t="shared" si="57"/>
        <v>116.49249189319578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8.125</v>
      </c>
      <c r="AI71" s="14">
        <f>IF('Données projet'!$A$62&gt;35,AI70+AH71-AQ70,IF(A71&lt;'Données projet'!$A$62,$AF$205^A71,IF(A71='Données projet'!$A$62,'Données projet'!$B$62,AI70+AH71-AQ70)))</f>
        <v>227.875</v>
      </c>
      <c r="AJ71" s="14">
        <f>AI71*VLOOKUP('Données projet'!$B$10,Paramètres!$A$1:$I$88,3,0)*VLOOKUP('Données projet'!$B$10,Paramètres!$A$1:$I$88,5,0)</f>
        <v>206.18129999999999</v>
      </c>
      <c r="AK71" s="14">
        <f t="shared" si="89"/>
        <v>51.100214483218906</v>
      </c>
      <c r="AL71" s="22">
        <f t="shared" si="58"/>
        <v>448.09863772493946</v>
      </c>
      <c r="AM71" s="62">
        <f t="shared" si="59"/>
        <v>713.54502185215824</v>
      </c>
      <c r="AN71" s="62">
        <f ca="1">AVERAGE(OFFSET($AM$3,0,0,'Données projet'!$E$10+1,1))-AVERAGE(OFFSET($H$3,0,0,'Données projet'!$E$10+1,1))</f>
        <v>518.31628039365785</v>
      </c>
      <c r="AO71" s="62">
        <f t="shared" si="90"/>
        <v>66.435071953154761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10.579057319456195</v>
      </c>
      <c r="AV71" s="23">
        <f>EXP(-LN(2)/25)*AV70+(1-EXP(-LN(2)/25))/(LN(2)/25)*Calculateur!AQ71*Calculateur!AS71*VLOOKUP('Données projet'!$B$10,Paramètres!$A$1:$I$88,3,0)*0.475*44/12</f>
        <v>0</v>
      </c>
      <c r="AW71" s="23">
        <f>EXP(-LN(2)/2)*AW70+(1-EXP(-LN(2)/2))/(LN(2)/2)*AQ71*AT71*VLOOKUP('Données projet'!$B$10,Paramètres!$A$1:$I$88,3,0)*0.475*44/12</f>
        <v>0</v>
      </c>
      <c r="AX71" s="23">
        <f t="shared" si="60"/>
        <v>10.579057319456195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8.125</v>
      </c>
      <c r="BD71" s="13">
        <f>IF('Données projet'!$A$88&gt;35,BD70+BC71-BL70,IF(A71&lt;'Données projet'!$A$88,$BA$205^A71,IF(A71='Données projet'!$A$88,'Données projet'!$B$88,BD70+BC71-BL70)))</f>
        <v>227.875</v>
      </c>
      <c r="BE71" s="14">
        <f>BD71*VLOOKUP('Données projet'!$B$11,Paramètres!$A$1:$I$88,3,0)*VLOOKUP('Données projet'!$B$11,Paramètres!$A$1:$I$88,5,0)</f>
        <v>231.06525000000002</v>
      </c>
      <c r="BF71" s="14">
        <f t="shared" si="91"/>
        <v>56.512951506408363</v>
      </c>
      <c r="BG71" s="22">
        <f t="shared" si="61"/>
        <v>500.86536762366126</v>
      </c>
      <c r="BH71" s="62">
        <f t="shared" si="62"/>
        <v>766.31175175088015</v>
      </c>
      <c r="BI71" s="62">
        <f ca="1">AVERAGE(OFFSET($BH$3,0,0,'Données projet'!$E$11+1,1))-AVERAGE(OFFSET($H$3,0,0,'Données projet'!$E$11+1,1))</f>
        <v>570.2785736203931</v>
      </c>
      <c r="BJ71" s="62">
        <f t="shared" si="92"/>
        <v>67.677759965081719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11.855840099390566</v>
      </c>
      <c r="BQ71" s="23">
        <f>EXP(-LN(2)/25)*BQ70+(1-EXP(-LN(2)/25))/(LN(2)/25)*Calculateur!BL71*Calculateur!BN71*VLOOKUP('Données projet'!$B$11,Paramètres!$A$1:$I$88,3,0)*0.475*44/12</f>
        <v>0</v>
      </c>
      <c r="BR71" s="23">
        <f>EXP(-LN(2)/2)*BR70+(1-EXP(-LN(2)/2))/(LN(2)/2)*BL71*BO71*VLOOKUP('Données projet'!$B$11,Paramètres!$A$1:$I$88,3,0)*0.475*44/12</f>
        <v>0</v>
      </c>
      <c r="BS71" s="24">
        <f t="shared" si="63"/>
        <v>11.855840099390566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544.19999999999982</v>
      </c>
      <c r="BZ71" s="14">
        <f>BY71*VLOOKUP('Données projet'!$B$12,Paramètres!$A$1:$I$88,3,0)*VLOOKUP('Données projet'!$B$12,Paramètres!$A$1:$I$88,5,0)</f>
        <v>325.43159999999995</v>
      </c>
      <c r="CA71" s="14">
        <f t="shared" si="93"/>
        <v>76.482394221016762</v>
      </c>
      <c r="CB71" s="22">
        <f t="shared" si="64"/>
        <v>700.00020660160408</v>
      </c>
      <c r="CC71" s="62">
        <f t="shared" si="65"/>
        <v>965.44659072882291</v>
      </c>
      <c r="CD71" s="62">
        <f ca="1">AVERAGE(OFFSET($CC$3,0,0,'Données projet'!$E$12+1,1))-AVERAGE(OFFSET($H$3,0,0,'Données projet'!$E$12+1,1))</f>
        <v>401.1031790385295</v>
      </c>
      <c r="CE71" s="62">
        <f t="shared" si="94"/>
        <v>402.09589424130615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projet'!$B$12,Paramètres!$A$1:$I$88,3,0)*0.475*44/12</f>
        <v>17.703546220329518</v>
      </c>
      <c r="CL71" s="23">
        <f>EXP(-LN(2)/25)*CL70+(1-EXP(-LN(2)/25))/(LN(2)/25)*Calculateur!CG71*Calculateur!CI71*VLOOKUP('Données projet'!$B$12,Paramètres!$A$1:$I$88,3,0)*0.475*44/12</f>
        <v>0</v>
      </c>
      <c r="CM71" s="23">
        <f>EXP(-LN(2)/2)*CM70+(1-EXP(-LN(2)/2))/(LN(2)/2)*CG71*CJ71*VLOOKUP('Données projet'!$B$12,Paramètres!$A$1:$I$88,3,0)*0.475*44/12</f>
        <v>0.2594608144278488</v>
      </c>
      <c r="CN71" s="24">
        <f t="shared" si="66"/>
        <v>17.963007034757368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544.19999999999982</v>
      </c>
      <c r="CU71" s="18">
        <f>CT71*VLOOKUP('Données projet'!$B$13,Paramètres!$A$1:$I$88,3,0)*VLOOKUP('Données projet'!$B$13,Paramètres!$A$1:$I$88,5,0)</f>
        <v>325.43159999999995</v>
      </c>
      <c r="CV71" s="14">
        <f t="shared" si="95"/>
        <v>76.482394221016762</v>
      </c>
      <c r="CW71" s="22">
        <f t="shared" si="67"/>
        <v>700.00020660160408</v>
      </c>
      <c r="CX71" s="62">
        <f t="shared" si="68"/>
        <v>965.44659072882291</v>
      </c>
      <c r="CY71" s="62">
        <f ca="1">AVERAGE(OFFSET($CX$3,0,0,'Données projet'!$E$13+1,1))-AVERAGE(OFFSET($H$3,0,0,'Données projet'!$E$13+1,1))</f>
        <v>401.1031790385295</v>
      </c>
      <c r="CZ71" s="62">
        <f t="shared" si="96"/>
        <v>402.09589424130615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projet'!$B$13,Paramètres!$A$1:$I$88,3,0)*0.475*44/12</f>
        <v>17.703546220329518</v>
      </c>
      <c r="DG71" s="23">
        <f>EXP(-LN(2)/25)*DG70+(1-EXP(-LN(2)/25))/(LN(2)/25)*Calculateur!DB71*Calculateur!DD71*VLOOKUP('Données projet'!$B$13,Paramètres!$A$1:$I$88,3,0)*0.475*44/12</f>
        <v>0</v>
      </c>
      <c r="DH71" s="23">
        <f>EXP(-LN(2)/2)*DH70+(1-EXP(-LN(2)/2))/(LN(2)/2)*DB71*DE71*VLOOKUP('Données projet'!$B$13,Paramètres!$A$1:$I$88,3,0)*0.475*44/12</f>
        <v>0.2594608144278488</v>
      </c>
      <c r="DI71" s="24">
        <f t="shared" si="69"/>
        <v>17.963007034757368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21.2</v>
      </c>
      <c r="DO71" s="13">
        <f>IF('Données projet'!$A$166&gt;35,DO70+DN71-DW70,IF(A71&lt;'Données projet'!$A$166,$DL$205^A71,IF(A71='Données projet'!$A$166,'Données projet'!$B$166,DO70+DN71-DW70)))</f>
        <v>789.60000000000014</v>
      </c>
      <c r="DP71" s="18">
        <f>DO71*VLOOKUP('Données projet'!$B$14,Paramètres!$A$1:$I$88,3,0)*VLOOKUP('Données projet'!$B$14,Paramètres!$A$1:$I$88,5,0)</f>
        <v>318.20880000000005</v>
      </c>
      <c r="DQ71" s="14">
        <f t="shared" si="97"/>
        <v>74.980538000067853</v>
      </c>
      <c r="DR71" s="22">
        <f t="shared" si="70"/>
        <v>684.8047636834516</v>
      </c>
      <c r="DS71" s="62">
        <f t="shared" si="71"/>
        <v>950.25114781067043</v>
      </c>
      <c r="DT71" s="62">
        <f ca="1">AVERAGE(OFFSET($DS$3,0,0,'Données projet'!$E$14+1,1))-AVERAGE(OFFSET($H$3,0,0,'Données projet'!$E$14+1,1))</f>
        <v>432.59662347701629</v>
      </c>
      <c r="DU71" s="62">
        <f t="shared" si="98"/>
        <v>348.67401091099748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projet'!$B$14,Paramètres!$A$1:$I$88,3,0)*0.475*44/12</f>
        <v>45.922124812640355</v>
      </c>
      <c r="EB71" s="23">
        <f>EXP(-LN(2)/25)*EB70+(1-EXP(-LN(2)/25))/(LN(2)/25)*Calculateur!DW71*Calculateur!DY71*VLOOKUP('Données projet'!$B$14,Paramètres!$A$1:$I$88,3,0)*0.475*44/12</f>
        <v>74.92836329075827</v>
      </c>
      <c r="EC71" s="23">
        <f>EXP(-LN(2)/2)*EC70+(1-EXP(-LN(2)/2))/(LN(2)/2)*DW71*DZ71*VLOOKUP('Données projet'!$B$14,Paramètres!$A$1:$I$88,3,0)*0.475*44/12</f>
        <v>0</v>
      </c>
      <c r="ED71" s="24">
        <f t="shared" si="72"/>
        <v>120.85048810339862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19.399999999999999</v>
      </c>
      <c r="EJ71" s="13">
        <f>IF('Données projet'!$A$192&gt;35,EJ70+EI71-ER70,IF(A71&lt;'Données projet'!$A$192,$EG$205^A71,IF(A71='Données projet'!$A$192,'Données projet'!$B$192,EJ70+EI71-ER70)))</f>
        <v>1037.2</v>
      </c>
      <c r="EK71" s="18">
        <f>EJ71*VLOOKUP('Données projet'!$B$15,Paramètres!$A$1:$I$88,3,0)*VLOOKUP('Données projet'!$B$15,Paramètres!$A$1:$I$88,5,0)</f>
        <v>458.44240000000002</v>
      </c>
      <c r="EL71" s="14">
        <f t="shared" si="99"/>
        <v>103.52930396343859</v>
      </c>
      <c r="EM71" s="22">
        <f t="shared" si="73"/>
        <v>978.7673844029888</v>
      </c>
      <c r="EN71" s="62">
        <f t="shared" si="74"/>
        <v>1244.2137685302077</v>
      </c>
      <c r="EO71" s="62">
        <f ca="1">AVERAGE(OFFSET($EN$3,0,0,'Données projet'!$E$15+1,1))-AVERAGE(OFFSET($H$3,0,0,'Données projet'!$E$15+1,1))</f>
        <v>582.26951914082088</v>
      </c>
      <c r="EP71" s="62">
        <f t="shared" si="100"/>
        <v>434.80429932654715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projet'!$B$15,Paramètres!$A$1:$I$88,3,0)*0.475*44/12</f>
        <v>51.848024000945784</v>
      </c>
      <c r="EW71" s="23">
        <f>EXP(-LN(2)/25)*EW70+(1-EXP(-LN(2)/25))/(LN(2)/25)*Calculateur!ER71*Calculateur!ET71*VLOOKUP('Données projet'!$B$15,Paramètres!$A$1:$I$88,3,0)*0.475*44/12</f>
        <v>71.002381158165363</v>
      </c>
      <c r="EX71" s="23">
        <f>EXP(-LN(2)/2)*EX70+(1-EXP(-LN(2)/2))/(LN(2)/2)*ER71*EU71*VLOOKUP('Données projet'!$B$15,Paramètres!$A$1:$I$88,3,0)*0.475*44/12</f>
        <v>0</v>
      </c>
      <c r="EY71" s="24">
        <f t="shared" si="75"/>
        <v>122.85040515911115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22.7</v>
      </c>
      <c r="FE71" s="13">
        <f>IF('Données projet'!$A$218&gt;35,FE70+FD71-FM70,IF(A71&lt;'Données projet'!$A$218,$FB$205^A71,IF(A71='Données projet'!$A$218,'Données projet'!$B$218,FE70+FD71-FM70)))</f>
        <v>585.5999999999998</v>
      </c>
      <c r="FF71" s="18">
        <f>FE71*VLOOKUP('Données projet'!$B$16,Paramètres!$A$1:$I$88,3,0)*VLOOKUP('Données projet'!$B$16,Paramètres!$A$1:$I$88,5,0)</f>
        <v>274.06079999999992</v>
      </c>
      <c r="FG71" s="14">
        <f t="shared" si="101"/>
        <v>65.710323362952934</v>
      </c>
      <c r="FH71" s="22">
        <f t="shared" si="76"/>
        <v>591.76803985714275</v>
      </c>
      <c r="FI71" s="62">
        <f t="shared" si="77"/>
        <v>857.21442398436159</v>
      </c>
      <c r="FJ71" s="62">
        <f ca="1">AVERAGE(OFFSET($FI$3,0,0,'Données projet'!$E$16+1,1))-AVERAGE(OFFSET($H$3,0,0,'Données projet'!$E$16+1,1))</f>
        <v>429.87867712133851</v>
      </c>
      <c r="FK71" s="62">
        <f t="shared" si="102"/>
        <v>182.81277865988014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projet'!$B$16,Paramètres!$A$1:$I$88,3,0)*0.475*44/12</f>
        <v>11.423945166415781</v>
      </c>
      <c r="FR71" s="23">
        <f>EXP(-LN(2)/25)*FR70+(1-EXP(-LN(2)/25))/(LN(2)/25)*Calculateur!FM71*Calculateur!FO71*VLOOKUP('Données projet'!$B$16,Paramètres!$A$1:$I$88,3,0)*0.475*44/12</f>
        <v>52.864580858770474</v>
      </c>
      <c r="FS71" s="23">
        <f>EXP(-LN(2)/2)*FS70+(1-EXP(-LN(2)/2))/(LN(2)/2)*FM71*FP71*VLOOKUP('Données projet'!$B$16,Paramètres!$A$1:$I$88,3,0)*0.475*44/12</f>
        <v>0</v>
      </c>
      <c r="FT71" s="24">
        <f t="shared" si="78"/>
        <v>64.288526025186258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498.99999999999955</v>
      </c>
      <c r="GA71" s="18">
        <f>FZ71*VLOOKUP('Données projet'!$B$17,Paramètres!$A$1:$I$88,3,0)*VLOOKUP('Données projet'!$B$17,Paramètres!$A$1:$I$88,5,0)</f>
        <v>240.01899999999978</v>
      </c>
      <c r="GB71" s="14">
        <f t="shared" si="103"/>
        <v>58.443618405936313</v>
      </c>
      <c r="GC71" s="22">
        <f t="shared" si="79"/>
        <v>519.82239372367201</v>
      </c>
      <c r="GD71" s="62">
        <f t="shared" si="80"/>
        <v>785.26877785089084</v>
      </c>
      <c r="GE71" s="62">
        <f ca="1">AVERAGE(OFFSET($GD$3,0,0,'Données projet'!$E$17+1,1))-AVERAGE(OFFSET($H$3,0,0,'Données projet'!$E$17+1,1))</f>
        <v>273.24375559399846</v>
      </c>
      <c r="GF71" s="62">
        <f t="shared" si="104"/>
        <v>270.77718895097848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projet'!$B$17,Paramètres!$A$1:$I$88,3,0)*0.475*44/12</f>
        <v>41.035025328562227</v>
      </c>
      <c r="GM71" s="23">
        <f>EXP(-LN(2)/25)*GM70+(1-EXP(-LN(2)/25))/(LN(2)/25)*Calculateur!GH71*Calculateur!GJ71*VLOOKUP('Données projet'!$B$17,Paramètres!$A$1:$I$88,3,0)*0.475*44/12</f>
        <v>42.502372346749702</v>
      </c>
      <c r="GN71" s="23">
        <f>EXP(-LN(2)/2)*GN70+(1-EXP(-LN(2)/2))/(LN(2)/2)*GH71*GK71*VLOOKUP('Données projet'!$B$17,Paramètres!$A$1:$I$88,3,0)*0.475*44/12</f>
        <v>0</v>
      </c>
      <c r="GO71" s="23">
        <f t="shared" si="81"/>
        <v>83.537397675311922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13.857142857142858</v>
      </c>
      <c r="N72" s="14">
        <f>IF('Données projet'!$A$36&gt;35,N71+M72-V71,IF(A72&lt;'Données projet'!$A$36,$K$205^A72,IF(A72='Données projet'!$A$36,'Données projet'!$B$36,N71+M72-V71)))</f>
        <v>537.14285714285677</v>
      </c>
      <c r="O72" s="14">
        <f>N72*VLOOKUP('Données projet'!$B$9,Paramètres!$A$1:$I$88,3,0)*VLOOKUP('Données projet'!$B$9,Paramètres!$A$1:$I$88,5,0)</f>
        <v>300.26285714285694</v>
      </c>
      <c r="P72" s="14">
        <f t="shared" si="87"/>
        <v>71.231565620163408</v>
      </c>
      <c r="Q72" s="22">
        <f t="shared" si="54"/>
        <v>647.01945297892712</v>
      </c>
      <c r="R72" s="62">
        <f t="shared" si="55"/>
        <v>912.94961332899368</v>
      </c>
      <c r="S72" s="62">
        <f ca="1">AVERAGE(OFFSET($R$3,0,0,'Données projet'!$E$9+1,1))-AVERAGE(OFFSET($H$3,0,0,'Données projet'!$E$9+1,1))</f>
        <v>289.94242154211224</v>
      </c>
      <c r="T72" s="62">
        <f t="shared" si="88"/>
        <v>369.12599166143661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61.729188972138914</v>
      </c>
      <c r="AA72" s="23">
        <f>EXP(-LN(2)/25)*AA71+(1-EXP(-LN(2)/25))/(LN(2)/25)*Calculateur!V72*Calculateur!X72*VLOOKUP('Données projet'!$B$9,Paramètres!$A$1:$I$88,3,0)*0.475*44/12</f>
        <v>52.064876870151849</v>
      </c>
      <c r="AB72" s="23">
        <f>EXP(-LN(2)/2)*AB71+(1-EXP(-LN(2)/2))/(LN(2)/2)*V72*Y72*VLOOKUP('Données projet'!$B$9,Paramètres!$A$1:$I$88,3,0)*0.475*44/12</f>
        <v>0</v>
      </c>
      <c r="AC72" s="24">
        <f t="shared" si="57"/>
        <v>113.79406584229076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>
        <f>VLOOKUP(A72,'Données projet'!$A$61:$I$81,2,0)</f>
        <v>236</v>
      </c>
      <c r="AG72" s="13">
        <f>VLOOKUP(A72,'Données projet'!$A$61:$I$81,9,0)</f>
        <v>8.125</v>
      </c>
      <c r="AH72" s="13">
        <f t="array" ref="AH72">INDEX(AG:AG,MIN(IF(ISNUMBER(AG72:AG268),ROW(AG72:AG268),"")))</f>
        <v>8.125</v>
      </c>
      <c r="AI72" s="14">
        <f>IF('Données projet'!$A$62&gt;35,AI71+AH72-AQ71,IF(A72&lt;'Données projet'!$A$62,$AF$205^A72,IF(A72='Données projet'!$A$62,'Données projet'!$B$62,AI71+AH72-AQ71)))</f>
        <v>236</v>
      </c>
      <c r="AJ72" s="14">
        <f>AI72*VLOOKUP('Données projet'!$B$10,Paramètres!$A$1:$I$88,3,0)*VLOOKUP('Données projet'!$B$10,Paramètres!$A$1:$I$88,5,0)</f>
        <v>213.53280000000001</v>
      </c>
      <c r="AK72" s="14">
        <f t="shared" si="89"/>
        <v>52.706840209271235</v>
      </c>
      <c r="AL72" s="22">
        <f t="shared" si="58"/>
        <v>463.70070669781398</v>
      </c>
      <c r="AM72" s="62">
        <f t="shared" si="59"/>
        <v>729.63086704788054</v>
      </c>
      <c r="AN72" s="62">
        <f ca="1">AVERAGE(OFFSET($AM$3,0,0,'Données projet'!$E$10+1,1))-AVERAGE(OFFSET($H$3,0,0,'Données projet'!$E$10+1,1))</f>
        <v>518.31628039365785</v>
      </c>
      <c r="AO72" s="62">
        <f t="shared" si="90"/>
        <v>66.435071953154761</v>
      </c>
      <c r="AP72" s="16">
        <f>IF(ISNA(VLOOKUP(A72,'Données projet'!$A$61:$I$81,3,0)),0,VLOOKUP(A72,'Données projet'!$A$61:$I$81,3,0))</f>
        <v>8</v>
      </c>
      <c r="AQ72" s="16">
        <f>IF(ISNA(VLOOKUP(A72,'Données projet'!$A$61:$I$81,4,0)),0,VLOOKUP(A72,'Données projet'!$A$61:$I$81,4,0))</f>
        <v>43</v>
      </c>
      <c r="AR72" s="17">
        <f>IF(ISNA(VLOOKUP(A72,'Données projet'!$A$61:$I$81,5,0)),0%,VLOOKUP(A72,'Données projet'!$A$61:$I$81,5,0)*VLOOKUP('Données projet'!$B$10,Paramètres!$A$1:$I$88,7,0))</f>
        <v>0.129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15.919882045889123</v>
      </c>
      <c r="AV72" s="23">
        <f>EXP(-LN(2)/25)*AV71+(1-EXP(-LN(2)/25))/(LN(2)/25)*Calculateur!AQ72*Calculateur!AS72*VLOOKUP('Données projet'!$B$10,Paramètres!$A$1:$I$88,3,0)*0.475*44/12</f>
        <v>0</v>
      </c>
      <c r="AW72" s="23">
        <f>EXP(-LN(2)/2)*AW71+(1-EXP(-LN(2)/2))/(LN(2)/2)*AQ72*AT72*VLOOKUP('Données projet'!$B$10,Paramètres!$A$1:$I$88,3,0)*0.475*44/12</f>
        <v>0</v>
      </c>
      <c r="AX72" s="23">
        <f t="shared" si="60"/>
        <v>15.919882045889123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>
        <f>VLOOKUP(A72,'Données projet'!$A$87:$I$107,2,0)</f>
        <v>236</v>
      </c>
      <c r="BB72" s="13">
        <f>VLOOKUP(A72,'Données projet'!$A$87:$I$107,9,0)</f>
        <v>8.125</v>
      </c>
      <c r="BC72" s="13">
        <f t="array" ref="BC72">INDEX(BB:BB,MIN(IF(ISNUMBER(BB72:BB268),ROW(BB72:BB268),"")))</f>
        <v>8.125</v>
      </c>
      <c r="BD72" s="13">
        <f>IF('Données projet'!$A$88&gt;35,BD71+BC72-BL71,IF(A72&lt;'Données projet'!$A$88,$BA$205^A72,IF(A72='Données projet'!$A$88,'Données projet'!$B$88,BD71+BC72-BL71)))</f>
        <v>236</v>
      </c>
      <c r="BE72" s="14">
        <f>BD72*VLOOKUP('Données projet'!$B$11,Paramètres!$A$1:$I$88,3,0)*VLOOKUP('Données projet'!$B$11,Paramètres!$A$1:$I$88,5,0)</f>
        <v>239.30400000000003</v>
      </c>
      <c r="BF72" s="14">
        <f t="shared" si="91"/>
        <v>58.28975738997584</v>
      </c>
      <c r="BG72" s="22">
        <f t="shared" si="61"/>
        <v>518.3091274542079</v>
      </c>
      <c r="BH72" s="62">
        <f t="shared" si="62"/>
        <v>784.23928780427445</v>
      </c>
      <c r="BI72" s="62">
        <f ca="1">AVERAGE(OFFSET($BH$3,0,0,'Données projet'!$E$11+1,1))-AVERAGE(OFFSET($H$3,0,0,'Données projet'!$E$11+1,1))</f>
        <v>570.2785736203931</v>
      </c>
      <c r="BJ72" s="62">
        <f t="shared" si="92"/>
        <v>67.677759965081719</v>
      </c>
      <c r="BK72" s="16">
        <f>IF(ISNA(VLOOKUP(A72,'Données projet'!$A$87:$I$107,3,0)),0,VLOOKUP(A72,'Données projet'!$A$87:$I$107,3,0))</f>
        <v>8</v>
      </c>
      <c r="BL72" s="16">
        <f>IF(ISNA(VLOOKUP(A72,'Données projet'!$A$87:$I$107,4,0)),0,VLOOKUP(A72,'Données projet'!$A$87:$I$107,4,0))</f>
        <v>43</v>
      </c>
      <c r="BM72" s="17">
        <f>IF(ISNA(VLOOKUP(A72,'Données projet'!$A$87:$I$107,5,0)),0%,VLOOKUP(A72,'Données projet'!$A$87:$I$107,5,0)*VLOOKUP('Données projet'!$B$11,Paramètres!$A$1:$I$88,7,0))</f>
        <v>0.129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17.841247120392985</v>
      </c>
      <c r="BQ72" s="23">
        <f>EXP(-LN(2)/25)*BQ71+(1-EXP(-LN(2)/25))/(LN(2)/25)*Calculateur!BL72*Calculateur!BN72*VLOOKUP('Données projet'!$B$11,Paramètres!$A$1:$I$88,3,0)*0.475*44/12</f>
        <v>0</v>
      </c>
      <c r="BR72" s="23">
        <f>EXP(-LN(2)/2)*BR71+(1-EXP(-LN(2)/2))/(LN(2)/2)*BL72*BO72*VLOOKUP('Données projet'!$B$11,Paramètres!$A$1:$I$88,3,0)*0.475*44/12</f>
        <v>0</v>
      </c>
      <c r="BS72" s="24">
        <f t="shared" si="63"/>
        <v>17.841247120392985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544.19999999999982</v>
      </c>
      <c r="BZ72" s="14">
        <f>BY72*VLOOKUP('Données projet'!$B$12,Paramètres!$A$1:$I$88,3,0)*VLOOKUP('Données projet'!$B$12,Paramètres!$A$1:$I$88,5,0)</f>
        <v>325.43159999999995</v>
      </c>
      <c r="CA72" s="14">
        <f t="shared" si="93"/>
        <v>76.482394221016762</v>
      </c>
      <c r="CB72" s="22">
        <f t="shared" si="64"/>
        <v>700.00020660160408</v>
      </c>
      <c r="CC72" s="62">
        <f t="shared" si="65"/>
        <v>965.93036695167063</v>
      </c>
      <c r="CD72" s="62">
        <f ca="1">AVERAGE(OFFSET($CC$3,0,0,'Données projet'!$E$12+1,1))-AVERAGE(OFFSET($H$3,0,0,'Données projet'!$E$12+1,1))</f>
        <v>401.1031790385295</v>
      </c>
      <c r="CE72" s="62">
        <f t="shared" si="94"/>
        <v>402.09589424130615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projet'!$B$12,Paramètres!$A$1:$I$88,3,0)*0.475*44/12</f>
        <v>17.356390477045828</v>
      </c>
      <c r="CL72" s="23">
        <f>EXP(-LN(2)/25)*CL71+(1-EXP(-LN(2)/25))/(LN(2)/25)*Calculateur!CG72*Calculateur!CI72*VLOOKUP('Données projet'!$B$12,Paramètres!$A$1:$I$88,3,0)*0.475*44/12</f>
        <v>0</v>
      </c>
      <c r="CM72" s="23">
        <f>EXP(-LN(2)/2)*CM71+(1-EXP(-LN(2)/2))/(LN(2)/2)*CG72*CJ72*VLOOKUP('Données projet'!$B$12,Paramètres!$A$1:$I$88,3,0)*0.475*44/12</f>
        <v>0.18346650133411629</v>
      </c>
      <c r="CN72" s="24">
        <f t="shared" si="66"/>
        <v>17.539856978379945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544.19999999999982</v>
      </c>
      <c r="CU72" s="18">
        <f>CT72*VLOOKUP('Données projet'!$B$13,Paramètres!$A$1:$I$88,3,0)*VLOOKUP('Données projet'!$B$13,Paramètres!$A$1:$I$88,5,0)</f>
        <v>325.43159999999995</v>
      </c>
      <c r="CV72" s="14">
        <f t="shared" si="95"/>
        <v>76.482394221016762</v>
      </c>
      <c r="CW72" s="22">
        <f t="shared" si="67"/>
        <v>700.00020660160408</v>
      </c>
      <c r="CX72" s="62">
        <f t="shared" si="68"/>
        <v>965.93036695167063</v>
      </c>
      <c r="CY72" s="62">
        <f ca="1">AVERAGE(OFFSET($CX$3,0,0,'Données projet'!$E$13+1,1))-AVERAGE(OFFSET($H$3,0,0,'Données projet'!$E$13+1,1))</f>
        <v>401.1031790385295</v>
      </c>
      <c r="CZ72" s="62">
        <f t="shared" si="96"/>
        <v>402.09589424130615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projet'!$B$13,Paramètres!$A$1:$I$88,3,0)*0.475*44/12</f>
        <v>17.356390477045828</v>
      </c>
      <c r="DG72" s="23">
        <f>EXP(-LN(2)/25)*DG71+(1-EXP(-LN(2)/25))/(LN(2)/25)*Calculateur!DB72*Calculateur!DD72*VLOOKUP('Données projet'!$B$13,Paramètres!$A$1:$I$88,3,0)*0.475*44/12</f>
        <v>0</v>
      </c>
      <c r="DH72" s="23">
        <f>EXP(-LN(2)/2)*DH71+(1-EXP(-LN(2)/2))/(LN(2)/2)*DB72*DE72*VLOOKUP('Données projet'!$B$13,Paramètres!$A$1:$I$88,3,0)*0.475*44/12</f>
        <v>0.18346650133411629</v>
      </c>
      <c r="DI72" s="24">
        <f t="shared" si="69"/>
        <v>17.539856978379945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21.2</v>
      </c>
      <c r="DO72" s="13">
        <f>IF('Données projet'!$A$166&gt;35,DO71+DN72-DW71,IF(A72&lt;'Données projet'!$A$166,$DL$205^A72,IF(A72='Données projet'!$A$166,'Données projet'!$B$166,DO71+DN72-DW71)))</f>
        <v>810.80000000000018</v>
      </c>
      <c r="DP72" s="18">
        <f>DO72*VLOOKUP('Données projet'!$B$14,Paramètres!$A$1:$I$88,3,0)*VLOOKUP('Données projet'!$B$14,Paramètres!$A$1:$I$88,5,0)</f>
        <v>326.75240000000008</v>
      </c>
      <c r="DQ72" s="14">
        <f t="shared" si="97"/>
        <v>76.756609770581321</v>
      </c>
      <c r="DR72" s="22">
        <f t="shared" si="70"/>
        <v>702.77819201709599</v>
      </c>
      <c r="DS72" s="62">
        <f t="shared" si="71"/>
        <v>968.70835236716255</v>
      </c>
      <c r="DT72" s="62">
        <f ca="1">AVERAGE(OFFSET($DS$3,0,0,'Données projet'!$E$14+1,1))-AVERAGE(OFFSET($H$3,0,0,'Données projet'!$E$14+1,1))</f>
        <v>432.59662347701629</v>
      </c>
      <c r="DU72" s="62">
        <f t="shared" si="98"/>
        <v>348.67401091099748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projet'!$B$14,Paramètres!$A$1:$I$88,3,0)*0.475*44/12</f>
        <v>45.021619954794879</v>
      </c>
      <c r="EB72" s="23">
        <f>EXP(-LN(2)/25)*EB71+(1-EXP(-LN(2)/25))/(LN(2)/25)*Calculateur!DW72*Calculateur!DY72*VLOOKUP('Données projet'!$B$14,Paramètres!$A$1:$I$88,3,0)*0.475*44/12</f>
        <v>72.879443256261112</v>
      </c>
      <c r="EC72" s="23">
        <f>EXP(-LN(2)/2)*EC71+(1-EXP(-LN(2)/2))/(LN(2)/2)*DW72*DZ72*VLOOKUP('Données projet'!$B$14,Paramètres!$A$1:$I$88,3,0)*0.475*44/12</f>
        <v>0</v>
      </c>
      <c r="ED72" s="24">
        <f t="shared" si="72"/>
        <v>117.901063211056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19.399999999999999</v>
      </c>
      <c r="EJ72" s="13">
        <f>IF('Données projet'!$A$192&gt;35,EJ71+EI72-ER71,IF(A72&lt;'Données projet'!$A$192,$EG$205^A72,IF(A72='Données projet'!$A$192,'Données projet'!$B$192,EJ71+EI72-ER71)))</f>
        <v>1056.6000000000001</v>
      </c>
      <c r="EK72" s="18">
        <f>EJ72*VLOOKUP('Données projet'!$B$15,Paramètres!$A$1:$I$88,3,0)*VLOOKUP('Données projet'!$B$15,Paramètres!$A$1:$I$88,5,0)</f>
        <v>467.01720000000012</v>
      </c>
      <c r="EL72" s="14">
        <f t="shared" si="99"/>
        <v>105.23848655768003</v>
      </c>
      <c r="EM72" s="22">
        <f t="shared" si="73"/>
        <v>996.67865408795967</v>
      </c>
      <c r="EN72" s="62">
        <f t="shared" si="74"/>
        <v>1262.6088144380262</v>
      </c>
      <c r="EO72" s="62">
        <f ca="1">AVERAGE(OFFSET($EN$3,0,0,'Données projet'!$E$15+1,1))-AVERAGE(OFFSET($H$3,0,0,'Données projet'!$E$15+1,1))</f>
        <v>582.26951914082088</v>
      </c>
      <c r="EP72" s="62">
        <f t="shared" si="100"/>
        <v>434.80429932654715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projet'!$B$15,Paramètres!$A$1:$I$88,3,0)*0.475*44/12</f>
        <v>50.83131587445925</v>
      </c>
      <c r="EW72" s="23">
        <f>EXP(-LN(2)/25)*EW71+(1-EXP(-LN(2)/25))/(LN(2)/25)*Calculateur!ER72*Calculateur!ET72*VLOOKUP('Données projet'!$B$15,Paramètres!$A$1:$I$88,3,0)*0.475*44/12</f>
        <v>69.06081731154238</v>
      </c>
      <c r="EX72" s="23">
        <f>EXP(-LN(2)/2)*EX71+(1-EXP(-LN(2)/2))/(LN(2)/2)*ER72*EU72*VLOOKUP('Données projet'!$B$15,Paramètres!$A$1:$I$88,3,0)*0.475*44/12</f>
        <v>0</v>
      </c>
      <c r="EY72" s="24">
        <f t="shared" si="75"/>
        <v>119.89213318600163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22.7</v>
      </c>
      <c r="FE72" s="13">
        <f>IF('Données projet'!$A$218&gt;35,FE71+FD72-FM71,IF(A72&lt;'Données projet'!$A$218,$FB$205^A72,IF(A72='Données projet'!$A$218,'Données projet'!$B$218,FE71+FD72-FM71)))</f>
        <v>608.29999999999984</v>
      </c>
      <c r="FF72" s="18">
        <f>FE72*VLOOKUP('Données projet'!$B$16,Paramètres!$A$1:$I$88,3,0)*VLOOKUP('Données projet'!$B$16,Paramètres!$A$1:$I$88,5,0)</f>
        <v>284.68439999999993</v>
      </c>
      <c r="FG72" s="14">
        <f t="shared" si="101"/>
        <v>67.955999311251276</v>
      </c>
      <c r="FH72" s="22">
        <f t="shared" si="76"/>
        <v>614.18202880042918</v>
      </c>
      <c r="FI72" s="62">
        <f t="shared" si="77"/>
        <v>880.11218915049574</v>
      </c>
      <c r="FJ72" s="62">
        <f ca="1">AVERAGE(OFFSET($FI$3,0,0,'Données projet'!$E$16+1,1))-AVERAGE(OFFSET($H$3,0,0,'Données projet'!$E$16+1,1))</f>
        <v>429.87867712133851</v>
      </c>
      <c r="FK72" s="62">
        <f t="shared" si="102"/>
        <v>182.81277865988014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projet'!$B$16,Paramètres!$A$1:$I$88,3,0)*0.475*44/12</f>
        <v>11.199928569620894</v>
      </c>
      <c r="FR72" s="23">
        <f>EXP(-LN(2)/25)*FR71+(1-EXP(-LN(2)/25))/(LN(2)/25)*Calculateur!FM72*Calculateur!FO72*VLOOKUP('Données projet'!$B$16,Paramètres!$A$1:$I$88,3,0)*0.475*44/12</f>
        <v>51.418996115159914</v>
      </c>
      <c r="FS72" s="23">
        <f>EXP(-LN(2)/2)*FS71+(1-EXP(-LN(2)/2))/(LN(2)/2)*FM72*FP72*VLOOKUP('Données projet'!$B$16,Paramètres!$A$1:$I$88,3,0)*0.475*44/12</f>
        <v>0</v>
      </c>
      <c r="FT72" s="24">
        <f t="shared" si="78"/>
        <v>62.618924684780808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498.99999999999955</v>
      </c>
      <c r="GA72" s="18">
        <f>FZ72*VLOOKUP('Données projet'!$B$17,Paramètres!$A$1:$I$88,3,0)*VLOOKUP('Données projet'!$B$17,Paramètres!$A$1:$I$88,5,0)</f>
        <v>240.01899999999978</v>
      </c>
      <c r="GB72" s="14">
        <f t="shared" si="103"/>
        <v>58.443618405936313</v>
      </c>
      <c r="GC72" s="22">
        <f t="shared" si="79"/>
        <v>519.82239372367201</v>
      </c>
      <c r="GD72" s="62">
        <f t="shared" si="80"/>
        <v>785.75255407373857</v>
      </c>
      <c r="GE72" s="62">
        <f ca="1">AVERAGE(OFFSET($GD$3,0,0,'Données projet'!$E$17+1,1))-AVERAGE(OFFSET($H$3,0,0,'Données projet'!$E$17+1,1))</f>
        <v>273.24375559399846</v>
      </c>
      <c r="GF72" s="62">
        <f t="shared" si="104"/>
        <v>270.77718895097848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projet'!$B$17,Paramètres!$A$1:$I$88,3,0)*0.475*44/12</f>
        <v>40.230353510763173</v>
      </c>
      <c r="GM72" s="23">
        <f>EXP(-LN(2)/25)*GM71+(1-EXP(-LN(2)/25))/(LN(2)/25)*Calculateur!GH72*Calculateur!GJ72*VLOOKUP('Données projet'!$B$17,Paramètres!$A$1:$I$88,3,0)*0.475*44/12</f>
        <v>41.340142739825211</v>
      </c>
      <c r="GN72" s="23">
        <f>EXP(-LN(2)/2)*GN71+(1-EXP(-LN(2)/2))/(LN(2)/2)*GH72*GK72*VLOOKUP('Données projet'!$B$17,Paramètres!$A$1:$I$88,3,0)*0.475*44/12</f>
        <v>0</v>
      </c>
      <c r="GO72" s="23">
        <f t="shared" si="81"/>
        <v>81.570496250588377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551</v>
      </c>
      <c r="L73" s="13">
        <f>VLOOKUP(A73,'Données projet'!$A$35:$I$55,9,0)</f>
        <v>13.857142857142858</v>
      </c>
      <c r="M73" s="13">
        <f t="array" ref="M73">INDEX(L:L,MIN(IF(ISNUMBER(L73:L269),ROW(L73:L269),"")))</f>
        <v>13.857142857142858</v>
      </c>
      <c r="N73" s="14">
        <f>IF('Données projet'!$A$36&gt;35,N72+M73-V72,IF(A73&lt;'Données projet'!$A$36,$K$205^A73,IF(A73='Données projet'!$A$36,'Données projet'!$B$36,N72+M73-V72)))</f>
        <v>550.99999999999966</v>
      </c>
      <c r="O73" s="14">
        <f>N73*VLOOKUP('Données projet'!$B$9,Paramètres!$A$1:$I$88,3,0)*VLOOKUP('Données projet'!$B$9,Paramètres!$A$1:$I$88,5,0)</f>
        <v>308.00899999999979</v>
      </c>
      <c r="P73" s="14">
        <f t="shared" si="87"/>
        <v>72.852874331417695</v>
      </c>
      <c r="Q73" s="22">
        <f t="shared" si="54"/>
        <v>663.33443112721886</v>
      </c>
      <c r="R73" s="62">
        <f t="shared" si="55"/>
        <v>929.73997526422841</v>
      </c>
      <c r="S73" s="62">
        <f ca="1">AVERAGE(OFFSET($R$3,0,0,'Données projet'!$E$9+1,1))-AVERAGE(OFFSET($H$3,0,0,'Données projet'!$E$9+1,1))</f>
        <v>289.94242154211224</v>
      </c>
      <c r="T73" s="62">
        <f t="shared" si="88"/>
        <v>369.12599166143661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60.51871722748281</v>
      </c>
      <c r="AA73" s="23">
        <f>EXP(-LN(2)/25)*AA72+(1-EXP(-LN(2)/25))/(LN(2)/25)*Calculateur!V73*Calculateur!X73*VLOOKUP('Données projet'!$B$9,Paramètres!$A$1:$I$88,3,0)*0.475*44/12</f>
        <v>50.641160074164667</v>
      </c>
      <c r="AB73" s="23">
        <f>EXP(-LN(2)/2)*AB72+(1-EXP(-LN(2)/2))/(LN(2)/2)*V73*Y73*VLOOKUP('Données projet'!$B$9,Paramètres!$A$1:$I$88,3,0)*0.475*44/12</f>
        <v>0</v>
      </c>
      <c r="AC73" s="24">
        <f t="shared" si="57"/>
        <v>111.15987730164747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7.75</v>
      </c>
      <c r="AI73" s="14">
        <f>IF('Données projet'!$A$62&gt;35,AI72+AH73-AQ72,IF(A73&lt;'Données projet'!$A$62,$AF$205^A73,IF(A73='Données projet'!$A$62,'Données projet'!$B$62,AI72+AH73-AQ72)))</f>
        <v>200.75</v>
      </c>
      <c r="AJ73" s="14">
        <f>AI73*VLOOKUP('Données projet'!$B$10,Paramètres!$A$1:$I$88,3,0)*VLOOKUP('Données projet'!$B$10,Paramètres!$A$1:$I$88,5,0)</f>
        <v>181.6386</v>
      </c>
      <c r="AK73" s="14">
        <f t="shared" si="89"/>
        <v>45.686551980238647</v>
      </c>
      <c r="AL73" s="22">
        <f t="shared" si="58"/>
        <v>395.92463969891566</v>
      </c>
      <c r="AM73" s="62">
        <f t="shared" si="59"/>
        <v>662.33018383592514</v>
      </c>
      <c r="AN73" s="62">
        <f ca="1">AVERAGE(OFFSET($AM$3,0,0,'Données projet'!$E$10+1,1))-AVERAGE(OFFSET($H$3,0,0,'Données projet'!$E$10+1,1))</f>
        <v>518.31628039365785</v>
      </c>
      <c r="AO73" s="62">
        <f t="shared" si="90"/>
        <v>66.435071953154761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15.607702869138485</v>
      </c>
      <c r="AV73" s="23">
        <f>EXP(-LN(2)/25)*AV72+(1-EXP(-LN(2)/25))/(LN(2)/25)*Calculateur!AQ73*Calculateur!AS73*VLOOKUP('Données projet'!$B$10,Paramètres!$A$1:$I$88,3,0)*0.475*44/12</f>
        <v>0</v>
      </c>
      <c r="AW73" s="23">
        <f>EXP(-LN(2)/2)*AW72+(1-EXP(-LN(2)/2))/(LN(2)/2)*AQ73*AT73*VLOOKUP('Données projet'!$B$10,Paramètres!$A$1:$I$88,3,0)*0.475*44/12</f>
        <v>0</v>
      </c>
      <c r="AX73" s="23">
        <f t="shared" si="60"/>
        <v>15.607702869138485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7.75</v>
      </c>
      <c r="BD73" s="13">
        <f>IF('Données projet'!$A$88&gt;35,BD72+BC73-BL72,IF(A73&lt;'Données projet'!$A$88,$BA$205^A73,IF(A73='Données projet'!$A$88,'Données projet'!$B$88,BD72+BC73-BL72)))</f>
        <v>200.75</v>
      </c>
      <c r="BE73" s="14">
        <f>BD73*VLOOKUP('Données projet'!$B$11,Paramètres!$A$1:$I$88,3,0)*VLOOKUP('Données projet'!$B$11,Paramètres!$A$1:$I$88,5,0)</f>
        <v>203.56050000000002</v>
      </c>
      <c r="BF73" s="14">
        <f t="shared" si="91"/>
        <v>50.525852438488549</v>
      </c>
      <c r="BG73" s="22">
        <f t="shared" si="61"/>
        <v>442.53373049703424</v>
      </c>
      <c r="BH73" s="62">
        <f t="shared" si="62"/>
        <v>708.93927463404373</v>
      </c>
      <c r="BI73" s="62">
        <f ca="1">AVERAGE(OFFSET($BH$3,0,0,'Données projet'!$E$11+1,1))-AVERAGE(OFFSET($H$3,0,0,'Données projet'!$E$11+1,1))</f>
        <v>570.2785736203931</v>
      </c>
      <c r="BJ73" s="62">
        <f t="shared" si="92"/>
        <v>67.677759965081719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17.491391146448304</v>
      </c>
      <c r="BQ73" s="23">
        <f>EXP(-LN(2)/25)*BQ72+(1-EXP(-LN(2)/25))/(LN(2)/25)*Calculateur!BL73*Calculateur!BN73*VLOOKUP('Données projet'!$B$11,Paramètres!$A$1:$I$88,3,0)*0.475*44/12</f>
        <v>0</v>
      </c>
      <c r="BR73" s="23">
        <f>EXP(-LN(2)/2)*BR72+(1-EXP(-LN(2)/2))/(LN(2)/2)*BL73*BO73*VLOOKUP('Données projet'!$B$11,Paramètres!$A$1:$I$88,3,0)*0.475*44/12</f>
        <v>0</v>
      </c>
      <c r="BS73" s="24">
        <f t="shared" si="63"/>
        <v>17.491391146448304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544.19999999999982</v>
      </c>
      <c r="BZ73" s="14">
        <f>BY73*VLOOKUP('Données projet'!$B$12,Paramètres!$A$1:$I$88,3,0)*VLOOKUP('Données projet'!$B$12,Paramètres!$A$1:$I$88,5,0)</f>
        <v>325.43159999999995</v>
      </c>
      <c r="CA73" s="14">
        <f t="shared" si="93"/>
        <v>76.482394221016762</v>
      </c>
      <c r="CB73" s="22">
        <f t="shared" si="64"/>
        <v>700.00020660160408</v>
      </c>
      <c r="CC73" s="62">
        <f t="shared" si="65"/>
        <v>966.40575073861351</v>
      </c>
      <c r="CD73" s="62">
        <f ca="1">AVERAGE(OFFSET($CC$3,0,0,'Données projet'!$E$12+1,1))-AVERAGE(OFFSET($H$3,0,0,'Données projet'!$E$12+1,1))</f>
        <v>401.1031790385295</v>
      </c>
      <c r="CE73" s="62">
        <f t="shared" si="94"/>
        <v>402.09589424130615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projet'!$B$12,Paramètres!$A$1:$I$88,3,0)*0.475*44/12</f>
        <v>17.016042246143833</v>
      </c>
      <c r="CL73" s="23">
        <f>EXP(-LN(2)/25)*CL72+(1-EXP(-LN(2)/25))/(LN(2)/25)*Calculateur!CG73*Calculateur!CI73*VLOOKUP('Données projet'!$B$12,Paramètres!$A$1:$I$88,3,0)*0.475*44/12</f>
        <v>0</v>
      </c>
      <c r="CM73" s="23">
        <f>EXP(-LN(2)/2)*CM72+(1-EXP(-LN(2)/2))/(LN(2)/2)*CG73*CJ73*VLOOKUP('Données projet'!$B$12,Paramètres!$A$1:$I$88,3,0)*0.475*44/12</f>
        <v>0.1297304072139244</v>
      </c>
      <c r="CN73" s="24">
        <f t="shared" si="66"/>
        <v>17.145772653357756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544.19999999999982</v>
      </c>
      <c r="CU73" s="18">
        <f>CT73*VLOOKUP('Données projet'!$B$13,Paramètres!$A$1:$I$88,3,0)*VLOOKUP('Données projet'!$B$13,Paramètres!$A$1:$I$88,5,0)</f>
        <v>325.43159999999995</v>
      </c>
      <c r="CV73" s="14">
        <f t="shared" si="95"/>
        <v>76.482394221016762</v>
      </c>
      <c r="CW73" s="22">
        <f t="shared" si="67"/>
        <v>700.00020660160408</v>
      </c>
      <c r="CX73" s="62">
        <f t="shared" si="68"/>
        <v>966.40575073861351</v>
      </c>
      <c r="CY73" s="62">
        <f ca="1">AVERAGE(OFFSET($CX$3,0,0,'Données projet'!$E$13+1,1))-AVERAGE(OFFSET($H$3,0,0,'Données projet'!$E$13+1,1))</f>
        <v>401.1031790385295</v>
      </c>
      <c r="CZ73" s="62">
        <f t="shared" si="96"/>
        <v>402.09589424130615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projet'!$B$13,Paramètres!$A$1:$I$88,3,0)*0.475*44/12</f>
        <v>17.016042246143833</v>
      </c>
      <c r="DG73" s="23">
        <f>EXP(-LN(2)/25)*DG72+(1-EXP(-LN(2)/25))/(LN(2)/25)*Calculateur!DB73*Calculateur!DD73*VLOOKUP('Données projet'!$B$13,Paramètres!$A$1:$I$88,3,0)*0.475*44/12</f>
        <v>0</v>
      </c>
      <c r="DH73" s="23">
        <f>EXP(-LN(2)/2)*DH72+(1-EXP(-LN(2)/2))/(LN(2)/2)*DB73*DE73*VLOOKUP('Données projet'!$B$13,Paramètres!$A$1:$I$88,3,0)*0.475*44/12</f>
        <v>0.1297304072139244</v>
      </c>
      <c r="DI73" s="24">
        <f t="shared" si="69"/>
        <v>17.145772653357756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832</v>
      </c>
      <c r="DM73" s="13">
        <f>VLOOKUP(A73,'Données projet'!$A$165:$I$185,9,0)</f>
        <v>21.2</v>
      </c>
      <c r="DN73" s="13">
        <f t="array" ref="DN73">INDEX(DM:DM,MIN(IF(ISNUMBER(DM73:DM269),ROW(DM73:DM269),"")))</f>
        <v>21.2</v>
      </c>
      <c r="DO73" s="13">
        <f>IF('Données projet'!$A$166&gt;35,DO72+DN73-DW72,IF(A73&lt;'Données projet'!$A$166,$DL$205^A73,IF(A73='Données projet'!$A$166,'Données projet'!$B$166,DO72+DN73-DW72)))</f>
        <v>832.00000000000023</v>
      </c>
      <c r="DP73" s="18">
        <f>DO73*VLOOKUP('Données projet'!$B$14,Paramètres!$A$1:$I$88,3,0)*VLOOKUP('Données projet'!$B$14,Paramètres!$A$1:$I$88,5,0)</f>
        <v>335.29600000000011</v>
      </c>
      <c r="DQ73" s="14">
        <f t="shared" si="97"/>
        <v>78.527283611849413</v>
      </c>
      <c r="DR73" s="22">
        <f t="shared" si="70"/>
        <v>720.74221895730454</v>
      </c>
      <c r="DS73" s="62">
        <f t="shared" si="71"/>
        <v>987.14776309431409</v>
      </c>
      <c r="DT73" s="62">
        <f ca="1">AVERAGE(OFFSET($DS$3,0,0,'Données projet'!$E$14+1,1))-AVERAGE(OFFSET($H$3,0,0,'Données projet'!$E$14+1,1))</f>
        <v>432.59662347701629</v>
      </c>
      <c r="DU73" s="62">
        <f t="shared" si="98"/>
        <v>348.67401091099748</v>
      </c>
      <c r="DV73" s="16">
        <f>IF(ISNA(VLOOKUP(A73,'Données projet'!$A$165:$I$185,3,0)),0,VLOOKUP(A73,'Données projet'!$A$165:$I$185,3,0))</f>
        <v>11</v>
      </c>
      <c r="DW73" s="16">
        <f>IF(ISNA(VLOOKUP(A73,'Données projet'!$A$165:$I$185,4,0)),0,VLOOKUP(A73,'Données projet'!$A$165:$I$185,4,0))</f>
        <v>56</v>
      </c>
      <c r="DX73" s="17">
        <f>IF(ISNA(VLOOKUP(A73,'Données projet'!$A$165:$I$185,5,0)),0%,VLOOKUP(A73,'Données projet'!$A$165:$I$185,5,0)*VLOOKUP('Données projet'!$B$14,Paramètres!$A$1:$I$88,7,0))</f>
        <v>0.33</v>
      </c>
      <c r="DY73" s="17">
        <f>IF(ISNA(VLOOKUP(A73,'Données projet'!$A$165:$I$185,6,0)),0%,VLOOKUP(A73,'Données projet'!$A$165:$I$185,6,0)*VLOOKUP('Données projet'!$B$14,Paramètres!$A$1:$I$88,7,0))</f>
        <v>0.22000000000000003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projet'!$B$14,Paramètres!$A$1:$I$88,3,0)*0.475*44/12</f>
        <v>54.018282635976675</v>
      </c>
      <c r="EB73" s="23">
        <f>EXP(-LN(2)/25)*EB72+(1-EXP(-LN(2)/25))/(LN(2)/25)*Calculateur!DW73*Calculateur!DY73*VLOOKUP('Données projet'!$B$14,Paramètres!$A$1:$I$88,3,0)*0.475*44/12</f>
        <v>77.44695757849351</v>
      </c>
      <c r="EC73" s="23">
        <f>EXP(-LN(2)/2)*EC72+(1-EXP(-LN(2)/2))/(LN(2)/2)*DW73*DZ73*VLOOKUP('Données projet'!$B$14,Paramètres!$A$1:$I$88,3,0)*0.475*44/12</f>
        <v>0</v>
      </c>
      <c r="ED73" s="24">
        <f t="shared" si="72"/>
        <v>131.46524021447019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1076</v>
      </c>
      <c r="EH73" s="13">
        <f>VLOOKUP(A73,'Données projet'!$A$191:$I$211,9,0)</f>
        <v>19.399999999999999</v>
      </c>
      <c r="EI73" s="13">
        <f t="array" ref="EI73">INDEX(EH:EH,MIN(IF(ISNUMBER(EH73:EH269),ROW(EH73:EH269),"")))</f>
        <v>19.399999999999999</v>
      </c>
      <c r="EJ73" s="13">
        <f>IF('Données projet'!$A$192&gt;35,EJ72+EI73-ER72,IF(A73&lt;'Données projet'!$A$192,$EG$205^A73,IF(A73='Données projet'!$A$192,'Données projet'!$B$192,EJ72+EI73-ER72)))</f>
        <v>1076.0000000000002</v>
      </c>
      <c r="EK73" s="18">
        <f>EJ73*VLOOKUP('Données projet'!$B$15,Paramètres!$A$1:$I$88,3,0)*VLOOKUP('Données projet'!$B$15,Paramètres!$A$1:$I$88,5,0)</f>
        <v>475.59200000000016</v>
      </c>
      <c r="EL73" s="14">
        <f t="shared" si="99"/>
        <v>106.94401997971089</v>
      </c>
      <c r="EM73" s="22">
        <f t="shared" si="73"/>
        <v>1014.58356813133</v>
      </c>
      <c r="EN73" s="62">
        <f t="shared" si="74"/>
        <v>1280.9891122683396</v>
      </c>
      <c r="EO73" s="62">
        <f ca="1">AVERAGE(OFFSET($EN$3,0,0,'Données projet'!$E$15+1,1))-AVERAGE(OFFSET($H$3,0,0,'Données projet'!$E$15+1,1))</f>
        <v>582.26951914082088</v>
      </c>
      <c r="EP73" s="62">
        <f t="shared" si="100"/>
        <v>434.80429932654715</v>
      </c>
      <c r="EQ73" s="16">
        <f>IF(ISNA(VLOOKUP(A73,'Données projet'!$A$191:$I$211,3,0)),0,VLOOKUP(A73,'Données projet'!$A$191:$I$211,3,0))</f>
        <v>12</v>
      </c>
      <c r="ER73" s="16">
        <f>IF(ISNA(VLOOKUP(A73,'Données projet'!$A$191:$I$211,4,0)),0,VLOOKUP(A73,'Données projet'!$A$191:$I$211,4,0))</f>
        <v>44</v>
      </c>
      <c r="ES73" s="17">
        <f>IF(ISNA(VLOOKUP(A73,'Données projet'!$A$191:$I$211,5,0)),0%,VLOOKUP(A73,'Données projet'!$A$191:$I$211,5,0)*VLOOKUP('Données projet'!$B$15,Paramètres!$A$1:$I$88,7,0))</f>
        <v>0.33</v>
      </c>
      <c r="ET73" s="17">
        <f>IF(ISNA(VLOOKUP(A73,'Données projet'!$A$191:$I$211,6,0)),0%,VLOOKUP(A73,'Données projet'!$A$191:$I$211,6,0)*VLOOKUP('Données projet'!$B$15,Paramètres!$A$1:$I$88,7,0))</f>
        <v>0.22000000000000003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projet'!$B$15,Paramètres!$A$1:$I$88,3,0)*0.475*44/12</f>
        <v>58.348223198900492</v>
      </c>
      <c r="EW73" s="23">
        <f>EXP(-LN(2)/25)*EW72+(1-EXP(-LN(2)/25))/(LN(2)/25)*Calculateur!ER73*Calculateur!ET73*VLOOKUP('Données projet'!$B$15,Paramètres!$A$1:$I$88,3,0)*0.475*44/12</f>
        <v>72.825783516257218</v>
      </c>
      <c r="EX73" s="23">
        <f>EXP(-LN(2)/2)*EX72+(1-EXP(-LN(2)/2))/(LN(2)/2)*ER73*EU73*VLOOKUP('Données projet'!$B$15,Paramètres!$A$1:$I$88,3,0)*0.475*44/12</f>
        <v>0</v>
      </c>
      <c r="EY73" s="24">
        <f t="shared" si="75"/>
        <v>131.1740067151577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631</v>
      </c>
      <c r="FC73" s="13">
        <f>VLOOKUP(A73,'Données projet'!$A$217:$I$237,9,0)</f>
        <v>22.7</v>
      </c>
      <c r="FD73" s="13">
        <f t="array" ref="FD73">INDEX(FC:FC,MIN(IF(ISNUMBER(FC73:FC269),ROW(FC73:FC269),"")))</f>
        <v>22.7</v>
      </c>
      <c r="FE73" s="13">
        <f>IF('Données projet'!$A$218&gt;35,FE72+FD73-FM72,IF(A73&lt;'Données projet'!$A$218,$FB$205^A73,IF(A73='Données projet'!$A$218,'Données projet'!$B$218,FE72+FD73-FM72)))</f>
        <v>630.99999999999989</v>
      </c>
      <c r="FF73" s="18">
        <f>FE73*VLOOKUP('Données projet'!$B$16,Paramètres!$A$1:$I$88,3,0)*VLOOKUP('Données projet'!$B$16,Paramètres!$A$1:$I$88,5,0)</f>
        <v>295.30799999999994</v>
      </c>
      <c r="FG73" s="14">
        <f t="shared" si="101"/>
        <v>70.191939458146834</v>
      </c>
      <c r="FH73" s="22">
        <f t="shared" si="76"/>
        <v>636.57906122293889</v>
      </c>
      <c r="FI73" s="62">
        <f t="shared" si="77"/>
        <v>902.98460535994832</v>
      </c>
      <c r="FJ73" s="62">
        <f ca="1">AVERAGE(OFFSET($FI$3,0,0,'Données projet'!$E$16+1,1))-AVERAGE(OFFSET($H$3,0,0,'Données projet'!$E$16+1,1))</f>
        <v>429.87867712133851</v>
      </c>
      <c r="FK73" s="62">
        <f t="shared" si="102"/>
        <v>182.81277865988014</v>
      </c>
      <c r="FL73" s="16">
        <f>IF(ISNA(VLOOKUP(A73,'Données projet'!$A$217:$I$237,3,0)),0,VLOOKUP(A73,'Données projet'!$A$217:$I$237,3,0))</f>
        <v>4</v>
      </c>
      <c r="FM73" s="16">
        <f>IF(ISNA(VLOOKUP(A73,'Données projet'!$A$217:$I$237,4,0)),0,VLOOKUP(A73,'Données projet'!$A$217:$I$237,4,0))</f>
        <v>109</v>
      </c>
      <c r="FN73" s="17">
        <f>IF(ISNA(VLOOKUP(A73,'Données projet'!$A$217:$I$237,5,0)),0%,VLOOKUP(A73,'Données projet'!$A$217:$I$237,5,0)*VLOOKUP('Données projet'!$B$16,Paramètres!$A$1:$I$88,7,0))</f>
        <v>0.24750000000000003</v>
      </c>
      <c r="FO73" s="17">
        <f>IF(ISNA(VLOOKUP(A73,'Données projet'!$A$217:$I$237,6,0)),0%,VLOOKUP(A73,'Données projet'!$A$217:$I$237,6,0)*VLOOKUP('Données projet'!$B$16,Paramètres!$A$1:$I$88,7,0))</f>
        <v>0.30250000000000005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projet'!$B$16,Paramètres!$A$1:$I$88,3,0)*0.475*44/12</f>
        <v>27.728804536870776</v>
      </c>
      <c r="FR73" s="23">
        <f>EXP(-LN(2)/25)*FR72+(1-EXP(-LN(2)/25))/(LN(2)/25)*Calculateur!FM73*Calculateur!FO73*VLOOKUP('Données projet'!$B$16,Paramètres!$A$1:$I$88,3,0)*0.475*44/12</f>
        <v>70.40272980803914</v>
      </c>
      <c r="FS73" s="23">
        <f>EXP(-LN(2)/2)*FS72+(1-EXP(-LN(2)/2))/(LN(2)/2)*FM73*FP73*VLOOKUP('Données projet'!$B$16,Paramètres!$A$1:$I$88,3,0)*0.475*44/12</f>
        <v>0</v>
      </c>
      <c r="FT73" s="24">
        <f t="shared" si="78"/>
        <v>98.131534344909909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498.99999999999955</v>
      </c>
      <c r="GA73" s="18">
        <f>FZ73*VLOOKUP('Données projet'!$B$17,Paramètres!$A$1:$I$88,3,0)*VLOOKUP('Données projet'!$B$17,Paramètres!$A$1:$I$88,5,0)</f>
        <v>240.01899999999978</v>
      </c>
      <c r="GB73" s="14">
        <f t="shared" si="103"/>
        <v>58.443618405936313</v>
      </c>
      <c r="GC73" s="22">
        <f t="shared" si="79"/>
        <v>519.82239372367201</v>
      </c>
      <c r="GD73" s="62">
        <f t="shared" si="80"/>
        <v>786.22793786068155</v>
      </c>
      <c r="GE73" s="62">
        <f ca="1">AVERAGE(OFFSET($GD$3,0,0,'Données projet'!$E$17+1,1))-AVERAGE(OFFSET($H$3,0,0,'Données projet'!$E$17+1,1))</f>
        <v>273.24375559399846</v>
      </c>
      <c r="GF73" s="62">
        <f t="shared" si="104"/>
        <v>270.77718895097848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projet'!$B$17,Paramètres!$A$1:$I$88,3,0)*0.475*44/12</f>
        <v>39.44146081650981</v>
      </c>
      <c r="GM73" s="23">
        <f>EXP(-LN(2)/25)*GM72+(1-EXP(-LN(2)/25))/(LN(2)/25)*Calculateur!GH73*Calculateur!GJ73*VLOOKUP('Données projet'!$B$17,Paramètres!$A$1:$I$88,3,0)*0.475*44/12</f>
        <v>40.209694362621072</v>
      </c>
      <c r="GN73" s="23">
        <f>EXP(-LN(2)/2)*GN72+(1-EXP(-LN(2)/2))/(LN(2)/2)*GH73*GK73*VLOOKUP('Données projet'!$B$17,Paramètres!$A$1:$I$88,3,0)*0.475*44/12</f>
        <v>0</v>
      </c>
      <c r="GO73" s="23">
        <f t="shared" si="81"/>
        <v>79.651155179130882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550.99999999999966</v>
      </c>
      <c r="O74" s="14">
        <f>N74*VLOOKUP('Données projet'!$B$9,Paramètres!$A$1:$I$88,3,0)*VLOOKUP('Données projet'!$B$9,Paramètres!$A$1:$I$88,5,0)</f>
        <v>308.00899999999979</v>
      </c>
      <c r="P74" s="14">
        <f t="shared" si="87"/>
        <v>72.852874331417695</v>
      </c>
      <c r="Q74" s="22">
        <f t="shared" si="54"/>
        <v>663.33443112721886</v>
      </c>
      <c r="R74" s="62">
        <f t="shared" si="55"/>
        <v>930.20711220526687</v>
      </c>
      <c r="S74" s="62">
        <f ca="1">AVERAGE(OFFSET($R$3,0,0,'Données projet'!$E$9+1,1))-AVERAGE(OFFSET($H$3,0,0,'Données projet'!$E$9+1,1))</f>
        <v>289.94242154211224</v>
      </c>
      <c r="T74" s="62">
        <f t="shared" si="88"/>
        <v>369.12599166143661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59.33198209542455</v>
      </c>
      <c r="AA74" s="23">
        <f>EXP(-LN(2)/25)*AA73+(1-EXP(-LN(2)/25))/(LN(2)/25)*Calculateur!V74*Calculateur!X74*VLOOKUP('Données projet'!$B$9,Paramètres!$A$1:$I$88,3,0)*0.475*44/12</f>
        <v>49.256374888833768</v>
      </c>
      <c r="AB74" s="23">
        <f>EXP(-LN(2)/2)*AB73+(1-EXP(-LN(2)/2))/(LN(2)/2)*V74*Y74*VLOOKUP('Données projet'!$B$9,Paramètres!$A$1:$I$88,3,0)*0.475*44/12</f>
        <v>0</v>
      </c>
      <c r="AC74" s="24">
        <f t="shared" si="57"/>
        <v>108.58835698425833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7.75</v>
      </c>
      <c r="AI74" s="14">
        <f>IF('Données projet'!$A$62&gt;35,AI73+AH74-AQ73,IF(A74&lt;'Données projet'!$A$62,$AF$205^A74,IF(A74='Données projet'!$A$62,'Données projet'!$B$62,AI73+AH74-AQ73)))</f>
        <v>208.5</v>
      </c>
      <c r="AJ74" s="14">
        <f>AI74*VLOOKUP('Données projet'!$B$10,Paramètres!$A$1:$I$88,3,0)*VLOOKUP('Données projet'!$B$10,Paramètres!$A$1:$I$88,5,0)</f>
        <v>188.6508</v>
      </c>
      <c r="AK74" s="14">
        <f t="shared" si="89"/>
        <v>47.241540283224339</v>
      </c>
      <c r="AL74" s="22">
        <f t="shared" si="58"/>
        <v>410.8458259932824</v>
      </c>
      <c r="AM74" s="62">
        <f t="shared" si="59"/>
        <v>677.71850707133035</v>
      </c>
      <c r="AN74" s="62">
        <f ca="1">AVERAGE(OFFSET($AM$3,0,0,'Données projet'!$E$10+1,1))-AVERAGE(OFFSET($H$3,0,0,'Données projet'!$E$10+1,1))</f>
        <v>518.31628039365785</v>
      </c>
      <c r="AO74" s="62">
        <f t="shared" si="90"/>
        <v>66.435071953154761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15.301645335633431</v>
      </c>
      <c r="AV74" s="23">
        <f>EXP(-LN(2)/25)*AV73+(1-EXP(-LN(2)/25))/(LN(2)/25)*Calculateur!AQ74*Calculateur!AS74*VLOOKUP('Données projet'!$B$10,Paramètres!$A$1:$I$88,3,0)*0.475*44/12</f>
        <v>0</v>
      </c>
      <c r="AW74" s="23">
        <f>EXP(-LN(2)/2)*AW73+(1-EXP(-LN(2)/2))/(LN(2)/2)*AQ74*AT74*VLOOKUP('Données projet'!$B$10,Paramètres!$A$1:$I$88,3,0)*0.475*44/12</f>
        <v>0</v>
      </c>
      <c r="AX74" s="23">
        <f t="shared" si="60"/>
        <v>15.301645335633431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7.75</v>
      </c>
      <c r="BD74" s="13">
        <f>IF('Données projet'!$A$88&gt;35,BD73+BC74-BL73,IF(A74&lt;'Données projet'!$A$88,$BA$205^A74,IF(A74='Données projet'!$A$88,'Données projet'!$B$88,BD73+BC74-BL73)))</f>
        <v>208.5</v>
      </c>
      <c r="BE74" s="14">
        <f>BD74*VLOOKUP('Données projet'!$B$11,Paramètres!$A$1:$I$88,3,0)*VLOOKUP('Données projet'!$B$11,Paramètres!$A$1:$I$88,5,0)</f>
        <v>211.41900000000001</v>
      </c>
      <c r="BF74" s="14">
        <f t="shared" si="91"/>
        <v>52.245551258706243</v>
      </c>
      <c r="BG74" s="22">
        <f t="shared" si="61"/>
        <v>459.2157601089134</v>
      </c>
      <c r="BH74" s="62">
        <f t="shared" si="62"/>
        <v>726.08844118696129</v>
      </c>
      <c r="BI74" s="62">
        <f ca="1">AVERAGE(OFFSET($BH$3,0,0,'Données projet'!$E$11+1,1))-AVERAGE(OFFSET($H$3,0,0,'Données projet'!$E$11+1,1))</f>
        <v>570.2785736203931</v>
      </c>
      <c r="BJ74" s="62">
        <f t="shared" si="92"/>
        <v>67.677759965081719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17.148395634761606</v>
      </c>
      <c r="BQ74" s="23">
        <f>EXP(-LN(2)/25)*BQ73+(1-EXP(-LN(2)/25))/(LN(2)/25)*Calculateur!BL74*Calculateur!BN74*VLOOKUP('Données projet'!$B$11,Paramètres!$A$1:$I$88,3,0)*0.475*44/12</f>
        <v>0</v>
      </c>
      <c r="BR74" s="23">
        <f>EXP(-LN(2)/2)*BR73+(1-EXP(-LN(2)/2))/(LN(2)/2)*BL74*BO74*VLOOKUP('Données projet'!$B$11,Paramètres!$A$1:$I$88,3,0)*0.475*44/12</f>
        <v>0</v>
      </c>
      <c r="BS74" s="24">
        <f t="shared" si="63"/>
        <v>17.148395634761606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544.19999999999982</v>
      </c>
      <c r="BZ74" s="14">
        <f>BY74*VLOOKUP('Données projet'!$B$12,Paramètres!$A$1:$I$88,3,0)*VLOOKUP('Données projet'!$B$12,Paramètres!$A$1:$I$88,5,0)</f>
        <v>325.43159999999995</v>
      </c>
      <c r="CA74" s="14">
        <f t="shared" si="93"/>
        <v>76.482394221016762</v>
      </c>
      <c r="CB74" s="22">
        <f t="shared" si="64"/>
        <v>700.00020660160408</v>
      </c>
      <c r="CC74" s="62">
        <f t="shared" si="65"/>
        <v>966.87288767965197</v>
      </c>
      <c r="CD74" s="62">
        <f ca="1">AVERAGE(OFFSET($CC$3,0,0,'Données projet'!$E$12+1,1))-AVERAGE(OFFSET($H$3,0,0,'Données projet'!$E$12+1,1))</f>
        <v>401.1031790385295</v>
      </c>
      <c r="CE74" s="62">
        <f t="shared" si="94"/>
        <v>402.09589424130615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projet'!$B$12,Paramètres!$A$1:$I$88,3,0)*0.475*44/12</f>
        <v>16.682368036457905</v>
      </c>
      <c r="CL74" s="23">
        <f>EXP(-LN(2)/25)*CL73+(1-EXP(-LN(2)/25))/(LN(2)/25)*Calculateur!CG74*Calculateur!CI74*VLOOKUP('Données projet'!$B$12,Paramètres!$A$1:$I$88,3,0)*0.475*44/12</f>
        <v>0</v>
      </c>
      <c r="CM74" s="23">
        <f>EXP(-LN(2)/2)*CM73+(1-EXP(-LN(2)/2))/(LN(2)/2)*CG74*CJ74*VLOOKUP('Données projet'!$B$12,Paramètres!$A$1:$I$88,3,0)*0.475*44/12</f>
        <v>9.1733250667058147E-2</v>
      </c>
      <c r="CN74" s="24">
        <f t="shared" si="66"/>
        <v>16.774101287124964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544.19999999999982</v>
      </c>
      <c r="CU74" s="18">
        <f>CT74*VLOOKUP('Données projet'!$B$13,Paramètres!$A$1:$I$88,3,0)*VLOOKUP('Données projet'!$B$13,Paramètres!$A$1:$I$88,5,0)</f>
        <v>325.43159999999995</v>
      </c>
      <c r="CV74" s="14">
        <f t="shared" si="95"/>
        <v>76.482394221016762</v>
      </c>
      <c r="CW74" s="22">
        <f t="shared" si="67"/>
        <v>700.00020660160408</v>
      </c>
      <c r="CX74" s="62">
        <f t="shared" si="68"/>
        <v>966.87288767965197</v>
      </c>
      <c r="CY74" s="62">
        <f ca="1">AVERAGE(OFFSET($CX$3,0,0,'Données projet'!$E$13+1,1))-AVERAGE(OFFSET($H$3,0,0,'Données projet'!$E$13+1,1))</f>
        <v>401.1031790385295</v>
      </c>
      <c r="CZ74" s="62">
        <f t="shared" si="96"/>
        <v>402.09589424130615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projet'!$B$13,Paramètres!$A$1:$I$88,3,0)*0.475*44/12</f>
        <v>16.682368036457905</v>
      </c>
      <c r="DG74" s="23">
        <f>EXP(-LN(2)/25)*DG73+(1-EXP(-LN(2)/25))/(LN(2)/25)*Calculateur!DB74*Calculateur!DD74*VLOOKUP('Données projet'!$B$13,Paramètres!$A$1:$I$88,3,0)*0.475*44/12</f>
        <v>0</v>
      </c>
      <c r="DH74" s="23">
        <f>EXP(-LN(2)/2)*DH73+(1-EXP(-LN(2)/2))/(LN(2)/2)*DB74*DE74*VLOOKUP('Données projet'!$B$13,Paramètres!$A$1:$I$88,3,0)*0.475*44/12</f>
        <v>9.1733250667058147E-2</v>
      </c>
      <c r="DI74" s="24">
        <f t="shared" si="69"/>
        <v>16.774101287124964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19.8</v>
      </c>
      <c r="DO74" s="13">
        <f>IF('Données projet'!$A$166&gt;35,DO73+DN74-DW73,IF(A74&lt;'Données projet'!$A$166,$DL$205^A74,IF(A74='Données projet'!$A$166,'Données projet'!$B$166,DO73+DN74-DW73)))</f>
        <v>795.80000000000018</v>
      </c>
      <c r="DP74" s="18">
        <f>DO74*VLOOKUP('Données projet'!$B$14,Paramètres!$A$1:$I$88,3,0)*VLOOKUP('Données projet'!$B$14,Paramètres!$A$1:$I$88,5,0)</f>
        <v>320.70740000000012</v>
      </c>
      <c r="DQ74" s="14">
        <f t="shared" si="97"/>
        <v>75.500523068753139</v>
      </c>
      <c r="DR74" s="22">
        <f t="shared" si="70"/>
        <v>690.06213267807846</v>
      </c>
      <c r="DS74" s="62">
        <f t="shared" si="71"/>
        <v>956.93481375612646</v>
      </c>
      <c r="DT74" s="62">
        <f ca="1">AVERAGE(OFFSET($DS$3,0,0,'Données projet'!$E$14+1,1))-AVERAGE(OFFSET($H$3,0,0,'Données projet'!$E$14+1,1))</f>
        <v>432.59662347701629</v>
      </c>
      <c r="DU74" s="62">
        <f t="shared" si="98"/>
        <v>348.67401091099748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projet'!$B$14,Paramètres!$A$1:$I$88,3,0)*0.475*44/12</f>
        <v>52.959017061384245</v>
      </c>
      <c r="EB74" s="23">
        <f>EXP(-LN(2)/25)*EB73+(1-EXP(-LN(2)/25))/(LN(2)/25)*Calculateur!DW74*Calculateur!DY74*VLOOKUP('Données projet'!$B$14,Paramètres!$A$1:$I$88,3,0)*0.475*44/12</f>
        <v>75.329166450751117</v>
      </c>
      <c r="EC74" s="23">
        <f>EXP(-LN(2)/2)*EC73+(1-EXP(-LN(2)/2))/(LN(2)/2)*DW74*DZ74*VLOOKUP('Données projet'!$B$14,Paramètres!$A$1:$I$88,3,0)*0.475*44/12</f>
        <v>0</v>
      </c>
      <c r="ED74" s="24">
        <f t="shared" si="72"/>
        <v>128.28818351213536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15.8</v>
      </c>
      <c r="EJ74" s="13">
        <f>IF('Données projet'!$A$192&gt;35,EJ73+EI74-ER73,IF(A74&lt;'Données projet'!$A$192,$EG$205^A74,IF(A74='Données projet'!$A$192,'Données projet'!$B$192,EJ73+EI74-ER73)))</f>
        <v>1047.8000000000002</v>
      </c>
      <c r="EK74" s="18">
        <f>EJ74*VLOOKUP('Données projet'!$B$15,Paramètres!$A$1:$I$88,3,0)*VLOOKUP('Données projet'!$B$15,Paramètres!$A$1:$I$88,5,0)</f>
        <v>463.12760000000009</v>
      </c>
      <c r="EL74" s="14">
        <f t="shared" si="99"/>
        <v>104.46364396779043</v>
      </c>
      <c r="EM74" s="22">
        <f t="shared" si="73"/>
        <v>988.5547499105686</v>
      </c>
      <c r="EN74" s="62">
        <f t="shared" si="74"/>
        <v>1255.4274309886166</v>
      </c>
      <c r="EO74" s="62">
        <f ca="1">AVERAGE(OFFSET($EN$3,0,0,'Données projet'!$E$15+1,1))-AVERAGE(OFFSET($H$3,0,0,'Données projet'!$E$15+1,1))</f>
        <v>582.26951914082088</v>
      </c>
      <c r="EP74" s="62">
        <f t="shared" si="100"/>
        <v>434.80429932654715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projet'!$B$15,Paramètres!$A$1:$I$88,3,0)*0.475*44/12</f>
        <v>57.204050130872091</v>
      </c>
      <c r="EW74" s="23">
        <f>EXP(-LN(2)/25)*EW73+(1-EXP(-LN(2)/25))/(LN(2)/25)*Calculateur!ER74*Calculateur!ET74*VLOOKUP('Données projet'!$B$15,Paramètres!$A$1:$I$88,3,0)*0.475*44/12</f>
        <v>70.834358636263659</v>
      </c>
      <c r="EX74" s="23">
        <f>EXP(-LN(2)/2)*EX73+(1-EXP(-LN(2)/2))/(LN(2)/2)*ER74*EU74*VLOOKUP('Données projet'!$B$15,Paramètres!$A$1:$I$88,3,0)*0.475*44/12</f>
        <v>0</v>
      </c>
      <c r="EY74" s="24">
        <f t="shared" si="75"/>
        <v>128.03840876713576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21.2</v>
      </c>
      <c r="FE74" s="13">
        <f>IF('Données projet'!$A$218&gt;35,FE73+FD74-FM73,IF(A74&lt;'Données projet'!$A$218,$FB$205^A74,IF(A74='Données projet'!$A$218,'Données projet'!$B$218,FE73+FD74-FM73)))</f>
        <v>543.19999999999993</v>
      </c>
      <c r="FF74" s="18">
        <f>FE74*VLOOKUP('Données projet'!$B$16,Paramètres!$A$1:$I$88,3,0)*VLOOKUP('Données projet'!$B$16,Paramètres!$A$1:$I$88,5,0)</f>
        <v>254.21759999999998</v>
      </c>
      <c r="FG74" s="14">
        <f t="shared" si="101"/>
        <v>61.488195182366475</v>
      </c>
      <c r="FH74" s="22">
        <f t="shared" si="76"/>
        <v>549.85425994262152</v>
      </c>
      <c r="FI74" s="62">
        <f t="shared" si="77"/>
        <v>816.72694102066953</v>
      </c>
      <c r="FJ74" s="62">
        <f ca="1">AVERAGE(OFFSET($FI$3,0,0,'Données projet'!$E$16+1,1))-AVERAGE(OFFSET($H$3,0,0,'Données projet'!$E$16+1,1))</f>
        <v>429.87867712133851</v>
      </c>
      <c r="FK74" s="62">
        <f t="shared" si="102"/>
        <v>182.81277865988014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projet'!$B$16,Paramètres!$A$1:$I$88,3,0)*0.475*44/12</f>
        <v>27.185059592803498</v>
      </c>
      <c r="FR74" s="23">
        <f>EXP(-LN(2)/25)*FR73+(1-EXP(-LN(2)/25))/(LN(2)/25)*Calculateur!FM74*Calculateur!FO74*VLOOKUP('Données projet'!$B$16,Paramètres!$A$1:$I$88,3,0)*0.475*44/12</f>
        <v>68.477563459119651</v>
      </c>
      <c r="FS74" s="23">
        <f>EXP(-LN(2)/2)*FS73+(1-EXP(-LN(2)/2))/(LN(2)/2)*FM74*FP74*VLOOKUP('Données projet'!$B$16,Paramètres!$A$1:$I$88,3,0)*0.475*44/12</f>
        <v>0</v>
      </c>
      <c r="FT74" s="24">
        <f t="shared" si="78"/>
        <v>95.662623051923148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498.99999999999955</v>
      </c>
      <c r="GA74" s="18">
        <f>FZ74*VLOOKUP('Données projet'!$B$17,Paramètres!$A$1:$I$88,3,0)*VLOOKUP('Données projet'!$B$17,Paramètres!$A$1:$I$88,5,0)</f>
        <v>240.01899999999978</v>
      </c>
      <c r="GB74" s="14">
        <f t="shared" si="103"/>
        <v>58.443618405936313</v>
      </c>
      <c r="GC74" s="22">
        <f t="shared" si="79"/>
        <v>519.82239372367201</v>
      </c>
      <c r="GD74" s="62">
        <f t="shared" si="80"/>
        <v>786.69507480172001</v>
      </c>
      <c r="GE74" s="62">
        <f ca="1">AVERAGE(OFFSET($GD$3,0,0,'Données projet'!$E$17+1,1))-AVERAGE(OFFSET($H$3,0,0,'Données projet'!$E$17+1,1))</f>
        <v>273.24375559399846</v>
      </c>
      <c r="GF74" s="62">
        <f t="shared" si="104"/>
        <v>270.77718895097848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projet'!$B$17,Paramètres!$A$1:$I$88,3,0)*0.475*44/12</f>
        <v>38.66803782681373</v>
      </c>
      <c r="GM74" s="23">
        <f>EXP(-LN(2)/25)*GM73+(1-EXP(-LN(2)/25))/(LN(2)/25)*Calculateur!GH74*Calculateur!GJ74*VLOOKUP('Données projet'!$B$17,Paramètres!$A$1:$I$88,3,0)*0.475*44/12</f>
        <v>39.110158155739271</v>
      </c>
      <c r="GN74" s="23">
        <f>EXP(-LN(2)/2)*GN73+(1-EXP(-LN(2)/2))/(LN(2)/2)*GH74*GK74*VLOOKUP('Données projet'!$B$17,Paramètres!$A$1:$I$88,3,0)*0.475*44/12</f>
        <v>0</v>
      </c>
      <c r="GO74" s="23">
        <f t="shared" si="81"/>
        <v>77.778195982553001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550.99999999999966</v>
      </c>
      <c r="O75" s="14">
        <f>N75*VLOOKUP('Données projet'!$B$9,Paramètres!$A$1:$I$88,3,0)*VLOOKUP('Données projet'!$B$9,Paramètres!$A$1:$I$88,5,0)</f>
        <v>308.00899999999979</v>
      </c>
      <c r="P75" s="14">
        <f t="shared" si="87"/>
        <v>72.852874331417695</v>
      </c>
      <c r="Q75" s="22">
        <f t="shared" si="54"/>
        <v>663.33443112721886</v>
      </c>
      <c r="R75" s="62">
        <f t="shared" si="55"/>
        <v>930.66614536474003</v>
      </c>
      <c r="S75" s="62">
        <f ca="1">AVERAGE(OFFSET($R$3,0,0,'Données projet'!$E$9+1,1))-AVERAGE(OFFSET($H$3,0,0,'Données projet'!$E$9+1,1))</f>
        <v>289.94242154211224</v>
      </c>
      <c r="T75" s="62">
        <f t="shared" si="88"/>
        <v>369.12599166143661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58.168518115468991</v>
      </c>
      <c r="AA75" s="23">
        <f>EXP(-LN(2)/25)*AA74+(1-EXP(-LN(2)/25))/(LN(2)/25)*Calculateur!V75*Calculateur!X75*VLOOKUP('Données projet'!$B$9,Paramètres!$A$1:$I$88,3,0)*0.475*44/12</f>
        <v>47.909456727218434</v>
      </c>
      <c r="AB75" s="23">
        <f>EXP(-LN(2)/2)*AB74+(1-EXP(-LN(2)/2))/(LN(2)/2)*V75*Y75*VLOOKUP('Données projet'!$B$9,Paramètres!$A$1:$I$88,3,0)*0.475*44/12</f>
        <v>0</v>
      </c>
      <c r="AC75" s="24">
        <f t="shared" si="57"/>
        <v>106.07797484268742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7.75</v>
      </c>
      <c r="AI75" s="14">
        <f>IF('Données projet'!$A$62&gt;35,AI74+AH75-AQ74,IF(A75&lt;'Données projet'!$A$62,$AF$205^A75,IF(A75='Données projet'!$A$62,'Données projet'!$B$62,AI74+AH75-AQ74)))</f>
        <v>216.25</v>
      </c>
      <c r="AJ75" s="14">
        <f>AI75*VLOOKUP('Données projet'!$B$10,Paramètres!$A$1:$I$88,3,0)*VLOOKUP('Données projet'!$B$10,Paramètres!$A$1:$I$88,5,0)</f>
        <v>195.66300000000001</v>
      </c>
      <c r="AK75" s="14">
        <f t="shared" si="89"/>
        <v>48.789813644905614</v>
      </c>
      <c r="AL75" s="22">
        <f t="shared" si="58"/>
        <v>425.75531709821058</v>
      </c>
      <c r="AM75" s="62">
        <f t="shared" si="59"/>
        <v>693.08703133573169</v>
      </c>
      <c r="AN75" s="62">
        <f ca="1">AVERAGE(OFFSET($AM$3,0,0,'Données projet'!$E$10+1,1))-AVERAGE(OFFSET($H$3,0,0,'Données projet'!$E$10+1,1))</f>
        <v>518.31628039365785</v>
      </c>
      <c r="AO75" s="62">
        <f t="shared" si="90"/>
        <v>66.435071953154761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15.001589403683749</v>
      </c>
      <c r="AV75" s="23">
        <f>EXP(-LN(2)/25)*AV74+(1-EXP(-LN(2)/25))/(LN(2)/25)*Calculateur!AQ75*Calculateur!AS75*VLOOKUP('Données projet'!$B$10,Paramètres!$A$1:$I$88,3,0)*0.475*44/12</f>
        <v>0</v>
      </c>
      <c r="AW75" s="23">
        <f>EXP(-LN(2)/2)*AW74+(1-EXP(-LN(2)/2))/(LN(2)/2)*AQ75*AT75*VLOOKUP('Données projet'!$B$10,Paramètres!$A$1:$I$88,3,0)*0.475*44/12</f>
        <v>0</v>
      </c>
      <c r="AX75" s="23">
        <f t="shared" si="60"/>
        <v>15.001589403683749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7.75</v>
      </c>
      <c r="BD75" s="13">
        <f>IF('Données projet'!$A$88&gt;35,BD74+BC75-BL74,IF(A75&lt;'Données projet'!$A$88,$BA$205^A75,IF(A75='Données projet'!$A$88,'Données projet'!$B$88,BD74+BC75-BL74)))</f>
        <v>216.25</v>
      </c>
      <c r="BE75" s="14">
        <f>BD75*VLOOKUP('Données projet'!$B$11,Paramètres!$A$1:$I$88,3,0)*VLOOKUP('Données projet'!$B$11,Paramètres!$A$1:$I$88,5,0)</f>
        <v>219.2775</v>
      </c>
      <c r="BF75" s="14">
        <f t="shared" si="91"/>
        <v>53.957823864452138</v>
      </c>
      <c r="BG75" s="22">
        <f t="shared" si="61"/>
        <v>475.8848557305875</v>
      </c>
      <c r="BH75" s="62">
        <f t="shared" si="62"/>
        <v>743.21656996810862</v>
      </c>
      <c r="BI75" s="62">
        <f ca="1">AVERAGE(OFFSET($BH$3,0,0,'Données projet'!$E$11+1,1))-AVERAGE(OFFSET($H$3,0,0,'Données projet'!$E$11+1,1))</f>
        <v>570.2785736203931</v>
      </c>
      <c r="BJ75" s="62">
        <f t="shared" si="92"/>
        <v>67.677759965081719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16.812126055852477</v>
      </c>
      <c r="BQ75" s="23">
        <f>EXP(-LN(2)/25)*BQ74+(1-EXP(-LN(2)/25))/(LN(2)/25)*Calculateur!BL75*Calculateur!BN75*VLOOKUP('Données projet'!$B$11,Paramètres!$A$1:$I$88,3,0)*0.475*44/12</f>
        <v>0</v>
      </c>
      <c r="BR75" s="23">
        <f>EXP(-LN(2)/2)*BR74+(1-EXP(-LN(2)/2))/(LN(2)/2)*BL75*BO75*VLOOKUP('Données projet'!$B$11,Paramètres!$A$1:$I$88,3,0)*0.475*44/12</f>
        <v>0</v>
      </c>
      <c r="BS75" s="24">
        <f t="shared" si="63"/>
        <v>16.812126055852477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544.19999999999982</v>
      </c>
      <c r="BZ75" s="14">
        <f>BY75*VLOOKUP('Données projet'!$B$12,Paramètres!$A$1:$I$88,3,0)*VLOOKUP('Données projet'!$B$12,Paramètres!$A$1:$I$88,5,0)</f>
        <v>325.43159999999995</v>
      </c>
      <c r="CA75" s="14">
        <f t="shared" si="93"/>
        <v>76.482394221016762</v>
      </c>
      <c r="CB75" s="22">
        <f t="shared" si="64"/>
        <v>700.00020660160408</v>
      </c>
      <c r="CC75" s="62">
        <f t="shared" si="65"/>
        <v>967.33192083912513</v>
      </c>
      <c r="CD75" s="62">
        <f ca="1">AVERAGE(OFFSET($CC$3,0,0,'Données projet'!$E$12+1,1))-AVERAGE(OFFSET($H$3,0,0,'Données projet'!$E$12+1,1))</f>
        <v>401.1031790385295</v>
      </c>
      <c r="CE75" s="62">
        <f t="shared" si="94"/>
        <v>402.09589424130615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projet'!$B$12,Paramètres!$A$1:$I$88,3,0)*0.475*44/12</f>
        <v>16.355236974502748</v>
      </c>
      <c r="CL75" s="23">
        <f>EXP(-LN(2)/25)*CL74+(1-EXP(-LN(2)/25))/(LN(2)/25)*Calculateur!CG75*Calculateur!CI75*VLOOKUP('Données projet'!$B$12,Paramètres!$A$1:$I$88,3,0)*0.475*44/12</f>
        <v>0</v>
      </c>
      <c r="CM75" s="23">
        <f>EXP(-LN(2)/2)*CM74+(1-EXP(-LN(2)/2))/(LN(2)/2)*CG75*CJ75*VLOOKUP('Données projet'!$B$12,Paramètres!$A$1:$I$88,3,0)*0.475*44/12</f>
        <v>6.4865203606962199E-2</v>
      </c>
      <c r="CN75" s="24">
        <f t="shared" si="66"/>
        <v>16.420102178109712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544.19999999999982</v>
      </c>
      <c r="CU75" s="18">
        <f>CT75*VLOOKUP('Données projet'!$B$13,Paramètres!$A$1:$I$88,3,0)*VLOOKUP('Données projet'!$B$13,Paramètres!$A$1:$I$88,5,0)</f>
        <v>325.43159999999995</v>
      </c>
      <c r="CV75" s="14">
        <f t="shared" si="95"/>
        <v>76.482394221016762</v>
      </c>
      <c r="CW75" s="22">
        <f t="shared" si="67"/>
        <v>700.00020660160408</v>
      </c>
      <c r="CX75" s="62">
        <f t="shared" si="68"/>
        <v>967.33192083912513</v>
      </c>
      <c r="CY75" s="62">
        <f ca="1">AVERAGE(OFFSET($CX$3,0,0,'Données projet'!$E$13+1,1))-AVERAGE(OFFSET($H$3,0,0,'Données projet'!$E$13+1,1))</f>
        <v>401.1031790385295</v>
      </c>
      <c r="CZ75" s="62">
        <f t="shared" si="96"/>
        <v>402.09589424130615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projet'!$B$13,Paramètres!$A$1:$I$88,3,0)*0.475*44/12</f>
        <v>16.355236974502748</v>
      </c>
      <c r="DG75" s="23">
        <f>EXP(-LN(2)/25)*DG74+(1-EXP(-LN(2)/25))/(LN(2)/25)*Calculateur!DB75*Calculateur!DD75*VLOOKUP('Données projet'!$B$13,Paramètres!$A$1:$I$88,3,0)*0.475*44/12</f>
        <v>0</v>
      </c>
      <c r="DH75" s="23">
        <f>EXP(-LN(2)/2)*DH74+(1-EXP(-LN(2)/2))/(LN(2)/2)*DB75*DE75*VLOOKUP('Données projet'!$B$13,Paramètres!$A$1:$I$88,3,0)*0.475*44/12</f>
        <v>6.4865203606962199E-2</v>
      </c>
      <c r="DI75" s="24">
        <f t="shared" si="69"/>
        <v>16.420102178109712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19.8</v>
      </c>
      <c r="DO75" s="13">
        <f>IF('Données projet'!$A$166&gt;35,DO74+DN75-DW74,IF(A75&lt;'Données projet'!$A$166,$DL$205^A75,IF(A75='Données projet'!$A$166,'Données projet'!$B$166,DO74+DN75-DW74)))</f>
        <v>815.60000000000014</v>
      </c>
      <c r="DP75" s="18">
        <f>DO75*VLOOKUP('Données projet'!$B$14,Paramètres!$A$1:$I$88,3,0)*VLOOKUP('Données projet'!$B$14,Paramètres!$A$1:$I$88,5,0)</f>
        <v>328.68680000000006</v>
      </c>
      <c r="DQ75" s="14">
        <f t="shared" si="97"/>
        <v>77.157984158488333</v>
      </c>
      <c r="DR75" s="22">
        <f t="shared" si="70"/>
        <v>706.84633240936728</v>
      </c>
      <c r="DS75" s="62">
        <f t="shared" si="71"/>
        <v>974.17804664688833</v>
      </c>
      <c r="DT75" s="62">
        <f ca="1">AVERAGE(OFFSET($DS$3,0,0,'Données projet'!$E$14+1,1))-AVERAGE(OFFSET($H$3,0,0,'Données projet'!$E$14+1,1))</f>
        <v>432.59662347701629</v>
      </c>
      <c r="DU75" s="62">
        <f t="shared" si="98"/>
        <v>348.67401091099748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projet'!$B$14,Paramètres!$A$1:$I$88,3,0)*0.475*44/12</f>
        <v>51.920523038621369</v>
      </c>
      <c r="EB75" s="23">
        <f>EXP(-LN(2)/25)*EB74+(1-EXP(-LN(2)/25))/(LN(2)/25)*Calculateur!DW75*Calculateur!DY75*VLOOKUP('Données projet'!$B$14,Paramètres!$A$1:$I$88,3,0)*0.475*44/12</f>
        <v>73.269286432766634</v>
      </c>
      <c r="EC75" s="23">
        <f>EXP(-LN(2)/2)*EC74+(1-EXP(-LN(2)/2))/(LN(2)/2)*DW75*DZ75*VLOOKUP('Données projet'!$B$14,Paramètres!$A$1:$I$88,3,0)*0.475*44/12</f>
        <v>0</v>
      </c>
      <c r="ED75" s="24">
        <f t="shared" si="72"/>
        <v>125.189809471388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15.8</v>
      </c>
      <c r="EJ75" s="13">
        <f>IF('Données projet'!$A$192&gt;35,EJ74+EI75-ER74,IF(A75&lt;'Données projet'!$A$192,$EG$205^A75,IF(A75='Données projet'!$A$192,'Données projet'!$B$192,EJ74+EI75-ER74)))</f>
        <v>1063.6000000000001</v>
      </c>
      <c r="EK75" s="18">
        <f>EJ75*VLOOKUP('Données projet'!$B$15,Paramètres!$A$1:$I$88,3,0)*VLOOKUP('Données projet'!$B$15,Paramètres!$A$1:$I$88,5,0)</f>
        <v>470.11120000000011</v>
      </c>
      <c r="EL75" s="14">
        <f t="shared" si="99"/>
        <v>105.85430212067986</v>
      </c>
      <c r="EM75" s="22">
        <f t="shared" si="73"/>
        <v>1003.1399161935175</v>
      </c>
      <c r="EN75" s="62">
        <f t="shared" si="74"/>
        <v>1270.4716304310386</v>
      </c>
      <c r="EO75" s="62">
        <f ca="1">AVERAGE(OFFSET($EN$3,0,0,'Données projet'!$E$15+1,1))-AVERAGE(OFFSET($H$3,0,0,'Données projet'!$E$15+1,1))</f>
        <v>582.26951914082088</v>
      </c>
      <c r="EP75" s="62">
        <f t="shared" si="100"/>
        <v>434.80429932654715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projet'!$B$15,Paramètres!$A$1:$I$88,3,0)*0.475*44/12</f>
        <v>56.082313598831064</v>
      </c>
      <c r="EW75" s="23">
        <f>EXP(-LN(2)/25)*EW74+(1-EXP(-LN(2)/25))/(LN(2)/25)*Calculateur!ER75*Calculateur!ET75*VLOOKUP('Données projet'!$B$15,Paramètres!$A$1:$I$88,3,0)*0.475*44/12</f>
        <v>68.897389374338005</v>
      </c>
      <c r="EX75" s="23">
        <f>EXP(-LN(2)/2)*EX74+(1-EXP(-LN(2)/2))/(LN(2)/2)*ER75*EU75*VLOOKUP('Données projet'!$B$15,Paramètres!$A$1:$I$88,3,0)*0.475*44/12</f>
        <v>0</v>
      </c>
      <c r="EY75" s="24">
        <f t="shared" si="75"/>
        <v>124.97970297316907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21.2</v>
      </c>
      <c r="FE75" s="13">
        <f>IF('Données projet'!$A$218&gt;35,FE74+FD75-FM74,IF(A75&lt;'Données projet'!$A$218,$FB$205^A75,IF(A75='Données projet'!$A$218,'Données projet'!$B$218,FE74+FD75-FM74)))</f>
        <v>564.4</v>
      </c>
      <c r="FF75" s="18">
        <f>FE75*VLOOKUP('Données projet'!$B$16,Paramètres!$A$1:$I$88,3,0)*VLOOKUP('Données projet'!$B$16,Paramètres!$A$1:$I$88,5,0)</f>
        <v>264.13920000000002</v>
      </c>
      <c r="FG75" s="14">
        <f t="shared" si="101"/>
        <v>63.60387543087441</v>
      </c>
      <c r="FH75" s="22">
        <f t="shared" si="76"/>
        <v>570.81918970877302</v>
      </c>
      <c r="FI75" s="62">
        <f t="shared" si="77"/>
        <v>838.15090394629419</v>
      </c>
      <c r="FJ75" s="62">
        <f ca="1">AVERAGE(OFFSET($FI$3,0,0,'Données projet'!$E$16+1,1))-AVERAGE(OFFSET($H$3,0,0,'Données projet'!$E$16+1,1))</f>
        <v>429.87867712133851</v>
      </c>
      <c r="FK75" s="62">
        <f t="shared" si="102"/>
        <v>182.81277865988014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projet'!$B$16,Paramètres!$A$1:$I$88,3,0)*0.475*44/12</f>
        <v>26.651977155437709</v>
      </c>
      <c r="FR75" s="23">
        <f>EXP(-LN(2)/25)*FR74+(1-EXP(-LN(2)/25))/(LN(2)/25)*Calculateur!FM75*Calculateur!FO75*VLOOKUP('Données projet'!$B$16,Paramètres!$A$1:$I$88,3,0)*0.475*44/12</f>
        <v>66.605040885251469</v>
      </c>
      <c r="FS75" s="23">
        <f>EXP(-LN(2)/2)*FS74+(1-EXP(-LN(2)/2))/(LN(2)/2)*FM75*FP75*VLOOKUP('Données projet'!$B$16,Paramètres!$A$1:$I$88,3,0)*0.475*44/12</f>
        <v>0</v>
      </c>
      <c r="FT75" s="24">
        <f t="shared" si="78"/>
        <v>93.257018040689175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498.99999999999955</v>
      </c>
      <c r="GA75" s="18">
        <f>FZ75*VLOOKUP('Données projet'!$B$17,Paramètres!$A$1:$I$88,3,0)*VLOOKUP('Données projet'!$B$17,Paramètres!$A$1:$I$88,5,0)</f>
        <v>240.01899999999978</v>
      </c>
      <c r="GB75" s="14">
        <f t="shared" si="103"/>
        <v>58.443618405936313</v>
      </c>
      <c r="GC75" s="22">
        <f t="shared" si="79"/>
        <v>519.82239372367201</v>
      </c>
      <c r="GD75" s="62">
        <f t="shared" si="80"/>
        <v>787.15410796119318</v>
      </c>
      <c r="GE75" s="62">
        <f ca="1">AVERAGE(OFFSET($GD$3,0,0,'Données projet'!$E$17+1,1))-AVERAGE(OFFSET($H$3,0,0,'Données projet'!$E$17+1,1))</f>
        <v>273.24375559399846</v>
      </c>
      <c r="GF75" s="62">
        <f t="shared" si="104"/>
        <v>270.77718895097848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projet'!$B$17,Paramètres!$A$1:$I$88,3,0)*0.475*44/12</f>
        <v>37.909781190204143</v>
      </c>
      <c r="GM75" s="23">
        <f>EXP(-LN(2)/25)*GM74+(1-EXP(-LN(2)/25))/(LN(2)/25)*Calculateur!GH75*Calculateur!GJ75*VLOOKUP('Données projet'!$B$17,Paramètres!$A$1:$I$88,3,0)*0.475*44/12</f>
        <v>38.040688824256748</v>
      </c>
      <c r="GN75" s="23">
        <f>EXP(-LN(2)/2)*GN74+(1-EXP(-LN(2)/2))/(LN(2)/2)*GH75*GK75*VLOOKUP('Données projet'!$B$17,Paramètres!$A$1:$I$88,3,0)*0.475*44/12</f>
        <v>0</v>
      </c>
      <c r="GO75" s="23">
        <f t="shared" si="81"/>
        <v>75.95047001446089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550.99999999999966</v>
      </c>
      <c r="O76" s="14">
        <f>N76*VLOOKUP('Données projet'!$B$9,Paramètres!$A$1:$I$88,3,0)*VLOOKUP('Données projet'!$B$9,Paramètres!$A$1:$I$88,5,0)</f>
        <v>308.00899999999979</v>
      </c>
      <c r="P76" s="14">
        <f t="shared" si="87"/>
        <v>72.852874331417695</v>
      </c>
      <c r="Q76" s="22">
        <f t="shared" si="54"/>
        <v>663.33443112721886</v>
      </c>
      <c r="R76" s="62">
        <f t="shared" si="55"/>
        <v>931.11721532514071</v>
      </c>
      <c r="S76" s="62">
        <f ca="1">AVERAGE(OFFSET($R$3,0,0,'Données projet'!$E$9+1,1))-AVERAGE(OFFSET($H$3,0,0,'Données projet'!$E$9+1,1))</f>
        <v>289.94242154211224</v>
      </c>
      <c r="T76" s="62">
        <f t="shared" si="88"/>
        <v>369.12599166143661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57.027868954517409</v>
      </c>
      <c r="AA76" s="23">
        <f>EXP(-LN(2)/25)*AA75+(1-EXP(-LN(2)/25))/(LN(2)/25)*Calculateur!V76*Calculateur!X76*VLOOKUP('Données projet'!$B$9,Paramètres!$A$1:$I$88,3,0)*0.475*44/12</f>
        <v>46.599370113563815</v>
      </c>
      <c r="AB76" s="23">
        <f>EXP(-LN(2)/2)*AB75+(1-EXP(-LN(2)/2))/(LN(2)/2)*V76*Y76*VLOOKUP('Données projet'!$B$9,Paramètres!$A$1:$I$88,3,0)*0.475*44/12</f>
        <v>0</v>
      </c>
      <c r="AC76" s="24">
        <f t="shared" si="57"/>
        <v>103.62723906808122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7.75</v>
      </c>
      <c r="AI76" s="14">
        <f>IF('Données projet'!$A$62&gt;35,AI75+AH76-AQ75,IF(A76&lt;'Données projet'!$A$62,$AF$205^A76,IF(A76='Données projet'!$A$62,'Données projet'!$B$62,AI75+AH76-AQ75)))</f>
        <v>224</v>
      </c>
      <c r="AJ76" s="14">
        <f>AI76*VLOOKUP('Données projet'!$B$10,Paramètres!$A$1:$I$88,3,0)*VLOOKUP('Données projet'!$B$10,Paramètres!$A$1:$I$88,5,0)</f>
        <v>202.67519999999999</v>
      </c>
      <c r="AK76" s="14">
        <f t="shared" si="89"/>
        <v>50.33164028531364</v>
      </c>
      <c r="AL76" s="22">
        <f t="shared" si="58"/>
        <v>440.65358016358783</v>
      </c>
      <c r="AM76" s="62">
        <f t="shared" si="59"/>
        <v>708.43636436150962</v>
      </c>
      <c r="AN76" s="62">
        <f ca="1">AVERAGE(OFFSET($AM$3,0,0,'Données projet'!$E$10+1,1))-AVERAGE(OFFSET($H$3,0,0,'Données projet'!$E$10+1,1))</f>
        <v>518.31628039365785</v>
      </c>
      <c r="AO76" s="62">
        <f t="shared" si="90"/>
        <v>66.435071953154761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14.707417385543552</v>
      </c>
      <c r="AV76" s="23">
        <f>EXP(-LN(2)/25)*AV75+(1-EXP(-LN(2)/25))/(LN(2)/25)*Calculateur!AQ76*Calculateur!AS76*VLOOKUP('Données projet'!$B$10,Paramètres!$A$1:$I$88,3,0)*0.475*44/12</f>
        <v>0</v>
      </c>
      <c r="AW76" s="23">
        <f>EXP(-LN(2)/2)*AW75+(1-EXP(-LN(2)/2))/(LN(2)/2)*AQ76*AT76*VLOOKUP('Données projet'!$B$10,Paramètres!$A$1:$I$88,3,0)*0.475*44/12</f>
        <v>0</v>
      </c>
      <c r="AX76" s="23">
        <f t="shared" si="60"/>
        <v>14.707417385543552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7.75</v>
      </c>
      <c r="BD76" s="13">
        <f>IF('Données projet'!$A$88&gt;35,BD75+BC76-BL75,IF(A76&lt;'Données projet'!$A$88,$BA$205^A76,IF(A76='Données projet'!$A$88,'Données projet'!$B$88,BD75+BC76-BL75)))</f>
        <v>224</v>
      </c>
      <c r="BE76" s="14">
        <f>BD76*VLOOKUP('Données projet'!$B$11,Paramètres!$A$1:$I$88,3,0)*VLOOKUP('Données projet'!$B$11,Paramètres!$A$1:$I$88,5,0)</f>
        <v>227.136</v>
      </c>
      <c r="BF76" s="14">
        <f t="shared" si="91"/>
        <v>55.662966886685133</v>
      </c>
      <c r="BG76" s="22">
        <f t="shared" si="61"/>
        <v>492.54153399430999</v>
      </c>
      <c r="BH76" s="62">
        <f t="shared" si="62"/>
        <v>760.32431819223177</v>
      </c>
      <c r="BI76" s="62">
        <f ca="1">AVERAGE(OFFSET($BH$3,0,0,'Données projet'!$E$11+1,1))-AVERAGE(OFFSET($H$3,0,0,'Données projet'!$E$11+1,1))</f>
        <v>570.2785736203931</v>
      </c>
      <c r="BJ76" s="62">
        <f t="shared" si="92"/>
        <v>67.677759965081719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16.482450518281567</v>
      </c>
      <c r="BQ76" s="23">
        <f>EXP(-LN(2)/25)*BQ75+(1-EXP(-LN(2)/25))/(LN(2)/25)*Calculateur!BL76*Calculateur!BN76*VLOOKUP('Données projet'!$B$11,Paramètres!$A$1:$I$88,3,0)*0.475*44/12</f>
        <v>0</v>
      </c>
      <c r="BR76" s="23">
        <f>EXP(-LN(2)/2)*BR75+(1-EXP(-LN(2)/2))/(LN(2)/2)*BL76*BO76*VLOOKUP('Données projet'!$B$11,Paramètres!$A$1:$I$88,3,0)*0.475*44/12</f>
        <v>0</v>
      </c>
      <c r="BS76" s="24">
        <f t="shared" si="63"/>
        <v>16.482450518281567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544.19999999999982</v>
      </c>
      <c r="BZ76" s="14">
        <f>BY76*VLOOKUP('Données projet'!$B$12,Paramètres!$A$1:$I$88,3,0)*VLOOKUP('Données projet'!$B$12,Paramètres!$A$1:$I$88,5,0)</f>
        <v>325.43159999999995</v>
      </c>
      <c r="CA76" s="14">
        <f t="shared" si="93"/>
        <v>76.482394221016762</v>
      </c>
      <c r="CB76" s="22">
        <f t="shared" si="64"/>
        <v>700.00020660160408</v>
      </c>
      <c r="CC76" s="62">
        <f t="shared" si="65"/>
        <v>967.78299079952581</v>
      </c>
      <c r="CD76" s="62">
        <f ca="1">AVERAGE(OFFSET($CC$3,0,0,'Données projet'!$E$12+1,1))-AVERAGE(OFFSET($H$3,0,0,'Données projet'!$E$12+1,1))</f>
        <v>401.1031790385295</v>
      </c>
      <c r="CE76" s="62">
        <f t="shared" si="94"/>
        <v>402.09589424130615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projet'!$B$12,Paramètres!$A$1:$I$88,3,0)*0.475*44/12</f>
        <v>16.034520753142285</v>
      </c>
      <c r="CL76" s="23">
        <f>EXP(-LN(2)/25)*CL75+(1-EXP(-LN(2)/25))/(LN(2)/25)*Calculateur!CG76*Calculateur!CI76*VLOOKUP('Données projet'!$B$12,Paramètres!$A$1:$I$88,3,0)*0.475*44/12</f>
        <v>0</v>
      </c>
      <c r="CM76" s="23">
        <f>EXP(-LN(2)/2)*CM75+(1-EXP(-LN(2)/2))/(LN(2)/2)*CG76*CJ76*VLOOKUP('Données projet'!$B$12,Paramètres!$A$1:$I$88,3,0)*0.475*44/12</f>
        <v>4.5866625333529074E-2</v>
      </c>
      <c r="CN76" s="24">
        <f t="shared" si="66"/>
        <v>16.080387378475812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544.19999999999982</v>
      </c>
      <c r="CU76" s="18">
        <f>CT76*VLOOKUP('Données projet'!$B$13,Paramètres!$A$1:$I$88,3,0)*VLOOKUP('Données projet'!$B$13,Paramètres!$A$1:$I$88,5,0)</f>
        <v>325.43159999999995</v>
      </c>
      <c r="CV76" s="14">
        <f t="shared" si="95"/>
        <v>76.482394221016762</v>
      </c>
      <c r="CW76" s="22">
        <f t="shared" si="67"/>
        <v>700.00020660160408</v>
      </c>
      <c r="CX76" s="62">
        <f t="shared" si="68"/>
        <v>967.78299079952581</v>
      </c>
      <c r="CY76" s="62">
        <f ca="1">AVERAGE(OFFSET($CX$3,0,0,'Données projet'!$E$13+1,1))-AVERAGE(OFFSET($H$3,0,0,'Données projet'!$E$13+1,1))</f>
        <v>401.1031790385295</v>
      </c>
      <c r="CZ76" s="62">
        <f t="shared" si="96"/>
        <v>402.09589424130615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projet'!$B$13,Paramètres!$A$1:$I$88,3,0)*0.475*44/12</f>
        <v>16.034520753142285</v>
      </c>
      <c r="DG76" s="23">
        <f>EXP(-LN(2)/25)*DG75+(1-EXP(-LN(2)/25))/(LN(2)/25)*Calculateur!DB76*Calculateur!DD76*VLOOKUP('Données projet'!$B$13,Paramètres!$A$1:$I$88,3,0)*0.475*44/12</f>
        <v>0</v>
      </c>
      <c r="DH76" s="23">
        <f>EXP(-LN(2)/2)*DH75+(1-EXP(-LN(2)/2))/(LN(2)/2)*DB76*DE76*VLOOKUP('Données projet'!$B$13,Paramètres!$A$1:$I$88,3,0)*0.475*44/12</f>
        <v>4.5866625333529074E-2</v>
      </c>
      <c r="DI76" s="24">
        <f t="shared" si="69"/>
        <v>16.080387378475812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19.8</v>
      </c>
      <c r="DO76" s="13">
        <f>IF('Données projet'!$A$166&gt;35,DO75+DN76-DW75,IF(A76&lt;'Données projet'!$A$166,$DL$205^A76,IF(A76='Données projet'!$A$166,'Données projet'!$B$166,DO75+DN76-DW75)))</f>
        <v>835.40000000000009</v>
      </c>
      <c r="DP76" s="18">
        <f>DO76*VLOOKUP('Données projet'!$B$14,Paramètres!$A$1:$I$88,3,0)*VLOOKUP('Données projet'!$B$14,Paramètres!$A$1:$I$88,5,0)</f>
        <v>336.66620000000006</v>
      </c>
      <c r="DQ76" s="14">
        <f t="shared" si="97"/>
        <v>78.810767725431589</v>
      </c>
      <c r="DR76" s="22">
        <f t="shared" si="70"/>
        <v>723.62238545512685</v>
      </c>
      <c r="DS76" s="62">
        <f t="shared" si="71"/>
        <v>991.40516965304869</v>
      </c>
      <c r="DT76" s="62">
        <f ca="1">AVERAGE(OFFSET($DS$3,0,0,'Données projet'!$E$14+1,1))-AVERAGE(OFFSET($H$3,0,0,'Données projet'!$E$14+1,1))</f>
        <v>432.59662347701629</v>
      </c>
      <c r="DU76" s="62">
        <f t="shared" si="98"/>
        <v>348.67401091099748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projet'!$B$14,Paramètres!$A$1:$I$88,3,0)*0.475*44/12</f>
        <v>50.902393250226062</v>
      </c>
      <c r="EB76" s="23">
        <f>EXP(-LN(2)/25)*EB75+(1-EXP(-LN(2)/25))/(LN(2)/25)*Calculateur!DW76*Calculateur!DY76*VLOOKUP('Données projet'!$B$14,Paramètres!$A$1:$I$88,3,0)*0.475*44/12</f>
        <v>71.26573394219831</v>
      </c>
      <c r="EC76" s="23">
        <f>EXP(-LN(2)/2)*EC75+(1-EXP(-LN(2)/2))/(LN(2)/2)*DW76*DZ76*VLOOKUP('Données projet'!$B$14,Paramètres!$A$1:$I$88,3,0)*0.475*44/12</f>
        <v>0</v>
      </c>
      <c r="ED76" s="24">
        <f t="shared" si="72"/>
        <v>122.16812719242438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15.8</v>
      </c>
      <c r="EJ76" s="13">
        <f>IF('Données projet'!$A$192&gt;35,EJ75+EI76-ER75,IF(A76&lt;'Données projet'!$A$192,$EG$205^A76,IF(A76='Données projet'!$A$192,'Données projet'!$B$192,EJ75+EI76-ER75)))</f>
        <v>1079.4000000000001</v>
      </c>
      <c r="EK76" s="18">
        <f>EJ76*VLOOKUP('Données projet'!$B$15,Paramètres!$A$1:$I$88,3,0)*VLOOKUP('Données projet'!$B$15,Paramètres!$A$1:$I$88,5,0)</f>
        <v>477.09480000000008</v>
      </c>
      <c r="EL76" s="14">
        <f t="shared" si="99"/>
        <v>107.2425576065389</v>
      </c>
      <c r="EM76" s="22">
        <f t="shared" si="73"/>
        <v>1017.7208978313887</v>
      </c>
      <c r="EN76" s="62">
        <f t="shared" si="74"/>
        <v>1285.5036820293105</v>
      </c>
      <c r="EO76" s="62">
        <f ca="1">AVERAGE(OFFSET($EN$3,0,0,'Données projet'!$E$15+1,1))-AVERAGE(OFFSET($H$3,0,0,'Données projet'!$E$15+1,1))</f>
        <v>582.26951914082088</v>
      </c>
      <c r="EP76" s="62">
        <f t="shared" si="100"/>
        <v>434.80429932654715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projet'!$B$15,Paramètres!$A$1:$I$88,3,0)*0.475*44/12</f>
        <v>54.982573635991635</v>
      </c>
      <c r="EW76" s="23">
        <f>EXP(-LN(2)/25)*EW75+(1-EXP(-LN(2)/25))/(LN(2)/25)*Calculateur!ER76*Calculateur!ET76*VLOOKUP('Données projet'!$B$15,Paramètres!$A$1:$I$88,3,0)*0.475*44/12</f>
        <v>67.013386638740485</v>
      </c>
      <c r="EX76" s="23">
        <f>EXP(-LN(2)/2)*EX75+(1-EXP(-LN(2)/2))/(LN(2)/2)*ER76*EU76*VLOOKUP('Données projet'!$B$15,Paramètres!$A$1:$I$88,3,0)*0.475*44/12</f>
        <v>0</v>
      </c>
      <c r="EY76" s="24">
        <f t="shared" si="75"/>
        <v>121.99596027473211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21.2</v>
      </c>
      <c r="FE76" s="13">
        <f>IF('Données projet'!$A$218&gt;35,FE75+FD76-FM75,IF(A76&lt;'Données projet'!$A$218,$FB$205^A76,IF(A76='Données projet'!$A$218,'Données projet'!$B$218,FE75+FD76-FM75)))</f>
        <v>585.6</v>
      </c>
      <c r="FF76" s="18">
        <f>FE76*VLOOKUP('Données projet'!$B$16,Paramètres!$A$1:$I$88,3,0)*VLOOKUP('Données projet'!$B$16,Paramètres!$A$1:$I$88,5,0)</f>
        <v>274.06080000000003</v>
      </c>
      <c r="FG76" s="14">
        <f t="shared" si="101"/>
        <v>65.710323362952991</v>
      </c>
      <c r="FH76" s="22">
        <f t="shared" si="76"/>
        <v>591.76803985714309</v>
      </c>
      <c r="FI76" s="62">
        <f t="shared" si="77"/>
        <v>859.55082405506482</v>
      </c>
      <c r="FJ76" s="62">
        <f ca="1">AVERAGE(OFFSET($FI$3,0,0,'Données projet'!$E$16+1,1))-AVERAGE(OFFSET($H$3,0,0,'Données projet'!$E$16+1,1))</f>
        <v>429.87867712133851</v>
      </c>
      <c r="FK76" s="62">
        <f t="shared" si="102"/>
        <v>182.81277865988014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projet'!$B$16,Paramètres!$A$1:$I$88,3,0)*0.475*44/12</f>
        <v>26.129348139520484</v>
      </c>
      <c r="FR76" s="23">
        <f>EXP(-LN(2)/25)*FR75+(1-EXP(-LN(2)/25))/(LN(2)/25)*Calculateur!FM76*Calculateur!FO76*VLOOKUP('Données projet'!$B$16,Paramètres!$A$1:$I$88,3,0)*0.475*44/12</f>
        <v>64.783722539637395</v>
      </c>
      <c r="FS76" s="23">
        <f>EXP(-LN(2)/2)*FS75+(1-EXP(-LN(2)/2))/(LN(2)/2)*FM76*FP76*VLOOKUP('Données projet'!$B$16,Paramètres!$A$1:$I$88,3,0)*0.475*44/12</f>
        <v>0</v>
      </c>
      <c r="FT76" s="24">
        <f t="shared" si="78"/>
        <v>90.913070679157883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498.99999999999955</v>
      </c>
      <c r="GA76" s="18">
        <f>FZ76*VLOOKUP('Données projet'!$B$17,Paramètres!$A$1:$I$88,3,0)*VLOOKUP('Données projet'!$B$17,Paramètres!$A$1:$I$88,5,0)</f>
        <v>240.01899999999978</v>
      </c>
      <c r="GB76" s="14">
        <f t="shared" si="103"/>
        <v>58.443618405936313</v>
      </c>
      <c r="GC76" s="22">
        <f t="shared" si="79"/>
        <v>519.82239372367201</v>
      </c>
      <c r="GD76" s="62">
        <f t="shared" si="80"/>
        <v>787.60517792159385</v>
      </c>
      <c r="GE76" s="62">
        <f ca="1">AVERAGE(OFFSET($GD$3,0,0,'Données projet'!$E$17+1,1))-AVERAGE(OFFSET($H$3,0,0,'Données projet'!$E$17+1,1))</f>
        <v>273.24375559399846</v>
      </c>
      <c r="GF76" s="62">
        <f t="shared" si="104"/>
        <v>270.77718895097848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projet'!$B$17,Paramètres!$A$1:$I$88,3,0)*0.475*44/12</f>
        <v>37.166393503747592</v>
      </c>
      <c r="GM76" s="23">
        <f>EXP(-LN(2)/25)*GM75+(1-EXP(-LN(2)/25))/(LN(2)/25)*Calculateur!GH76*Calculateur!GJ76*VLOOKUP('Données projet'!$B$17,Paramètres!$A$1:$I$88,3,0)*0.475*44/12</f>
        <v>37.000464187884567</v>
      </c>
      <c r="GN76" s="23">
        <f>EXP(-LN(2)/2)*GN75+(1-EXP(-LN(2)/2))/(LN(2)/2)*GH76*GK76*VLOOKUP('Données projet'!$B$17,Paramètres!$A$1:$I$88,3,0)*0.475*44/12</f>
        <v>0</v>
      </c>
      <c r="GO76" s="23">
        <f t="shared" si="81"/>
        <v>74.16685769163216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550.99999999999966</v>
      </c>
      <c r="O77" s="14">
        <f>N77*VLOOKUP('Données projet'!$B$9,Paramètres!$A$1:$I$88,3,0)*VLOOKUP('Données projet'!$B$9,Paramètres!$A$1:$I$88,5,0)</f>
        <v>308.00899999999979</v>
      </c>
      <c r="P77" s="14">
        <f t="shared" si="87"/>
        <v>72.852874331417695</v>
      </c>
      <c r="Q77" s="22">
        <f t="shared" si="54"/>
        <v>663.33443112721886</v>
      </c>
      <c r="R77" s="62">
        <f t="shared" si="55"/>
        <v>931.56046023016972</v>
      </c>
      <c r="S77" s="62">
        <f ca="1">AVERAGE(OFFSET($R$3,0,0,'Données projet'!$E$9+1,1))-AVERAGE(OFFSET($H$3,0,0,'Données projet'!$E$9+1,1))</f>
        <v>289.94242154211224</v>
      </c>
      <c r="T77" s="62">
        <f t="shared" si="88"/>
        <v>369.12599166143661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55.909587227884792</v>
      </c>
      <c r="AA77" s="23">
        <f>EXP(-LN(2)/25)*AA76+(1-EXP(-LN(2)/25))/(LN(2)/25)*Calculateur!V77*Calculateur!X77*VLOOKUP('Données projet'!$B$9,Paramètres!$A$1:$I$88,3,0)*0.475*44/12</f>
        <v>45.325107887254042</v>
      </c>
      <c r="AB77" s="23">
        <f>EXP(-LN(2)/2)*AB76+(1-EXP(-LN(2)/2))/(LN(2)/2)*V77*Y77*VLOOKUP('Données projet'!$B$9,Paramètres!$A$1:$I$88,3,0)*0.475*44/12</f>
        <v>0</v>
      </c>
      <c r="AC77" s="24">
        <f t="shared" si="57"/>
        <v>101.23469511513883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7.75</v>
      </c>
      <c r="AI77" s="14">
        <f>IF('Données projet'!$A$62&gt;35,AI76+AH77-AQ76,IF(A77&lt;'Données projet'!$A$62,$AF$205^A77,IF(A77='Données projet'!$A$62,'Données projet'!$B$62,AI76+AH77-AQ76)))</f>
        <v>231.75</v>
      </c>
      <c r="AJ77" s="14">
        <f>AI77*VLOOKUP('Données projet'!$B$10,Paramètres!$A$1:$I$88,3,0)*VLOOKUP('Données projet'!$B$10,Paramètres!$A$1:$I$88,5,0)</f>
        <v>209.6874</v>
      </c>
      <c r="AK77" s="14">
        <f t="shared" si="89"/>
        <v>51.867268812007943</v>
      </c>
      <c r="AL77" s="22">
        <f t="shared" si="58"/>
        <v>455.54104818091383</v>
      </c>
      <c r="AM77" s="62">
        <f t="shared" si="59"/>
        <v>723.76707728386464</v>
      </c>
      <c r="AN77" s="62">
        <f ca="1">AVERAGE(OFFSET($AM$3,0,0,'Données projet'!$E$10+1,1))-AVERAGE(OFFSET($H$3,0,0,'Données projet'!$E$10+1,1))</f>
        <v>518.31628039365785</v>
      </c>
      <c r="AO77" s="62">
        <f t="shared" si="90"/>
        <v>66.435071953154761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14.419013901251871</v>
      </c>
      <c r="AV77" s="23">
        <f>EXP(-LN(2)/25)*AV76+(1-EXP(-LN(2)/25))/(LN(2)/25)*Calculateur!AQ77*Calculateur!AS77*VLOOKUP('Données projet'!$B$10,Paramètres!$A$1:$I$88,3,0)*0.475*44/12</f>
        <v>0</v>
      </c>
      <c r="AW77" s="23">
        <f>EXP(-LN(2)/2)*AW76+(1-EXP(-LN(2)/2))/(LN(2)/2)*AQ77*AT77*VLOOKUP('Données projet'!$B$10,Paramètres!$A$1:$I$88,3,0)*0.475*44/12</f>
        <v>0</v>
      </c>
      <c r="AX77" s="23">
        <f t="shared" si="60"/>
        <v>14.419013901251871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7.75</v>
      </c>
      <c r="BD77" s="13">
        <f>IF('Données projet'!$A$88&gt;35,BD76+BC77-BL76,IF(A77&lt;'Données projet'!$A$88,$BA$205^A77,IF(A77='Données projet'!$A$88,'Données projet'!$B$88,BD76+BC77-BL76)))</f>
        <v>231.75</v>
      </c>
      <c r="BE77" s="14">
        <f>BD77*VLOOKUP('Données projet'!$B$11,Paramètres!$A$1:$I$88,3,0)*VLOOKUP('Données projet'!$B$11,Paramètres!$A$1:$I$88,5,0)</f>
        <v>234.99450000000004</v>
      </c>
      <c r="BF77" s="14">
        <f t="shared" si="91"/>
        <v>57.361255266461534</v>
      </c>
      <c r="BG77" s="22">
        <f t="shared" si="61"/>
        <v>509.18627375575397</v>
      </c>
      <c r="BH77" s="62">
        <f t="shared" si="62"/>
        <v>777.41230285870483</v>
      </c>
      <c r="BI77" s="62">
        <f ca="1">AVERAGE(OFFSET($BH$3,0,0,'Données projet'!$E$11+1,1))-AVERAGE(OFFSET($H$3,0,0,'Données projet'!$E$11+1,1))</f>
        <v>570.2785736203931</v>
      </c>
      <c r="BJ77" s="62">
        <f t="shared" si="92"/>
        <v>67.677759965081719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16.159239716920201</v>
      </c>
      <c r="BQ77" s="23">
        <f>EXP(-LN(2)/25)*BQ76+(1-EXP(-LN(2)/25))/(LN(2)/25)*Calculateur!BL77*Calculateur!BN77*VLOOKUP('Données projet'!$B$11,Paramètres!$A$1:$I$88,3,0)*0.475*44/12</f>
        <v>0</v>
      </c>
      <c r="BR77" s="23">
        <f>EXP(-LN(2)/2)*BR76+(1-EXP(-LN(2)/2))/(LN(2)/2)*BL77*BO77*VLOOKUP('Données projet'!$B$11,Paramètres!$A$1:$I$88,3,0)*0.475*44/12</f>
        <v>0</v>
      </c>
      <c r="BS77" s="24">
        <f t="shared" si="63"/>
        <v>16.159239716920201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544.19999999999982</v>
      </c>
      <c r="BZ77" s="14">
        <f>BY77*VLOOKUP('Données projet'!$B$12,Paramètres!$A$1:$I$88,3,0)*VLOOKUP('Données projet'!$B$12,Paramètres!$A$1:$I$88,5,0)</f>
        <v>325.43159999999995</v>
      </c>
      <c r="CA77" s="14">
        <f t="shared" si="93"/>
        <v>76.482394221016762</v>
      </c>
      <c r="CB77" s="22">
        <f t="shared" si="64"/>
        <v>700.00020660160408</v>
      </c>
      <c r="CC77" s="62">
        <f t="shared" si="65"/>
        <v>968.22623570455494</v>
      </c>
      <c r="CD77" s="62">
        <f ca="1">AVERAGE(OFFSET($CC$3,0,0,'Données projet'!$E$12+1,1))-AVERAGE(OFFSET($H$3,0,0,'Données projet'!$E$12+1,1))</f>
        <v>401.1031790385295</v>
      </c>
      <c r="CE77" s="62">
        <f t="shared" si="94"/>
        <v>402.09589424130615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projet'!$B$12,Paramètres!$A$1:$I$88,3,0)*0.475*44/12</f>
        <v>15.72009358126512</v>
      </c>
      <c r="CL77" s="23">
        <f>EXP(-LN(2)/25)*CL76+(1-EXP(-LN(2)/25))/(LN(2)/25)*Calculateur!CG77*Calculateur!CI77*VLOOKUP('Données projet'!$B$12,Paramètres!$A$1:$I$88,3,0)*0.475*44/12</f>
        <v>0</v>
      </c>
      <c r="CM77" s="23">
        <f>EXP(-LN(2)/2)*CM76+(1-EXP(-LN(2)/2))/(LN(2)/2)*CG77*CJ77*VLOOKUP('Données projet'!$B$12,Paramètres!$A$1:$I$88,3,0)*0.475*44/12</f>
        <v>3.24326018034811E-2</v>
      </c>
      <c r="CN77" s="24">
        <f t="shared" si="66"/>
        <v>15.752526183068602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544.19999999999982</v>
      </c>
      <c r="CU77" s="18">
        <f>CT77*VLOOKUP('Données projet'!$B$13,Paramètres!$A$1:$I$88,3,0)*VLOOKUP('Données projet'!$B$13,Paramètres!$A$1:$I$88,5,0)</f>
        <v>325.43159999999995</v>
      </c>
      <c r="CV77" s="14">
        <f t="shared" si="95"/>
        <v>76.482394221016762</v>
      </c>
      <c r="CW77" s="22">
        <f t="shared" si="67"/>
        <v>700.00020660160408</v>
      </c>
      <c r="CX77" s="62">
        <f t="shared" si="68"/>
        <v>968.22623570455494</v>
      </c>
      <c r="CY77" s="62">
        <f ca="1">AVERAGE(OFFSET($CX$3,0,0,'Données projet'!$E$13+1,1))-AVERAGE(OFFSET($H$3,0,0,'Données projet'!$E$13+1,1))</f>
        <v>401.1031790385295</v>
      </c>
      <c r="CZ77" s="62">
        <f t="shared" si="96"/>
        <v>402.09589424130615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projet'!$B$13,Paramètres!$A$1:$I$88,3,0)*0.475*44/12</f>
        <v>15.72009358126512</v>
      </c>
      <c r="DG77" s="23">
        <f>EXP(-LN(2)/25)*DG76+(1-EXP(-LN(2)/25))/(LN(2)/25)*Calculateur!DB77*Calculateur!DD77*VLOOKUP('Données projet'!$B$13,Paramètres!$A$1:$I$88,3,0)*0.475*44/12</f>
        <v>0</v>
      </c>
      <c r="DH77" s="23">
        <f>EXP(-LN(2)/2)*DH76+(1-EXP(-LN(2)/2))/(LN(2)/2)*DB77*DE77*VLOOKUP('Données projet'!$B$13,Paramètres!$A$1:$I$88,3,0)*0.475*44/12</f>
        <v>3.24326018034811E-2</v>
      </c>
      <c r="DI77" s="24">
        <f t="shared" si="69"/>
        <v>15.752526183068602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19.8</v>
      </c>
      <c r="DO77" s="13">
        <f>IF('Données projet'!$A$166&gt;35,DO76+DN77-DW76,IF(A77&lt;'Données projet'!$A$166,$DL$205^A77,IF(A77='Données projet'!$A$166,'Données projet'!$B$166,DO76+DN77-DW76)))</f>
        <v>855.2</v>
      </c>
      <c r="DP77" s="18">
        <f>DO77*VLOOKUP('Données projet'!$B$14,Paramètres!$A$1:$I$88,3,0)*VLOOKUP('Données projet'!$B$14,Paramètres!$A$1:$I$88,5,0)</f>
        <v>344.64560000000006</v>
      </c>
      <c r="DQ77" s="14">
        <f t="shared" si="97"/>
        <v>80.458997389868088</v>
      </c>
      <c r="DR77" s="22">
        <f t="shared" si="70"/>
        <v>740.39050712068695</v>
      </c>
      <c r="DS77" s="62">
        <f t="shared" si="71"/>
        <v>1008.6165362236378</v>
      </c>
      <c r="DT77" s="62">
        <f ca="1">AVERAGE(OFFSET($DS$3,0,0,'Données projet'!$E$14+1,1))-AVERAGE(OFFSET($H$3,0,0,'Données projet'!$E$14+1,1))</f>
        <v>432.59662347701629</v>
      </c>
      <c r="DU77" s="62">
        <f t="shared" si="98"/>
        <v>348.67401091099748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projet'!$B$14,Paramètres!$A$1:$I$88,3,0)*0.475*44/12</f>
        <v>49.904228365983336</v>
      </c>
      <c r="EB77" s="23">
        <f>EXP(-LN(2)/25)*EB76+(1-EXP(-LN(2)/25))/(LN(2)/25)*Calculateur!DW77*Calculateur!DY77*VLOOKUP('Données projet'!$B$14,Paramètres!$A$1:$I$88,3,0)*0.475*44/12</f>
        <v>69.316968699846825</v>
      </c>
      <c r="EC77" s="23">
        <f>EXP(-LN(2)/2)*EC76+(1-EXP(-LN(2)/2))/(LN(2)/2)*DW77*DZ77*VLOOKUP('Données projet'!$B$14,Paramètres!$A$1:$I$88,3,0)*0.475*44/12</f>
        <v>0</v>
      </c>
      <c r="ED77" s="24">
        <f t="shared" si="72"/>
        <v>119.22119706583015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15.8</v>
      </c>
      <c r="EJ77" s="13">
        <f>IF('Données projet'!$A$192&gt;35,EJ76+EI77-ER76,IF(A77&lt;'Données projet'!$A$192,$EG$205^A77,IF(A77='Données projet'!$A$192,'Données projet'!$B$192,EJ76+EI77-ER76)))</f>
        <v>1095.2</v>
      </c>
      <c r="EK77" s="18">
        <f>EJ77*VLOOKUP('Données projet'!$B$15,Paramètres!$A$1:$I$88,3,0)*VLOOKUP('Données projet'!$B$15,Paramètres!$A$1:$I$88,5,0)</f>
        <v>484.0784000000001</v>
      </c>
      <c r="EL77" s="14">
        <f t="shared" si="99"/>
        <v>108.6284496581744</v>
      </c>
      <c r="EM77" s="22">
        <f t="shared" si="73"/>
        <v>1032.2977631546539</v>
      </c>
      <c r="EN77" s="62">
        <f t="shared" si="74"/>
        <v>1300.5237922576048</v>
      </c>
      <c r="EO77" s="62">
        <f ca="1">AVERAGE(OFFSET($EN$3,0,0,'Données projet'!$E$15+1,1))-AVERAGE(OFFSET($H$3,0,0,'Données projet'!$E$15+1,1))</f>
        <v>582.26951914082088</v>
      </c>
      <c r="EP77" s="62">
        <f t="shared" si="100"/>
        <v>434.80429932654715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projet'!$B$15,Paramètres!$A$1:$I$88,3,0)*0.475*44/12</f>
        <v>53.904398903048346</v>
      </c>
      <c r="EW77" s="23">
        <f>EXP(-LN(2)/25)*EW76+(1-EXP(-LN(2)/25))/(LN(2)/25)*Calculateur!ER77*Calculateur!ET77*VLOOKUP('Données projet'!$B$15,Paramètres!$A$1:$I$88,3,0)*0.475*44/12</f>
        <v>65.180902057023289</v>
      </c>
      <c r="EX77" s="23">
        <f>EXP(-LN(2)/2)*EX76+(1-EXP(-LN(2)/2))/(LN(2)/2)*ER77*EU77*VLOOKUP('Données projet'!$B$15,Paramètres!$A$1:$I$88,3,0)*0.475*44/12</f>
        <v>0</v>
      </c>
      <c r="EY77" s="24">
        <f t="shared" si="75"/>
        <v>119.08530096007163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21.2</v>
      </c>
      <c r="FE77" s="13">
        <f>IF('Données projet'!$A$218&gt;35,FE76+FD77-FM76,IF(A77&lt;'Données projet'!$A$218,$FB$205^A77,IF(A77='Données projet'!$A$218,'Données projet'!$B$218,FE76+FD77-FM76)))</f>
        <v>606.80000000000007</v>
      </c>
      <c r="FF77" s="18">
        <f>FE77*VLOOKUP('Données projet'!$B$16,Paramètres!$A$1:$I$88,3,0)*VLOOKUP('Données projet'!$B$16,Paramètres!$A$1:$I$88,5,0)</f>
        <v>283.98240000000004</v>
      </c>
      <c r="FG77" s="14">
        <f t="shared" si="101"/>
        <v>67.807911493441154</v>
      </c>
      <c r="FH77" s="22">
        <f t="shared" si="76"/>
        <v>612.70145918441006</v>
      </c>
      <c r="FI77" s="62">
        <f t="shared" si="77"/>
        <v>880.92748828736092</v>
      </c>
      <c r="FJ77" s="62">
        <f ca="1">AVERAGE(OFFSET($FI$3,0,0,'Données projet'!$E$16+1,1))-AVERAGE(OFFSET($H$3,0,0,'Données projet'!$E$16+1,1))</f>
        <v>429.87867712133851</v>
      </c>
      <c r="FK77" s="62">
        <f t="shared" si="102"/>
        <v>182.81277865988014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projet'!$B$16,Paramètres!$A$1:$I$88,3,0)*0.475*44/12</f>
        <v>25.616967559833171</v>
      </c>
      <c r="FR77" s="23">
        <f>EXP(-LN(2)/25)*FR76+(1-EXP(-LN(2)/25))/(LN(2)/25)*Calculateur!FM77*Calculateur!FO77*VLOOKUP('Données projet'!$B$16,Paramètres!$A$1:$I$88,3,0)*0.475*44/12</f>
        <v>63.012208239963108</v>
      </c>
      <c r="FS77" s="23">
        <f>EXP(-LN(2)/2)*FS76+(1-EXP(-LN(2)/2))/(LN(2)/2)*FM77*FP77*VLOOKUP('Données projet'!$B$16,Paramètres!$A$1:$I$88,3,0)*0.475*44/12</f>
        <v>0</v>
      </c>
      <c r="FT77" s="24">
        <f t="shared" si="78"/>
        <v>88.629175799796286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498.99999999999955</v>
      </c>
      <c r="GA77" s="18">
        <f>FZ77*VLOOKUP('Données projet'!$B$17,Paramètres!$A$1:$I$88,3,0)*VLOOKUP('Données projet'!$B$17,Paramètres!$A$1:$I$88,5,0)</f>
        <v>240.01899999999978</v>
      </c>
      <c r="GB77" s="14">
        <f t="shared" si="103"/>
        <v>58.443618405936313</v>
      </c>
      <c r="GC77" s="22">
        <f t="shared" si="79"/>
        <v>519.82239372367201</v>
      </c>
      <c r="GD77" s="62">
        <f t="shared" si="80"/>
        <v>788.04842282662287</v>
      </c>
      <c r="GE77" s="62">
        <f ca="1">AVERAGE(OFFSET($GD$3,0,0,'Données projet'!$E$17+1,1))-AVERAGE(OFFSET($H$3,0,0,'Données projet'!$E$17+1,1))</f>
        <v>273.24375559399846</v>
      </c>
      <c r="GF77" s="62">
        <f t="shared" si="104"/>
        <v>270.77718895097848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projet'!$B$17,Paramètres!$A$1:$I$88,3,0)*0.475*44/12</f>
        <v>36.437583196400738</v>
      </c>
      <c r="GM77" s="23">
        <f>EXP(-LN(2)/25)*GM76+(1-EXP(-LN(2)/25))/(LN(2)/25)*Calculateur!GH77*Calculateur!GJ77*VLOOKUP('Données projet'!$B$17,Paramètres!$A$1:$I$88,3,0)*0.475*44/12</f>
        <v>35.98868454889702</v>
      </c>
      <c r="GN77" s="23">
        <f>EXP(-LN(2)/2)*GN76+(1-EXP(-LN(2)/2))/(LN(2)/2)*GH77*GK77*VLOOKUP('Données projet'!$B$17,Paramètres!$A$1:$I$88,3,0)*0.475*44/12</f>
        <v>0</v>
      </c>
      <c r="GO77" s="23">
        <f t="shared" si="81"/>
        <v>72.426267745297764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550.99999999999966</v>
      </c>
      <c r="O78" s="14">
        <f>N78*VLOOKUP('Données projet'!$B$9,Paramètres!$A$1:$I$88,3,0)*VLOOKUP('Données projet'!$B$9,Paramètres!$A$1:$I$88,5,0)</f>
        <v>308.00899999999979</v>
      </c>
      <c r="P78" s="14">
        <f t="shared" si="87"/>
        <v>72.852874331417695</v>
      </c>
      <c r="Q78" s="22">
        <f t="shared" si="54"/>
        <v>663.33443112721886</v>
      </c>
      <c r="R78" s="62">
        <f t="shared" si="55"/>
        <v>931.99601582704372</v>
      </c>
      <c r="S78" s="62">
        <f ca="1">AVERAGE(OFFSET($R$3,0,0,'Données projet'!$E$9+1,1))-AVERAGE(OFFSET($H$3,0,0,'Données projet'!$E$9+1,1))</f>
        <v>289.94242154211224</v>
      </c>
      <c r="T78" s="62">
        <f t="shared" si="88"/>
        <v>369.12599166143661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54.81323432382694</v>
      </c>
      <c r="AA78" s="23">
        <f>EXP(-LN(2)/25)*AA77+(1-EXP(-LN(2)/25))/(LN(2)/25)*Calculateur!V78*Calculateur!X78*VLOOKUP('Données projet'!$B$9,Paramètres!$A$1:$I$88,3,0)*0.475*44/12</f>
        <v>44.085690428533248</v>
      </c>
      <c r="AB78" s="23">
        <f>EXP(-LN(2)/2)*AB77+(1-EXP(-LN(2)/2))/(LN(2)/2)*V78*Y78*VLOOKUP('Données projet'!$B$9,Paramètres!$A$1:$I$88,3,0)*0.475*44/12</f>
        <v>0</v>
      </c>
      <c r="AC78" s="24">
        <f t="shared" si="57"/>
        <v>98.898924752360188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7.75</v>
      </c>
      <c r="AI78" s="14">
        <f>IF('Données projet'!$A$62&gt;35,AI77+AH78-AQ77,IF(A78&lt;'Données projet'!$A$62,$AF$205^A78,IF(A78='Données projet'!$A$62,'Données projet'!$B$62,AI77+AH78-AQ77)))</f>
        <v>239.5</v>
      </c>
      <c r="AJ78" s="14">
        <f>AI78*VLOOKUP('Données projet'!$B$10,Paramètres!$A$1:$I$88,3,0)*VLOOKUP('Données projet'!$B$10,Paramètres!$A$1:$I$88,5,0)</f>
        <v>216.6996</v>
      </c>
      <c r="AK78" s="14">
        <f t="shared" si="89"/>
        <v>53.396930261595514</v>
      </c>
      <c r="AL78" s="22">
        <f t="shared" si="58"/>
        <v>470.41812353894551</v>
      </c>
      <c r="AM78" s="62">
        <f t="shared" si="59"/>
        <v>739.07970823877031</v>
      </c>
      <c r="AN78" s="62">
        <f ca="1">AVERAGE(OFFSET($AM$3,0,0,'Données projet'!$E$10+1,1))-AVERAGE(OFFSET($H$3,0,0,'Données projet'!$E$10+1,1))</f>
        <v>518.31628039365785</v>
      </c>
      <c r="AO78" s="62">
        <f t="shared" si="90"/>
        <v>66.435071953154761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14.136265833378394</v>
      </c>
      <c r="AV78" s="23">
        <f>EXP(-LN(2)/25)*AV77+(1-EXP(-LN(2)/25))/(LN(2)/25)*Calculateur!AQ78*Calculateur!AS78*VLOOKUP('Données projet'!$B$10,Paramètres!$A$1:$I$88,3,0)*0.475*44/12</f>
        <v>0</v>
      </c>
      <c r="AW78" s="23">
        <f>EXP(-LN(2)/2)*AW77+(1-EXP(-LN(2)/2))/(LN(2)/2)*AQ78*AT78*VLOOKUP('Données projet'!$B$10,Paramètres!$A$1:$I$88,3,0)*0.475*44/12</f>
        <v>0</v>
      </c>
      <c r="AX78" s="23">
        <f t="shared" si="60"/>
        <v>14.136265833378394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7.75</v>
      </c>
      <c r="BD78" s="13">
        <f>IF('Données projet'!$A$88&gt;35,BD77+BC78-BL77,IF(A78&lt;'Données projet'!$A$88,$BA$205^A78,IF(A78='Données projet'!$A$88,'Données projet'!$B$88,BD77+BC78-BL77)))</f>
        <v>239.5</v>
      </c>
      <c r="BE78" s="14">
        <f>BD78*VLOOKUP('Données projet'!$B$11,Paramètres!$A$1:$I$88,3,0)*VLOOKUP('Données projet'!$B$11,Paramètres!$A$1:$I$88,5,0)</f>
        <v>242.85300000000004</v>
      </c>
      <c r="BF78" s="14">
        <f t="shared" si="91"/>
        <v>59.052944512700471</v>
      </c>
      <c r="BG78" s="22">
        <f t="shared" si="61"/>
        <v>525.81952002628668</v>
      </c>
      <c r="BH78" s="62">
        <f t="shared" si="62"/>
        <v>794.48110472611143</v>
      </c>
      <c r="BI78" s="62">
        <f ca="1">AVERAGE(OFFSET($BH$3,0,0,'Données projet'!$E$11+1,1))-AVERAGE(OFFSET($H$3,0,0,'Données projet'!$E$11+1,1))</f>
        <v>570.2785736203931</v>
      </c>
      <c r="BJ78" s="62">
        <f t="shared" si="92"/>
        <v>67.677759965081719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15.842366882234408</v>
      </c>
      <c r="BQ78" s="23">
        <f>EXP(-LN(2)/25)*BQ77+(1-EXP(-LN(2)/25))/(LN(2)/25)*Calculateur!BL78*Calculateur!BN78*VLOOKUP('Données projet'!$B$11,Paramètres!$A$1:$I$88,3,0)*0.475*44/12</f>
        <v>0</v>
      </c>
      <c r="BR78" s="23">
        <f>EXP(-LN(2)/2)*BR77+(1-EXP(-LN(2)/2))/(LN(2)/2)*BL78*BO78*VLOOKUP('Données projet'!$B$11,Paramètres!$A$1:$I$88,3,0)*0.475*44/12</f>
        <v>0</v>
      </c>
      <c r="BS78" s="24">
        <f t="shared" si="63"/>
        <v>15.842366882234408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544.19999999999982</v>
      </c>
      <c r="BZ78" s="14">
        <f>BY78*VLOOKUP('Données projet'!$B$12,Paramètres!$A$1:$I$88,3,0)*VLOOKUP('Données projet'!$B$12,Paramètres!$A$1:$I$88,5,0)</f>
        <v>325.43159999999995</v>
      </c>
      <c r="CA78" s="14">
        <f t="shared" si="93"/>
        <v>76.482394221016762</v>
      </c>
      <c r="CB78" s="22">
        <f t="shared" si="64"/>
        <v>700.00020660160408</v>
      </c>
      <c r="CC78" s="62">
        <f t="shared" si="65"/>
        <v>968.66179130142882</v>
      </c>
      <c r="CD78" s="62">
        <f ca="1">AVERAGE(OFFSET($CC$3,0,0,'Données projet'!$E$12+1,1))-AVERAGE(OFFSET($H$3,0,0,'Données projet'!$E$12+1,1))</f>
        <v>401.1031790385295</v>
      </c>
      <c r="CE78" s="62">
        <f t="shared" si="94"/>
        <v>402.09589424130615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projet'!$B$12,Paramètres!$A$1:$I$88,3,0)*0.475*44/12</f>
        <v>15.411832134446829</v>
      </c>
      <c r="CL78" s="23">
        <f>EXP(-LN(2)/25)*CL77+(1-EXP(-LN(2)/25))/(LN(2)/25)*Calculateur!CG78*Calculateur!CI78*VLOOKUP('Données projet'!$B$12,Paramètres!$A$1:$I$88,3,0)*0.475*44/12</f>
        <v>0</v>
      </c>
      <c r="CM78" s="23">
        <f>EXP(-LN(2)/2)*CM77+(1-EXP(-LN(2)/2))/(LN(2)/2)*CG78*CJ78*VLOOKUP('Données projet'!$B$12,Paramètres!$A$1:$I$88,3,0)*0.475*44/12</f>
        <v>2.2933312666764537E-2</v>
      </c>
      <c r="CN78" s="24">
        <f t="shared" si="66"/>
        <v>15.434765447113593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544.19999999999982</v>
      </c>
      <c r="CU78" s="18">
        <f>CT78*VLOOKUP('Données projet'!$B$13,Paramètres!$A$1:$I$88,3,0)*VLOOKUP('Données projet'!$B$13,Paramètres!$A$1:$I$88,5,0)</f>
        <v>325.43159999999995</v>
      </c>
      <c r="CV78" s="14">
        <f t="shared" si="95"/>
        <v>76.482394221016762</v>
      </c>
      <c r="CW78" s="22">
        <f t="shared" si="67"/>
        <v>700.00020660160408</v>
      </c>
      <c r="CX78" s="62">
        <f t="shared" si="68"/>
        <v>968.66179130142882</v>
      </c>
      <c r="CY78" s="62">
        <f ca="1">AVERAGE(OFFSET($CX$3,0,0,'Données projet'!$E$13+1,1))-AVERAGE(OFFSET($H$3,0,0,'Données projet'!$E$13+1,1))</f>
        <v>401.1031790385295</v>
      </c>
      <c r="CZ78" s="62">
        <f t="shared" si="96"/>
        <v>402.09589424130615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projet'!$B$13,Paramètres!$A$1:$I$88,3,0)*0.475*44/12</f>
        <v>15.411832134446829</v>
      </c>
      <c r="DG78" s="23">
        <f>EXP(-LN(2)/25)*DG77+(1-EXP(-LN(2)/25))/(LN(2)/25)*Calculateur!DB78*Calculateur!DD78*VLOOKUP('Données projet'!$B$13,Paramètres!$A$1:$I$88,3,0)*0.475*44/12</f>
        <v>0</v>
      </c>
      <c r="DH78" s="23">
        <f>EXP(-LN(2)/2)*DH77+(1-EXP(-LN(2)/2))/(LN(2)/2)*DB78*DE78*VLOOKUP('Données projet'!$B$13,Paramètres!$A$1:$I$88,3,0)*0.475*44/12</f>
        <v>2.2933312666764537E-2</v>
      </c>
      <c r="DI78" s="24">
        <f t="shared" si="69"/>
        <v>15.434765447113593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875</v>
      </c>
      <c r="DM78" s="13">
        <f>VLOOKUP(A78,'Données projet'!$A$165:$I$185,9,0)</f>
        <v>19.8</v>
      </c>
      <c r="DN78" s="13">
        <f t="array" ref="DN78">INDEX(DM:DM,MIN(IF(ISNUMBER(DM78:DM274),ROW(DM78:DM274),"")))</f>
        <v>19.8</v>
      </c>
      <c r="DO78" s="13">
        <f>IF('Données projet'!$A$166&gt;35,DO77+DN78-DW77,IF(A78&lt;'Données projet'!$A$166,$DL$205^A78,IF(A78='Données projet'!$A$166,'Données projet'!$B$166,DO77+DN78-DW77)))</f>
        <v>875</v>
      </c>
      <c r="DP78" s="18">
        <f>DO78*VLOOKUP('Données projet'!$B$14,Paramètres!$A$1:$I$88,3,0)*VLOOKUP('Données projet'!$B$14,Paramètres!$A$1:$I$88,5,0)</f>
        <v>352.625</v>
      </c>
      <c r="DQ78" s="14">
        <f t="shared" si="97"/>
        <v>82.102790721228772</v>
      </c>
      <c r="DR78" s="22">
        <f t="shared" si="70"/>
        <v>757.1509021728067</v>
      </c>
      <c r="DS78" s="62">
        <f t="shared" si="71"/>
        <v>1025.8124868726316</v>
      </c>
      <c r="DT78" s="62">
        <f ca="1">AVERAGE(OFFSET($DS$3,0,0,'Données projet'!$E$14+1,1))-AVERAGE(OFFSET($H$3,0,0,'Données projet'!$E$14+1,1))</f>
        <v>432.59662347701629</v>
      </c>
      <c r="DU78" s="62">
        <f t="shared" si="98"/>
        <v>348.67401091099748</v>
      </c>
      <c r="DV78" s="16">
        <f>IF(ISNA(VLOOKUP(A78,'Données projet'!$A$165:$I$185,3,0)),0,VLOOKUP(A78,'Données projet'!$A$165:$I$185,3,0))</f>
        <v>12</v>
      </c>
      <c r="DW78" s="16">
        <f>IF(ISNA(VLOOKUP(A78,'Données projet'!$A$165:$I$185,4,0)),0,VLOOKUP(A78,'Données projet'!$A$165:$I$185,4,0))</f>
        <v>54</v>
      </c>
      <c r="DX78" s="17">
        <f>IF(ISNA(VLOOKUP(A78,'Données projet'!$A$165:$I$185,5,0)),0%,VLOOKUP(A78,'Données projet'!$A$165:$I$185,5,0)*VLOOKUP('Données projet'!$B$14,Paramètres!$A$1:$I$88,7,0))</f>
        <v>0.33</v>
      </c>
      <c r="DY78" s="17">
        <f>IF(ISNA(VLOOKUP(A78,'Données projet'!$A$165:$I$185,6,0)),0%,VLOOKUP(A78,'Données projet'!$A$165:$I$185,6,0)*VLOOKUP('Données projet'!$B$14,Paramètres!$A$1:$I$88,7,0))</f>
        <v>0.22000000000000003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projet'!$B$14,Paramètres!$A$1:$I$88,3,0)*0.475*44/12</f>
        <v>58.452306460460989</v>
      </c>
      <c r="EB78" s="23">
        <f>EXP(-LN(2)/25)*EB77+(1-EXP(-LN(2)/25))/(LN(2)/25)*Calculateur!DW78*Calculateur!DY78*VLOOKUP('Données projet'!$B$14,Paramètres!$A$1:$I$88,3,0)*0.475*44/12</f>
        <v>73.747598842929676</v>
      </c>
      <c r="EC78" s="23">
        <f>EXP(-LN(2)/2)*EC77+(1-EXP(-LN(2)/2))/(LN(2)/2)*DW78*DZ78*VLOOKUP('Données projet'!$B$14,Paramètres!$A$1:$I$88,3,0)*0.475*44/12</f>
        <v>0</v>
      </c>
      <c r="ED78" s="24">
        <f t="shared" si="72"/>
        <v>132.19990530339066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1111</v>
      </c>
      <c r="EH78" s="13">
        <f>VLOOKUP(A78,'Données projet'!$A$191:$I$211,9,0)</f>
        <v>15.8</v>
      </c>
      <c r="EI78" s="13">
        <f t="array" ref="EI78">INDEX(EH:EH,MIN(IF(ISNUMBER(EH78:EH274),ROW(EH78:EH274),"")))</f>
        <v>15.8</v>
      </c>
      <c r="EJ78" s="13">
        <f>IF('Données projet'!$A$192&gt;35,EJ77+EI78-ER77,IF(A78&lt;'Données projet'!$A$192,$EG$205^A78,IF(A78='Données projet'!$A$192,'Données projet'!$B$192,EJ77+EI78-ER77)))</f>
        <v>1111</v>
      </c>
      <c r="EK78" s="18">
        <f>EJ78*VLOOKUP('Données projet'!$B$15,Paramètres!$A$1:$I$88,3,0)*VLOOKUP('Données projet'!$B$15,Paramètres!$A$1:$I$88,5,0)</f>
        <v>491.06200000000001</v>
      </c>
      <c r="EL78" s="14">
        <f t="shared" si="99"/>
        <v>110.01201631140216</v>
      </c>
      <c r="EM78" s="22">
        <f t="shared" si="73"/>
        <v>1046.8705784090255</v>
      </c>
      <c r="EN78" s="62">
        <f t="shared" si="74"/>
        <v>1315.5321631088502</v>
      </c>
      <c r="EO78" s="62">
        <f ca="1">AVERAGE(OFFSET($EN$3,0,0,'Données projet'!$E$15+1,1))-AVERAGE(OFFSET($H$3,0,0,'Données projet'!$E$15+1,1))</f>
        <v>582.26951914082088</v>
      </c>
      <c r="EP78" s="62">
        <f t="shared" si="100"/>
        <v>434.80429932654715</v>
      </c>
      <c r="EQ78" s="16">
        <f>IF(ISNA(VLOOKUP(A78,'Données projet'!$A$191:$I$211,3,0)),0,VLOOKUP(A78,'Données projet'!$A$191:$I$211,3,0))</f>
        <v>13</v>
      </c>
      <c r="ER78" s="16">
        <f>IF(ISNA(VLOOKUP(A78,'Données projet'!$A$191:$I$211,4,0)),0,VLOOKUP(A78,'Données projet'!$A$191:$I$211,4,0))</f>
        <v>40</v>
      </c>
      <c r="ES78" s="17">
        <f>IF(ISNA(VLOOKUP(A78,'Données projet'!$A$191:$I$211,5,0)),0%,VLOOKUP(A78,'Données projet'!$A$191:$I$211,5,0)*VLOOKUP('Données projet'!$B$15,Paramètres!$A$1:$I$88,7,0))</f>
        <v>0.35750000000000004</v>
      </c>
      <c r="ET78" s="17">
        <f>IF(ISNA(VLOOKUP(A78,'Données projet'!$A$191:$I$211,6,0)),0%,VLOOKUP(A78,'Données projet'!$A$191:$I$211,6,0)*VLOOKUP('Données projet'!$B$15,Paramètres!$A$1:$I$88,7,0))</f>
        <v>0.1925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projet'!$B$15,Paramètres!$A$1:$I$88,3,0)*0.475*44/12</f>
        <v>61.232049816047585</v>
      </c>
      <c r="EW78" s="23">
        <f>EXP(-LN(2)/25)*EW77+(1-EXP(-LN(2)/25))/(LN(2)/25)*Calculateur!ER78*Calculateur!ET78*VLOOKUP('Données projet'!$B$15,Paramètres!$A$1:$I$88,3,0)*0.475*44/12</f>
        <v>67.895579726303254</v>
      </c>
      <c r="EX78" s="23">
        <f>EXP(-LN(2)/2)*EX77+(1-EXP(-LN(2)/2))/(LN(2)/2)*ER78*EU78*VLOOKUP('Données projet'!$B$15,Paramètres!$A$1:$I$88,3,0)*0.475*44/12</f>
        <v>0</v>
      </c>
      <c r="EY78" s="24">
        <f t="shared" si="75"/>
        <v>129.12762954235083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21.2</v>
      </c>
      <c r="FE78" s="13">
        <f>IF('Données projet'!$A$218&gt;35,FE77+FD78-FM77,IF(A78&lt;'Données projet'!$A$218,$FB$205^A78,IF(A78='Données projet'!$A$218,'Données projet'!$B$218,FE77+FD78-FM77)))</f>
        <v>628.00000000000011</v>
      </c>
      <c r="FF78" s="18">
        <f>FE78*VLOOKUP('Données projet'!$B$16,Paramètres!$A$1:$I$88,3,0)*VLOOKUP('Données projet'!$B$16,Paramètres!$A$1:$I$88,5,0)</f>
        <v>293.90400000000005</v>
      </c>
      <c r="FG78" s="14">
        <f t="shared" si="101"/>
        <v>69.896984831773324</v>
      </c>
      <c r="FH78" s="22">
        <f t="shared" si="76"/>
        <v>633.62004858200532</v>
      </c>
      <c r="FI78" s="62">
        <f t="shared" si="77"/>
        <v>902.28163328183018</v>
      </c>
      <c r="FJ78" s="62">
        <f ca="1">AVERAGE(OFFSET($FI$3,0,0,'Données projet'!$E$16+1,1))-AVERAGE(OFFSET($H$3,0,0,'Données projet'!$E$16+1,1))</f>
        <v>429.87867712133851</v>
      </c>
      <c r="FK78" s="62">
        <f t="shared" si="102"/>
        <v>182.81277865988014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projet'!$B$16,Paramètres!$A$1:$I$88,3,0)*0.475*44/12</f>
        <v>25.114634450792231</v>
      </c>
      <c r="FR78" s="23">
        <f>EXP(-LN(2)/25)*FR77+(1-EXP(-LN(2)/25))/(LN(2)/25)*Calculateur!FM78*Calculateur!FO78*VLOOKUP('Données projet'!$B$16,Paramètres!$A$1:$I$88,3,0)*0.475*44/12</f>
        <v>61.289136091973305</v>
      </c>
      <c r="FS78" s="23">
        <f>EXP(-LN(2)/2)*FS77+(1-EXP(-LN(2)/2))/(LN(2)/2)*FM78*FP78*VLOOKUP('Données projet'!$B$16,Paramètres!$A$1:$I$88,3,0)*0.475*44/12</f>
        <v>0</v>
      </c>
      <c r="FT78" s="24">
        <f t="shared" si="78"/>
        <v>86.403770542765528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498.99999999999955</v>
      </c>
      <c r="GA78" s="18">
        <f>FZ78*VLOOKUP('Données projet'!$B$17,Paramètres!$A$1:$I$88,3,0)*VLOOKUP('Données projet'!$B$17,Paramètres!$A$1:$I$88,5,0)</f>
        <v>240.01899999999978</v>
      </c>
      <c r="GB78" s="14">
        <f t="shared" si="103"/>
        <v>58.443618405936313</v>
      </c>
      <c r="GC78" s="22">
        <f t="shared" si="79"/>
        <v>519.82239372367201</v>
      </c>
      <c r="GD78" s="62">
        <f t="shared" si="80"/>
        <v>788.48397842349686</v>
      </c>
      <c r="GE78" s="62">
        <f ca="1">AVERAGE(OFFSET($GD$3,0,0,'Données projet'!$E$17+1,1))-AVERAGE(OFFSET($H$3,0,0,'Données projet'!$E$17+1,1))</f>
        <v>273.24375559399846</v>
      </c>
      <c r="GF78" s="62">
        <f t="shared" si="104"/>
        <v>270.77718895097848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projet'!$B$17,Paramètres!$A$1:$I$88,3,0)*0.475*44/12</f>
        <v>35.723064414650558</v>
      </c>
      <c r="GM78" s="23">
        <f>EXP(-LN(2)/25)*GM77+(1-EXP(-LN(2)/25))/(LN(2)/25)*Calculateur!GH78*Calculateur!GJ78*VLOOKUP('Données projet'!$B$17,Paramètres!$A$1:$I$88,3,0)*0.475*44/12</f>
        <v>35.004572077344761</v>
      </c>
      <c r="GN78" s="23">
        <f>EXP(-LN(2)/2)*GN77+(1-EXP(-LN(2)/2))/(LN(2)/2)*GH78*GK78*VLOOKUP('Données projet'!$B$17,Paramètres!$A$1:$I$88,3,0)*0.475*44/12</f>
        <v>0</v>
      </c>
      <c r="GO78" s="23">
        <f t="shared" si="81"/>
        <v>70.727636491995327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550.99999999999966</v>
      </c>
      <c r="O79" s="14">
        <f>N79*VLOOKUP('Données projet'!$B$9,Paramètres!$A$1:$I$88,3,0)*VLOOKUP('Données projet'!$B$9,Paramètres!$A$1:$I$88,5,0)</f>
        <v>308.00899999999979</v>
      </c>
      <c r="P79" s="14">
        <f t="shared" si="87"/>
        <v>72.852874331417695</v>
      </c>
      <c r="Q79" s="22">
        <f t="shared" si="54"/>
        <v>663.33443112721886</v>
      </c>
      <c r="R79" s="62">
        <f t="shared" si="55"/>
        <v>932.42401550806835</v>
      </c>
      <c r="S79" s="62">
        <f ca="1">AVERAGE(OFFSET($R$3,0,0,'Données projet'!$E$9+1,1))-AVERAGE(OFFSET($H$3,0,0,'Données projet'!$E$9+1,1))</f>
        <v>289.94242154211224</v>
      </c>
      <c r="T79" s="62">
        <f t="shared" si="88"/>
        <v>369.12599166143661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53.738380231508422</v>
      </c>
      <c r="AA79" s="23">
        <f>EXP(-LN(2)/25)*AA78+(1-EXP(-LN(2)/25))/(LN(2)/25)*Calculateur!V79*Calculateur!X79*VLOOKUP('Données projet'!$B$9,Paramètres!$A$1:$I$88,3,0)*0.475*44/12</f>
        <v>42.880164905399305</v>
      </c>
      <c r="AB79" s="23">
        <f>EXP(-LN(2)/2)*AB78+(1-EXP(-LN(2)/2))/(LN(2)/2)*V79*Y79*VLOOKUP('Données projet'!$B$9,Paramètres!$A$1:$I$88,3,0)*0.475*44/12</f>
        <v>0</v>
      </c>
      <c r="AC79" s="24">
        <f t="shared" si="57"/>
        <v>96.618545136907727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7.75</v>
      </c>
      <c r="AI79" s="14">
        <f>IF('Données projet'!$A$62&gt;35,AI78+AH79-AQ78,IF(A79&lt;'Données projet'!$A$62,$AF$205^A79,IF(A79='Données projet'!$A$62,'Données projet'!$B$62,AI78+AH79-AQ78)))</f>
        <v>247.25</v>
      </c>
      <c r="AJ79" s="14">
        <f>AI79*VLOOKUP('Données projet'!$B$10,Paramètres!$A$1:$I$88,3,0)*VLOOKUP('Données projet'!$B$10,Paramètres!$A$1:$I$88,5,0)</f>
        <v>223.71180000000001</v>
      </c>
      <c r="AK79" s="14">
        <f t="shared" si="89"/>
        <v>54.920839869581336</v>
      </c>
      <c r="AL79" s="22">
        <f t="shared" si="58"/>
        <v>485.28518110618751</v>
      </c>
      <c r="AM79" s="62">
        <f t="shared" si="59"/>
        <v>754.37476548703694</v>
      </c>
      <c r="AN79" s="62">
        <f ca="1">AVERAGE(OFFSET($AM$3,0,0,'Données projet'!$E$10+1,1))-AVERAGE(OFFSET($H$3,0,0,'Données projet'!$E$10+1,1))</f>
        <v>518.31628039365785</v>
      </c>
      <c r="AO79" s="62">
        <f t="shared" si="90"/>
        <v>66.435071953154761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13.859062282656623</v>
      </c>
      <c r="AV79" s="23">
        <f>EXP(-LN(2)/25)*AV78+(1-EXP(-LN(2)/25))/(LN(2)/25)*Calculateur!AQ79*Calculateur!AS79*VLOOKUP('Données projet'!$B$10,Paramètres!$A$1:$I$88,3,0)*0.475*44/12</f>
        <v>0</v>
      </c>
      <c r="AW79" s="23">
        <f>EXP(-LN(2)/2)*AW78+(1-EXP(-LN(2)/2))/(LN(2)/2)*AQ79*AT79*VLOOKUP('Données projet'!$B$10,Paramètres!$A$1:$I$88,3,0)*0.475*44/12</f>
        <v>0</v>
      </c>
      <c r="AX79" s="23">
        <f t="shared" si="60"/>
        <v>13.859062282656623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7.75</v>
      </c>
      <c r="BD79" s="13">
        <f>IF('Données projet'!$A$88&gt;35,BD78+BC79-BL78,IF(A79&lt;'Données projet'!$A$88,$BA$205^A79,IF(A79='Données projet'!$A$88,'Données projet'!$B$88,BD78+BC79-BL78)))</f>
        <v>247.25</v>
      </c>
      <c r="BE79" s="14">
        <f>BD79*VLOOKUP('Données projet'!$B$11,Paramètres!$A$1:$I$88,3,0)*VLOOKUP('Données projet'!$B$11,Paramètres!$A$1:$I$88,5,0)</f>
        <v>250.71150000000003</v>
      </c>
      <c r="BF79" s="14">
        <f t="shared" si="91"/>
        <v>60.738272659503686</v>
      </c>
      <c r="BG79" s="22">
        <f t="shared" si="61"/>
        <v>542.44168738196902</v>
      </c>
      <c r="BH79" s="62">
        <f t="shared" si="62"/>
        <v>811.53127176281851</v>
      </c>
      <c r="BI79" s="62">
        <f ca="1">AVERAGE(OFFSET($BH$3,0,0,'Données projet'!$E$11+1,1))-AVERAGE(OFFSET($H$3,0,0,'Données projet'!$E$11+1,1))</f>
        <v>570.2785736203931</v>
      </c>
      <c r="BJ79" s="62">
        <f t="shared" si="92"/>
        <v>67.677759965081719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15.531707730563459</v>
      </c>
      <c r="BQ79" s="23">
        <f>EXP(-LN(2)/25)*BQ78+(1-EXP(-LN(2)/25))/(LN(2)/25)*Calculateur!BL79*Calculateur!BN79*VLOOKUP('Données projet'!$B$11,Paramètres!$A$1:$I$88,3,0)*0.475*44/12</f>
        <v>0</v>
      </c>
      <c r="BR79" s="23">
        <f>EXP(-LN(2)/2)*BR78+(1-EXP(-LN(2)/2))/(LN(2)/2)*BL79*BO79*VLOOKUP('Données projet'!$B$11,Paramètres!$A$1:$I$88,3,0)*0.475*44/12</f>
        <v>0</v>
      </c>
      <c r="BS79" s="24">
        <f t="shared" si="63"/>
        <v>15.531707730563459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544.19999999999982</v>
      </c>
      <c r="BZ79" s="14">
        <f>BY79*VLOOKUP('Données projet'!$B$12,Paramètres!$A$1:$I$88,3,0)*VLOOKUP('Données projet'!$B$12,Paramètres!$A$1:$I$88,5,0)</f>
        <v>325.43159999999995</v>
      </c>
      <c r="CA79" s="14">
        <f t="shared" si="93"/>
        <v>76.482394221016762</v>
      </c>
      <c r="CB79" s="22">
        <f t="shared" si="64"/>
        <v>700.00020660160408</v>
      </c>
      <c r="CC79" s="62">
        <f t="shared" si="65"/>
        <v>969.08979098245345</v>
      </c>
      <c r="CD79" s="62">
        <f ca="1">AVERAGE(OFFSET($CC$3,0,0,'Données projet'!$E$12+1,1))-AVERAGE(OFFSET($H$3,0,0,'Données projet'!$E$12+1,1))</f>
        <v>401.1031790385295</v>
      </c>
      <c r="CE79" s="62">
        <f t="shared" si="94"/>
        <v>402.09589424130615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projet'!$B$12,Paramètres!$A$1:$I$88,3,0)*0.475*44/12</f>
        <v>15.109615506579727</v>
      </c>
      <c r="CL79" s="23">
        <f>EXP(-LN(2)/25)*CL78+(1-EXP(-LN(2)/25))/(LN(2)/25)*Calculateur!CG79*Calculateur!CI79*VLOOKUP('Données projet'!$B$12,Paramètres!$A$1:$I$88,3,0)*0.475*44/12</f>
        <v>0</v>
      </c>
      <c r="CM79" s="23">
        <f>EXP(-LN(2)/2)*CM78+(1-EXP(-LN(2)/2))/(LN(2)/2)*CG79*CJ79*VLOOKUP('Données projet'!$B$12,Paramètres!$A$1:$I$88,3,0)*0.475*44/12</f>
        <v>1.621630090174055E-2</v>
      </c>
      <c r="CN79" s="24">
        <f t="shared" si="66"/>
        <v>15.125831807481468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544.19999999999982</v>
      </c>
      <c r="CU79" s="18">
        <f>CT79*VLOOKUP('Données projet'!$B$13,Paramètres!$A$1:$I$88,3,0)*VLOOKUP('Données projet'!$B$13,Paramètres!$A$1:$I$88,5,0)</f>
        <v>325.43159999999995</v>
      </c>
      <c r="CV79" s="14">
        <f t="shared" si="95"/>
        <v>76.482394221016762</v>
      </c>
      <c r="CW79" s="22">
        <f t="shared" si="67"/>
        <v>700.00020660160408</v>
      </c>
      <c r="CX79" s="62">
        <f t="shared" si="68"/>
        <v>969.08979098245345</v>
      </c>
      <c r="CY79" s="62">
        <f ca="1">AVERAGE(OFFSET($CX$3,0,0,'Données projet'!$E$13+1,1))-AVERAGE(OFFSET($H$3,0,0,'Données projet'!$E$13+1,1))</f>
        <v>401.1031790385295</v>
      </c>
      <c r="CZ79" s="62">
        <f t="shared" si="96"/>
        <v>402.09589424130615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projet'!$B$13,Paramètres!$A$1:$I$88,3,0)*0.475*44/12</f>
        <v>15.109615506579727</v>
      </c>
      <c r="DG79" s="23">
        <f>EXP(-LN(2)/25)*DG78+(1-EXP(-LN(2)/25))/(LN(2)/25)*Calculateur!DB79*Calculateur!DD79*VLOOKUP('Données projet'!$B$13,Paramètres!$A$1:$I$88,3,0)*0.475*44/12</f>
        <v>0</v>
      </c>
      <c r="DH79" s="23">
        <f>EXP(-LN(2)/2)*DH78+(1-EXP(-LN(2)/2))/(LN(2)/2)*DB79*DE79*VLOOKUP('Données projet'!$B$13,Paramètres!$A$1:$I$88,3,0)*0.475*44/12</f>
        <v>1.621630090174055E-2</v>
      </c>
      <c r="DI79" s="24">
        <f t="shared" si="69"/>
        <v>15.125831807481468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18.2</v>
      </c>
      <c r="DO79" s="13">
        <f>IF('Données projet'!$A$166&gt;35,DO78+DN79-DW78,IF(A79&lt;'Données projet'!$A$166,$DL$205^A79,IF(A79='Données projet'!$A$166,'Données projet'!$B$166,DO78+DN79-DW78)))</f>
        <v>839.2</v>
      </c>
      <c r="DP79" s="18">
        <f>DO79*VLOOKUP('Données projet'!$B$14,Paramètres!$A$1:$I$88,3,0)*VLOOKUP('Données projet'!$B$14,Paramètres!$A$1:$I$88,5,0)</f>
        <v>338.19760000000002</v>
      </c>
      <c r="DQ79" s="14">
        <f t="shared" si="97"/>
        <v>79.127444050814148</v>
      </c>
      <c r="DR79" s="22">
        <f t="shared" si="70"/>
        <v>726.84111838850129</v>
      </c>
      <c r="DS79" s="62">
        <f t="shared" si="71"/>
        <v>995.93070276935077</v>
      </c>
      <c r="DT79" s="62">
        <f ca="1">AVERAGE(OFFSET($DS$3,0,0,'Données projet'!$E$14+1,1))-AVERAGE(OFFSET($H$3,0,0,'Données projet'!$E$14+1,1))</f>
        <v>432.59662347701629</v>
      </c>
      <c r="DU79" s="62">
        <f t="shared" si="98"/>
        <v>348.67401091099748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projet'!$B$14,Paramètres!$A$1:$I$88,3,0)*0.475*44/12</f>
        <v>57.30609238315791</v>
      </c>
      <c r="EB79" s="23">
        <f>EXP(-LN(2)/25)*EB78+(1-EXP(-LN(2)/25))/(LN(2)/25)*Calculateur!DW79*Calculateur!DY79*VLOOKUP('Données projet'!$B$14,Paramètres!$A$1:$I$88,3,0)*0.475*44/12</f>
        <v>71.730966874352092</v>
      </c>
      <c r="EC79" s="23">
        <f>EXP(-LN(2)/2)*EC78+(1-EXP(-LN(2)/2))/(LN(2)/2)*DW79*DZ79*VLOOKUP('Données projet'!$B$14,Paramètres!$A$1:$I$88,3,0)*0.475*44/12</f>
        <v>0</v>
      </c>
      <c r="ED79" s="24">
        <f t="shared" si="72"/>
        <v>129.03705925751001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12.8</v>
      </c>
      <c r="EJ79" s="13">
        <f>IF('Données projet'!$A$192&gt;35,EJ78+EI79-ER78,IF(A79&lt;'Données projet'!$A$192,$EG$205^A79,IF(A79='Données projet'!$A$192,'Données projet'!$B$192,EJ78+EI79-ER78)))</f>
        <v>1083.8</v>
      </c>
      <c r="EK79" s="18">
        <f>EJ79*VLOOKUP('Données projet'!$B$15,Paramètres!$A$1:$I$88,3,0)*VLOOKUP('Données projet'!$B$15,Paramètres!$A$1:$I$88,5,0)</f>
        <v>479.03960000000006</v>
      </c>
      <c r="EL79" s="14">
        <f t="shared" si="99"/>
        <v>107.62873802008407</v>
      </c>
      <c r="EM79" s="22">
        <f t="shared" si="73"/>
        <v>1021.7806887183129</v>
      </c>
      <c r="EN79" s="62">
        <f t="shared" si="74"/>
        <v>1290.8702730991624</v>
      </c>
      <c r="EO79" s="62">
        <f ca="1">AVERAGE(OFFSET($EN$3,0,0,'Données projet'!$E$15+1,1))-AVERAGE(OFFSET($H$3,0,0,'Données projet'!$E$15+1,1))</f>
        <v>582.26951914082088</v>
      </c>
      <c r="EP79" s="62">
        <f t="shared" si="100"/>
        <v>434.80429932654715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projet'!$B$15,Paramètres!$A$1:$I$88,3,0)*0.475*44/12</f>
        <v>60.031326667017481</v>
      </c>
      <c r="EW79" s="23">
        <f>EXP(-LN(2)/25)*EW78+(1-EXP(-LN(2)/25))/(LN(2)/25)*Calculateur!ER79*Calculateur!ET79*VLOOKUP('Données projet'!$B$15,Paramètres!$A$1:$I$88,3,0)*0.475*44/12</f>
        <v>66.038971528214134</v>
      </c>
      <c r="EX79" s="23">
        <f>EXP(-LN(2)/2)*EX78+(1-EXP(-LN(2)/2))/(LN(2)/2)*ER79*EU79*VLOOKUP('Données projet'!$B$15,Paramètres!$A$1:$I$88,3,0)*0.475*44/12</f>
        <v>0</v>
      </c>
      <c r="EY79" s="24">
        <f t="shared" si="75"/>
        <v>126.07029819523162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21.2</v>
      </c>
      <c r="FE79" s="13">
        <f>IF('Données projet'!$A$218&gt;35,FE78+FD79-FM78,IF(A79&lt;'Données projet'!$A$218,$FB$205^A79,IF(A79='Données projet'!$A$218,'Données projet'!$B$218,FE78+FD79-FM78)))</f>
        <v>649.20000000000016</v>
      </c>
      <c r="FF79" s="18">
        <f>FE79*VLOOKUP('Données projet'!$B$16,Paramètres!$A$1:$I$88,3,0)*VLOOKUP('Données projet'!$B$16,Paramètres!$A$1:$I$88,5,0)</f>
        <v>303.82560000000007</v>
      </c>
      <c r="FG79" s="14">
        <f t="shared" si="101"/>
        <v>71.977863772206462</v>
      </c>
      <c r="FH79" s="22">
        <f t="shared" si="76"/>
        <v>654.52436606992637</v>
      </c>
      <c r="FI79" s="62">
        <f t="shared" si="77"/>
        <v>923.61395045077575</v>
      </c>
      <c r="FJ79" s="62">
        <f ca="1">AVERAGE(OFFSET($FI$3,0,0,'Données projet'!$E$16+1,1))-AVERAGE(OFFSET($H$3,0,0,'Données projet'!$E$16+1,1))</f>
        <v>429.87867712133851</v>
      </c>
      <c r="FK79" s="62">
        <f t="shared" si="102"/>
        <v>182.81277865988014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projet'!$B$16,Paramètres!$A$1:$I$88,3,0)*0.475*44/12</f>
        <v>24.622151787626642</v>
      </c>
      <c r="FR79" s="23">
        <f>EXP(-LN(2)/25)*FR78+(1-EXP(-LN(2)/25))/(LN(2)/25)*Calculateur!FM79*Calculateur!FO79*VLOOKUP('Données projet'!$B$16,Paramètres!$A$1:$I$88,3,0)*0.475*44/12</f>
        <v>59.613181442482706</v>
      </c>
      <c r="FS79" s="23">
        <f>EXP(-LN(2)/2)*FS78+(1-EXP(-LN(2)/2))/(LN(2)/2)*FM79*FP79*VLOOKUP('Données projet'!$B$16,Paramètres!$A$1:$I$88,3,0)*0.475*44/12</f>
        <v>0</v>
      </c>
      <c r="FT79" s="24">
        <f t="shared" si="78"/>
        <v>84.235333230109347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498.99999999999955</v>
      </c>
      <c r="GA79" s="18">
        <f>FZ79*VLOOKUP('Données projet'!$B$17,Paramètres!$A$1:$I$88,3,0)*VLOOKUP('Données projet'!$B$17,Paramètres!$A$1:$I$88,5,0)</f>
        <v>240.01899999999978</v>
      </c>
      <c r="GB79" s="14">
        <f t="shared" si="103"/>
        <v>58.443618405936313</v>
      </c>
      <c r="GC79" s="22">
        <f t="shared" si="79"/>
        <v>519.82239372367201</v>
      </c>
      <c r="GD79" s="62">
        <f t="shared" si="80"/>
        <v>788.91197810452149</v>
      </c>
      <c r="GE79" s="62">
        <f ca="1">AVERAGE(OFFSET($GD$3,0,0,'Données projet'!$E$17+1,1))-AVERAGE(OFFSET($H$3,0,0,'Données projet'!$E$17+1,1))</f>
        <v>273.24375559399846</v>
      </c>
      <c r="GF79" s="62">
        <f t="shared" si="104"/>
        <v>270.77718895097848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projet'!$B$17,Paramètres!$A$1:$I$88,3,0)*0.475*44/12</f>
        <v>35.022556910397078</v>
      </c>
      <c r="GM79" s="23">
        <f>EXP(-LN(2)/25)*GM78+(1-EXP(-LN(2)/25))/(LN(2)/25)*Calculateur!GH79*Calculateur!GJ79*VLOOKUP('Données projet'!$B$17,Paramètres!$A$1:$I$88,3,0)*0.475*44/12</f>
        <v>34.047370213079326</v>
      </c>
      <c r="GN79" s="23">
        <f>EXP(-LN(2)/2)*GN78+(1-EXP(-LN(2)/2))/(LN(2)/2)*GH79*GK79*VLOOKUP('Données projet'!$B$17,Paramètres!$A$1:$I$88,3,0)*0.475*44/12</f>
        <v>0</v>
      </c>
      <c r="GO79" s="23">
        <f t="shared" si="81"/>
        <v>69.069927123476404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550.99999999999966</v>
      </c>
      <c r="O80" s="14">
        <f>N80*VLOOKUP('Données projet'!$B$9,Paramètres!$A$1:$I$88,3,0)*VLOOKUP('Données projet'!$B$9,Paramètres!$A$1:$I$88,5,0)</f>
        <v>308.00899999999979</v>
      </c>
      <c r="P80" s="14">
        <f t="shared" si="87"/>
        <v>72.852874331417695</v>
      </c>
      <c r="Q80" s="22">
        <f t="shared" si="54"/>
        <v>663.33443112721886</v>
      </c>
      <c r="R80" s="62">
        <f t="shared" si="55"/>
        <v>932.84459035149121</v>
      </c>
      <c r="S80" s="62">
        <f ca="1">AVERAGE(OFFSET($R$3,0,0,'Données projet'!$E$9+1,1))-AVERAGE(OFFSET($H$3,0,0,'Données projet'!$E$9+1,1))</f>
        <v>289.94242154211224</v>
      </c>
      <c r="T80" s="62">
        <f t="shared" si="88"/>
        <v>369.12599166143661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52.684603372344007</v>
      </c>
      <c r="AA80" s="23">
        <f>EXP(-LN(2)/25)*AA79+(1-EXP(-LN(2)/25))/(LN(2)/25)*Calculateur!V80*Calculateur!X80*VLOOKUP('Données projet'!$B$9,Paramètres!$A$1:$I$88,3,0)*0.475*44/12</f>
        <v>41.707604541091293</v>
      </c>
      <c r="AB80" s="23">
        <f>EXP(-LN(2)/2)*AB79+(1-EXP(-LN(2)/2))/(LN(2)/2)*V80*Y80*VLOOKUP('Données projet'!$B$9,Paramètres!$A$1:$I$88,3,0)*0.475*44/12</f>
        <v>0</v>
      </c>
      <c r="AC80" s="24">
        <f t="shared" si="57"/>
        <v>94.3922079134353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>
        <f>VLOOKUP(A80,'Données projet'!$A$61:$I$81,2,0)</f>
        <v>255</v>
      </c>
      <c r="AG80" s="13">
        <f>VLOOKUP(A80,'Données projet'!$A$61:$I$81,9,0)</f>
        <v>7.75</v>
      </c>
      <c r="AH80" s="13">
        <f t="array" ref="AH80">INDEX(AG:AG,MIN(IF(ISNUMBER(AG80:AG276),ROW(AG80:AG276),"")))</f>
        <v>7.75</v>
      </c>
      <c r="AI80" s="14">
        <f>IF('Données projet'!$A$62&gt;35,AI79+AH80-AQ79,IF(A80&lt;'Données projet'!$A$62,$AF$205^A80,IF(A80='Données projet'!$A$62,'Données projet'!$B$62,AI79+AH80-AQ79)))</f>
        <v>255</v>
      </c>
      <c r="AJ80" s="14">
        <f>AI80*VLOOKUP('Données projet'!$B$10,Paramètres!$A$1:$I$88,3,0)*VLOOKUP('Données projet'!$B$10,Paramètres!$A$1:$I$88,5,0)</f>
        <v>230.72399999999996</v>
      </c>
      <c r="AK80" s="14">
        <f t="shared" si="89"/>
        <v>56.439198612082045</v>
      </c>
      <c r="AL80" s="22">
        <f t="shared" si="58"/>
        <v>500.14257091604276</v>
      </c>
      <c r="AM80" s="62">
        <f t="shared" si="59"/>
        <v>769.65273014031504</v>
      </c>
      <c r="AN80" s="62">
        <f ca="1">AVERAGE(OFFSET($AM$3,0,0,'Données projet'!$E$10+1,1))-AVERAGE(OFFSET($H$3,0,0,'Données projet'!$E$10+1,1))</f>
        <v>518.31628039365785</v>
      </c>
      <c r="AO80" s="62">
        <f t="shared" si="90"/>
        <v>66.435071953154761</v>
      </c>
      <c r="AP80" s="16">
        <f>IF(ISNA(VLOOKUP(A80,'Données projet'!$A$61:$I$81,3,0)),0,VLOOKUP(A80,'Données projet'!$A$61:$I$81,3,0))</f>
        <v>9</v>
      </c>
      <c r="AQ80" s="16">
        <f>IF(ISNA(VLOOKUP(A80,'Données projet'!$A$61:$I$81,4,0)),0,VLOOKUP(A80,'Données projet'!$A$61:$I$81,4,0))</f>
        <v>4</v>
      </c>
      <c r="AR80" s="17">
        <f>IF(ISNA(VLOOKUP(A80,'Données projet'!$A$61:$I$81,5,0)),0%,VLOOKUP(A80,'Données projet'!$A$61:$I$81,5,0)*VLOOKUP('Données projet'!$B$10,Paramètres!$A$1:$I$88,7,0))</f>
        <v>0.15049999999999999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14.189432743326686</v>
      </c>
      <c r="AV80" s="23">
        <f>EXP(-LN(2)/25)*AV79+(1-EXP(-LN(2)/25))/(LN(2)/25)*Calculateur!AQ80*Calculateur!AS80*VLOOKUP('Données projet'!$B$10,Paramètres!$A$1:$I$88,3,0)*0.475*44/12</f>
        <v>0</v>
      </c>
      <c r="AW80" s="23">
        <f>EXP(-LN(2)/2)*AW79+(1-EXP(-LN(2)/2))/(LN(2)/2)*AQ80*AT80*VLOOKUP('Données projet'!$B$10,Paramètres!$A$1:$I$88,3,0)*0.475*44/12</f>
        <v>0</v>
      </c>
      <c r="AX80" s="23">
        <f t="shared" si="60"/>
        <v>14.189432743326686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>
        <f>VLOOKUP(A80,'Données projet'!$A$87:$I$107,2,0)</f>
        <v>255</v>
      </c>
      <c r="BB80" s="13">
        <f>VLOOKUP(A80,'Données projet'!$A$87:$I$107,9,0)</f>
        <v>7.75</v>
      </c>
      <c r="BC80" s="13">
        <f t="array" ref="BC80">INDEX(BB:BB,MIN(IF(ISNUMBER(BB80:BB276),ROW(BB80:BB276),"")))</f>
        <v>7.75</v>
      </c>
      <c r="BD80" s="13">
        <f>IF('Données projet'!$A$88&gt;35,BD79+BC80-BL79,IF(A80&lt;'Données projet'!$A$88,$BA$205^A80,IF(A80='Données projet'!$A$88,'Données projet'!$B$88,BD79+BC80-BL79)))</f>
        <v>255</v>
      </c>
      <c r="BE80" s="14">
        <f>BD80*VLOOKUP('Données projet'!$B$11,Paramètres!$A$1:$I$88,3,0)*VLOOKUP('Données projet'!$B$11,Paramètres!$A$1:$I$88,5,0)</f>
        <v>258.57</v>
      </c>
      <c r="BF80" s="14">
        <f t="shared" si="91"/>
        <v>62.417461971173893</v>
      </c>
      <c r="BG80" s="22">
        <f t="shared" si="61"/>
        <v>559.05316293312785</v>
      </c>
      <c r="BH80" s="62">
        <f t="shared" si="62"/>
        <v>828.56332215740008</v>
      </c>
      <c r="BI80" s="62">
        <f ca="1">AVERAGE(OFFSET($BH$3,0,0,'Données projet'!$E$11+1,1))-AVERAGE(OFFSET($H$3,0,0,'Données projet'!$E$11+1,1))</f>
        <v>570.2785736203931</v>
      </c>
      <c r="BJ80" s="62">
        <f t="shared" si="92"/>
        <v>67.677759965081719</v>
      </c>
      <c r="BK80" s="16">
        <f>IF(ISNA(VLOOKUP(A80,'Données projet'!$A$87:$I$107,3,0)),0,VLOOKUP(A80,'Données projet'!$A$87:$I$107,3,0))</f>
        <v>9</v>
      </c>
      <c r="BL80" s="16">
        <f>IF(ISNA(VLOOKUP(A80,'Données projet'!$A$87:$I$107,4,0)),0,VLOOKUP(A80,'Données projet'!$A$87:$I$107,4,0))</f>
        <v>4</v>
      </c>
      <c r="BM80" s="17">
        <f>IF(ISNA(VLOOKUP(A80,'Données projet'!$A$87:$I$107,5,0)),0%,VLOOKUP(A80,'Données projet'!$A$87:$I$107,5,0)*VLOOKUP('Données projet'!$B$11,Paramètres!$A$1:$I$88,7,0))</f>
        <v>0.15049999999999999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15.901950488210945</v>
      </c>
      <c r="BQ80" s="23">
        <f>EXP(-LN(2)/25)*BQ79+(1-EXP(-LN(2)/25))/(LN(2)/25)*Calculateur!BL80*Calculateur!BN80*VLOOKUP('Données projet'!$B$11,Paramètres!$A$1:$I$88,3,0)*0.475*44/12</f>
        <v>0</v>
      </c>
      <c r="BR80" s="23">
        <f>EXP(-LN(2)/2)*BR79+(1-EXP(-LN(2)/2))/(LN(2)/2)*BL80*BO80*VLOOKUP('Données projet'!$B$11,Paramètres!$A$1:$I$88,3,0)*0.475*44/12</f>
        <v>0</v>
      </c>
      <c r="BS80" s="24">
        <f t="shared" si="63"/>
        <v>15.901950488210945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544.19999999999982</v>
      </c>
      <c r="BZ80" s="14">
        <f>BY80*VLOOKUP('Données projet'!$B$12,Paramètres!$A$1:$I$88,3,0)*VLOOKUP('Données projet'!$B$12,Paramètres!$A$1:$I$88,5,0)</f>
        <v>325.43159999999995</v>
      </c>
      <c r="CA80" s="14">
        <f t="shared" si="93"/>
        <v>76.482394221016762</v>
      </c>
      <c r="CB80" s="22">
        <f t="shared" si="64"/>
        <v>700.00020660160408</v>
      </c>
      <c r="CC80" s="62">
        <f t="shared" si="65"/>
        <v>969.51036582587631</v>
      </c>
      <c r="CD80" s="62">
        <f ca="1">AVERAGE(OFFSET($CC$3,0,0,'Données projet'!$E$12+1,1))-AVERAGE(OFFSET($H$3,0,0,'Données projet'!$E$12+1,1))</f>
        <v>401.1031790385295</v>
      </c>
      <c r="CE80" s="62">
        <f t="shared" si="94"/>
        <v>402.09589424130615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projet'!$B$12,Paramètres!$A$1:$I$88,3,0)*0.475*44/12</f>
        <v>14.813325162451157</v>
      </c>
      <c r="CL80" s="23">
        <f>EXP(-LN(2)/25)*CL79+(1-EXP(-LN(2)/25))/(LN(2)/25)*Calculateur!CG80*Calculateur!CI80*VLOOKUP('Données projet'!$B$12,Paramètres!$A$1:$I$88,3,0)*0.475*44/12</f>
        <v>0</v>
      </c>
      <c r="CM80" s="23">
        <f>EXP(-LN(2)/2)*CM79+(1-EXP(-LN(2)/2))/(LN(2)/2)*CG80*CJ80*VLOOKUP('Données projet'!$B$12,Paramètres!$A$1:$I$88,3,0)*0.475*44/12</f>
        <v>1.1466656333382268E-2</v>
      </c>
      <c r="CN80" s="24">
        <f t="shared" si="66"/>
        <v>14.82479181878454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544.19999999999982</v>
      </c>
      <c r="CU80" s="18">
        <f>CT80*VLOOKUP('Données projet'!$B$13,Paramètres!$A$1:$I$88,3,0)*VLOOKUP('Données projet'!$B$13,Paramètres!$A$1:$I$88,5,0)</f>
        <v>325.43159999999995</v>
      </c>
      <c r="CV80" s="14">
        <f t="shared" si="95"/>
        <v>76.482394221016762</v>
      </c>
      <c r="CW80" s="22">
        <f t="shared" si="67"/>
        <v>700.00020660160408</v>
      </c>
      <c r="CX80" s="62">
        <f t="shared" si="68"/>
        <v>969.51036582587631</v>
      </c>
      <c r="CY80" s="62">
        <f ca="1">AVERAGE(OFFSET($CX$3,0,0,'Données projet'!$E$13+1,1))-AVERAGE(OFFSET($H$3,0,0,'Données projet'!$E$13+1,1))</f>
        <v>401.1031790385295</v>
      </c>
      <c r="CZ80" s="62">
        <f t="shared" si="96"/>
        <v>402.09589424130615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projet'!$B$13,Paramètres!$A$1:$I$88,3,0)*0.475*44/12</f>
        <v>14.813325162451157</v>
      </c>
      <c r="DG80" s="23">
        <f>EXP(-LN(2)/25)*DG79+(1-EXP(-LN(2)/25))/(LN(2)/25)*Calculateur!DB80*Calculateur!DD80*VLOOKUP('Données projet'!$B$13,Paramètres!$A$1:$I$88,3,0)*0.475*44/12</f>
        <v>0</v>
      </c>
      <c r="DH80" s="23">
        <f>EXP(-LN(2)/2)*DH79+(1-EXP(-LN(2)/2))/(LN(2)/2)*DB80*DE80*VLOOKUP('Données projet'!$B$13,Paramètres!$A$1:$I$88,3,0)*0.475*44/12</f>
        <v>1.1466656333382268E-2</v>
      </c>
      <c r="DI80" s="24">
        <f t="shared" si="69"/>
        <v>14.82479181878454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18.2</v>
      </c>
      <c r="DO80" s="13">
        <f>IF('Données projet'!$A$166&gt;35,DO79+DN80-DW79,IF(A80&lt;'Données projet'!$A$166,$DL$205^A80,IF(A80='Données projet'!$A$166,'Données projet'!$B$166,DO79+DN80-DW79)))</f>
        <v>857.40000000000009</v>
      </c>
      <c r="DP80" s="18">
        <f>DO80*VLOOKUP('Données projet'!$B$14,Paramètres!$A$1:$I$88,3,0)*VLOOKUP('Données projet'!$B$14,Paramètres!$A$1:$I$88,5,0)</f>
        <v>345.53220000000005</v>
      </c>
      <c r="DQ80" s="14">
        <f t="shared" si="97"/>
        <v>80.641858076968248</v>
      </c>
      <c r="DR80" s="22">
        <f t="shared" si="70"/>
        <v>742.25315115071987</v>
      </c>
      <c r="DS80" s="62">
        <f t="shared" si="71"/>
        <v>1011.7633103749922</v>
      </c>
      <c r="DT80" s="62">
        <f ca="1">AVERAGE(OFFSET($DS$3,0,0,'Données projet'!$E$14+1,1))-AVERAGE(OFFSET($H$3,0,0,'Données projet'!$E$14+1,1))</f>
        <v>432.59662347701629</v>
      </c>
      <c r="DU80" s="62">
        <f t="shared" si="98"/>
        <v>348.67401091099748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projet'!$B$14,Paramètres!$A$1:$I$88,3,0)*0.475*44/12</f>
        <v>56.18235486478919</v>
      </c>
      <c r="EB80" s="23">
        <f>EXP(-LN(2)/25)*EB79+(1-EXP(-LN(2)/25))/(LN(2)/25)*Calculateur!DW80*Calculateur!DY80*VLOOKUP('Données projet'!$B$14,Paramètres!$A$1:$I$88,3,0)*0.475*44/12</f>
        <v>69.769479813005333</v>
      </c>
      <c r="EC80" s="23">
        <f>EXP(-LN(2)/2)*EC79+(1-EXP(-LN(2)/2))/(LN(2)/2)*DW80*DZ80*VLOOKUP('Données projet'!$B$14,Paramètres!$A$1:$I$88,3,0)*0.475*44/12</f>
        <v>0</v>
      </c>
      <c r="ED80" s="24">
        <f t="shared" si="72"/>
        <v>125.95183467779452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12.8</v>
      </c>
      <c r="EJ80" s="13">
        <f>IF('Données projet'!$A$192&gt;35,EJ79+EI80-ER79,IF(A80&lt;'Données projet'!$A$192,$EG$205^A80,IF(A80='Données projet'!$A$192,'Données projet'!$B$192,EJ79+EI80-ER79)))</f>
        <v>1096.5999999999999</v>
      </c>
      <c r="EK80" s="18">
        <f>EJ80*VLOOKUP('Données projet'!$B$15,Paramètres!$A$1:$I$88,3,0)*VLOOKUP('Données projet'!$B$15,Paramètres!$A$1:$I$88,5,0)</f>
        <v>484.69720000000001</v>
      </c>
      <c r="EL80" s="14">
        <f t="shared" si="99"/>
        <v>108.75113751862669</v>
      </c>
      <c r="EM80" s="22">
        <f t="shared" si="73"/>
        <v>1033.5891878449413</v>
      </c>
      <c r="EN80" s="62">
        <f t="shared" si="74"/>
        <v>1303.0993470692135</v>
      </c>
      <c r="EO80" s="62">
        <f ca="1">AVERAGE(OFFSET($EN$3,0,0,'Données projet'!$E$15+1,1))-AVERAGE(OFFSET($H$3,0,0,'Données projet'!$E$15+1,1))</f>
        <v>582.26951914082088</v>
      </c>
      <c r="EP80" s="62">
        <f t="shared" si="100"/>
        <v>434.80429932654715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projet'!$B$15,Paramètres!$A$1:$I$88,3,0)*0.475*44/12</f>
        <v>58.854148966571053</v>
      </c>
      <c r="EW80" s="23">
        <f>EXP(-LN(2)/25)*EW79+(1-EXP(-LN(2)/25))/(LN(2)/25)*Calculateur!ER80*Calculateur!ET80*VLOOKUP('Données projet'!$B$15,Paramètres!$A$1:$I$88,3,0)*0.475*44/12</f>
        <v>64.233132378936546</v>
      </c>
      <c r="EX80" s="23">
        <f>EXP(-LN(2)/2)*EX79+(1-EXP(-LN(2)/2))/(LN(2)/2)*ER80*EU80*VLOOKUP('Données projet'!$B$15,Paramètres!$A$1:$I$88,3,0)*0.475*44/12</f>
        <v>0</v>
      </c>
      <c r="EY80" s="24">
        <f t="shared" si="75"/>
        <v>123.08728134550759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21.2</v>
      </c>
      <c r="FE80" s="13">
        <f>IF('Données projet'!$A$218&gt;35,FE79+FD80-FM79,IF(A80&lt;'Données projet'!$A$218,$FB$205^A80,IF(A80='Données projet'!$A$218,'Données projet'!$B$218,FE79+FD80-FM79)))</f>
        <v>670.4000000000002</v>
      </c>
      <c r="FF80" s="18">
        <f>FE80*VLOOKUP('Données projet'!$B$16,Paramètres!$A$1:$I$88,3,0)*VLOOKUP('Données projet'!$B$16,Paramètres!$A$1:$I$88,5,0)</f>
        <v>313.74720000000008</v>
      </c>
      <c r="FG80" s="14">
        <f t="shared" si="101"/>
        <v>74.050846595914663</v>
      </c>
      <c r="FH80" s="22">
        <f t="shared" si="76"/>
        <v>675.41493115455148</v>
      </c>
      <c r="FI80" s="62">
        <f t="shared" si="77"/>
        <v>944.92509037882382</v>
      </c>
      <c r="FJ80" s="62">
        <f ca="1">AVERAGE(OFFSET($FI$3,0,0,'Données projet'!$E$16+1,1))-AVERAGE(OFFSET($H$3,0,0,'Données projet'!$E$16+1,1))</f>
        <v>429.87867712133851</v>
      </c>
      <c r="FK80" s="62">
        <f t="shared" si="102"/>
        <v>182.81277865988014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projet'!$B$16,Paramètres!$A$1:$I$88,3,0)*0.475*44/12</f>
        <v>24.139326409100967</v>
      </c>
      <c r="FR80" s="23">
        <f>EXP(-LN(2)/25)*FR79+(1-EXP(-LN(2)/25))/(LN(2)/25)*Calculateur!FM80*Calculateur!FO80*VLOOKUP('Données projet'!$B$16,Paramètres!$A$1:$I$88,3,0)*0.475*44/12</f>
        <v>57.98305586101705</v>
      </c>
      <c r="FS80" s="23">
        <f>EXP(-LN(2)/2)*FS79+(1-EXP(-LN(2)/2))/(LN(2)/2)*FM80*FP80*VLOOKUP('Données projet'!$B$16,Paramètres!$A$1:$I$88,3,0)*0.475*44/12</f>
        <v>0</v>
      </c>
      <c r="FT80" s="24">
        <f t="shared" si="78"/>
        <v>82.12238227011801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498.99999999999955</v>
      </c>
      <c r="GA80" s="18">
        <f>FZ80*VLOOKUP('Données projet'!$B$17,Paramètres!$A$1:$I$88,3,0)*VLOOKUP('Données projet'!$B$17,Paramètres!$A$1:$I$88,5,0)</f>
        <v>240.01899999999978</v>
      </c>
      <c r="GB80" s="14">
        <f t="shared" si="103"/>
        <v>58.443618405936313</v>
      </c>
      <c r="GC80" s="22">
        <f t="shared" si="79"/>
        <v>519.82239372367201</v>
      </c>
      <c r="GD80" s="62">
        <f t="shared" si="80"/>
        <v>789.33255294794435</v>
      </c>
      <c r="GE80" s="62">
        <f ca="1">AVERAGE(OFFSET($GD$3,0,0,'Données projet'!$E$17+1,1))-AVERAGE(OFFSET($H$3,0,0,'Données projet'!$E$17+1,1))</f>
        <v>273.24375559399846</v>
      </c>
      <c r="GF80" s="62">
        <f t="shared" si="104"/>
        <v>270.77718895097848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projet'!$B$17,Paramètres!$A$1:$I$88,3,0)*0.475*44/12</f>
        <v>34.335785931034621</v>
      </c>
      <c r="GM80" s="23">
        <f>EXP(-LN(2)/25)*GM79+(1-EXP(-LN(2)/25))/(LN(2)/25)*Calculateur!GH80*Calculateur!GJ80*VLOOKUP('Données projet'!$B$17,Paramètres!$A$1:$I$88,3,0)*0.475*44/12</f>
        <v>33.116343084129291</v>
      </c>
      <c r="GN80" s="23">
        <f>EXP(-LN(2)/2)*GN79+(1-EXP(-LN(2)/2))/(LN(2)/2)*GH80*GK80*VLOOKUP('Données projet'!$B$17,Paramètres!$A$1:$I$88,3,0)*0.475*44/12</f>
        <v>0</v>
      </c>
      <c r="GO80" s="23">
        <f t="shared" si="81"/>
        <v>67.452129015163905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550.99999999999966</v>
      </c>
      <c r="O81" s="14">
        <f>N81*VLOOKUP('Données projet'!$B$9,Paramètres!$A$1:$I$88,3,0)*VLOOKUP('Données projet'!$B$9,Paramètres!$A$1:$I$88,5,0)</f>
        <v>308.00899999999979</v>
      </c>
      <c r="P81" s="14">
        <f t="shared" si="87"/>
        <v>72.852874331417695</v>
      </c>
      <c r="Q81" s="22">
        <f t="shared" si="54"/>
        <v>663.33443112721886</v>
      </c>
      <c r="R81" s="62">
        <f t="shared" si="55"/>
        <v>933.25786916164509</v>
      </c>
      <c r="S81" s="62">
        <f ca="1">AVERAGE(OFFSET($R$3,0,0,'Données projet'!$E$9+1,1))-AVERAGE(OFFSET($H$3,0,0,'Données projet'!$E$9+1,1))</f>
        <v>289.94242154211224</v>
      </c>
      <c r="T81" s="62">
        <f t="shared" si="88"/>
        <v>369.12599166143661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51.651490434647386</v>
      </c>
      <c r="AA81" s="23">
        <f>EXP(-LN(2)/25)*AA80+(1-EXP(-LN(2)/25))/(LN(2)/25)*Calculateur!V81*Calculateur!X81*VLOOKUP('Données projet'!$B$9,Paramètres!$A$1:$I$88,3,0)*0.475*44/12</f>
        <v>40.56710790160755</v>
      </c>
      <c r="AB81" s="23">
        <f>EXP(-LN(2)/2)*AB80+(1-EXP(-LN(2)/2))/(LN(2)/2)*V81*Y81*VLOOKUP('Données projet'!$B$9,Paramètres!$A$1:$I$88,3,0)*0.475*44/12</f>
        <v>0</v>
      </c>
      <c r="AC81" s="24">
        <f t="shared" si="57"/>
        <v>92.218598336254928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2.125</v>
      </c>
      <c r="AI81" s="14">
        <f>IF('Données projet'!$A$62&gt;35,AI80+AH81-AQ80,IF(A81&lt;'Données projet'!$A$62,$AF$205^A81,IF(A81='Données projet'!$A$62,'Données projet'!$B$62,AI80+AH81-AQ80)))</f>
        <v>253.125</v>
      </c>
      <c r="AJ81" s="14">
        <f>AI81*VLOOKUP('Données projet'!$B$10,Paramètres!$A$1:$I$88,3,0)*VLOOKUP('Données projet'!$B$10,Paramètres!$A$1:$I$88,5,0)</f>
        <v>229.0275</v>
      </c>
      <c r="AK81" s="14">
        <f t="shared" si="89"/>
        <v>56.072352466455172</v>
      </c>
      <c r="AL81" s="22">
        <f t="shared" si="58"/>
        <v>496.54890971240934</v>
      </c>
      <c r="AM81" s="62">
        <f t="shared" si="59"/>
        <v>766.47234774683557</v>
      </c>
      <c r="AN81" s="62">
        <f ca="1">AVERAGE(OFFSET($AM$3,0,0,'Données projet'!$E$10+1,1))-AVERAGE(OFFSET($H$3,0,0,'Données projet'!$E$10+1,1))</f>
        <v>518.31628039365785</v>
      </c>
      <c r="AO81" s="62">
        <f t="shared" si="90"/>
        <v>66.435071953154761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13.911186621929442</v>
      </c>
      <c r="AV81" s="23">
        <f>EXP(-LN(2)/25)*AV80+(1-EXP(-LN(2)/25))/(LN(2)/25)*Calculateur!AQ81*Calculateur!AS81*VLOOKUP('Données projet'!$B$10,Paramètres!$A$1:$I$88,3,0)*0.475*44/12</f>
        <v>0</v>
      </c>
      <c r="AW81" s="23">
        <f>EXP(-LN(2)/2)*AW80+(1-EXP(-LN(2)/2))/(LN(2)/2)*AQ81*AT81*VLOOKUP('Données projet'!$B$10,Paramètres!$A$1:$I$88,3,0)*0.475*44/12</f>
        <v>0</v>
      </c>
      <c r="AX81" s="23">
        <f t="shared" si="60"/>
        <v>13.911186621929442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2.125</v>
      </c>
      <c r="BD81" s="13">
        <f>IF('Données projet'!$A$88&gt;35,BD80+BC81-BL80,IF(A81&lt;'Données projet'!$A$88,$BA$205^A81,IF(A81='Données projet'!$A$88,'Données projet'!$B$88,BD80+BC81-BL80)))</f>
        <v>253.125</v>
      </c>
      <c r="BE81" s="14">
        <f>BD81*VLOOKUP('Données projet'!$B$11,Paramètres!$A$1:$I$88,3,0)*VLOOKUP('Données projet'!$B$11,Paramètres!$A$1:$I$88,5,0)</f>
        <v>256.66874999999999</v>
      </c>
      <c r="BF81" s="14">
        <f t="shared" si="91"/>
        <v>62.011758029462747</v>
      </c>
      <c r="BG81" s="22">
        <f t="shared" si="61"/>
        <v>555.03521815131421</v>
      </c>
      <c r="BH81" s="62">
        <f t="shared" si="62"/>
        <v>824.95865618574044</v>
      </c>
      <c r="BI81" s="62">
        <f ca="1">AVERAGE(OFFSET($BH$3,0,0,'Données projet'!$E$11+1,1))-AVERAGE(OFFSET($H$3,0,0,'Données projet'!$E$11+1,1))</f>
        <v>570.2785736203931</v>
      </c>
      <c r="BJ81" s="62">
        <f t="shared" si="92"/>
        <v>67.677759965081719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15.590122938369205</v>
      </c>
      <c r="BQ81" s="23">
        <f>EXP(-LN(2)/25)*BQ80+(1-EXP(-LN(2)/25))/(LN(2)/25)*Calculateur!BL81*Calculateur!BN81*VLOOKUP('Données projet'!$B$11,Paramètres!$A$1:$I$88,3,0)*0.475*44/12</f>
        <v>0</v>
      </c>
      <c r="BR81" s="23">
        <f>EXP(-LN(2)/2)*BR80+(1-EXP(-LN(2)/2))/(LN(2)/2)*BL81*BO81*VLOOKUP('Données projet'!$B$11,Paramètres!$A$1:$I$88,3,0)*0.475*44/12</f>
        <v>0</v>
      </c>
      <c r="BS81" s="24">
        <f t="shared" si="63"/>
        <v>15.590122938369205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544.19999999999982</v>
      </c>
      <c r="BZ81" s="14">
        <f>BY81*VLOOKUP('Données projet'!$B$12,Paramètres!$A$1:$I$88,3,0)*VLOOKUP('Données projet'!$B$12,Paramètres!$A$1:$I$88,5,0)</f>
        <v>325.43159999999995</v>
      </c>
      <c r="CA81" s="14">
        <f t="shared" si="93"/>
        <v>76.482394221016762</v>
      </c>
      <c r="CB81" s="22">
        <f t="shared" si="64"/>
        <v>700.00020660160408</v>
      </c>
      <c r="CC81" s="62">
        <f t="shared" si="65"/>
        <v>969.9236446360303</v>
      </c>
      <c r="CD81" s="62">
        <f ca="1">AVERAGE(OFFSET($CC$3,0,0,'Données projet'!$E$12+1,1))-AVERAGE(OFFSET($H$3,0,0,'Données projet'!$E$12+1,1))</f>
        <v>401.1031790385295</v>
      </c>
      <c r="CE81" s="62">
        <f t="shared" si="94"/>
        <v>402.09589424130615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projet'!$B$12,Paramètres!$A$1:$I$88,3,0)*0.475*44/12</f>
        <v>14.522844891251683</v>
      </c>
      <c r="CL81" s="23">
        <f>EXP(-LN(2)/25)*CL80+(1-EXP(-LN(2)/25))/(LN(2)/25)*Calculateur!CG81*Calculateur!CI81*VLOOKUP('Données projet'!$B$12,Paramètres!$A$1:$I$88,3,0)*0.475*44/12</f>
        <v>0</v>
      </c>
      <c r="CM81" s="23">
        <f>EXP(-LN(2)/2)*CM80+(1-EXP(-LN(2)/2))/(LN(2)/2)*CG81*CJ81*VLOOKUP('Données projet'!$B$12,Paramètres!$A$1:$I$88,3,0)*0.475*44/12</f>
        <v>8.1081504508702749E-3</v>
      </c>
      <c r="CN81" s="24">
        <f t="shared" si="66"/>
        <v>14.530953041702553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544.19999999999982</v>
      </c>
      <c r="CU81" s="18">
        <f>CT81*VLOOKUP('Données projet'!$B$13,Paramètres!$A$1:$I$88,3,0)*VLOOKUP('Données projet'!$B$13,Paramètres!$A$1:$I$88,5,0)</f>
        <v>325.43159999999995</v>
      </c>
      <c r="CV81" s="14">
        <f t="shared" si="95"/>
        <v>76.482394221016762</v>
      </c>
      <c r="CW81" s="22">
        <f t="shared" si="67"/>
        <v>700.00020660160408</v>
      </c>
      <c r="CX81" s="62">
        <f t="shared" si="68"/>
        <v>969.9236446360303</v>
      </c>
      <c r="CY81" s="62">
        <f ca="1">AVERAGE(OFFSET($CX$3,0,0,'Données projet'!$E$13+1,1))-AVERAGE(OFFSET($H$3,0,0,'Données projet'!$E$13+1,1))</f>
        <v>401.1031790385295</v>
      </c>
      <c r="CZ81" s="62">
        <f t="shared" si="96"/>
        <v>402.09589424130615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projet'!$B$13,Paramètres!$A$1:$I$88,3,0)*0.475*44/12</f>
        <v>14.522844891251683</v>
      </c>
      <c r="DG81" s="23">
        <f>EXP(-LN(2)/25)*DG80+(1-EXP(-LN(2)/25))/(LN(2)/25)*Calculateur!DB81*Calculateur!DD81*VLOOKUP('Données projet'!$B$13,Paramètres!$A$1:$I$88,3,0)*0.475*44/12</f>
        <v>0</v>
      </c>
      <c r="DH81" s="23">
        <f>EXP(-LN(2)/2)*DH80+(1-EXP(-LN(2)/2))/(LN(2)/2)*DB81*DE81*VLOOKUP('Données projet'!$B$13,Paramètres!$A$1:$I$88,3,0)*0.475*44/12</f>
        <v>8.1081504508702749E-3</v>
      </c>
      <c r="DI81" s="24">
        <f t="shared" si="69"/>
        <v>14.530953041702553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18.2</v>
      </c>
      <c r="DO81" s="13">
        <f>IF('Données projet'!$A$166&gt;35,DO80+DN81-DW80,IF(A81&lt;'Données projet'!$A$166,$DL$205^A81,IF(A81='Données projet'!$A$166,'Données projet'!$B$166,DO80+DN81-DW80)))</f>
        <v>875.60000000000014</v>
      </c>
      <c r="DP81" s="18">
        <f>DO81*VLOOKUP('Données projet'!$B$14,Paramètres!$A$1:$I$88,3,0)*VLOOKUP('Données projet'!$B$14,Paramètres!$A$1:$I$88,5,0)</f>
        <v>352.86680000000007</v>
      </c>
      <c r="DQ81" s="14">
        <f t="shared" si="97"/>
        <v>82.152534582768084</v>
      </c>
      <c r="DR81" s="22">
        <f t="shared" si="70"/>
        <v>757.65867439832107</v>
      </c>
      <c r="DS81" s="62">
        <f t="shared" si="71"/>
        <v>1027.5821124327472</v>
      </c>
      <c r="DT81" s="62">
        <f ca="1">AVERAGE(OFFSET($DS$3,0,0,'Données projet'!$E$14+1,1))-AVERAGE(OFFSET($H$3,0,0,'Données projet'!$E$14+1,1))</f>
        <v>432.59662347701629</v>
      </c>
      <c r="DU81" s="62">
        <f t="shared" si="98"/>
        <v>348.67401091099748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projet'!$B$14,Paramètres!$A$1:$I$88,3,0)*0.475*44/12</f>
        <v>55.080653153743469</v>
      </c>
      <c r="EB81" s="23">
        <f>EXP(-LN(2)/25)*EB80+(1-EXP(-LN(2)/25))/(LN(2)/25)*Calculateur!DW81*Calculateur!DY81*VLOOKUP('Données projet'!$B$14,Paramètres!$A$1:$I$88,3,0)*0.475*44/12</f>
        <v>67.86162971850122</v>
      </c>
      <c r="EC81" s="23">
        <f>EXP(-LN(2)/2)*EC80+(1-EXP(-LN(2)/2))/(LN(2)/2)*DW81*DZ81*VLOOKUP('Données projet'!$B$14,Paramètres!$A$1:$I$88,3,0)*0.475*44/12</f>
        <v>0</v>
      </c>
      <c r="ED81" s="24">
        <f t="shared" si="72"/>
        <v>122.94228287224469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12.8</v>
      </c>
      <c r="EJ81" s="13">
        <f>IF('Données projet'!$A$192&gt;35,EJ80+EI81-ER80,IF(A81&lt;'Données projet'!$A$192,$EG$205^A81,IF(A81='Données projet'!$A$192,'Données projet'!$B$192,EJ80+EI81-ER80)))</f>
        <v>1109.3999999999999</v>
      </c>
      <c r="EK81" s="18">
        <f>EJ81*VLOOKUP('Données projet'!$B$15,Paramètres!$A$1:$I$88,3,0)*VLOOKUP('Données projet'!$B$15,Paramètres!$A$1:$I$88,5,0)</f>
        <v>490.35479999999995</v>
      </c>
      <c r="EL81" s="14">
        <f t="shared" si="99"/>
        <v>109.87201304301044</v>
      </c>
      <c r="EM81" s="22">
        <f t="shared" si="73"/>
        <v>1045.3950327165765</v>
      </c>
      <c r="EN81" s="62">
        <f t="shared" si="74"/>
        <v>1315.3184707510027</v>
      </c>
      <c r="EO81" s="62">
        <f ca="1">AVERAGE(OFFSET($EN$3,0,0,'Données projet'!$E$15+1,1))-AVERAGE(OFFSET($H$3,0,0,'Données projet'!$E$15+1,1))</f>
        <v>582.26951914082088</v>
      </c>
      <c r="EP81" s="62">
        <f t="shared" si="100"/>
        <v>434.80429932654715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projet'!$B$15,Paramètres!$A$1:$I$88,3,0)*0.475*44/12</f>
        <v>57.700055002822879</v>
      </c>
      <c r="EW81" s="23">
        <f>EXP(-LN(2)/25)*EW80+(1-EXP(-LN(2)/25))/(LN(2)/25)*Calculateur!ER81*Calculateur!ET81*VLOOKUP('Données projet'!$B$15,Paramètres!$A$1:$I$88,3,0)*0.475*44/12</f>
        <v>62.476673996160898</v>
      </c>
      <c r="EX81" s="23">
        <f>EXP(-LN(2)/2)*EX80+(1-EXP(-LN(2)/2))/(LN(2)/2)*ER81*EU81*VLOOKUP('Données projet'!$B$15,Paramètres!$A$1:$I$88,3,0)*0.475*44/12</f>
        <v>0</v>
      </c>
      <c r="EY81" s="24">
        <f t="shared" si="75"/>
        <v>120.17672899898378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21.2</v>
      </c>
      <c r="FE81" s="13">
        <f>IF('Données projet'!$A$218&gt;35,FE80+FD81-FM80,IF(A81&lt;'Données projet'!$A$218,$FB$205^A81,IF(A81='Données projet'!$A$218,'Données projet'!$B$218,FE80+FD81-FM80)))</f>
        <v>691.60000000000025</v>
      </c>
      <c r="FF81" s="18">
        <f>FE81*VLOOKUP('Données projet'!$B$16,Paramètres!$A$1:$I$88,3,0)*VLOOKUP('Données projet'!$B$16,Paramètres!$A$1:$I$88,5,0)</f>
        <v>323.66880000000015</v>
      </c>
      <c r="FG81" s="14">
        <f t="shared" si="101"/>
        <v>76.11621164769852</v>
      </c>
      <c r="FH81" s="22">
        <f t="shared" si="76"/>
        <v>696.29222861974176</v>
      </c>
      <c r="FI81" s="62">
        <f t="shared" si="77"/>
        <v>966.21566665416799</v>
      </c>
      <c r="FJ81" s="62">
        <f ca="1">AVERAGE(OFFSET($FI$3,0,0,'Données projet'!$E$16+1,1))-AVERAGE(OFFSET($H$3,0,0,'Données projet'!$E$16+1,1))</f>
        <v>429.87867712133851</v>
      </c>
      <c r="FK81" s="62">
        <f t="shared" si="102"/>
        <v>182.81277865988014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projet'!$B$16,Paramètres!$A$1:$I$88,3,0)*0.475*44/12</f>
        <v>23.665968941753778</v>
      </c>
      <c r="FR81" s="23">
        <f>EXP(-LN(2)/25)*FR80+(1-EXP(-LN(2)/25))/(LN(2)/25)*Calculateur!FM81*Calculateur!FO81*VLOOKUP('Données projet'!$B$16,Paramètres!$A$1:$I$88,3,0)*0.475*44/12</f>
        <v>56.397506149301151</v>
      </c>
      <c r="FS81" s="23">
        <f>EXP(-LN(2)/2)*FS80+(1-EXP(-LN(2)/2))/(LN(2)/2)*FM81*FP81*VLOOKUP('Données projet'!$B$16,Paramètres!$A$1:$I$88,3,0)*0.475*44/12</f>
        <v>0</v>
      </c>
      <c r="FT81" s="24">
        <f t="shared" si="78"/>
        <v>80.063475091054926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498.99999999999955</v>
      </c>
      <c r="GA81" s="18">
        <f>FZ81*VLOOKUP('Données projet'!$B$17,Paramètres!$A$1:$I$88,3,0)*VLOOKUP('Données projet'!$B$17,Paramètres!$A$1:$I$88,5,0)</f>
        <v>240.01899999999978</v>
      </c>
      <c r="GB81" s="14">
        <f t="shared" si="103"/>
        <v>58.443618405936313</v>
      </c>
      <c r="GC81" s="22">
        <f t="shared" si="79"/>
        <v>519.82239372367201</v>
      </c>
      <c r="GD81" s="62">
        <f t="shared" si="80"/>
        <v>789.74583175809823</v>
      </c>
      <c r="GE81" s="62">
        <f ca="1">AVERAGE(OFFSET($GD$3,0,0,'Données projet'!$E$17+1,1))-AVERAGE(OFFSET($H$3,0,0,'Données projet'!$E$17+1,1))</f>
        <v>273.24375559399846</v>
      </c>
      <c r="GF81" s="62">
        <f t="shared" si="104"/>
        <v>270.77718895097848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projet'!$B$17,Paramètres!$A$1:$I$88,3,0)*0.475*44/12</f>
        <v>33.662482111688526</v>
      </c>
      <c r="GM81" s="23">
        <f>EXP(-LN(2)/25)*GM80+(1-EXP(-LN(2)/25))/(LN(2)/25)*Calculateur!GH81*Calculateur!GJ81*VLOOKUP('Données projet'!$B$17,Paramètres!$A$1:$I$88,3,0)*0.475*44/12</f>
        <v>32.210774940980983</v>
      </c>
      <c r="GN81" s="23">
        <f>EXP(-LN(2)/2)*GN80+(1-EXP(-LN(2)/2))/(LN(2)/2)*GH81*GK81*VLOOKUP('Données projet'!$B$17,Paramètres!$A$1:$I$88,3,0)*0.475*44/12</f>
        <v>0</v>
      </c>
      <c r="GO81" s="23">
        <f t="shared" si="81"/>
        <v>65.873257052669516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550.99999999999966</v>
      </c>
      <c r="O82" s="14">
        <f>N82*VLOOKUP('Données projet'!$B$9,Paramètres!$A$1:$I$88,3,0)*VLOOKUP('Données projet'!$B$9,Paramètres!$A$1:$I$88,5,0)</f>
        <v>308.00899999999979</v>
      </c>
      <c r="P82" s="14">
        <f t="shared" si="87"/>
        <v>72.852874331417695</v>
      </c>
      <c r="Q82" s="22">
        <f t="shared" si="54"/>
        <v>663.33443112721886</v>
      </c>
      <c r="R82" s="62">
        <f t="shared" si="55"/>
        <v>933.66397850839576</v>
      </c>
      <c r="S82" s="62">
        <f ca="1">AVERAGE(OFFSET($R$3,0,0,'Données projet'!$E$9+1,1))-AVERAGE(OFFSET($H$3,0,0,'Données projet'!$E$9+1,1))</f>
        <v>289.94242154211224</v>
      </c>
      <c r="T82" s="62">
        <f t="shared" si="88"/>
        <v>369.12599166143661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50.638636211522325</v>
      </c>
      <c r="AA82" s="23">
        <f>EXP(-LN(2)/25)*AA81+(1-EXP(-LN(2)/25))/(LN(2)/25)*Calculateur!V82*Calculateur!X82*VLOOKUP('Données projet'!$B$9,Paramètres!$A$1:$I$88,3,0)*0.475*44/12</f>
        <v>39.457798202706606</v>
      </c>
      <c r="AB82" s="23">
        <f>EXP(-LN(2)/2)*AB81+(1-EXP(-LN(2)/2))/(LN(2)/2)*V82*Y82*VLOOKUP('Données projet'!$B$9,Paramètres!$A$1:$I$88,3,0)*0.475*44/12</f>
        <v>0</v>
      </c>
      <c r="AC82" s="24">
        <f t="shared" si="57"/>
        <v>90.096434414228924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2.125</v>
      </c>
      <c r="AI82" s="14">
        <f>IF('Données projet'!$A$62&gt;35,AI81+AH82-AQ81,IF(A82&lt;'Données projet'!$A$62,$AF$205^A82,IF(A82='Données projet'!$A$62,'Données projet'!$B$62,AI81+AH82-AQ81)))</f>
        <v>255.25</v>
      </c>
      <c r="AJ82" s="14">
        <f>AI82*VLOOKUP('Données projet'!$B$10,Paramètres!$A$1:$I$88,3,0)*VLOOKUP('Données projet'!$B$10,Paramètres!$A$1:$I$88,5,0)</f>
        <v>230.9502</v>
      </c>
      <c r="AK82" s="14">
        <f t="shared" si="89"/>
        <v>56.488087662499936</v>
      </c>
      <c r="AL82" s="22">
        <f t="shared" si="58"/>
        <v>500.62168434552069</v>
      </c>
      <c r="AM82" s="62">
        <f t="shared" si="59"/>
        <v>770.95123172669764</v>
      </c>
      <c r="AN82" s="62">
        <f ca="1">AVERAGE(OFFSET($AM$3,0,0,'Données projet'!$E$10+1,1))-AVERAGE(OFFSET($H$3,0,0,'Données projet'!$E$10+1,1))</f>
        <v>518.31628039365785</v>
      </c>
      <c r="AO82" s="62">
        <f t="shared" si="90"/>
        <v>66.435071953154761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13.638396737259422</v>
      </c>
      <c r="AV82" s="23">
        <f>EXP(-LN(2)/25)*AV81+(1-EXP(-LN(2)/25))/(LN(2)/25)*Calculateur!AQ82*Calculateur!AS82*VLOOKUP('Données projet'!$B$10,Paramètres!$A$1:$I$88,3,0)*0.475*44/12</f>
        <v>0</v>
      </c>
      <c r="AW82" s="23">
        <f>EXP(-LN(2)/2)*AW81+(1-EXP(-LN(2)/2))/(LN(2)/2)*AQ82*AT82*VLOOKUP('Données projet'!$B$10,Paramètres!$A$1:$I$88,3,0)*0.475*44/12</f>
        <v>0</v>
      </c>
      <c r="AX82" s="23">
        <f t="shared" si="60"/>
        <v>13.638396737259422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2.125</v>
      </c>
      <c r="BD82" s="13">
        <f>IF('Données projet'!$A$88&gt;35,BD81+BC82-BL81,IF(A82&lt;'Données projet'!$A$88,$BA$205^A82,IF(A82='Données projet'!$A$88,'Données projet'!$B$88,BD81+BC82-BL81)))</f>
        <v>255.25</v>
      </c>
      <c r="BE82" s="14">
        <f>BD82*VLOOKUP('Données projet'!$B$11,Paramètres!$A$1:$I$88,3,0)*VLOOKUP('Données projet'!$B$11,Paramètres!$A$1:$I$88,5,0)</f>
        <v>258.82350000000002</v>
      </c>
      <c r="BF82" s="14">
        <f t="shared" si="91"/>
        <v>62.471529543363147</v>
      </c>
      <c r="BG82" s="22">
        <f t="shared" si="61"/>
        <v>559.58884312135751</v>
      </c>
      <c r="BH82" s="62">
        <f t="shared" si="62"/>
        <v>829.91839050253452</v>
      </c>
      <c r="BI82" s="62">
        <f ca="1">AVERAGE(OFFSET($BH$3,0,0,'Données projet'!$E$11+1,1))-AVERAGE(OFFSET($H$3,0,0,'Données projet'!$E$11+1,1))</f>
        <v>570.2785736203931</v>
      </c>
      <c r="BJ82" s="62">
        <f t="shared" si="92"/>
        <v>67.677759965081719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15.284410136583839</v>
      </c>
      <c r="BQ82" s="23">
        <f>EXP(-LN(2)/25)*BQ81+(1-EXP(-LN(2)/25))/(LN(2)/25)*Calculateur!BL82*Calculateur!BN82*VLOOKUP('Données projet'!$B$11,Paramètres!$A$1:$I$88,3,0)*0.475*44/12</f>
        <v>0</v>
      </c>
      <c r="BR82" s="23">
        <f>EXP(-LN(2)/2)*BR81+(1-EXP(-LN(2)/2))/(LN(2)/2)*BL82*BO82*VLOOKUP('Données projet'!$B$11,Paramètres!$A$1:$I$88,3,0)*0.475*44/12</f>
        <v>0</v>
      </c>
      <c r="BS82" s="24">
        <f t="shared" si="63"/>
        <v>15.284410136583839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544.19999999999982</v>
      </c>
      <c r="BZ82" s="14">
        <f>BY82*VLOOKUP('Données projet'!$B$12,Paramètres!$A$1:$I$88,3,0)*VLOOKUP('Données projet'!$B$12,Paramètres!$A$1:$I$88,5,0)</f>
        <v>325.43159999999995</v>
      </c>
      <c r="CA82" s="14">
        <f t="shared" si="93"/>
        <v>76.482394221016762</v>
      </c>
      <c r="CB82" s="22">
        <f t="shared" si="64"/>
        <v>700.00020660160408</v>
      </c>
      <c r="CC82" s="62">
        <f t="shared" si="65"/>
        <v>970.32975398278109</v>
      </c>
      <c r="CD82" s="62">
        <f ca="1">AVERAGE(OFFSET($CC$3,0,0,'Données projet'!$E$12+1,1))-AVERAGE(OFFSET($H$3,0,0,'Données projet'!$E$12+1,1))</f>
        <v>401.1031790385295</v>
      </c>
      <c r="CE82" s="62">
        <f t="shared" si="94"/>
        <v>402.09589424130615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projet'!$B$12,Paramètres!$A$1:$I$88,3,0)*0.475*44/12</f>
        <v>14.23806076099496</v>
      </c>
      <c r="CL82" s="23">
        <f>EXP(-LN(2)/25)*CL81+(1-EXP(-LN(2)/25))/(LN(2)/25)*Calculateur!CG82*Calculateur!CI82*VLOOKUP('Données projet'!$B$12,Paramètres!$A$1:$I$88,3,0)*0.475*44/12</f>
        <v>0</v>
      </c>
      <c r="CM82" s="23">
        <f>EXP(-LN(2)/2)*CM81+(1-EXP(-LN(2)/2))/(LN(2)/2)*CG82*CJ82*VLOOKUP('Données projet'!$B$12,Paramètres!$A$1:$I$88,3,0)*0.475*44/12</f>
        <v>5.7333281666911342E-3</v>
      </c>
      <c r="CN82" s="24">
        <f t="shared" si="66"/>
        <v>14.243794089161652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544.19999999999982</v>
      </c>
      <c r="CU82" s="18">
        <f>CT82*VLOOKUP('Données projet'!$B$13,Paramètres!$A$1:$I$88,3,0)*VLOOKUP('Données projet'!$B$13,Paramètres!$A$1:$I$88,5,0)</f>
        <v>325.43159999999995</v>
      </c>
      <c r="CV82" s="14">
        <f t="shared" si="95"/>
        <v>76.482394221016762</v>
      </c>
      <c r="CW82" s="22">
        <f t="shared" si="67"/>
        <v>700.00020660160408</v>
      </c>
      <c r="CX82" s="62">
        <f t="shared" si="68"/>
        <v>970.32975398278109</v>
      </c>
      <c r="CY82" s="62">
        <f ca="1">AVERAGE(OFFSET($CX$3,0,0,'Données projet'!$E$13+1,1))-AVERAGE(OFFSET($H$3,0,0,'Données projet'!$E$13+1,1))</f>
        <v>401.1031790385295</v>
      </c>
      <c r="CZ82" s="62">
        <f t="shared" si="96"/>
        <v>402.09589424130615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projet'!$B$13,Paramètres!$A$1:$I$88,3,0)*0.475*44/12</f>
        <v>14.23806076099496</v>
      </c>
      <c r="DG82" s="23">
        <f>EXP(-LN(2)/25)*DG81+(1-EXP(-LN(2)/25))/(LN(2)/25)*Calculateur!DB82*Calculateur!DD82*VLOOKUP('Données projet'!$B$13,Paramètres!$A$1:$I$88,3,0)*0.475*44/12</f>
        <v>0</v>
      </c>
      <c r="DH82" s="23">
        <f>EXP(-LN(2)/2)*DH81+(1-EXP(-LN(2)/2))/(LN(2)/2)*DB82*DE82*VLOOKUP('Données projet'!$B$13,Paramètres!$A$1:$I$88,3,0)*0.475*44/12</f>
        <v>5.7333281666911342E-3</v>
      </c>
      <c r="DI82" s="24">
        <f t="shared" si="69"/>
        <v>14.243794089161652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18.2</v>
      </c>
      <c r="DO82" s="13">
        <f>IF('Données projet'!$A$166&gt;35,DO81+DN82-DW81,IF(A82&lt;'Données projet'!$A$166,$DL$205^A82,IF(A82='Données projet'!$A$166,'Données projet'!$B$166,DO81+DN82-DW81)))</f>
        <v>893.80000000000018</v>
      </c>
      <c r="DP82" s="18">
        <f>DO82*VLOOKUP('Données projet'!$B$14,Paramètres!$A$1:$I$88,3,0)*VLOOKUP('Données projet'!$B$14,Paramètres!$A$1:$I$88,5,0)</f>
        <v>360.20140000000004</v>
      </c>
      <c r="DQ82" s="14">
        <f t="shared" si="97"/>
        <v>83.65956020591095</v>
      </c>
      <c r="DR82" s="22">
        <f t="shared" si="70"/>
        <v>773.05783902529492</v>
      </c>
      <c r="DS82" s="62">
        <f t="shared" si="71"/>
        <v>1043.3873864064719</v>
      </c>
      <c r="DT82" s="62">
        <f ca="1">AVERAGE(OFFSET($DS$3,0,0,'Données projet'!$E$14+1,1))-AVERAGE(OFFSET($H$3,0,0,'Données projet'!$E$14+1,1))</f>
        <v>432.59662347701629</v>
      </c>
      <c r="DU82" s="62">
        <f t="shared" si="98"/>
        <v>348.67401091099748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projet'!$B$14,Paramètres!$A$1:$I$88,3,0)*0.475*44/12</f>
        <v>54.000555141279669</v>
      </c>
      <c r="EB82" s="23">
        <f>EXP(-LN(2)/25)*EB81+(1-EXP(-LN(2)/25))/(LN(2)/25)*Calculateur!DW82*Calculateur!DY82*VLOOKUP('Données projet'!$B$14,Paramètres!$A$1:$I$88,3,0)*0.475*44/12</f>
        <v>66.005949885160803</v>
      </c>
      <c r="EC82" s="23">
        <f>EXP(-LN(2)/2)*EC81+(1-EXP(-LN(2)/2))/(LN(2)/2)*DW82*DZ82*VLOOKUP('Données projet'!$B$14,Paramètres!$A$1:$I$88,3,0)*0.475*44/12</f>
        <v>0</v>
      </c>
      <c r="ED82" s="24">
        <f t="shared" si="72"/>
        <v>120.00650502644046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12.8</v>
      </c>
      <c r="EJ82" s="13">
        <f>IF('Données projet'!$A$192&gt;35,EJ81+EI82-ER81,IF(A82&lt;'Données projet'!$A$192,$EG$205^A82,IF(A82='Données projet'!$A$192,'Données projet'!$B$192,EJ81+EI82-ER81)))</f>
        <v>1122.1999999999998</v>
      </c>
      <c r="EK82" s="18">
        <f>EJ82*VLOOKUP('Données projet'!$B$15,Paramètres!$A$1:$I$88,3,0)*VLOOKUP('Données projet'!$B$15,Paramètres!$A$1:$I$88,5,0)</f>
        <v>496.01239999999996</v>
      </c>
      <c r="EL82" s="14">
        <f t="shared" si="99"/>
        <v>110.99138421088669</v>
      </c>
      <c r="EM82" s="22">
        <f t="shared" si="73"/>
        <v>1057.1982575006275</v>
      </c>
      <c r="EN82" s="62">
        <f t="shared" si="74"/>
        <v>1327.5278048818045</v>
      </c>
      <c r="EO82" s="62">
        <f ca="1">AVERAGE(OFFSET($EN$3,0,0,'Données projet'!$E$15+1,1))-AVERAGE(OFFSET($H$3,0,0,'Données projet'!$E$15+1,1))</f>
        <v>582.26951914082088</v>
      </c>
      <c r="EP82" s="62">
        <f t="shared" si="100"/>
        <v>434.80429932654715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projet'!$B$15,Paramètres!$A$1:$I$88,3,0)*0.475*44/12</f>
        <v>56.568592117775999</v>
      </c>
      <c r="EW82" s="23">
        <f>EXP(-LN(2)/25)*EW81+(1-EXP(-LN(2)/25))/(LN(2)/25)*Calculateur!ER82*Calculateur!ET82*VLOOKUP('Données projet'!$B$15,Paramètres!$A$1:$I$88,3,0)*0.475*44/12</f>
        <v>60.768246060230382</v>
      </c>
      <c r="EX82" s="23">
        <f>EXP(-LN(2)/2)*EX81+(1-EXP(-LN(2)/2))/(LN(2)/2)*ER82*EU82*VLOOKUP('Données projet'!$B$15,Paramètres!$A$1:$I$88,3,0)*0.475*44/12</f>
        <v>0</v>
      </c>
      <c r="EY82" s="24">
        <f t="shared" si="75"/>
        <v>117.33683817800639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21.2</v>
      </c>
      <c r="FE82" s="13">
        <f>IF('Données projet'!$A$218&gt;35,FE81+FD82-FM81,IF(A82&lt;'Données projet'!$A$218,$FB$205^A82,IF(A82='Données projet'!$A$218,'Données projet'!$B$218,FE81+FD82-FM81)))</f>
        <v>712.8000000000003</v>
      </c>
      <c r="FF82" s="18">
        <f>FE82*VLOOKUP('Données projet'!$B$16,Paramètres!$A$1:$I$88,3,0)*VLOOKUP('Données projet'!$B$16,Paramètres!$A$1:$I$88,5,0)</f>
        <v>333.59040000000016</v>
      </c>
      <c r="FG82" s="14">
        <f t="shared" si="101"/>
        <v>78.174219238300594</v>
      </c>
      <c r="FH82" s="22">
        <f t="shared" si="76"/>
        <v>717.15671184004043</v>
      </c>
      <c r="FI82" s="62">
        <f t="shared" si="77"/>
        <v>987.48625922121732</v>
      </c>
      <c r="FJ82" s="62">
        <f ca="1">AVERAGE(OFFSET($FI$3,0,0,'Données projet'!$E$16+1,1))-AVERAGE(OFFSET($H$3,0,0,'Données projet'!$E$16+1,1))</f>
        <v>429.87867712133851</v>
      </c>
      <c r="FK82" s="62">
        <f t="shared" si="102"/>
        <v>182.81277865988014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projet'!$B$16,Paramètres!$A$1:$I$88,3,0)*0.475*44/12</f>
        <v>23.201893725621723</v>
      </c>
      <c r="FR82" s="23">
        <f>EXP(-LN(2)/25)*FR81+(1-EXP(-LN(2)/25))/(LN(2)/25)*Calculateur!FM82*Calculateur!FO82*VLOOKUP('Données projet'!$B$16,Paramètres!$A$1:$I$88,3,0)*0.475*44/12</f>
        <v>54.855313377832559</v>
      </c>
      <c r="FS82" s="23">
        <f>EXP(-LN(2)/2)*FS81+(1-EXP(-LN(2)/2))/(LN(2)/2)*FM82*FP82*VLOOKUP('Données projet'!$B$16,Paramètres!$A$1:$I$88,3,0)*0.475*44/12</f>
        <v>0</v>
      </c>
      <c r="FT82" s="24">
        <f t="shared" si="78"/>
        <v>78.057207103454289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498.99999999999955</v>
      </c>
      <c r="GA82" s="18">
        <f>FZ82*VLOOKUP('Données projet'!$B$17,Paramètres!$A$1:$I$88,3,0)*VLOOKUP('Données projet'!$B$17,Paramètres!$A$1:$I$88,5,0)</f>
        <v>240.01899999999978</v>
      </c>
      <c r="GB82" s="14">
        <f t="shared" si="103"/>
        <v>58.443618405936313</v>
      </c>
      <c r="GC82" s="22">
        <f t="shared" si="79"/>
        <v>519.82239372367201</v>
      </c>
      <c r="GD82" s="62">
        <f t="shared" si="80"/>
        <v>790.1519411048489</v>
      </c>
      <c r="GE82" s="62">
        <f ca="1">AVERAGE(OFFSET($GD$3,0,0,'Données projet'!$E$17+1,1))-AVERAGE(OFFSET($H$3,0,0,'Données projet'!$E$17+1,1))</f>
        <v>273.24375559399846</v>
      </c>
      <c r="GF82" s="62">
        <f t="shared" si="104"/>
        <v>270.77718895097848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projet'!$B$17,Paramètres!$A$1:$I$88,3,0)*0.475*44/12</f>
        <v>33.002381369565029</v>
      </c>
      <c r="GM82" s="23">
        <f>EXP(-LN(2)/25)*GM81+(1-EXP(-LN(2)/25))/(LN(2)/25)*Calculateur!GH82*Calculateur!GJ82*VLOOKUP('Données projet'!$B$17,Paramètres!$A$1:$I$88,3,0)*0.475*44/12</f>
        <v>31.329969606328824</v>
      </c>
      <c r="GN82" s="23">
        <f>EXP(-LN(2)/2)*GN81+(1-EXP(-LN(2)/2))/(LN(2)/2)*GH82*GK82*VLOOKUP('Données projet'!$B$17,Paramètres!$A$1:$I$88,3,0)*0.475*44/12</f>
        <v>0</v>
      </c>
      <c r="GO82" s="23">
        <f t="shared" si="81"/>
        <v>64.33235097589386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550.99999999999966</v>
      </c>
      <c r="O83" s="14">
        <f>N83*VLOOKUP('Données projet'!$B$9,Paramètres!$A$1:$I$88,3,0)*VLOOKUP('Données projet'!$B$9,Paramètres!$A$1:$I$88,5,0)</f>
        <v>308.00899999999979</v>
      </c>
      <c r="P83" s="14">
        <f t="shared" si="87"/>
        <v>72.852874331417695</v>
      </c>
      <c r="Q83" s="22">
        <f t="shared" si="54"/>
        <v>663.33443112721886</v>
      </c>
      <c r="R83" s="62">
        <f t="shared" si="55"/>
        <v>934.06304276590504</v>
      </c>
      <c r="S83" s="62">
        <f ca="1">AVERAGE(OFFSET($R$3,0,0,'Données projet'!$E$9+1,1))-AVERAGE(OFFSET($H$3,0,0,'Données projet'!$E$9+1,1))</f>
        <v>289.94242154211224</v>
      </c>
      <c r="T83" s="62">
        <f t="shared" si="88"/>
        <v>369.12599166143661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49.64564344193267</v>
      </c>
      <c r="AA83" s="23">
        <f>EXP(-LN(2)/25)*AA82+(1-EXP(-LN(2)/25))/(LN(2)/25)*Calculateur!V83*Calculateur!X83*VLOOKUP('Données projet'!$B$9,Paramètres!$A$1:$I$88,3,0)*0.475*44/12</f>
        <v>38.378822635858171</v>
      </c>
      <c r="AB83" s="23">
        <f>EXP(-LN(2)/2)*AB82+(1-EXP(-LN(2)/2))/(LN(2)/2)*V83*Y83*VLOOKUP('Données projet'!$B$9,Paramètres!$A$1:$I$88,3,0)*0.475*44/12</f>
        <v>0</v>
      </c>
      <c r="AC83" s="24">
        <f t="shared" si="57"/>
        <v>88.024466077790834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2.125</v>
      </c>
      <c r="AI83" s="14">
        <f>IF('Données projet'!$A$62&gt;35,AI82+AH83-AQ82,IF(A83&lt;'Données projet'!$A$62,$AF$205^A83,IF(A83='Données projet'!$A$62,'Données projet'!$B$62,AI82+AH83-AQ82)))</f>
        <v>257.375</v>
      </c>
      <c r="AJ83" s="14">
        <f>AI83*VLOOKUP('Données projet'!$B$10,Paramètres!$A$1:$I$88,3,0)*VLOOKUP('Données projet'!$B$10,Paramètres!$A$1:$I$88,5,0)</f>
        <v>232.87290000000002</v>
      </c>
      <c r="AK83" s="14">
        <f t="shared" si="89"/>
        <v>56.903420180590047</v>
      </c>
      <c r="AL83" s="22">
        <f t="shared" si="58"/>
        <v>504.69375764786105</v>
      </c>
      <c r="AM83" s="62">
        <f t="shared" si="59"/>
        <v>775.42236928654711</v>
      </c>
      <c r="AN83" s="62">
        <f ca="1">AVERAGE(OFFSET($AM$3,0,0,'Données projet'!$E$10+1,1))-AVERAGE(OFFSET($H$3,0,0,'Données projet'!$E$10+1,1))</f>
        <v>518.31628039365785</v>
      </c>
      <c r="AO83" s="62">
        <f t="shared" si="90"/>
        <v>66.435071953154761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13.370956095842381</v>
      </c>
      <c r="AV83" s="23">
        <f>EXP(-LN(2)/25)*AV82+(1-EXP(-LN(2)/25))/(LN(2)/25)*Calculateur!AQ83*Calculateur!AS83*VLOOKUP('Données projet'!$B$10,Paramètres!$A$1:$I$88,3,0)*0.475*44/12</f>
        <v>0</v>
      </c>
      <c r="AW83" s="23">
        <f>EXP(-LN(2)/2)*AW82+(1-EXP(-LN(2)/2))/(LN(2)/2)*AQ83*AT83*VLOOKUP('Données projet'!$B$10,Paramètres!$A$1:$I$88,3,0)*0.475*44/12</f>
        <v>0</v>
      </c>
      <c r="AX83" s="23">
        <f t="shared" si="60"/>
        <v>13.370956095842381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2.125</v>
      </c>
      <c r="BD83" s="13">
        <f>IF('Données projet'!$A$88&gt;35,BD82+BC83-BL82,IF(A83&lt;'Données projet'!$A$88,$BA$205^A83,IF(A83='Données projet'!$A$88,'Données projet'!$B$88,BD82+BC83-BL82)))</f>
        <v>257.375</v>
      </c>
      <c r="BE83" s="14">
        <f>BD83*VLOOKUP('Données projet'!$B$11,Paramètres!$A$1:$I$88,3,0)*VLOOKUP('Données projet'!$B$11,Paramètres!$A$1:$I$88,5,0)</f>
        <v>260.97825000000006</v>
      </c>
      <c r="BF83" s="14">
        <f t="shared" si="91"/>
        <v>62.930855726065801</v>
      </c>
      <c r="BG83" s="22">
        <f t="shared" si="61"/>
        <v>564.14169247289794</v>
      </c>
      <c r="BH83" s="62">
        <f t="shared" si="62"/>
        <v>834.87030411158412</v>
      </c>
      <c r="BI83" s="62">
        <f ca="1">AVERAGE(OFFSET($BH$3,0,0,'Données projet'!$E$11+1,1))-AVERAGE(OFFSET($H$3,0,0,'Données projet'!$E$11+1,1))</f>
        <v>570.2785736203931</v>
      </c>
      <c r="BJ83" s="62">
        <f t="shared" si="92"/>
        <v>67.677759965081719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14.984692176375086</v>
      </c>
      <c r="BQ83" s="23">
        <f>EXP(-LN(2)/25)*BQ82+(1-EXP(-LN(2)/25))/(LN(2)/25)*Calculateur!BL83*Calculateur!BN83*VLOOKUP('Données projet'!$B$11,Paramètres!$A$1:$I$88,3,0)*0.475*44/12</f>
        <v>0</v>
      </c>
      <c r="BR83" s="23">
        <f>EXP(-LN(2)/2)*BR82+(1-EXP(-LN(2)/2))/(LN(2)/2)*BL83*BO83*VLOOKUP('Données projet'!$B$11,Paramètres!$A$1:$I$88,3,0)*0.475*44/12</f>
        <v>0</v>
      </c>
      <c r="BS83" s="24">
        <f t="shared" si="63"/>
        <v>14.984692176375086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544.19999999999982</v>
      </c>
      <c r="BZ83" s="14">
        <f>BY83*VLOOKUP('Données projet'!$B$12,Paramètres!$A$1:$I$88,3,0)*VLOOKUP('Données projet'!$B$12,Paramètres!$A$1:$I$88,5,0)</f>
        <v>325.43159999999995</v>
      </c>
      <c r="CA83" s="14">
        <f t="shared" si="93"/>
        <v>76.482394221016762</v>
      </c>
      <c r="CB83" s="22">
        <f t="shared" si="64"/>
        <v>700.00020660160408</v>
      </c>
      <c r="CC83" s="62">
        <f t="shared" si="65"/>
        <v>970.72881824029014</v>
      </c>
      <c r="CD83" s="62">
        <f ca="1">AVERAGE(OFFSET($CC$3,0,0,'Données projet'!$E$12+1,1))-AVERAGE(OFFSET($H$3,0,0,'Données projet'!$E$12+1,1))</f>
        <v>401.1031790385295</v>
      </c>
      <c r="CE83" s="62">
        <f t="shared" si="94"/>
        <v>402.09589424130615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projet'!$B$12,Paramètres!$A$1:$I$88,3,0)*0.475*44/12</f>
        <v>13.958861073831404</v>
      </c>
      <c r="CL83" s="23">
        <f>EXP(-LN(2)/25)*CL82+(1-EXP(-LN(2)/25))/(LN(2)/25)*Calculateur!CG83*Calculateur!CI83*VLOOKUP('Données projet'!$B$12,Paramètres!$A$1:$I$88,3,0)*0.475*44/12</f>
        <v>0</v>
      </c>
      <c r="CM83" s="23">
        <f>EXP(-LN(2)/2)*CM82+(1-EXP(-LN(2)/2))/(LN(2)/2)*CG83*CJ83*VLOOKUP('Données projet'!$B$12,Paramètres!$A$1:$I$88,3,0)*0.475*44/12</f>
        <v>4.0540752254351374E-3</v>
      </c>
      <c r="CN83" s="24">
        <f t="shared" si="66"/>
        <v>13.962915149056839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544.19999999999982</v>
      </c>
      <c r="CU83" s="18">
        <f>CT83*VLOOKUP('Données projet'!$B$13,Paramètres!$A$1:$I$88,3,0)*VLOOKUP('Données projet'!$B$13,Paramètres!$A$1:$I$88,5,0)</f>
        <v>325.43159999999995</v>
      </c>
      <c r="CV83" s="14">
        <f t="shared" si="95"/>
        <v>76.482394221016762</v>
      </c>
      <c r="CW83" s="22">
        <f t="shared" si="67"/>
        <v>700.00020660160408</v>
      </c>
      <c r="CX83" s="62">
        <f t="shared" si="68"/>
        <v>970.72881824029014</v>
      </c>
      <c r="CY83" s="62">
        <f ca="1">AVERAGE(OFFSET($CX$3,0,0,'Données projet'!$E$13+1,1))-AVERAGE(OFFSET($H$3,0,0,'Données projet'!$E$13+1,1))</f>
        <v>401.1031790385295</v>
      </c>
      <c r="CZ83" s="62">
        <f t="shared" si="96"/>
        <v>402.09589424130615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projet'!$B$13,Paramètres!$A$1:$I$88,3,0)*0.475*44/12</f>
        <v>13.958861073831404</v>
      </c>
      <c r="DG83" s="23">
        <f>EXP(-LN(2)/25)*DG82+(1-EXP(-LN(2)/25))/(LN(2)/25)*Calculateur!DB83*Calculateur!DD83*VLOOKUP('Données projet'!$B$13,Paramètres!$A$1:$I$88,3,0)*0.475*44/12</f>
        <v>0</v>
      </c>
      <c r="DH83" s="23">
        <f>EXP(-LN(2)/2)*DH82+(1-EXP(-LN(2)/2))/(LN(2)/2)*DB83*DE83*VLOOKUP('Données projet'!$B$13,Paramètres!$A$1:$I$88,3,0)*0.475*44/12</f>
        <v>4.0540752254351374E-3</v>
      </c>
      <c r="DI83" s="24">
        <f t="shared" si="69"/>
        <v>13.962915149056839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912</v>
      </c>
      <c r="DM83" s="13">
        <f>VLOOKUP(A83,'Données projet'!$A$165:$I$185,9,0)</f>
        <v>18.2</v>
      </c>
      <c r="DN83" s="13">
        <f t="array" ref="DN83">INDEX(DM:DM,MIN(IF(ISNUMBER(DM83:DM279),ROW(DM83:DM279),"")))</f>
        <v>18.2</v>
      </c>
      <c r="DO83" s="13">
        <f>IF('Données projet'!$A$166&gt;35,DO82+DN83-DW82,IF(A83&lt;'Données projet'!$A$166,$DL$205^A83,IF(A83='Données projet'!$A$166,'Données projet'!$B$166,DO82+DN83-DW82)))</f>
        <v>912.00000000000023</v>
      </c>
      <c r="DP83" s="18">
        <f>DO83*VLOOKUP('Données projet'!$B$14,Paramètres!$A$1:$I$88,3,0)*VLOOKUP('Données projet'!$B$14,Paramètres!$A$1:$I$88,5,0)</f>
        <v>367.53600000000012</v>
      </c>
      <c r="DQ83" s="14">
        <f t="shared" si="97"/>
        <v>85.163017854073644</v>
      </c>
      <c r="DR83" s="22">
        <f t="shared" si="70"/>
        <v>788.45078942917837</v>
      </c>
      <c r="DS83" s="62">
        <f t="shared" si="71"/>
        <v>1059.1794010678645</v>
      </c>
      <c r="DT83" s="62">
        <f ca="1">AVERAGE(OFFSET($DS$3,0,0,'Données projet'!$E$14+1,1))-AVERAGE(OFFSET($H$3,0,0,'Données projet'!$E$14+1,1))</f>
        <v>432.59662347701629</v>
      </c>
      <c r="DU83" s="62">
        <f t="shared" si="98"/>
        <v>348.67401091099748</v>
      </c>
      <c r="DV83" s="16">
        <f>IF(ISNA(VLOOKUP(A83,'Données projet'!$A$165:$I$185,3,0)),0,VLOOKUP(A83,'Données projet'!$A$165:$I$185,3,0))</f>
        <v>13</v>
      </c>
      <c r="DW83" s="16">
        <f>IF(ISNA(VLOOKUP(A83,'Données projet'!$A$165:$I$185,4,0)),0,VLOOKUP(A83,'Données projet'!$A$165:$I$185,4,0))</f>
        <v>52</v>
      </c>
      <c r="DX83" s="17">
        <f>IF(ISNA(VLOOKUP(A83,'Données projet'!$A$165:$I$185,5,0)),0%,VLOOKUP(A83,'Données projet'!$A$165:$I$185,5,0)*VLOOKUP('Données projet'!$B$14,Paramètres!$A$1:$I$88,7,0))</f>
        <v>0.35750000000000004</v>
      </c>
      <c r="DY83" s="17">
        <f>IF(ISNA(VLOOKUP(A83,'Données projet'!$A$165:$I$185,6,0)),0%,VLOOKUP(A83,'Données projet'!$A$165:$I$185,6,0)*VLOOKUP('Données projet'!$B$14,Paramètres!$A$1:$I$88,7,0))</f>
        <v>0.1925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projet'!$B$14,Paramètres!$A$1:$I$88,3,0)*0.475*44/12</f>
        <v>62.87995298237383</v>
      </c>
      <c r="EB83" s="23">
        <f>EXP(-LN(2)/25)*EB82+(1-EXP(-LN(2)/25))/(LN(2)/25)*Calculateur!DW83*Calculateur!DY83*VLOOKUP('Données projet'!$B$14,Paramètres!$A$1:$I$88,3,0)*0.475*44/12</f>
        <v>69.53134402059257</v>
      </c>
      <c r="EC83" s="23">
        <f>EXP(-LN(2)/2)*EC82+(1-EXP(-LN(2)/2))/(LN(2)/2)*DW83*DZ83*VLOOKUP('Données projet'!$B$14,Paramètres!$A$1:$I$88,3,0)*0.475*44/12</f>
        <v>0</v>
      </c>
      <c r="ED83" s="24">
        <f t="shared" si="72"/>
        <v>132.41129700296639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1135</v>
      </c>
      <c r="EH83" s="13">
        <f>VLOOKUP(A83,'Données projet'!$A$191:$I$211,9,0)</f>
        <v>12.8</v>
      </c>
      <c r="EI83" s="13">
        <f t="array" ref="EI83">INDEX(EH:EH,MIN(IF(ISNUMBER(EH83:EH279),ROW(EH83:EH279),"")))</f>
        <v>12.8</v>
      </c>
      <c r="EJ83" s="13">
        <f>IF('Données projet'!$A$192&gt;35,EJ82+EI83-ER82,IF(A83&lt;'Données projet'!$A$192,$EG$205^A83,IF(A83='Données projet'!$A$192,'Données projet'!$B$192,EJ82+EI83-ER82)))</f>
        <v>1134.9999999999998</v>
      </c>
      <c r="EK83" s="18">
        <f>EJ83*VLOOKUP('Données projet'!$B$15,Paramètres!$A$1:$I$88,3,0)*VLOOKUP('Données projet'!$B$15,Paramètres!$A$1:$I$88,5,0)</f>
        <v>501.67</v>
      </c>
      <c r="EL83" s="14">
        <f t="shared" si="99"/>
        <v>112.10927016662033</v>
      </c>
      <c r="EM83" s="22">
        <f t="shared" si="73"/>
        <v>1068.9988955401971</v>
      </c>
      <c r="EN83" s="62">
        <f t="shared" si="74"/>
        <v>1339.7275071788831</v>
      </c>
      <c r="EO83" s="62">
        <f ca="1">AVERAGE(OFFSET($EN$3,0,0,'Données projet'!$E$15+1,1))-AVERAGE(OFFSET($H$3,0,0,'Données projet'!$E$15+1,1))</f>
        <v>582.26951914082088</v>
      </c>
      <c r="EP83" s="62">
        <f t="shared" si="100"/>
        <v>434.80429932654715</v>
      </c>
      <c r="EQ83" s="16">
        <f>IF(ISNA(VLOOKUP(A83,'Données projet'!$A$191:$I$211,3,0)),0,VLOOKUP(A83,'Données projet'!$A$191:$I$211,3,0))</f>
        <v>14</v>
      </c>
      <c r="ER83" s="16">
        <f>IF(ISNA(VLOOKUP(A83,'Données projet'!$A$191:$I$211,4,0)),0,VLOOKUP(A83,'Données projet'!$A$191:$I$211,4,0))</f>
        <v>35</v>
      </c>
      <c r="ES83" s="17">
        <f>IF(ISNA(VLOOKUP(A83,'Données projet'!$A$191:$I$211,5,0)),0%,VLOOKUP(A83,'Données projet'!$A$191:$I$211,5,0)*VLOOKUP('Données projet'!$B$15,Paramètres!$A$1:$I$88,7,0))</f>
        <v>0.38500000000000001</v>
      </c>
      <c r="ET83" s="17">
        <f>IF(ISNA(VLOOKUP(A83,'Données projet'!$A$191:$I$211,6,0)),0%,VLOOKUP(A83,'Données projet'!$A$191:$I$211,6,0)*VLOOKUP('Données projet'!$B$15,Paramètres!$A$1:$I$88,7,0))</f>
        <v>0.16500000000000001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projet'!$B$15,Paramètres!$A$1:$I$88,3,0)*0.475*44/12</f>
        <v>63.3602680981558</v>
      </c>
      <c r="EW83" s="23">
        <f>EXP(-LN(2)/25)*EW82+(1-EXP(-LN(2)/25))/(LN(2)/25)*Calculateur!ER83*Calculateur!ET83*VLOOKUP('Données projet'!$B$15,Paramètres!$A$1:$I$88,3,0)*0.475*44/12</f>
        <v>62.47932482385815</v>
      </c>
      <c r="EX83" s="23">
        <f>EXP(-LN(2)/2)*EX82+(1-EXP(-LN(2)/2))/(LN(2)/2)*ER83*EU83*VLOOKUP('Données projet'!$B$15,Paramètres!$A$1:$I$88,3,0)*0.475*44/12</f>
        <v>0</v>
      </c>
      <c r="EY83" s="24">
        <f t="shared" si="75"/>
        <v>125.83959292201395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734</v>
      </c>
      <c r="FC83" s="13">
        <f>VLOOKUP(A83,'Données projet'!$A$217:$I$237,9,0)</f>
        <v>21.2</v>
      </c>
      <c r="FD83" s="13">
        <f t="array" ref="FD83">INDEX(FC:FC,MIN(IF(ISNUMBER(FC83:FC279),ROW(FC83:FC279),"")))</f>
        <v>21.2</v>
      </c>
      <c r="FE83" s="13">
        <f>IF('Données projet'!$A$218&gt;35,FE82+FD83-FM82,IF(A83&lt;'Données projet'!$A$218,$FB$205^A83,IF(A83='Données projet'!$A$218,'Données projet'!$B$218,FE82+FD83-FM82)))</f>
        <v>734.00000000000034</v>
      </c>
      <c r="FF83" s="18">
        <f>FE83*VLOOKUP('Données projet'!$B$16,Paramètres!$A$1:$I$88,3,0)*VLOOKUP('Données projet'!$B$16,Paramètres!$A$1:$I$88,5,0)</f>
        <v>343.51200000000017</v>
      </c>
      <c r="FG83" s="14">
        <f t="shared" si="101"/>
        <v>80.225113314048286</v>
      </c>
      <c r="FH83" s="22">
        <f t="shared" si="76"/>
        <v>738.00880568863431</v>
      </c>
      <c r="FI83" s="62">
        <f t="shared" si="77"/>
        <v>1008.7374173273204</v>
      </c>
      <c r="FJ83" s="62">
        <f ca="1">AVERAGE(OFFSET($FI$3,0,0,'Données projet'!$E$16+1,1))-AVERAGE(OFFSET($H$3,0,0,'Données projet'!$E$16+1,1))</f>
        <v>429.87867712133851</v>
      </c>
      <c r="FK83" s="62">
        <f t="shared" si="102"/>
        <v>182.81277865988014</v>
      </c>
      <c r="FL83" s="16">
        <f>IF(ISNA(VLOOKUP(A83,'Données projet'!$A$217:$I$237,3,0)),0,VLOOKUP(A83,'Données projet'!$A$217:$I$237,3,0))</f>
        <v>5</v>
      </c>
      <c r="FM83" s="16">
        <f>IF(ISNA(VLOOKUP(A83,'Données projet'!$A$217:$I$237,4,0)),0,VLOOKUP(A83,'Données projet'!$A$217:$I$237,4,0))</f>
        <v>110</v>
      </c>
      <c r="FN83" s="17">
        <f>IF(ISNA(VLOOKUP(A83,'Données projet'!$A$217:$I$237,5,0)),0%,VLOOKUP(A83,'Données projet'!$A$217:$I$237,5,0)*VLOOKUP('Données projet'!$B$16,Paramètres!$A$1:$I$88,7,0))</f>
        <v>0.33</v>
      </c>
      <c r="FO83" s="17">
        <f>IF(ISNA(VLOOKUP(A83,'Données projet'!$A$217:$I$237,6,0)),0%,VLOOKUP(A83,'Données projet'!$A$217:$I$237,6,0)*VLOOKUP('Données projet'!$B$16,Paramètres!$A$1:$I$88,7,0))</f>
        <v>0.22000000000000003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projet'!$B$16,Paramètres!$A$1:$I$88,3,0)*0.475*44/12</f>
        <v>45.283126336209165</v>
      </c>
      <c r="FR83" s="23">
        <f>EXP(-LN(2)/25)*FR82+(1-EXP(-LN(2)/25))/(LN(2)/25)*Calculateur!FM83*Calculateur!FO83*VLOOKUP('Données projet'!$B$16,Paramètres!$A$1:$I$88,3,0)*0.475*44/12</f>
        <v>68.320274587813572</v>
      </c>
      <c r="FS83" s="23">
        <f>EXP(-LN(2)/2)*FS82+(1-EXP(-LN(2)/2))/(LN(2)/2)*FM83*FP83*VLOOKUP('Données projet'!$B$16,Paramètres!$A$1:$I$88,3,0)*0.475*44/12</f>
        <v>0</v>
      </c>
      <c r="FT83" s="24">
        <f t="shared" si="78"/>
        <v>113.60340092402274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498.99999999999955</v>
      </c>
      <c r="GA83" s="18">
        <f>FZ83*VLOOKUP('Données projet'!$B$17,Paramètres!$A$1:$I$88,3,0)*VLOOKUP('Données projet'!$B$17,Paramètres!$A$1:$I$88,5,0)</f>
        <v>240.01899999999978</v>
      </c>
      <c r="GB83" s="14">
        <f t="shared" si="103"/>
        <v>58.443618405936313</v>
      </c>
      <c r="GC83" s="22">
        <f t="shared" si="79"/>
        <v>519.82239372367201</v>
      </c>
      <c r="GD83" s="62">
        <f t="shared" si="80"/>
        <v>790.55100536235818</v>
      </c>
      <c r="GE83" s="62">
        <f ca="1">AVERAGE(OFFSET($GD$3,0,0,'Données projet'!$E$17+1,1))-AVERAGE(OFFSET($H$3,0,0,'Données projet'!$E$17+1,1))</f>
        <v>273.24375559399846</v>
      </c>
      <c r="GF83" s="62">
        <f t="shared" si="104"/>
        <v>270.77718895097848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projet'!$B$17,Paramètres!$A$1:$I$88,3,0)*0.475*44/12</f>
        <v>32.355224800372874</v>
      </c>
      <c r="GM83" s="23">
        <f>EXP(-LN(2)/25)*GM82+(1-EXP(-LN(2)/25))/(LN(2)/25)*Calculateur!GH83*Calculateur!GJ83*VLOOKUP('Données projet'!$B$17,Paramètres!$A$1:$I$88,3,0)*0.475*44/12</f>
        <v>30.473249939872264</v>
      </c>
      <c r="GN83" s="23">
        <f>EXP(-LN(2)/2)*GN82+(1-EXP(-LN(2)/2))/(LN(2)/2)*GH83*GK83*VLOOKUP('Données projet'!$B$17,Paramètres!$A$1:$I$88,3,0)*0.475*44/12</f>
        <v>0</v>
      </c>
      <c r="GO83" s="23">
        <f t="shared" si="81"/>
        <v>62.828474740245142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550.99999999999966</v>
      </c>
      <c r="O84" s="14">
        <f>N84*VLOOKUP('Données projet'!$B$9,Paramètres!$A$1:$I$88,3,0)*VLOOKUP('Données projet'!$B$9,Paramètres!$A$1:$I$88,5,0)</f>
        <v>308.00899999999979</v>
      </c>
      <c r="P84" s="14">
        <f t="shared" si="87"/>
        <v>72.852874331417695</v>
      </c>
      <c r="Q84" s="22">
        <f t="shared" si="54"/>
        <v>663.33443112721886</v>
      </c>
      <c r="R84" s="62">
        <f t="shared" si="55"/>
        <v>934.45518415072024</v>
      </c>
      <c r="S84" s="62">
        <f ca="1">AVERAGE(OFFSET($R$3,0,0,'Données projet'!$E$9+1,1))-AVERAGE(OFFSET($H$3,0,0,'Données projet'!$E$9+1,1))</f>
        <v>289.94242154211224</v>
      </c>
      <c r="T84" s="62">
        <f t="shared" si="88"/>
        <v>369.12599166143661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48.672122654888881</v>
      </c>
      <c r="AA84" s="23">
        <f>EXP(-LN(2)/25)*AA83+(1-EXP(-LN(2)/25))/(LN(2)/25)*Calculateur!V84*Calculateur!X84*VLOOKUP('Données projet'!$B$9,Paramètres!$A$1:$I$88,3,0)*0.475*44/12</f>
        <v>37.329351712626064</v>
      </c>
      <c r="AB84" s="23">
        <f>EXP(-LN(2)/2)*AB83+(1-EXP(-LN(2)/2))/(LN(2)/2)*V84*Y84*VLOOKUP('Données projet'!$B$9,Paramètres!$A$1:$I$88,3,0)*0.475*44/12</f>
        <v>0</v>
      </c>
      <c r="AC84" s="24">
        <f t="shared" si="57"/>
        <v>86.001474367514945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2.125</v>
      </c>
      <c r="AI84" s="14">
        <f>IF('Données projet'!$A$62&gt;35,AI83+AH84-AQ83,IF(A84&lt;'Données projet'!$A$62,$AF$205^A84,IF(A84='Données projet'!$A$62,'Données projet'!$B$62,AI83+AH84-AQ83)))</f>
        <v>259.5</v>
      </c>
      <c r="AJ84" s="14">
        <f>AI84*VLOOKUP('Données projet'!$B$10,Paramètres!$A$1:$I$88,3,0)*VLOOKUP('Données projet'!$B$10,Paramètres!$A$1:$I$88,5,0)</f>
        <v>234.79560000000001</v>
      </c>
      <c r="AK84" s="14">
        <f t="shared" si="89"/>
        <v>57.318353730704921</v>
      </c>
      <c r="AL84" s="22">
        <f t="shared" si="58"/>
        <v>508.7651360809777</v>
      </c>
      <c r="AM84" s="62">
        <f t="shared" si="59"/>
        <v>779.88588910447913</v>
      </c>
      <c r="AN84" s="62">
        <f ca="1">AVERAGE(OFFSET($AM$3,0,0,'Données projet'!$E$10+1,1))-AVERAGE(OFFSET($H$3,0,0,'Données projet'!$E$10+1,1))</f>
        <v>518.31628039365785</v>
      </c>
      <c r="AO84" s="62">
        <f t="shared" si="90"/>
        <v>66.435071953154761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13.108759802280844</v>
      </c>
      <c r="AV84" s="23">
        <f>EXP(-LN(2)/25)*AV83+(1-EXP(-LN(2)/25))/(LN(2)/25)*Calculateur!AQ84*Calculateur!AS84*VLOOKUP('Données projet'!$B$10,Paramètres!$A$1:$I$88,3,0)*0.475*44/12</f>
        <v>0</v>
      </c>
      <c r="AW84" s="23">
        <f>EXP(-LN(2)/2)*AW83+(1-EXP(-LN(2)/2))/(LN(2)/2)*AQ84*AT84*VLOOKUP('Données projet'!$B$10,Paramètres!$A$1:$I$88,3,0)*0.475*44/12</f>
        <v>0</v>
      </c>
      <c r="AX84" s="23">
        <f t="shared" si="60"/>
        <v>13.108759802280844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2.125</v>
      </c>
      <c r="BD84" s="13">
        <f>IF('Données projet'!$A$88&gt;35,BD83+BC84-BL83,IF(A84&lt;'Données projet'!$A$88,$BA$205^A84,IF(A84='Données projet'!$A$88,'Données projet'!$B$88,BD83+BC84-BL83)))</f>
        <v>259.5</v>
      </c>
      <c r="BE84" s="14">
        <f>BD84*VLOOKUP('Données projet'!$B$11,Paramètres!$A$1:$I$88,3,0)*VLOOKUP('Données projet'!$B$11,Paramètres!$A$1:$I$88,5,0)</f>
        <v>263.13300000000004</v>
      </c>
      <c r="BF84" s="14">
        <f t="shared" si="91"/>
        <v>63.389740680525662</v>
      </c>
      <c r="BG84" s="22">
        <f t="shared" si="61"/>
        <v>568.69377335191564</v>
      </c>
      <c r="BH84" s="62">
        <f t="shared" si="62"/>
        <v>839.81452637541702</v>
      </c>
      <c r="BI84" s="62">
        <f ca="1">AVERAGE(OFFSET($BH$3,0,0,'Données projet'!$E$11+1,1))-AVERAGE(OFFSET($H$3,0,0,'Données projet'!$E$11+1,1))</f>
        <v>570.2785736203931</v>
      </c>
      <c r="BJ84" s="62">
        <f t="shared" si="92"/>
        <v>67.677759965081719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14.690851502556121</v>
      </c>
      <c r="BQ84" s="23">
        <f>EXP(-LN(2)/25)*BQ83+(1-EXP(-LN(2)/25))/(LN(2)/25)*Calculateur!BL84*Calculateur!BN84*VLOOKUP('Données projet'!$B$11,Paramètres!$A$1:$I$88,3,0)*0.475*44/12</f>
        <v>0</v>
      </c>
      <c r="BR84" s="23">
        <f>EXP(-LN(2)/2)*BR83+(1-EXP(-LN(2)/2))/(LN(2)/2)*BL84*BO84*VLOOKUP('Données projet'!$B$11,Paramètres!$A$1:$I$88,3,0)*0.475*44/12</f>
        <v>0</v>
      </c>
      <c r="BS84" s="24">
        <f t="shared" si="63"/>
        <v>14.690851502556121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544.19999999999982</v>
      </c>
      <c r="BZ84" s="14">
        <f>BY84*VLOOKUP('Données projet'!$B$12,Paramètres!$A$1:$I$88,3,0)*VLOOKUP('Données projet'!$B$12,Paramètres!$A$1:$I$88,5,0)</f>
        <v>325.43159999999995</v>
      </c>
      <c r="CA84" s="14">
        <f t="shared" si="93"/>
        <v>76.482394221016762</v>
      </c>
      <c r="CB84" s="22">
        <f t="shared" si="64"/>
        <v>700.00020660160408</v>
      </c>
      <c r="CC84" s="62">
        <f t="shared" si="65"/>
        <v>971.12095962510557</v>
      </c>
      <c r="CD84" s="62">
        <f ca="1">AVERAGE(OFFSET($CC$3,0,0,'Données projet'!$E$12+1,1))-AVERAGE(OFFSET($H$3,0,0,'Données projet'!$E$12+1,1))</f>
        <v>401.1031790385295</v>
      </c>
      <c r="CE84" s="62">
        <f t="shared" si="94"/>
        <v>402.09589424130615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projet'!$B$12,Paramètres!$A$1:$I$88,3,0)*0.475*44/12</f>
        <v>13.685136322238131</v>
      </c>
      <c r="CL84" s="23">
        <f>EXP(-LN(2)/25)*CL83+(1-EXP(-LN(2)/25))/(LN(2)/25)*Calculateur!CG84*Calculateur!CI84*VLOOKUP('Données projet'!$B$12,Paramètres!$A$1:$I$88,3,0)*0.475*44/12</f>
        <v>0</v>
      </c>
      <c r="CM84" s="23">
        <f>EXP(-LN(2)/2)*CM83+(1-EXP(-LN(2)/2))/(LN(2)/2)*CG84*CJ84*VLOOKUP('Données projet'!$B$12,Paramètres!$A$1:$I$88,3,0)*0.475*44/12</f>
        <v>2.8666640833455671E-3</v>
      </c>
      <c r="CN84" s="24">
        <f t="shared" si="66"/>
        <v>13.688002986321477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544.19999999999982</v>
      </c>
      <c r="CU84" s="18">
        <f>CT84*VLOOKUP('Données projet'!$B$13,Paramètres!$A$1:$I$88,3,0)*VLOOKUP('Données projet'!$B$13,Paramètres!$A$1:$I$88,5,0)</f>
        <v>325.43159999999995</v>
      </c>
      <c r="CV84" s="14">
        <f t="shared" si="95"/>
        <v>76.482394221016762</v>
      </c>
      <c r="CW84" s="22">
        <f t="shared" si="67"/>
        <v>700.00020660160408</v>
      </c>
      <c r="CX84" s="62">
        <f t="shared" si="68"/>
        <v>971.12095962510557</v>
      </c>
      <c r="CY84" s="62">
        <f ca="1">AVERAGE(OFFSET($CX$3,0,0,'Données projet'!$E$13+1,1))-AVERAGE(OFFSET($H$3,0,0,'Données projet'!$E$13+1,1))</f>
        <v>401.1031790385295</v>
      </c>
      <c r="CZ84" s="62">
        <f t="shared" si="96"/>
        <v>402.09589424130615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projet'!$B$13,Paramètres!$A$1:$I$88,3,0)*0.475*44/12</f>
        <v>13.685136322238131</v>
      </c>
      <c r="DG84" s="23">
        <f>EXP(-LN(2)/25)*DG83+(1-EXP(-LN(2)/25))/(LN(2)/25)*Calculateur!DB84*Calculateur!DD84*VLOOKUP('Données projet'!$B$13,Paramètres!$A$1:$I$88,3,0)*0.475*44/12</f>
        <v>0</v>
      </c>
      <c r="DH84" s="23">
        <f>EXP(-LN(2)/2)*DH83+(1-EXP(-LN(2)/2))/(LN(2)/2)*DB84*DE84*VLOOKUP('Données projet'!$B$13,Paramètres!$A$1:$I$88,3,0)*0.475*44/12</f>
        <v>2.8666640833455671E-3</v>
      </c>
      <c r="DI84" s="24">
        <f t="shared" si="69"/>
        <v>13.688002986321477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860.00000000000023</v>
      </c>
      <c r="DP84" s="18">
        <f>DO84*VLOOKUP('Données projet'!$B$14,Paramètres!$A$1:$I$88,3,0)*VLOOKUP('Données projet'!$B$14,Paramètres!$A$1:$I$88,5,0)</f>
        <v>346.5800000000001</v>
      </c>
      <c r="DQ84" s="14">
        <f t="shared" si="97"/>
        <v>80.857895771535127</v>
      </c>
      <c r="DR84" s="22">
        <f t="shared" si="70"/>
        <v>744.45433513542378</v>
      </c>
      <c r="DS84" s="62">
        <f t="shared" si="71"/>
        <v>1015.5750881589252</v>
      </c>
      <c r="DT84" s="62">
        <f ca="1">AVERAGE(OFFSET($DS$3,0,0,'Données projet'!$E$14+1,1))-AVERAGE(OFFSET($H$3,0,0,'Données projet'!$E$14+1,1))</f>
        <v>432.59662347701629</v>
      </c>
      <c r="DU84" s="62">
        <f t="shared" si="98"/>
        <v>348.67401091099748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projet'!$B$14,Paramètres!$A$1:$I$88,3,0)*0.475*44/12</f>
        <v>61.646915457373758</v>
      </c>
      <c r="EB84" s="23">
        <f>EXP(-LN(2)/25)*EB83+(1-EXP(-LN(2)/25))/(LN(2)/25)*Calculateur!DW84*Calculateur!DY84*VLOOKUP('Données projet'!$B$14,Paramètres!$A$1:$I$88,3,0)*0.475*44/12</f>
        <v>67.630005761855003</v>
      </c>
      <c r="EC84" s="23">
        <f>EXP(-LN(2)/2)*EC83+(1-EXP(-LN(2)/2))/(LN(2)/2)*DW84*DZ84*VLOOKUP('Données projet'!$B$14,Paramètres!$A$1:$I$88,3,0)*0.475*44/12</f>
        <v>0</v>
      </c>
      <c r="ED84" s="24">
        <f t="shared" si="72"/>
        <v>129.27692121922877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1099.9999999999998</v>
      </c>
      <c r="EK84" s="18">
        <f>EJ84*VLOOKUP('Données projet'!$B$15,Paramètres!$A$1:$I$88,3,0)*VLOOKUP('Données projet'!$B$15,Paramètres!$A$1:$I$88,5,0)</f>
        <v>486.19999999999993</v>
      </c>
      <c r="EL84" s="14">
        <f t="shared" si="99"/>
        <v>109.0490179035375</v>
      </c>
      <c r="EM84" s="22">
        <f t="shared" si="73"/>
        <v>1036.725372848661</v>
      </c>
      <c r="EN84" s="62">
        <f t="shared" si="74"/>
        <v>1307.8461258721625</v>
      </c>
      <c r="EO84" s="62">
        <f ca="1">AVERAGE(OFFSET($EN$3,0,0,'Données projet'!$E$15+1,1))-AVERAGE(OFFSET($H$3,0,0,'Données projet'!$E$15+1,1))</f>
        <v>582.26951914082088</v>
      </c>
      <c r="EP84" s="62">
        <f t="shared" si="100"/>
        <v>434.80429932654715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projet'!$B$15,Paramètres!$A$1:$I$88,3,0)*0.475*44/12</f>
        <v>62.117811886698533</v>
      </c>
      <c r="EW84" s="23">
        <f>EXP(-LN(2)/25)*EW83+(1-EXP(-LN(2)/25))/(LN(2)/25)*Calculateur!ER84*Calculateur!ET84*VLOOKUP('Données projet'!$B$15,Paramètres!$A$1:$I$88,3,0)*0.475*44/12</f>
        <v>60.770824400904857</v>
      </c>
      <c r="EX84" s="23">
        <f>EXP(-LN(2)/2)*EX83+(1-EXP(-LN(2)/2))/(LN(2)/2)*ER84*EU84*VLOOKUP('Données projet'!$B$15,Paramètres!$A$1:$I$88,3,0)*0.475*44/12</f>
        <v>0</v>
      </c>
      <c r="EY84" s="24">
        <f t="shared" si="75"/>
        <v>122.88863628760339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17.8</v>
      </c>
      <c r="FE84" s="13">
        <f>IF('Données projet'!$A$218&gt;35,FE83+FD84-FM83,IF(A84&lt;'Données projet'!$A$218,$FB$205^A84,IF(A84='Données projet'!$A$218,'Données projet'!$B$218,FE83+FD84-FM83)))</f>
        <v>641.8000000000003</v>
      </c>
      <c r="FF84" s="18">
        <f>FE84*VLOOKUP('Données projet'!$B$16,Paramètres!$A$1:$I$88,3,0)*VLOOKUP('Données projet'!$B$16,Paramètres!$A$1:$I$88,5,0)</f>
        <v>300.36240000000015</v>
      </c>
      <c r="FG84" s="14">
        <f t="shared" si="101"/>
        <v>71.252431096700917</v>
      </c>
      <c r="FH84" s="22">
        <f t="shared" si="76"/>
        <v>647.22916416008775</v>
      </c>
      <c r="FI84" s="62">
        <f t="shared" si="77"/>
        <v>918.34991718358924</v>
      </c>
      <c r="FJ84" s="62">
        <f ca="1">AVERAGE(OFFSET($FI$3,0,0,'Données projet'!$E$16+1,1))-AVERAGE(OFFSET($H$3,0,0,'Données projet'!$E$16+1,1))</f>
        <v>429.87867712133851</v>
      </c>
      <c r="FK84" s="62">
        <f t="shared" si="102"/>
        <v>182.81277865988014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projet'!$B$16,Paramètres!$A$1:$I$88,3,0)*0.475*44/12</f>
        <v>44.395151848735921</v>
      </c>
      <c r="FR84" s="23">
        <f>EXP(-LN(2)/25)*FR83+(1-EXP(-LN(2)/25))/(LN(2)/25)*Calculateur!FM84*Calculateur!FO84*VLOOKUP('Données projet'!$B$16,Paramètres!$A$1:$I$88,3,0)*0.475*44/12</f>
        <v>66.452053086402714</v>
      </c>
      <c r="FS84" s="23">
        <f>EXP(-LN(2)/2)*FS83+(1-EXP(-LN(2)/2))/(LN(2)/2)*FM84*FP84*VLOOKUP('Données projet'!$B$16,Paramètres!$A$1:$I$88,3,0)*0.475*44/12</f>
        <v>0</v>
      </c>
      <c r="FT84" s="24">
        <f t="shared" si="78"/>
        <v>110.84720493513863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498.99999999999955</v>
      </c>
      <c r="GA84" s="18">
        <f>FZ84*VLOOKUP('Données projet'!$B$17,Paramètres!$A$1:$I$88,3,0)*VLOOKUP('Données projet'!$B$17,Paramètres!$A$1:$I$88,5,0)</f>
        <v>240.01899999999978</v>
      </c>
      <c r="GB84" s="14">
        <f t="shared" si="103"/>
        <v>58.443618405936313</v>
      </c>
      <c r="GC84" s="22">
        <f t="shared" si="79"/>
        <v>519.82239372367201</v>
      </c>
      <c r="GD84" s="62">
        <f t="shared" si="80"/>
        <v>790.94314674717339</v>
      </c>
      <c r="GE84" s="62">
        <f ca="1">AVERAGE(OFFSET($GD$3,0,0,'Données projet'!$E$17+1,1))-AVERAGE(OFFSET($H$3,0,0,'Données projet'!$E$17+1,1))</f>
        <v>273.24375559399846</v>
      </c>
      <c r="GF84" s="62">
        <f t="shared" si="104"/>
        <v>270.77718895097848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projet'!$B$17,Paramètres!$A$1:$I$88,3,0)*0.475*44/12</f>
        <v>31.720758576776046</v>
      </c>
      <c r="GM84" s="23">
        <f>EXP(-LN(2)/25)*GM83+(1-EXP(-LN(2)/25))/(LN(2)/25)*Calculateur!GH84*Calculateur!GJ84*VLOOKUP('Données projet'!$B$17,Paramètres!$A$1:$I$88,3,0)*0.475*44/12</f>
        <v>29.639957317747889</v>
      </c>
      <c r="GN84" s="23">
        <f>EXP(-LN(2)/2)*GN83+(1-EXP(-LN(2)/2))/(LN(2)/2)*GH84*GK84*VLOOKUP('Données projet'!$B$17,Paramètres!$A$1:$I$88,3,0)*0.475*44/12</f>
        <v>0</v>
      </c>
      <c r="GO84" s="23">
        <f t="shared" si="81"/>
        <v>61.360715894523935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550.99999999999966</v>
      </c>
      <c r="O85" s="14">
        <f>N85*VLOOKUP('Données projet'!$B$9,Paramètres!$A$1:$I$88,3,0)*VLOOKUP('Données projet'!$B$9,Paramètres!$A$1:$I$88,5,0)</f>
        <v>308.00899999999979</v>
      </c>
      <c r="P85" s="14">
        <f t="shared" si="87"/>
        <v>72.852874331417695</v>
      </c>
      <c r="Q85" s="22">
        <f t="shared" si="54"/>
        <v>663.33443112721886</v>
      </c>
      <c r="R85" s="62">
        <f t="shared" si="55"/>
        <v>934.8405227592059</v>
      </c>
      <c r="S85" s="62">
        <f ca="1">AVERAGE(OFFSET($R$3,0,0,'Données projet'!$E$9+1,1))-AVERAGE(OFFSET($H$3,0,0,'Données projet'!$E$9+1,1))</f>
        <v>289.94242154211224</v>
      </c>
      <c r="T85" s="62">
        <f t="shared" si="88"/>
        <v>369.12599166143661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47.717692016689973</v>
      </c>
      <c r="AA85" s="23">
        <f>EXP(-LN(2)/25)*AA84+(1-EXP(-LN(2)/25))/(LN(2)/25)*Calculateur!V85*Calculateur!X85*VLOOKUP('Données projet'!$B$9,Paramètres!$A$1:$I$88,3,0)*0.475*44/12</f>
        <v>36.308578626979013</v>
      </c>
      <c r="AB85" s="23">
        <f>EXP(-LN(2)/2)*AB84+(1-EXP(-LN(2)/2))/(LN(2)/2)*V85*Y85*VLOOKUP('Données projet'!$B$9,Paramètres!$A$1:$I$88,3,0)*0.475*44/12</f>
        <v>0</v>
      </c>
      <c r="AC85" s="24">
        <f t="shared" si="57"/>
        <v>84.026270643668994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2.125</v>
      </c>
      <c r="AI85" s="14">
        <f>IF('Données projet'!$A$62&gt;35,AI84+AH85-AQ84,IF(A85&lt;'Données projet'!$A$62,$AF$205^A85,IF(A85='Données projet'!$A$62,'Données projet'!$B$62,AI84+AH85-AQ84)))</f>
        <v>261.625</v>
      </c>
      <c r="AJ85" s="14">
        <f>AI85*VLOOKUP('Données projet'!$B$10,Paramètres!$A$1:$I$88,3,0)*VLOOKUP('Données projet'!$B$10,Paramètres!$A$1:$I$88,5,0)</f>
        <v>236.71829999999997</v>
      </c>
      <c r="AK85" s="14">
        <f t="shared" si="89"/>
        <v>57.732891958555236</v>
      </c>
      <c r="AL85" s="22">
        <f t="shared" si="58"/>
        <v>512.83582599448357</v>
      </c>
      <c r="AM85" s="62">
        <f t="shared" si="59"/>
        <v>784.3419176264706</v>
      </c>
      <c r="AN85" s="62">
        <f ca="1">AVERAGE(OFFSET($AM$3,0,0,'Données projet'!$E$10+1,1))-AVERAGE(OFFSET($H$3,0,0,'Données projet'!$E$10+1,1))</f>
        <v>518.31628039365785</v>
      </c>
      <c r="AO85" s="62">
        <f t="shared" si="90"/>
        <v>66.435071953154761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12.851705018112101</v>
      </c>
      <c r="AV85" s="23">
        <f>EXP(-LN(2)/25)*AV84+(1-EXP(-LN(2)/25))/(LN(2)/25)*Calculateur!AQ85*Calculateur!AS85*VLOOKUP('Données projet'!$B$10,Paramètres!$A$1:$I$88,3,0)*0.475*44/12</f>
        <v>0</v>
      </c>
      <c r="AW85" s="23">
        <f>EXP(-LN(2)/2)*AW84+(1-EXP(-LN(2)/2))/(LN(2)/2)*AQ85*AT85*VLOOKUP('Données projet'!$B$10,Paramètres!$A$1:$I$88,3,0)*0.475*44/12</f>
        <v>0</v>
      </c>
      <c r="AX85" s="23">
        <f t="shared" si="60"/>
        <v>12.851705018112101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2.125</v>
      </c>
      <c r="BD85" s="13">
        <f>IF('Données projet'!$A$88&gt;35,BD84+BC85-BL84,IF(A85&lt;'Données projet'!$A$88,$BA$205^A85,IF(A85='Données projet'!$A$88,'Données projet'!$B$88,BD84+BC85-BL84)))</f>
        <v>261.625</v>
      </c>
      <c r="BE85" s="14">
        <f>BD85*VLOOKUP('Données projet'!$B$11,Paramètres!$A$1:$I$88,3,0)*VLOOKUP('Données projet'!$B$11,Paramètres!$A$1:$I$88,5,0)</f>
        <v>265.28775000000002</v>
      </c>
      <c r="BF85" s="14">
        <f t="shared" si="91"/>
        <v>63.848188438621676</v>
      </c>
      <c r="BG85" s="22">
        <f t="shared" si="61"/>
        <v>573.24509278059941</v>
      </c>
      <c r="BH85" s="62">
        <f t="shared" si="62"/>
        <v>844.75118441258644</v>
      </c>
      <c r="BI85" s="62">
        <f ca="1">AVERAGE(OFFSET($BH$3,0,0,'Données projet'!$E$11+1,1))-AVERAGE(OFFSET($H$3,0,0,'Données projet'!$E$11+1,1))</f>
        <v>570.2785736203931</v>
      </c>
      <c r="BJ85" s="62">
        <f t="shared" si="92"/>
        <v>67.677759965081719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14.402772865125634</v>
      </c>
      <c r="BQ85" s="23">
        <f>EXP(-LN(2)/25)*BQ84+(1-EXP(-LN(2)/25))/(LN(2)/25)*Calculateur!BL85*Calculateur!BN85*VLOOKUP('Données projet'!$B$11,Paramètres!$A$1:$I$88,3,0)*0.475*44/12</f>
        <v>0</v>
      </c>
      <c r="BR85" s="23">
        <f>EXP(-LN(2)/2)*BR84+(1-EXP(-LN(2)/2))/(LN(2)/2)*BL85*BO85*VLOOKUP('Données projet'!$B$11,Paramètres!$A$1:$I$88,3,0)*0.475*44/12</f>
        <v>0</v>
      </c>
      <c r="BS85" s="24">
        <f t="shared" si="63"/>
        <v>14.402772865125634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544.19999999999982</v>
      </c>
      <c r="BZ85" s="14">
        <f>BY85*VLOOKUP('Données projet'!$B$12,Paramètres!$A$1:$I$88,3,0)*VLOOKUP('Données projet'!$B$12,Paramètres!$A$1:$I$88,5,0)</f>
        <v>325.43159999999995</v>
      </c>
      <c r="CA85" s="14">
        <f t="shared" si="93"/>
        <v>76.482394221016762</v>
      </c>
      <c r="CB85" s="22">
        <f t="shared" si="64"/>
        <v>700.00020660160408</v>
      </c>
      <c r="CC85" s="62">
        <f t="shared" si="65"/>
        <v>971.50629823359111</v>
      </c>
      <c r="CD85" s="62">
        <f ca="1">AVERAGE(OFFSET($CC$3,0,0,'Données projet'!$E$12+1,1))-AVERAGE(OFFSET($H$3,0,0,'Données projet'!$E$12+1,1))</f>
        <v>401.1031790385295</v>
      </c>
      <c r="CE85" s="62">
        <f t="shared" si="94"/>
        <v>402.09589424130615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projet'!$B$12,Paramètres!$A$1:$I$88,3,0)*0.475*44/12</f>
        <v>13.41677914606799</v>
      </c>
      <c r="CL85" s="23">
        <f>EXP(-LN(2)/25)*CL84+(1-EXP(-LN(2)/25))/(LN(2)/25)*Calculateur!CG85*Calculateur!CI85*VLOOKUP('Données projet'!$B$12,Paramètres!$A$1:$I$88,3,0)*0.475*44/12</f>
        <v>0</v>
      </c>
      <c r="CM85" s="23">
        <f>EXP(-LN(2)/2)*CM84+(1-EXP(-LN(2)/2))/(LN(2)/2)*CG85*CJ85*VLOOKUP('Données projet'!$B$12,Paramètres!$A$1:$I$88,3,0)*0.475*44/12</f>
        <v>2.0270376127175687E-3</v>
      </c>
      <c r="CN85" s="24">
        <f t="shared" si="66"/>
        <v>13.418806183680708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544.19999999999982</v>
      </c>
      <c r="CU85" s="18">
        <f>CT85*VLOOKUP('Données projet'!$B$13,Paramètres!$A$1:$I$88,3,0)*VLOOKUP('Données projet'!$B$13,Paramètres!$A$1:$I$88,5,0)</f>
        <v>325.43159999999995</v>
      </c>
      <c r="CV85" s="14">
        <f t="shared" si="95"/>
        <v>76.482394221016762</v>
      </c>
      <c r="CW85" s="22">
        <f t="shared" si="67"/>
        <v>700.00020660160408</v>
      </c>
      <c r="CX85" s="62">
        <f t="shared" si="68"/>
        <v>971.50629823359111</v>
      </c>
      <c r="CY85" s="62">
        <f ca="1">AVERAGE(OFFSET($CX$3,0,0,'Données projet'!$E$13+1,1))-AVERAGE(OFFSET($H$3,0,0,'Données projet'!$E$13+1,1))</f>
        <v>401.1031790385295</v>
      </c>
      <c r="CZ85" s="62">
        <f t="shared" si="96"/>
        <v>402.09589424130615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projet'!$B$13,Paramètres!$A$1:$I$88,3,0)*0.475*44/12</f>
        <v>13.41677914606799</v>
      </c>
      <c r="DG85" s="23">
        <f>EXP(-LN(2)/25)*DG84+(1-EXP(-LN(2)/25))/(LN(2)/25)*Calculateur!DB85*Calculateur!DD85*VLOOKUP('Données projet'!$B$13,Paramètres!$A$1:$I$88,3,0)*0.475*44/12</f>
        <v>0</v>
      </c>
      <c r="DH85" s="23">
        <f>EXP(-LN(2)/2)*DH84+(1-EXP(-LN(2)/2))/(LN(2)/2)*DB85*DE85*VLOOKUP('Données projet'!$B$13,Paramètres!$A$1:$I$88,3,0)*0.475*44/12</f>
        <v>2.0270376127175687E-3</v>
      </c>
      <c r="DI85" s="24">
        <f t="shared" si="69"/>
        <v>13.418806183680708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860.00000000000023</v>
      </c>
      <c r="DP85" s="18">
        <f>DO85*VLOOKUP('Données projet'!$B$14,Paramètres!$A$1:$I$88,3,0)*VLOOKUP('Données projet'!$B$14,Paramètres!$A$1:$I$88,5,0)</f>
        <v>346.5800000000001</v>
      </c>
      <c r="DQ85" s="14">
        <f t="shared" si="97"/>
        <v>80.857895771535127</v>
      </c>
      <c r="DR85" s="22">
        <f t="shared" si="70"/>
        <v>744.45433513542378</v>
      </c>
      <c r="DS85" s="62">
        <f t="shared" si="71"/>
        <v>1015.9604267674108</v>
      </c>
      <c r="DT85" s="62">
        <f ca="1">AVERAGE(OFFSET($DS$3,0,0,'Données projet'!$E$14+1,1))-AVERAGE(OFFSET($H$3,0,0,'Données projet'!$E$14+1,1))</f>
        <v>432.59662347701629</v>
      </c>
      <c r="DU85" s="62">
        <f t="shared" si="98"/>
        <v>348.67401091099748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projet'!$B$14,Paramètres!$A$1:$I$88,3,0)*0.475*44/12</f>
        <v>60.43805704616031</v>
      </c>
      <c r="EB85" s="23">
        <f>EXP(-LN(2)/25)*EB84+(1-EXP(-LN(2)/25))/(LN(2)/25)*Calculateur!DW85*Calculateur!DY85*VLOOKUP('Données projet'!$B$14,Paramètres!$A$1:$I$88,3,0)*0.475*44/12</f>
        <v>65.780659697789645</v>
      </c>
      <c r="EC85" s="23">
        <f>EXP(-LN(2)/2)*EC84+(1-EXP(-LN(2)/2))/(LN(2)/2)*DW85*DZ85*VLOOKUP('Données projet'!$B$14,Paramètres!$A$1:$I$88,3,0)*0.475*44/12</f>
        <v>0</v>
      </c>
      <c r="ED85" s="24">
        <f t="shared" si="72"/>
        <v>126.21871674394995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1099.9999999999998</v>
      </c>
      <c r="EK85" s="18">
        <f>EJ85*VLOOKUP('Données projet'!$B$15,Paramètres!$A$1:$I$88,3,0)*VLOOKUP('Données projet'!$B$15,Paramètres!$A$1:$I$88,5,0)</f>
        <v>486.19999999999993</v>
      </c>
      <c r="EL85" s="14">
        <f t="shared" si="99"/>
        <v>109.0490179035375</v>
      </c>
      <c r="EM85" s="22">
        <f t="shared" si="73"/>
        <v>1036.725372848661</v>
      </c>
      <c r="EN85" s="62">
        <f t="shared" si="74"/>
        <v>1308.2314644806479</v>
      </c>
      <c r="EO85" s="62">
        <f ca="1">AVERAGE(OFFSET($EN$3,0,0,'Données projet'!$E$15+1,1))-AVERAGE(OFFSET($H$3,0,0,'Données projet'!$E$15+1,1))</f>
        <v>582.26951914082088</v>
      </c>
      <c r="EP85" s="62">
        <f t="shared" si="100"/>
        <v>434.80429932654715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projet'!$B$15,Paramètres!$A$1:$I$88,3,0)*0.475*44/12</f>
        <v>60.899719483724482</v>
      </c>
      <c r="EW85" s="23">
        <f>EXP(-LN(2)/25)*EW84+(1-EXP(-LN(2)/25))/(LN(2)/25)*Calculateur!ER85*Calculateur!ET85*VLOOKUP('Données projet'!$B$15,Paramètres!$A$1:$I$88,3,0)*0.475*44/12</f>
        <v>59.109043011863349</v>
      </c>
      <c r="EX85" s="23">
        <f>EXP(-LN(2)/2)*EX84+(1-EXP(-LN(2)/2))/(LN(2)/2)*ER85*EU85*VLOOKUP('Données projet'!$B$15,Paramètres!$A$1:$I$88,3,0)*0.475*44/12</f>
        <v>0</v>
      </c>
      <c r="EY85" s="24">
        <f t="shared" si="75"/>
        <v>120.00876249558783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17.8</v>
      </c>
      <c r="FE85" s="13">
        <f>IF('Données projet'!$A$218&gt;35,FE84+FD85-FM84,IF(A85&lt;'Données projet'!$A$218,$FB$205^A85,IF(A85='Données projet'!$A$218,'Données projet'!$B$218,FE84+FD85-FM84)))</f>
        <v>659.60000000000025</v>
      </c>
      <c r="FF85" s="18">
        <f>FE85*VLOOKUP('Données projet'!$B$16,Paramètres!$A$1:$I$88,3,0)*VLOOKUP('Données projet'!$B$16,Paramètres!$A$1:$I$88,5,0)</f>
        <v>308.69280000000009</v>
      </c>
      <c r="FG85" s="14">
        <f t="shared" si="101"/>
        <v>72.995767680913616</v>
      </c>
      <c r="FH85" s="22">
        <f t="shared" si="76"/>
        <v>664.77425537759143</v>
      </c>
      <c r="FI85" s="62">
        <f t="shared" si="77"/>
        <v>936.28034700957846</v>
      </c>
      <c r="FJ85" s="62">
        <f ca="1">AVERAGE(OFFSET($FI$3,0,0,'Données projet'!$E$16+1,1))-AVERAGE(OFFSET($H$3,0,0,'Données projet'!$E$16+1,1))</f>
        <v>429.87867712133851</v>
      </c>
      <c r="FK85" s="62">
        <f t="shared" si="102"/>
        <v>182.81277865988014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projet'!$B$16,Paramètres!$A$1:$I$88,3,0)*0.475*44/12</f>
        <v>43.524589999351072</v>
      </c>
      <c r="FR85" s="23">
        <f>EXP(-LN(2)/25)*FR84+(1-EXP(-LN(2)/25))/(LN(2)/25)*Calculateur!FM85*Calculateur!FO85*VLOOKUP('Données projet'!$B$16,Paramètres!$A$1:$I$88,3,0)*0.475*44/12</f>
        <v>64.634918200193439</v>
      </c>
      <c r="FS85" s="23">
        <f>EXP(-LN(2)/2)*FS84+(1-EXP(-LN(2)/2))/(LN(2)/2)*FM85*FP85*VLOOKUP('Données projet'!$B$16,Paramètres!$A$1:$I$88,3,0)*0.475*44/12</f>
        <v>0</v>
      </c>
      <c r="FT85" s="24">
        <f t="shared" si="78"/>
        <v>108.15950819954452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498.99999999999955</v>
      </c>
      <c r="GA85" s="18">
        <f>FZ85*VLOOKUP('Données projet'!$B$17,Paramètres!$A$1:$I$88,3,0)*VLOOKUP('Données projet'!$B$17,Paramètres!$A$1:$I$88,5,0)</f>
        <v>240.01899999999978</v>
      </c>
      <c r="GB85" s="14">
        <f t="shared" si="103"/>
        <v>58.443618405936313</v>
      </c>
      <c r="GC85" s="22">
        <f t="shared" si="79"/>
        <v>519.82239372367201</v>
      </c>
      <c r="GD85" s="62">
        <f t="shared" si="80"/>
        <v>791.32848535565904</v>
      </c>
      <c r="GE85" s="62">
        <f ca="1">AVERAGE(OFFSET($GD$3,0,0,'Données projet'!$E$17+1,1))-AVERAGE(OFFSET($H$3,0,0,'Données projet'!$E$17+1,1))</f>
        <v>273.24375559399846</v>
      </c>
      <c r="GF85" s="62">
        <f t="shared" si="104"/>
        <v>270.77718895097848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projet'!$B$17,Paramètres!$A$1:$I$88,3,0)*0.475*44/12</f>
        <v>31.098733848837767</v>
      </c>
      <c r="GM85" s="23">
        <f>EXP(-LN(2)/25)*GM84+(1-EXP(-LN(2)/25))/(LN(2)/25)*Calculateur!GH85*Calculateur!GJ85*VLOOKUP('Données projet'!$B$17,Paramètres!$A$1:$I$88,3,0)*0.475*44/12</f>
        <v>28.82945112619646</v>
      </c>
      <c r="GN85" s="23">
        <f>EXP(-LN(2)/2)*GN84+(1-EXP(-LN(2)/2))/(LN(2)/2)*GH85*GK85*VLOOKUP('Données projet'!$B$17,Paramètres!$A$1:$I$88,3,0)*0.475*44/12</f>
        <v>0</v>
      </c>
      <c r="GO85" s="23">
        <f t="shared" si="81"/>
        <v>59.928184975034227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550.99999999999966</v>
      </c>
      <c r="O86" s="14">
        <f>N86*VLOOKUP('Données projet'!$B$9,Paramètres!$A$1:$I$88,3,0)*VLOOKUP('Données projet'!$B$9,Paramètres!$A$1:$I$88,5,0)</f>
        <v>308.00899999999979</v>
      </c>
      <c r="P86" s="14">
        <f t="shared" si="87"/>
        <v>72.852874331417695</v>
      </c>
      <c r="Q86" s="22">
        <f t="shared" si="54"/>
        <v>663.33443112721886</v>
      </c>
      <c r="R86" s="62">
        <f t="shared" si="55"/>
        <v>935.21917660432234</v>
      </c>
      <c r="S86" s="62">
        <f ca="1">AVERAGE(OFFSET($R$3,0,0,'Données projet'!$E$9+1,1))-AVERAGE(OFFSET($H$3,0,0,'Données projet'!$E$9+1,1))</f>
        <v>289.94242154211224</v>
      </c>
      <c r="T86" s="62">
        <f t="shared" si="88"/>
        <v>369.12599166143661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46.78197718116094</v>
      </c>
      <c r="AA86" s="23">
        <f>EXP(-LN(2)/25)*AA85+(1-EXP(-LN(2)/25))/(LN(2)/25)*Calculateur!V86*Calculateur!X86*VLOOKUP('Données projet'!$B$9,Paramètres!$A$1:$I$88,3,0)*0.475*44/12</f>
        <v>35.315718635039104</v>
      </c>
      <c r="AB86" s="23">
        <f>EXP(-LN(2)/2)*AB85+(1-EXP(-LN(2)/2))/(LN(2)/2)*V86*Y86*VLOOKUP('Données projet'!$B$9,Paramètres!$A$1:$I$88,3,0)*0.475*44/12</f>
        <v>0</v>
      </c>
      <c r="AC86" s="24">
        <f t="shared" si="57"/>
        <v>82.097695816200044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2.125</v>
      </c>
      <c r="AI86" s="14">
        <f>IF('Données projet'!$A$62&gt;35,AI85+AH86-AQ85,IF(A86&lt;'Données projet'!$A$62,$AF$205^A86,IF(A86='Données projet'!$A$62,'Données projet'!$B$62,AI85+AH86-AQ85)))</f>
        <v>263.75</v>
      </c>
      <c r="AJ86" s="14">
        <f>AI86*VLOOKUP('Données projet'!$B$10,Paramètres!$A$1:$I$88,3,0)*VLOOKUP('Données projet'!$B$10,Paramètres!$A$1:$I$88,5,0)</f>
        <v>238.64099999999999</v>
      </c>
      <c r="AK86" s="14">
        <f t="shared" si="89"/>
        <v>58.147038447209468</v>
      </c>
      <c r="AL86" s="22">
        <f t="shared" si="58"/>
        <v>516.90583362888981</v>
      </c>
      <c r="AM86" s="62">
        <f t="shared" si="59"/>
        <v>788.79057910599329</v>
      </c>
      <c r="AN86" s="62">
        <f ca="1">AVERAGE(OFFSET($AM$3,0,0,'Données projet'!$E$10+1,1))-AVERAGE(OFFSET($H$3,0,0,'Données projet'!$E$10+1,1))</f>
        <v>518.31628039365785</v>
      </c>
      <c r="AO86" s="62">
        <f t="shared" si="90"/>
        <v>66.435071953154761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12.59969092147297</v>
      </c>
      <c r="AV86" s="23">
        <f>EXP(-LN(2)/25)*AV85+(1-EXP(-LN(2)/25))/(LN(2)/25)*Calculateur!AQ86*Calculateur!AS86*VLOOKUP('Données projet'!$B$10,Paramètres!$A$1:$I$88,3,0)*0.475*44/12</f>
        <v>0</v>
      </c>
      <c r="AW86" s="23">
        <f>EXP(-LN(2)/2)*AW85+(1-EXP(-LN(2)/2))/(LN(2)/2)*AQ86*AT86*VLOOKUP('Données projet'!$B$10,Paramètres!$A$1:$I$88,3,0)*0.475*44/12</f>
        <v>0</v>
      </c>
      <c r="AX86" s="23">
        <f t="shared" si="60"/>
        <v>12.59969092147297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2.125</v>
      </c>
      <c r="BD86" s="13">
        <f>IF('Données projet'!$A$88&gt;35,BD85+BC86-BL85,IF(A86&lt;'Données projet'!$A$88,$BA$205^A86,IF(A86='Données projet'!$A$88,'Données projet'!$B$88,BD85+BC86-BL85)))</f>
        <v>263.75</v>
      </c>
      <c r="BE86" s="14">
        <f>BD86*VLOOKUP('Données projet'!$B$11,Paramètres!$A$1:$I$88,3,0)*VLOOKUP('Données projet'!$B$11,Paramètres!$A$1:$I$88,5,0)</f>
        <v>267.4425</v>
      </c>
      <c r="BF86" s="14">
        <f t="shared" si="91"/>
        <v>64.306202962955069</v>
      </c>
      <c r="BG86" s="22">
        <f t="shared" si="61"/>
        <v>577.79565766048006</v>
      </c>
      <c r="BH86" s="62">
        <f t="shared" si="62"/>
        <v>849.68040313758354</v>
      </c>
      <c r="BI86" s="62">
        <f ca="1">AVERAGE(OFFSET($BH$3,0,0,'Données projet'!$E$11+1,1))-AVERAGE(OFFSET($H$3,0,0,'Données projet'!$E$11+1,1))</f>
        <v>570.2785736203931</v>
      </c>
      <c r="BJ86" s="62">
        <f t="shared" si="92"/>
        <v>67.677759965081719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14.120343274064538</v>
      </c>
      <c r="BQ86" s="23">
        <f>EXP(-LN(2)/25)*BQ85+(1-EXP(-LN(2)/25))/(LN(2)/25)*Calculateur!BL86*Calculateur!BN86*VLOOKUP('Données projet'!$B$11,Paramètres!$A$1:$I$88,3,0)*0.475*44/12</f>
        <v>0</v>
      </c>
      <c r="BR86" s="23">
        <f>EXP(-LN(2)/2)*BR85+(1-EXP(-LN(2)/2))/(LN(2)/2)*BL86*BO86*VLOOKUP('Données projet'!$B$11,Paramètres!$A$1:$I$88,3,0)*0.475*44/12</f>
        <v>0</v>
      </c>
      <c r="BS86" s="24">
        <f t="shared" si="63"/>
        <v>14.120343274064538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544.19999999999982</v>
      </c>
      <c r="BZ86" s="14">
        <f>BY86*VLOOKUP('Données projet'!$B$12,Paramètres!$A$1:$I$88,3,0)*VLOOKUP('Données projet'!$B$12,Paramètres!$A$1:$I$88,5,0)</f>
        <v>325.43159999999995</v>
      </c>
      <c r="CA86" s="14">
        <f t="shared" si="93"/>
        <v>76.482394221016762</v>
      </c>
      <c r="CB86" s="22">
        <f t="shared" si="64"/>
        <v>700.00020660160408</v>
      </c>
      <c r="CC86" s="62">
        <f t="shared" si="65"/>
        <v>971.88495207870756</v>
      </c>
      <c r="CD86" s="62">
        <f ca="1">AVERAGE(OFFSET($CC$3,0,0,'Données projet'!$E$12+1,1))-AVERAGE(OFFSET($H$3,0,0,'Données projet'!$E$12+1,1))</f>
        <v>401.1031790385295</v>
      </c>
      <c r="CE86" s="62">
        <f t="shared" si="94"/>
        <v>402.09589424130615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projet'!$B$12,Paramètres!$A$1:$I$88,3,0)*0.475*44/12</f>
        <v>13.153684290440829</v>
      </c>
      <c r="CL86" s="23">
        <f>EXP(-LN(2)/25)*CL85+(1-EXP(-LN(2)/25))/(LN(2)/25)*Calculateur!CG86*Calculateur!CI86*VLOOKUP('Données projet'!$B$12,Paramètres!$A$1:$I$88,3,0)*0.475*44/12</f>
        <v>0</v>
      </c>
      <c r="CM86" s="23">
        <f>EXP(-LN(2)/2)*CM85+(1-EXP(-LN(2)/2))/(LN(2)/2)*CG86*CJ86*VLOOKUP('Données projet'!$B$12,Paramètres!$A$1:$I$88,3,0)*0.475*44/12</f>
        <v>1.4333320416727835E-3</v>
      </c>
      <c r="CN86" s="24">
        <f t="shared" si="66"/>
        <v>13.155117622482502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544.19999999999982</v>
      </c>
      <c r="CU86" s="18">
        <f>CT86*VLOOKUP('Données projet'!$B$13,Paramètres!$A$1:$I$88,3,0)*VLOOKUP('Données projet'!$B$13,Paramètres!$A$1:$I$88,5,0)</f>
        <v>325.43159999999995</v>
      </c>
      <c r="CV86" s="14">
        <f t="shared" si="95"/>
        <v>76.482394221016762</v>
      </c>
      <c r="CW86" s="22">
        <f t="shared" si="67"/>
        <v>700.00020660160408</v>
      </c>
      <c r="CX86" s="62">
        <f t="shared" si="68"/>
        <v>971.88495207870756</v>
      </c>
      <c r="CY86" s="62">
        <f ca="1">AVERAGE(OFFSET($CX$3,0,0,'Données projet'!$E$13+1,1))-AVERAGE(OFFSET($H$3,0,0,'Données projet'!$E$13+1,1))</f>
        <v>401.1031790385295</v>
      </c>
      <c r="CZ86" s="62">
        <f t="shared" si="96"/>
        <v>402.09589424130615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projet'!$B$13,Paramètres!$A$1:$I$88,3,0)*0.475*44/12</f>
        <v>13.153684290440829</v>
      </c>
      <c r="DG86" s="23">
        <f>EXP(-LN(2)/25)*DG85+(1-EXP(-LN(2)/25))/(LN(2)/25)*Calculateur!DB86*Calculateur!DD86*VLOOKUP('Données projet'!$B$13,Paramètres!$A$1:$I$88,3,0)*0.475*44/12</f>
        <v>0</v>
      </c>
      <c r="DH86" s="23">
        <f>EXP(-LN(2)/2)*DH85+(1-EXP(-LN(2)/2))/(LN(2)/2)*DB86*DE86*VLOOKUP('Données projet'!$B$13,Paramètres!$A$1:$I$88,3,0)*0.475*44/12</f>
        <v>1.4333320416727835E-3</v>
      </c>
      <c r="DI86" s="24">
        <f t="shared" si="69"/>
        <v>13.155117622482502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860.00000000000023</v>
      </c>
      <c r="DP86" s="18">
        <f>DO86*VLOOKUP('Données projet'!$B$14,Paramètres!$A$1:$I$88,3,0)*VLOOKUP('Données projet'!$B$14,Paramètres!$A$1:$I$88,5,0)</f>
        <v>346.5800000000001</v>
      </c>
      <c r="DQ86" s="14">
        <f t="shared" si="97"/>
        <v>80.857895771535127</v>
      </c>
      <c r="DR86" s="22">
        <f t="shared" si="70"/>
        <v>744.45433513542378</v>
      </c>
      <c r="DS86" s="62">
        <f t="shared" si="71"/>
        <v>1016.3390806125273</v>
      </c>
      <c r="DT86" s="62">
        <f ca="1">AVERAGE(OFFSET($DS$3,0,0,'Données projet'!$E$14+1,1))-AVERAGE(OFFSET($H$3,0,0,'Données projet'!$E$14+1,1))</f>
        <v>432.59662347701629</v>
      </c>
      <c r="DU86" s="62">
        <f t="shared" si="98"/>
        <v>348.67401091099748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projet'!$B$14,Paramètres!$A$1:$I$88,3,0)*0.475*44/12</f>
        <v>59.252903611059928</v>
      </c>
      <c r="EB86" s="23">
        <f>EXP(-LN(2)/25)*EB85+(1-EXP(-LN(2)/25))/(LN(2)/25)*Calculateur!DW86*Calculateur!DY86*VLOOKUP('Données projet'!$B$14,Paramètres!$A$1:$I$88,3,0)*0.475*44/12</f>
        <v>63.981884099099034</v>
      </c>
      <c r="EC86" s="23">
        <f>EXP(-LN(2)/2)*EC85+(1-EXP(-LN(2)/2))/(LN(2)/2)*DW86*DZ86*VLOOKUP('Données projet'!$B$14,Paramètres!$A$1:$I$88,3,0)*0.475*44/12</f>
        <v>0</v>
      </c>
      <c r="ED86" s="24">
        <f t="shared" si="72"/>
        <v>123.23478771015897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1099.9999999999998</v>
      </c>
      <c r="EK86" s="18">
        <f>EJ86*VLOOKUP('Données projet'!$B$15,Paramètres!$A$1:$I$88,3,0)*VLOOKUP('Données projet'!$B$15,Paramètres!$A$1:$I$88,5,0)</f>
        <v>486.19999999999993</v>
      </c>
      <c r="EL86" s="14">
        <f t="shared" si="99"/>
        <v>109.0490179035375</v>
      </c>
      <c r="EM86" s="22">
        <f t="shared" si="73"/>
        <v>1036.725372848661</v>
      </c>
      <c r="EN86" s="62">
        <f t="shared" si="74"/>
        <v>1308.6101183257645</v>
      </c>
      <c r="EO86" s="62">
        <f ca="1">AVERAGE(OFFSET($EN$3,0,0,'Données projet'!$E$15+1,1))-AVERAGE(OFFSET($H$3,0,0,'Données projet'!$E$15+1,1))</f>
        <v>582.26951914082088</v>
      </c>
      <c r="EP86" s="62">
        <f t="shared" si="100"/>
        <v>434.80429932654715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projet'!$B$15,Paramètres!$A$1:$I$88,3,0)*0.475*44/12</f>
        <v>59.705513129809752</v>
      </c>
      <c r="EW86" s="23">
        <f>EXP(-LN(2)/25)*EW85+(1-EXP(-LN(2)/25))/(LN(2)/25)*Calculateur!ER86*Calculateur!ET86*VLOOKUP('Données projet'!$B$15,Paramètres!$A$1:$I$88,3,0)*0.475*44/12</f>
        <v>57.492703122294472</v>
      </c>
      <c r="EX86" s="23">
        <f>EXP(-LN(2)/2)*EX85+(1-EXP(-LN(2)/2))/(LN(2)/2)*ER86*EU86*VLOOKUP('Données projet'!$B$15,Paramètres!$A$1:$I$88,3,0)*0.475*44/12</f>
        <v>0</v>
      </c>
      <c r="EY86" s="24">
        <f t="shared" si="75"/>
        <v>117.19821625210423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17.8</v>
      </c>
      <c r="FE86" s="13">
        <f>IF('Données projet'!$A$218&gt;35,FE85+FD86-FM85,IF(A86&lt;'Données projet'!$A$218,$FB$205^A86,IF(A86='Données projet'!$A$218,'Données projet'!$B$218,FE85+FD86-FM85)))</f>
        <v>677.4000000000002</v>
      </c>
      <c r="FF86" s="18">
        <f>FE86*VLOOKUP('Données projet'!$B$16,Paramètres!$A$1:$I$88,3,0)*VLOOKUP('Données projet'!$B$16,Paramètres!$A$1:$I$88,5,0)</f>
        <v>317.02320000000009</v>
      </c>
      <c r="FG86" s="14">
        <f t="shared" si="101"/>
        <v>74.733636027657681</v>
      </c>
      <c r="FH86" s="22">
        <f t="shared" si="76"/>
        <v>682.30982274817052</v>
      </c>
      <c r="FI86" s="62">
        <f t="shared" si="77"/>
        <v>954.194568225274</v>
      </c>
      <c r="FJ86" s="62">
        <f ca="1">AVERAGE(OFFSET($FI$3,0,0,'Données projet'!$E$16+1,1))-AVERAGE(OFFSET($H$3,0,0,'Données projet'!$E$16+1,1))</f>
        <v>429.87867712133851</v>
      </c>
      <c r="FK86" s="62">
        <f t="shared" si="102"/>
        <v>182.81277865988014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projet'!$B$16,Paramètres!$A$1:$I$88,3,0)*0.475*44/12</f>
        <v>42.67109933684236</v>
      </c>
      <c r="FR86" s="23">
        <f>EXP(-LN(2)/25)*FR85+(1-EXP(-LN(2)/25))/(LN(2)/25)*Calculateur!FM86*Calculateur!FO86*VLOOKUP('Données projet'!$B$16,Paramètres!$A$1:$I$88,3,0)*0.475*44/12</f>
        <v>62.867472963006527</v>
      </c>
      <c r="FS86" s="23">
        <f>EXP(-LN(2)/2)*FS85+(1-EXP(-LN(2)/2))/(LN(2)/2)*FM86*FP86*VLOOKUP('Données projet'!$B$16,Paramètres!$A$1:$I$88,3,0)*0.475*44/12</f>
        <v>0</v>
      </c>
      <c r="FT86" s="24">
        <f t="shared" si="78"/>
        <v>105.53857229984888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498.99999999999955</v>
      </c>
      <c r="GA86" s="18">
        <f>FZ86*VLOOKUP('Données projet'!$B$17,Paramètres!$A$1:$I$88,3,0)*VLOOKUP('Données projet'!$B$17,Paramètres!$A$1:$I$88,5,0)</f>
        <v>240.01899999999978</v>
      </c>
      <c r="GB86" s="14">
        <f t="shared" si="103"/>
        <v>58.443618405936313</v>
      </c>
      <c r="GC86" s="22">
        <f t="shared" si="79"/>
        <v>519.82239372367201</v>
      </c>
      <c r="GD86" s="62">
        <f t="shared" si="80"/>
        <v>791.70713920077549</v>
      </c>
      <c r="GE86" s="62">
        <f ca="1">AVERAGE(OFFSET($GD$3,0,0,'Données projet'!$E$17+1,1))-AVERAGE(OFFSET($H$3,0,0,'Données projet'!$E$17+1,1))</f>
        <v>273.24375559399846</v>
      </c>
      <c r="GF86" s="62">
        <f t="shared" si="104"/>
        <v>270.77718895097848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projet'!$B$17,Paramètres!$A$1:$I$88,3,0)*0.475*44/12</f>
        <v>30.488906646416737</v>
      </c>
      <c r="GM86" s="23">
        <f>EXP(-LN(2)/25)*GM85+(1-EXP(-LN(2)/25))/(LN(2)/25)*Calculateur!GH86*Calculateur!GJ86*VLOOKUP('Données projet'!$B$17,Paramètres!$A$1:$I$88,3,0)*0.475*44/12</f>
        <v>28.041108269075675</v>
      </c>
      <c r="GN86" s="23">
        <f>EXP(-LN(2)/2)*GN85+(1-EXP(-LN(2)/2))/(LN(2)/2)*GH86*GK86*VLOOKUP('Données projet'!$B$17,Paramètres!$A$1:$I$88,3,0)*0.475*44/12</f>
        <v>0</v>
      </c>
      <c r="GO86" s="23">
        <f t="shared" si="81"/>
        <v>58.530014915492416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550.99999999999966</v>
      </c>
      <c r="O87" s="14">
        <f>N87*VLOOKUP('Données projet'!$B$9,Paramètres!$A$1:$I$88,3,0)*VLOOKUP('Données projet'!$B$9,Paramètres!$A$1:$I$88,5,0)</f>
        <v>308.00899999999979</v>
      </c>
      <c r="P87" s="14">
        <f t="shared" si="87"/>
        <v>72.852874331417695</v>
      </c>
      <c r="Q87" s="22">
        <f t="shared" si="54"/>
        <v>663.33443112721886</v>
      </c>
      <c r="R87" s="62">
        <f t="shared" si="55"/>
        <v>935.59126165176917</v>
      </c>
      <c r="S87" s="62">
        <f ca="1">AVERAGE(OFFSET($R$3,0,0,'Données projet'!$E$9+1,1))-AVERAGE(OFFSET($H$3,0,0,'Données projet'!$E$9+1,1))</f>
        <v>289.94242154211224</v>
      </c>
      <c r="T87" s="62">
        <f t="shared" si="88"/>
        <v>369.12599166143661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45.864611142826938</v>
      </c>
      <c r="AA87" s="23">
        <f>EXP(-LN(2)/25)*AA86+(1-EXP(-LN(2)/25))/(LN(2)/25)*Calculateur!V87*Calculateur!X87*VLOOKUP('Données projet'!$B$9,Paramètres!$A$1:$I$88,3,0)*0.475*44/12</f>
        <v>34.350008451791034</v>
      </c>
      <c r="AB87" s="23">
        <f>EXP(-LN(2)/2)*AB86+(1-EXP(-LN(2)/2))/(LN(2)/2)*V87*Y87*VLOOKUP('Données projet'!$B$9,Paramètres!$A$1:$I$88,3,0)*0.475*44/12</f>
        <v>0</v>
      </c>
      <c r="AC87" s="24">
        <f t="shared" si="57"/>
        <v>80.214619594617972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2.125</v>
      </c>
      <c r="AI87" s="14">
        <f>IF('Données projet'!$A$62&gt;35,AI86+AH87-AQ86,IF(A87&lt;'Données projet'!$A$62,$AF$205^A87,IF(A87='Données projet'!$A$62,'Données projet'!$B$62,AI86+AH87-AQ86)))</f>
        <v>265.875</v>
      </c>
      <c r="AJ87" s="14">
        <f>AI87*VLOOKUP('Données projet'!$B$10,Paramètres!$A$1:$I$88,3,0)*VLOOKUP('Données projet'!$B$10,Paramètres!$A$1:$I$88,5,0)</f>
        <v>240.56369999999998</v>
      </c>
      <c r="AK87" s="14">
        <f t="shared" si="89"/>
        <v>58.560796718665706</v>
      </c>
      <c r="AL87" s="22">
        <f t="shared" si="58"/>
        <v>520.97516511834272</v>
      </c>
      <c r="AM87" s="62">
        <f t="shared" si="59"/>
        <v>793.23199564289303</v>
      </c>
      <c r="AN87" s="62">
        <f ca="1">AVERAGE(OFFSET($AM$3,0,0,'Données projet'!$E$10+1,1))-AVERAGE(OFFSET($H$3,0,0,'Données projet'!$E$10+1,1))</f>
        <v>518.31628039365785</v>
      </c>
      <c r="AO87" s="62">
        <f t="shared" si="90"/>
        <v>66.435071953154761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12.352618667555511</v>
      </c>
      <c r="AV87" s="23">
        <f>EXP(-LN(2)/25)*AV86+(1-EXP(-LN(2)/25))/(LN(2)/25)*Calculateur!AQ87*Calculateur!AS87*VLOOKUP('Données projet'!$B$10,Paramètres!$A$1:$I$88,3,0)*0.475*44/12</f>
        <v>0</v>
      </c>
      <c r="AW87" s="23">
        <f>EXP(-LN(2)/2)*AW86+(1-EXP(-LN(2)/2))/(LN(2)/2)*AQ87*AT87*VLOOKUP('Données projet'!$B$10,Paramètres!$A$1:$I$88,3,0)*0.475*44/12</f>
        <v>0</v>
      </c>
      <c r="AX87" s="23">
        <f t="shared" si="60"/>
        <v>12.352618667555511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2.125</v>
      </c>
      <c r="BD87" s="13">
        <f>IF('Données projet'!$A$88&gt;35,BD86+BC87-BL86,IF(A87&lt;'Données projet'!$A$88,$BA$205^A87,IF(A87='Données projet'!$A$88,'Données projet'!$B$88,BD86+BC87-BL86)))</f>
        <v>265.875</v>
      </c>
      <c r="BE87" s="14">
        <f>BD87*VLOOKUP('Données projet'!$B$11,Paramètres!$A$1:$I$88,3,0)*VLOOKUP('Données projet'!$B$11,Paramètres!$A$1:$I$88,5,0)</f>
        <v>269.59724999999997</v>
      </c>
      <c r="BF87" s="14">
        <f t="shared" si="91"/>
        <v>64.763788148587906</v>
      </c>
      <c r="BG87" s="22">
        <f t="shared" si="61"/>
        <v>582.34547477545721</v>
      </c>
      <c r="BH87" s="62">
        <f t="shared" si="62"/>
        <v>854.60230530000752</v>
      </c>
      <c r="BI87" s="62">
        <f ca="1">AVERAGE(OFFSET($BH$3,0,0,'Données projet'!$E$11+1,1))-AVERAGE(OFFSET($H$3,0,0,'Données projet'!$E$11+1,1))</f>
        <v>570.2785736203931</v>
      </c>
      <c r="BJ87" s="62">
        <f t="shared" si="92"/>
        <v>67.677759965081719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13.843451955019111</v>
      </c>
      <c r="BQ87" s="23">
        <f>EXP(-LN(2)/25)*BQ86+(1-EXP(-LN(2)/25))/(LN(2)/25)*Calculateur!BL87*Calculateur!BN87*VLOOKUP('Données projet'!$B$11,Paramètres!$A$1:$I$88,3,0)*0.475*44/12</f>
        <v>0</v>
      </c>
      <c r="BR87" s="23">
        <f>EXP(-LN(2)/2)*BR86+(1-EXP(-LN(2)/2))/(LN(2)/2)*BL87*BO87*VLOOKUP('Données projet'!$B$11,Paramètres!$A$1:$I$88,3,0)*0.475*44/12</f>
        <v>0</v>
      </c>
      <c r="BS87" s="24">
        <f t="shared" si="63"/>
        <v>13.843451955019111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544.19999999999982</v>
      </c>
      <c r="BZ87" s="14">
        <f>BY87*VLOOKUP('Données projet'!$B$12,Paramètres!$A$1:$I$88,3,0)*VLOOKUP('Données projet'!$B$12,Paramètres!$A$1:$I$88,5,0)</f>
        <v>325.43159999999995</v>
      </c>
      <c r="CA87" s="14">
        <f t="shared" si="93"/>
        <v>76.482394221016762</v>
      </c>
      <c r="CB87" s="22">
        <f t="shared" si="64"/>
        <v>700.00020660160408</v>
      </c>
      <c r="CC87" s="62">
        <f t="shared" si="65"/>
        <v>972.25703712615439</v>
      </c>
      <c r="CD87" s="62">
        <f ca="1">AVERAGE(OFFSET($CC$3,0,0,'Données projet'!$E$12+1,1))-AVERAGE(OFFSET($H$3,0,0,'Données projet'!$E$12+1,1))</f>
        <v>401.1031790385295</v>
      </c>
      <c r="CE87" s="62">
        <f t="shared" si="94"/>
        <v>402.09589424130615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projet'!$B$12,Paramètres!$A$1:$I$88,3,0)*0.475*44/12</f>
        <v>12.895748564460501</v>
      </c>
      <c r="CL87" s="23">
        <f>EXP(-LN(2)/25)*CL86+(1-EXP(-LN(2)/25))/(LN(2)/25)*Calculateur!CG87*Calculateur!CI87*VLOOKUP('Données projet'!$B$12,Paramètres!$A$1:$I$88,3,0)*0.475*44/12</f>
        <v>0</v>
      </c>
      <c r="CM87" s="23">
        <f>EXP(-LN(2)/2)*CM86+(1-EXP(-LN(2)/2))/(LN(2)/2)*CG87*CJ87*VLOOKUP('Données projet'!$B$12,Paramètres!$A$1:$I$88,3,0)*0.475*44/12</f>
        <v>1.0135188063587844E-3</v>
      </c>
      <c r="CN87" s="24">
        <f t="shared" si="66"/>
        <v>12.896762083266859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544.19999999999982</v>
      </c>
      <c r="CU87" s="18">
        <f>CT87*VLOOKUP('Données projet'!$B$13,Paramètres!$A$1:$I$88,3,0)*VLOOKUP('Données projet'!$B$13,Paramètres!$A$1:$I$88,5,0)</f>
        <v>325.43159999999995</v>
      </c>
      <c r="CV87" s="14">
        <f t="shared" si="95"/>
        <v>76.482394221016762</v>
      </c>
      <c r="CW87" s="22">
        <f t="shared" si="67"/>
        <v>700.00020660160408</v>
      </c>
      <c r="CX87" s="62">
        <f t="shared" si="68"/>
        <v>972.25703712615439</v>
      </c>
      <c r="CY87" s="62">
        <f ca="1">AVERAGE(OFFSET($CX$3,0,0,'Données projet'!$E$13+1,1))-AVERAGE(OFFSET($H$3,0,0,'Données projet'!$E$13+1,1))</f>
        <v>401.1031790385295</v>
      </c>
      <c r="CZ87" s="62">
        <f t="shared" si="96"/>
        <v>402.09589424130615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projet'!$B$13,Paramètres!$A$1:$I$88,3,0)*0.475*44/12</f>
        <v>12.895748564460501</v>
      </c>
      <c r="DG87" s="23">
        <f>EXP(-LN(2)/25)*DG86+(1-EXP(-LN(2)/25))/(LN(2)/25)*Calculateur!DB87*Calculateur!DD87*VLOOKUP('Données projet'!$B$13,Paramètres!$A$1:$I$88,3,0)*0.475*44/12</f>
        <v>0</v>
      </c>
      <c r="DH87" s="23">
        <f>EXP(-LN(2)/2)*DH86+(1-EXP(-LN(2)/2))/(LN(2)/2)*DB87*DE87*VLOOKUP('Données projet'!$B$13,Paramètres!$A$1:$I$88,3,0)*0.475*44/12</f>
        <v>1.0135188063587844E-3</v>
      </c>
      <c r="DI87" s="24">
        <f t="shared" si="69"/>
        <v>12.896762083266859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860.00000000000023</v>
      </c>
      <c r="DP87" s="18">
        <f>DO87*VLOOKUP('Données projet'!$B$14,Paramètres!$A$1:$I$88,3,0)*VLOOKUP('Données projet'!$B$14,Paramètres!$A$1:$I$88,5,0)</f>
        <v>346.5800000000001</v>
      </c>
      <c r="DQ87" s="14">
        <f t="shared" si="97"/>
        <v>80.857895771535127</v>
      </c>
      <c r="DR87" s="22">
        <f t="shared" si="70"/>
        <v>744.45433513542378</v>
      </c>
      <c r="DS87" s="62">
        <f t="shared" si="71"/>
        <v>1016.7111656599741</v>
      </c>
      <c r="DT87" s="62">
        <f ca="1">AVERAGE(OFFSET($DS$3,0,0,'Données projet'!$E$14+1,1))-AVERAGE(OFFSET($H$3,0,0,'Données projet'!$E$14+1,1))</f>
        <v>432.59662347701629</v>
      </c>
      <c r="DU87" s="62">
        <f t="shared" si="98"/>
        <v>348.67401091099748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projet'!$B$14,Paramètres!$A$1:$I$88,3,0)*0.475*44/12</f>
        <v>58.090990311949646</v>
      </c>
      <c r="EB87" s="23">
        <f>EXP(-LN(2)/25)*EB86+(1-EXP(-LN(2)/25))/(LN(2)/25)*Calculateur!DW87*Calculateur!DY87*VLOOKUP('Données projet'!$B$14,Paramètres!$A$1:$I$88,3,0)*0.475*44/12</f>
        <v>62.23229611374812</v>
      </c>
      <c r="EC87" s="23">
        <f>EXP(-LN(2)/2)*EC86+(1-EXP(-LN(2)/2))/(LN(2)/2)*DW87*DZ87*VLOOKUP('Données projet'!$B$14,Paramètres!$A$1:$I$88,3,0)*0.475*44/12</f>
        <v>0</v>
      </c>
      <c r="ED87" s="24">
        <f t="shared" si="72"/>
        <v>120.32328642569777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1099.9999999999998</v>
      </c>
      <c r="EK87" s="18">
        <f>EJ87*VLOOKUP('Données projet'!$B$15,Paramètres!$A$1:$I$88,3,0)*VLOOKUP('Données projet'!$B$15,Paramètres!$A$1:$I$88,5,0)</f>
        <v>486.19999999999993</v>
      </c>
      <c r="EL87" s="14">
        <f t="shared" si="99"/>
        <v>109.0490179035375</v>
      </c>
      <c r="EM87" s="22">
        <f t="shared" si="73"/>
        <v>1036.725372848661</v>
      </c>
      <c r="EN87" s="62">
        <f t="shared" si="74"/>
        <v>1308.9822033732112</v>
      </c>
      <c r="EO87" s="62">
        <f ca="1">AVERAGE(OFFSET($EN$3,0,0,'Données projet'!$E$15+1,1))-AVERAGE(OFFSET($H$3,0,0,'Données projet'!$E$15+1,1))</f>
        <v>582.26951914082088</v>
      </c>
      <c r="EP87" s="62">
        <f t="shared" si="100"/>
        <v>434.80429932654715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projet'!$B$15,Paramètres!$A$1:$I$88,3,0)*0.475*44/12</f>
        <v>58.534724434101335</v>
      </c>
      <c r="EW87" s="23">
        <f>EXP(-LN(2)/25)*EW86+(1-EXP(-LN(2)/25))/(LN(2)/25)*Calculateur!ER87*Calculateur!ET87*VLOOKUP('Données projet'!$B$15,Paramètres!$A$1:$I$88,3,0)*0.475*44/12</f>
        <v>55.920562132005472</v>
      </c>
      <c r="EX87" s="23">
        <f>EXP(-LN(2)/2)*EX86+(1-EXP(-LN(2)/2))/(LN(2)/2)*ER87*EU87*VLOOKUP('Données projet'!$B$15,Paramètres!$A$1:$I$88,3,0)*0.475*44/12</f>
        <v>0</v>
      </c>
      <c r="EY87" s="24">
        <f t="shared" si="75"/>
        <v>114.45528656610681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17.8</v>
      </c>
      <c r="FE87" s="13">
        <f>IF('Données projet'!$A$218&gt;35,FE86+FD87-FM86,IF(A87&lt;'Données projet'!$A$218,$FB$205^A87,IF(A87='Données projet'!$A$218,'Données projet'!$B$218,FE86+FD87-FM86)))</f>
        <v>695.20000000000016</v>
      </c>
      <c r="FF87" s="18">
        <f>FE87*VLOOKUP('Données projet'!$B$16,Paramètres!$A$1:$I$88,3,0)*VLOOKUP('Données projet'!$B$16,Paramètres!$A$1:$I$88,5,0)</f>
        <v>325.35360000000009</v>
      </c>
      <c r="FG87" s="14">
        <f t="shared" si="101"/>
        <v>76.466196343081592</v>
      </c>
      <c r="FH87" s="22">
        <f t="shared" si="76"/>
        <v>699.83614529753402</v>
      </c>
      <c r="FI87" s="62">
        <f t="shared" si="77"/>
        <v>972.09297582208433</v>
      </c>
      <c r="FJ87" s="62">
        <f ca="1">AVERAGE(OFFSET($FI$3,0,0,'Données projet'!$E$16+1,1))-AVERAGE(OFFSET($H$3,0,0,'Données projet'!$E$16+1,1))</f>
        <v>429.87867712133851</v>
      </c>
      <c r="FK87" s="62">
        <f t="shared" si="102"/>
        <v>182.81277865988014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projet'!$B$16,Paramètres!$A$1:$I$88,3,0)*0.475*44/12</f>
        <v>41.834345105647543</v>
      </c>
      <c r="FR87" s="23">
        <f>EXP(-LN(2)/25)*FR86+(1-EXP(-LN(2)/25))/(LN(2)/25)*Calculateur!FM87*Calculateur!FO87*VLOOKUP('Données projet'!$B$16,Paramètres!$A$1:$I$88,3,0)*0.475*44/12</f>
        <v>61.148358608776398</v>
      </c>
      <c r="FS87" s="23">
        <f>EXP(-LN(2)/2)*FS86+(1-EXP(-LN(2)/2))/(LN(2)/2)*FM87*FP87*VLOOKUP('Données projet'!$B$16,Paramètres!$A$1:$I$88,3,0)*0.475*44/12</f>
        <v>0</v>
      </c>
      <c r="FT87" s="24">
        <f t="shared" si="78"/>
        <v>102.98270371442393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498.99999999999955</v>
      </c>
      <c r="GA87" s="18">
        <f>FZ87*VLOOKUP('Données projet'!$B$17,Paramètres!$A$1:$I$88,3,0)*VLOOKUP('Données projet'!$B$17,Paramètres!$A$1:$I$88,5,0)</f>
        <v>240.01899999999978</v>
      </c>
      <c r="GB87" s="14">
        <f t="shared" si="103"/>
        <v>58.443618405936313</v>
      </c>
      <c r="GC87" s="22">
        <f t="shared" si="79"/>
        <v>519.82239372367201</v>
      </c>
      <c r="GD87" s="62">
        <f t="shared" si="80"/>
        <v>792.07922424822232</v>
      </c>
      <c r="GE87" s="62">
        <f ca="1">AVERAGE(OFFSET($GD$3,0,0,'Données projet'!$E$17+1,1))-AVERAGE(OFFSET($H$3,0,0,'Données projet'!$E$17+1,1))</f>
        <v>273.24375559399846</v>
      </c>
      <c r="GF87" s="62">
        <f t="shared" si="104"/>
        <v>270.77718895097848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projet'!$B$17,Paramètres!$A$1:$I$88,3,0)*0.475*44/12</f>
        <v>29.891037783477316</v>
      </c>
      <c r="GM87" s="23">
        <f>EXP(-LN(2)/25)*GM86+(1-EXP(-LN(2)/25))/(LN(2)/25)*Calculateur!GH87*Calculateur!GJ87*VLOOKUP('Données projet'!$B$17,Paramètres!$A$1:$I$88,3,0)*0.475*44/12</f>
        <v>27.274322688840005</v>
      </c>
      <c r="GN87" s="23">
        <f>EXP(-LN(2)/2)*GN86+(1-EXP(-LN(2)/2))/(LN(2)/2)*GH87*GK87*VLOOKUP('Données projet'!$B$17,Paramètres!$A$1:$I$88,3,0)*0.475*44/12</f>
        <v>0</v>
      </c>
      <c r="GO87" s="23">
        <f t="shared" si="81"/>
        <v>57.165360472317317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550.99999999999966</v>
      </c>
      <c r="O88" s="14">
        <f>N88*VLOOKUP('Données projet'!$B$9,Paramètres!$A$1:$I$88,3,0)*VLOOKUP('Données projet'!$B$9,Paramètres!$A$1:$I$88,5,0)</f>
        <v>308.00899999999979</v>
      </c>
      <c r="P88" s="14">
        <f t="shared" si="87"/>
        <v>72.852874331417695</v>
      </c>
      <c r="Q88" s="22">
        <f t="shared" si="54"/>
        <v>663.33443112721886</v>
      </c>
      <c r="R88" s="62">
        <f t="shared" si="55"/>
        <v>935.95689185550032</v>
      </c>
      <c r="S88" s="62">
        <f ca="1">AVERAGE(OFFSET($R$3,0,0,'Données projet'!$E$9+1,1))-AVERAGE(OFFSET($H$3,0,0,'Données projet'!$E$9+1,1))</f>
        <v>289.94242154211224</v>
      </c>
      <c r="T88" s="62">
        <f t="shared" si="88"/>
        <v>369.12599166143661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44.965234092966632</v>
      </c>
      <c r="AA88" s="23">
        <f>EXP(-LN(2)/25)*AA87+(1-EXP(-LN(2)/25))/(LN(2)/25)*Calculateur!V88*Calculateur!X88*VLOOKUP('Données projet'!$B$9,Paramètres!$A$1:$I$88,3,0)*0.475*44/12</f>
        <v>33.410705664288372</v>
      </c>
      <c r="AB88" s="23">
        <f>EXP(-LN(2)/2)*AB87+(1-EXP(-LN(2)/2))/(LN(2)/2)*V88*Y88*VLOOKUP('Données projet'!$B$9,Paramètres!$A$1:$I$88,3,0)*0.475*44/12</f>
        <v>0</v>
      </c>
      <c r="AC88" s="24">
        <f t="shared" si="57"/>
        <v>78.375939757254997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268</v>
      </c>
      <c r="AG88" s="13">
        <f>VLOOKUP(A88,'Données projet'!$A$61:$I$81,9,0)</f>
        <v>2.125</v>
      </c>
      <c r="AH88" s="13">
        <f t="array" ref="AH88">INDEX(AG:AG,MIN(IF(ISNUMBER(AG88:AG284),ROW(AG88:AG284),"")))</f>
        <v>2.125</v>
      </c>
      <c r="AI88" s="14">
        <f>IF('Données projet'!$A$62&gt;35,AI87+AH88-AQ87,IF(A88&lt;'Données projet'!$A$62,$AF$205^A88,IF(A88='Données projet'!$A$62,'Données projet'!$B$62,AI87+AH88-AQ87)))</f>
        <v>268</v>
      </c>
      <c r="AJ88" s="14">
        <f>AI88*VLOOKUP('Données projet'!$B$10,Paramètres!$A$1:$I$88,3,0)*VLOOKUP('Données projet'!$B$10,Paramètres!$A$1:$I$88,5,0)</f>
        <v>242.4864</v>
      </c>
      <c r="AK88" s="14">
        <f t="shared" si="89"/>
        <v>58.974170235372419</v>
      </c>
      <c r="AL88" s="22">
        <f t="shared" si="58"/>
        <v>525.04382649327351</v>
      </c>
      <c r="AM88" s="62">
        <f t="shared" si="59"/>
        <v>797.66628722155497</v>
      </c>
      <c r="AN88" s="62">
        <f ca="1">AVERAGE(OFFSET($AM$3,0,0,'Données projet'!$E$10+1,1))-AVERAGE(OFFSET($H$3,0,0,'Données projet'!$E$10+1,1))</f>
        <v>518.31628039365785</v>
      </c>
      <c r="AO88" s="62">
        <f t="shared" si="90"/>
        <v>66.435071953154761</v>
      </c>
      <c r="AP88" s="16">
        <f>IF(ISNA(VLOOKUP(A88,'Données projet'!$A$61:$I$81,3,0)),0,VLOOKUP(A88,'Données projet'!$A$61:$I$81,3,0))</f>
        <v>10</v>
      </c>
      <c r="AQ88" s="16">
        <f>IF(ISNA(VLOOKUP(A88,'Données projet'!$A$61:$I$81,4,0)),0,VLOOKUP(A88,'Données projet'!$A$61:$I$81,4,0))</f>
        <v>41</v>
      </c>
      <c r="AR88" s="17">
        <f>IF(ISNA(VLOOKUP(A88,'Données projet'!$A$61:$I$81,5,0)),0%,VLOOKUP(A88,'Données projet'!$A$61:$I$81,5,0)*VLOOKUP('Données projet'!$B$10,Paramètres!$A$1:$I$88,7,0))</f>
        <v>0.15049999999999999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18.2823080929446</v>
      </c>
      <c r="AV88" s="23">
        <f>EXP(-LN(2)/25)*AV87+(1-EXP(-LN(2)/25))/(LN(2)/25)*Calculateur!AQ88*Calculateur!AS88*VLOOKUP('Données projet'!$B$10,Paramètres!$A$1:$I$88,3,0)*0.475*44/12</f>
        <v>0</v>
      </c>
      <c r="AW88" s="23">
        <f>EXP(-LN(2)/2)*AW87+(1-EXP(-LN(2)/2))/(LN(2)/2)*AQ88*AT88*VLOOKUP('Données projet'!$B$10,Paramètres!$A$1:$I$88,3,0)*0.475*44/12</f>
        <v>0</v>
      </c>
      <c r="AX88" s="23">
        <f t="shared" si="60"/>
        <v>18.2823080929446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268</v>
      </c>
      <c r="BB88" s="13">
        <f>VLOOKUP(A88,'Données projet'!$A$87:$I$107,9,0)</f>
        <v>2.125</v>
      </c>
      <c r="BC88" s="13">
        <f t="array" ref="BC88">INDEX(BB:BB,MIN(IF(ISNUMBER(BB88:BB284),ROW(BB88:BB284),"")))</f>
        <v>2.125</v>
      </c>
      <c r="BD88" s="13">
        <f>IF('Données projet'!$A$88&gt;35,BD87+BC88-BL87,IF(A88&lt;'Données projet'!$A$88,$BA$205^A88,IF(A88='Données projet'!$A$88,'Données projet'!$B$88,BD87+BC88-BL87)))</f>
        <v>268</v>
      </c>
      <c r="BE88" s="14">
        <f>BD88*VLOOKUP('Données projet'!$B$11,Paramètres!$A$1:$I$88,3,0)*VLOOKUP('Données projet'!$B$11,Paramètres!$A$1:$I$88,5,0)</f>
        <v>271.75200000000001</v>
      </c>
      <c r="BF88" s="14">
        <f t="shared" si="91"/>
        <v>65.220947824724931</v>
      </c>
      <c r="BG88" s="22">
        <f t="shared" si="61"/>
        <v>586.89455079472918</v>
      </c>
      <c r="BH88" s="62">
        <f t="shared" si="62"/>
        <v>859.51701152301075</v>
      </c>
      <c r="BI88" s="62">
        <f ca="1">AVERAGE(OFFSET($BH$3,0,0,'Données projet'!$E$11+1,1))-AVERAGE(OFFSET($H$3,0,0,'Données projet'!$E$11+1,1))</f>
        <v>570.2785736203931</v>
      </c>
      <c r="BJ88" s="62">
        <f t="shared" si="92"/>
        <v>67.677759965081719</v>
      </c>
      <c r="BK88" s="16">
        <f>IF(ISNA(VLOOKUP(A88,'Données projet'!$A$87:$I$107,3,0)),0,VLOOKUP(A88,'Données projet'!$A$87:$I$107,3,0))</f>
        <v>10</v>
      </c>
      <c r="BL88" s="16">
        <f>IF(ISNA(VLOOKUP(A88,'Données projet'!$A$87:$I$107,4,0)),0,VLOOKUP(A88,'Données projet'!$A$87:$I$107,4,0))</f>
        <v>41</v>
      </c>
      <c r="BM88" s="17">
        <f>IF(ISNA(VLOOKUP(A88,'Données projet'!$A$87:$I$107,5,0)),0%,VLOOKUP(A88,'Données projet'!$A$87:$I$107,5,0)*VLOOKUP('Données projet'!$B$11,Paramètres!$A$1:$I$88,7,0))</f>
        <v>0.15049999999999999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20.488793552437919</v>
      </c>
      <c r="BQ88" s="23">
        <f>EXP(-LN(2)/25)*BQ87+(1-EXP(-LN(2)/25))/(LN(2)/25)*Calculateur!BL88*Calculateur!BN88*VLOOKUP('Données projet'!$B$11,Paramètres!$A$1:$I$88,3,0)*0.475*44/12</f>
        <v>0</v>
      </c>
      <c r="BR88" s="23">
        <f>EXP(-LN(2)/2)*BR87+(1-EXP(-LN(2)/2))/(LN(2)/2)*BL88*BO88*VLOOKUP('Données projet'!$B$11,Paramètres!$A$1:$I$88,3,0)*0.475*44/12</f>
        <v>0</v>
      </c>
      <c r="BS88" s="24">
        <f t="shared" si="63"/>
        <v>20.488793552437919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544.19999999999982</v>
      </c>
      <c r="BZ88" s="14">
        <f>BY88*VLOOKUP('Données projet'!$B$12,Paramètres!$A$1:$I$88,3,0)*VLOOKUP('Données projet'!$B$12,Paramètres!$A$1:$I$88,5,0)</f>
        <v>325.43159999999995</v>
      </c>
      <c r="CA88" s="14">
        <f t="shared" si="93"/>
        <v>76.482394221016762</v>
      </c>
      <c r="CB88" s="22">
        <f t="shared" si="64"/>
        <v>700.00020660160408</v>
      </c>
      <c r="CC88" s="62">
        <f t="shared" si="65"/>
        <v>972.62266732988564</v>
      </c>
      <c r="CD88" s="62">
        <f ca="1">AVERAGE(OFFSET($CC$3,0,0,'Données projet'!$E$12+1,1))-AVERAGE(OFFSET($H$3,0,0,'Données projet'!$E$12+1,1))</f>
        <v>401.1031790385295</v>
      </c>
      <c r="CE88" s="62">
        <f t="shared" si="94"/>
        <v>402.09589424130615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projet'!$B$12,Paramètres!$A$1:$I$88,3,0)*0.475*44/12</f>
        <v>12.642870800741388</v>
      </c>
      <c r="CL88" s="23">
        <f>EXP(-LN(2)/25)*CL87+(1-EXP(-LN(2)/25))/(LN(2)/25)*Calculateur!CG88*Calculateur!CI88*VLOOKUP('Données projet'!$B$12,Paramètres!$A$1:$I$88,3,0)*0.475*44/12</f>
        <v>0</v>
      </c>
      <c r="CM88" s="23">
        <f>EXP(-LN(2)/2)*CM87+(1-EXP(-LN(2)/2))/(LN(2)/2)*CG88*CJ88*VLOOKUP('Données projet'!$B$12,Paramètres!$A$1:$I$88,3,0)*0.475*44/12</f>
        <v>7.1666602083639177E-4</v>
      </c>
      <c r="CN88" s="24">
        <f t="shared" si="66"/>
        <v>12.643587466762224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544.19999999999982</v>
      </c>
      <c r="CU88" s="18">
        <f>CT88*VLOOKUP('Données projet'!$B$13,Paramètres!$A$1:$I$88,3,0)*VLOOKUP('Données projet'!$B$13,Paramètres!$A$1:$I$88,5,0)</f>
        <v>325.43159999999995</v>
      </c>
      <c r="CV88" s="14">
        <f t="shared" si="95"/>
        <v>76.482394221016762</v>
      </c>
      <c r="CW88" s="22">
        <f t="shared" si="67"/>
        <v>700.00020660160408</v>
      </c>
      <c r="CX88" s="62">
        <f t="shared" si="68"/>
        <v>972.62266732988564</v>
      </c>
      <c r="CY88" s="62">
        <f ca="1">AVERAGE(OFFSET($CX$3,0,0,'Données projet'!$E$13+1,1))-AVERAGE(OFFSET($H$3,0,0,'Données projet'!$E$13+1,1))</f>
        <v>401.1031790385295</v>
      </c>
      <c r="CZ88" s="62">
        <f t="shared" si="96"/>
        <v>402.09589424130615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projet'!$B$13,Paramètres!$A$1:$I$88,3,0)*0.475*44/12</f>
        <v>12.642870800741388</v>
      </c>
      <c r="DG88" s="23">
        <f>EXP(-LN(2)/25)*DG87+(1-EXP(-LN(2)/25))/(LN(2)/25)*Calculateur!DB88*Calculateur!DD88*VLOOKUP('Données projet'!$B$13,Paramètres!$A$1:$I$88,3,0)*0.475*44/12</f>
        <v>0</v>
      </c>
      <c r="DH88" s="23">
        <f>EXP(-LN(2)/2)*DH87+(1-EXP(-LN(2)/2))/(LN(2)/2)*DB88*DE88*VLOOKUP('Données projet'!$B$13,Paramètres!$A$1:$I$88,3,0)*0.475*44/12</f>
        <v>7.1666602083639177E-4</v>
      </c>
      <c r="DI88" s="24">
        <f t="shared" si="69"/>
        <v>12.643587466762224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860.00000000000023</v>
      </c>
      <c r="DP88" s="18">
        <f>DO88*VLOOKUP('Données projet'!$B$14,Paramètres!$A$1:$I$88,3,0)*VLOOKUP('Données projet'!$B$14,Paramètres!$A$1:$I$88,5,0)</f>
        <v>346.5800000000001</v>
      </c>
      <c r="DQ88" s="14">
        <f t="shared" si="97"/>
        <v>80.857895771535127</v>
      </c>
      <c r="DR88" s="22">
        <f t="shared" si="70"/>
        <v>744.45433513542378</v>
      </c>
      <c r="DS88" s="62">
        <f t="shared" si="71"/>
        <v>1017.0767958637052</v>
      </c>
      <c r="DT88" s="62">
        <f ca="1">AVERAGE(OFFSET($DS$3,0,0,'Données projet'!$E$14+1,1))-AVERAGE(OFFSET($H$3,0,0,'Données projet'!$E$14+1,1))</f>
        <v>432.59662347701629</v>
      </c>
      <c r="DU88" s="62">
        <f t="shared" si="98"/>
        <v>348.67401091099748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projet'!$B$14,Paramètres!$A$1:$I$88,3,0)*0.475*44/12</f>
        <v>56.951861423937785</v>
      </c>
      <c r="EB88" s="23">
        <f>EXP(-LN(2)/25)*EB87+(1-EXP(-LN(2)/25))/(LN(2)/25)*Calculateur!DW88*Calculateur!DY88*VLOOKUP('Données projet'!$B$14,Paramètres!$A$1:$I$88,3,0)*0.475*44/12</f>
        <v>60.530550703863462</v>
      </c>
      <c r="EC88" s="23">
        <f>EXP(-LN(2)/2)*EC87+(1-EXP(-LN(2)/2))/(LN(2)/2)*DW88*DZ88*VLOOKUP('Données projet'!$B$14,Paramètres!$A$1:$I$88,3,0)*0.475*44/12</f>
        <v>0</v>
      </c>
      <c r="ED88" s="24">
        <f t="shared" si="72"/>
        <v>117.48241212780124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1099.9999999999998</v>
      </c>
      <c r="EK88" s="18">
        <f>EJ88*VLOOKUP('Données projet'!$B$15,Paramètres!$A$1:$I$88,3,0)*VLOOKUP('Données projet'!$B$15,Paramètres!$A$1:$I$88,5,0)</f>
        <v>486.19999999999993</v>
      </c>
      <c r="EL88" s="14">
        <f t="shared" si="99"/>
        <v>109.0490179035375</v>
      </c>
      <c r="EM88" s="22">
        <f t="shared" si="73"/>
        <v>1036.725372848661</v>
      </c>
      <c r="EN88" s="62">
        <f t="shared" si="74"/>
        <v>1309.3478335769425</v>
      </c>
      <c r="EO88" s="62">
        <f ca="1">AVERAGE(OFFSET($EN$3,0,0,'Données projet'!$E$15+1,1))-AVERAGE(OFFSET($H$3,0,0,'Données projet'!$E$15+1,1))</f>
        <v>582.26951914082088</v>
      </c>
      <c r="EP88" s="62">
        <f t="shared" si="100"/>
        <v>434.80429932654715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projet'!$B$15,Paramètres!$A$1:$I$88,3,0)*0.475*44/12</f>
        <v>57.386894190605169</v>
      </c>
      <c r="EW88" s="23">
        <f>EXP(-LN(2)/25)*EW87+(1-EXP(-LN(2)/25))/(LN(2)/25)*Calculateur!ER88*Calculateur!ET88*VLOOKUP('Données projet'!$B$15,Paramètres!$A$1:$I$88,3,0)*0.475*44/12</f>
        <v>54.391411419771231</v>
      </c>
      <c r="EX88" s="23">
        <f>EXP(-LN(2)/2)*EX87+(1-EXP(-LN(2)/2))/(LN(2)/2)*ER88*EU88*VLOOKUP('Données projet'!$B$15,Paramètres!$A$1:$I$88,3,0)*0.475*44/12</f>
        <v>0</v>
      </c>
      <c r="EY88" s="24">
        <f t="shared" si="75"/>
        <v>111.77830561037641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17.8</v>
      </c>
      <c r="FE88" s="13">
        <f>IF('Données projet'!$A$218&gt;35,FE87+FD88-FM87,IF(A88&lt;'Données projet'!$A$218,$FB$205^A88,IF(A88='Données projet'!$A$218,'Données projet'!$B$218,FE87+FD88-FM87)))</f>
        <v>713.00000000000011</v>
      </c>
      <c r="FF88" s="18">
        <f>FE88*VLOOKUP('Données projet'!$B$16,Paramètres!$A$1:$I$88,3,0)*VLOOKUP('Données projet'!$B$16,Paramètres!$A$1:$I$88,5,0)</f>
        <v>333.68400000000003</v>
      </c>
      <c r="FG88" s="14">
        <f t="shared" si="101"/>
        <v>78.193600162051595</v>
      </c>
      <c r="FH88" s="22">
        <f t="shared" si="76"/>
        <v>717.35348694890661</v>
      </c>
      <c r="FI88" s="62">
        <f t="shared" si="77"/>
        <v>989.97594767718806</v>
      </c>
      <c r="FJ88" s="62">
        <f ca="1">AVERAGE(OFFSET($FI$3,0,0,'Données projet'!$E$16+1,1))-AVERAGE(OFFSET($H$3,0,0,'Données projet'!$E$16+1,1))</f>
        <v>429.87867712133851</v>
      </c>
      <c r="FK88" s="62">
        <f t="shared" si="102"/>
        <v>182.81277865988014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projet'!$B$16,Paramètres!$A$1:$I$88,3,0)*0.475*44/12</f>
        <v>41.013999114556768</v>
      </c>
      <c r="FR88" s="23">
        <f>EXP(-LN(2)/25)*FR87+(1-EXP(-LN(2)/25))/(LN(2)/25)*Calculateur!FM88*Calculateur!FO88*VLOOKUP('Données projet'!$B$16,Paramètres!$A$1:$I$88,3,0)*0.475*44/12</f>
        <v>59.476253526966985</v>
      </c>
      <c r="FS88" s="23">
        <f>EXP(-LN(2)/2)*FS87+(1-EXP(-LN(2)/2))/(LN(2)/2)*FM88*FP88*VLOOKUP('Données projet'!$B$16,Paramètres!$A$1:$I$88,3,0)*0.475*44/12</f>
        <v>0</v>
      </c>
      <c r="FT88" s="24">
        <f t="shared" si="78"/>
        <v>100.49025264152375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498.99999999999955</v>
      </c>
      <c r="GA88" s="18">
        <f>FZ88*VLOOKUP('Données projet'!$B$17,Paramètres!$A$1:$I$88,3,0)*VLOOKUP('Données projet'!$B$17,Paramètres!$A$1:$I$88,5,0)</f>
        <v>240.01899999999978</v>
      </c>
      <c r="GB88" s="14">
        <f t="shared" si="103"/>
        <v>58.443618405936313</v>
      </c>
      <c r="GC88" s="22">
        <f t="shared" si="79"/>
        <v>519.82239372367201</v>
      </c>
      <c r="GD88" s="62">
        <f t="shared" si="80"/>
        <v>792.44485445195346</v>
      </c>
      <c r="GE88" s="62">
        <f ca="1">AVERAGE(OFFSET($GD$3,0,0,'Données projet'!$E$17+1,1))-AVERAGE(OFFSET($H$3,0,0,'Données projet'!$E$17+1,1))</f>
        <v>273.24375559399846</v>
      </c>
      <c r="GF88" s="62">
        <f t="shared" si="104"/>
        <v>270.77718895097848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projet'!$B$17,Paramètres!$A$1:$I$88,3,0)*0.475*44/12</f>
        <v>29.30489276427614</v>
      </c>
      <c r="GM88" s="23">
        <f>EXP(-LN(2)/25)*GM87+(1-EXP(-LN(2)/25))/(LN(2)/25)*Calculateur!GH88*Calculateur!GJ88*VLOOKUP('Données projet'!$B$17,Paramètres!$A$1:$I$88,3,0)*0.475*44/12</f>
        <v>26.528504900619382</v>
      </c>
      <c r="GN88" s="23">
        <f>EXP(-LN(2)/2)*GN87+(1-EXP(-LN(2)/2))/(LN(2)/2)*GH88*GK88*VLOOKUP('Données projet'!$B$17,Paramètres!$A$1:$I$88,3,0)*0.475*44/12</f>
        <v>0</v>
      </c>
      <c r="GO88" s="23">
        <f t="shared" si="81"/>
        <v>55.833397664895521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550.99999999999966</v>
      </c>
      <c r="O89" s="14">
        <f>N89*VLOOKUP('Données projet'!$B$9,Paramètres!$A$1:$I$88,3,0)*VLOOKUP('Données projet'!$B$9,Paramètres!$A$1:$I$88,5,0)</f>
        <v>308.00899999999979</v>
      </c>
      <c r="P89" s="14">
        <f t="shared" si="87"/>
        <v>72.852874331417695</v>
      </c>
      <c r="Q89" s="22">
        <f t="shared" si="54"/>
        <v>663.33443112721886</v>
      </c>
      <c r="R89" s="62">
        <f t="shared" si="55"/>
        <v>936.31617919262362</v>
      </c>
      <c r="S89" s="62">
        <f ca="1">AVERAGE(OFFSET($R$3,0,0,'Données projet'!$E$9+1,1))-AVERAGE(OFFSET($H$3,0,0,'Données projet'!$E$9+1,1))</f>
        <v>289.94242154211224</v>
      </c>
      <c r="T89" s="62">
        <f t="shared" si="88"/>
        <v>369.12599166143661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44.083493278488255</v>
      </c>
      <c r="AA89" s="23">
        <f>EXP(-LN(2)/25)*AA88+(1-EXP(-LN(2)/25))/(LN(2)/25)*Calculateur!V89*Calculateur!X89*VLOOKUP('Données projet'!$B$9,Paramètres!$A$1:$I$88,3,0)*0.475*44/12</f>
        <v>32.497088160905754</v>
      </c>
      <c r="AB89" s="23">
        <f>EXP(-LN(2)/2)*AB88+(1-EXP(-LN(2)/2))/(LN(2)/2)*V89*Y89*VLOOKUP('Données projet'!$B$9,Paramètres!$A$1:$I$88,3,0)*0.475*44/12</f>
        <v>0</v>
      </c>
      <c r="AC89" s="24">
        <f t="shared" si="57"/>
        <v>76.58058143939401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7.125</v>
      </c>
      <c r="AI89" s="14">
        <f>IF('Données projet'!$A$62&gt;35,AI88+AH89-AQ88,IF(A89&lt;'Données projet'!$A$62,$AF$205^A89,IF(A89='Données projet'!$A$62,'Données projet'!$B$62,AI88+AH89-AQ88)))</f>
        <v>234.125</v>
      </c>
      <c r="AJ89" s="14">
        <f>AI89*VLOOKUP('Données projet'!$B$10,Paramètres!$A$1:$I$88,3,0)*VLOOKUP('Données projet'!$B$10,Paramètres!$A$1:$I$88,5,0)</f>
        <v>211.83629999999999</v>
      </c>
      <c r="AK89" s="14">
        <f t="shared" si="89"/>
        <v>52.336659893168076</v>
      </c>
      <c r="AL89" s="22">
        <f t="shared" si="58"/>
        <v>460.10123848060107</v>
      </c>
      <c r="AM89" s="62">
        <f t="shared" si="59"/>
        <v>733.08298654600571</v>
      </c>
      <c r="AN89" s="62">
        <f ca="1">AVERAGE(OFFSET($AM$3,0,0,'Données projet'!$E$10+1,1))-AVERAGE(OFFSET($H$3,0,0,'Données projet'!$E$10+1,1))</f>
        <v>518.31628039365785</v>
      </c>
      <c r="AO89" s="62">
        <f t="shared" si="90"/>
        <v>66.435071953154761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17.923803182348813</v>
      </c>
      <c r="AV89" s="23">
        <f>EXP(-LN(2)/25)*AV88+(1-EXP(-LN(2)/25))/(LN(2)/25)*Calculateur!AQ89*Calculateur!AS89*VLOOKUP('Données projet'!$B$10,Paramètres!$A$1:$I$88,3,0)*0.475*44/12</f>
        <v>0</v>
      </c>
      <c r="AW89" s="23">
        <f>EXP(-LN(2)/2)*AW88+(1-EXP(-LN(2)/2))/(LN(2)/2)*AQ89*AT89*VLOOKUP('Données projet'!$B$10,Paramètres!$A$1:$I$88,3,0)*0.475*44/12</f>
        <v>0</v>
      </c>
      <c r="AX89" s="23">
        <f t="shared" si="60"/>
        <v>17.923803182348813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7.125</v>
      </c>
      <c r="BD89" s="13">
        <f>IF('Données projet'!$A$88&gt;35,BD88+BC89-BL88,IF(A89&lt;'Données projet'!$A$88,$BA$205^A89,IF(A89='Données projet'!$A$88,'Données projet'!$B$88,BD88+BC89-BL88)))</f>
        <v>234.125</v>
      </c>
      <c r="BE89" s="14">
        <f>BD89*VLOOKUP('Données projet'!$B$11,Paramètres!$A$1:$I$88,3,0)*VLOOKUP('Données projet'!$B$11,Paramètres!$A$1:$I$88,5,0)</f>
        <v>237.40275000000003</v>
      </c>
      <c r="BF89" s="14">
        <f t="shared" si="91"/>
        <v>57.880366109251675</v>
      </c>
      <c r="BG89" s="22">
        <f t="shared" si="61"/>
        <v>514.28476055694671</v>
      </c>
      <c r="BH89" s="62">
        <f t="shared" si="62"/>
        <v>787.26650862235147</v>
      </c>
      <c r="BI89" s="62">
        <f ca="1">AVERAGE(OFFSET($BH$3,0,0,'Données projet'!$E$11+1,1))-AVERAGE(OFFSET($H$3,0,0,'Données projet'!$E$11+1,1))</f>
        <v>570.2785736203931</v>
      </c>
      <c r="BJ89" s="62">
        <f t="shared" si="92"/>
        <v>67.677759965081719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20.087020807804709</v>
      </c>
      <c r="BQ89" s="23">
        <f>EXP(-LN(2)/25)*BQ88+(1-EXP(-LN(2)/25))/(LN(2)/25)*Calculateur!BL89*Calculateur!BN89*VLOOKUP('Données projet'!$B$11,Paramètres!$A$1:$I$88,3,0)*0.475*44/12</f>
        <v>0</v>
      </c>
      <c r="BR89" s="23">
        <f>EXP(-LN(2)/2)*BR88+(1-EXP(-LN(2)/2))/(LN(2)/2)*BL89*BO89*VLOOKUP('Données projet'!$B$11,Paramètres!$A$1:$I$88,3,0)*0.475*44/12</f>
        <v>0</v>
      </c>
      <c r="BS89" s="24">
        <f t="shared" si="63"/>
        <v>20.087020807804709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544.19999999999982</v>
      </c>
      <c r="BZ89" s="14">
        <f>BY89*VLOOKUP('Données projet'!$B$12,Paramètres!$A$1:$I$88,3,0)*VLOOKUP('Données projet'!$B$12,Paramètres!$A$1:$I$88,5,0)</f>
        <v>325.43159999999995</v>
      </c>
      <c r="CA89" s="14">
        <f t="shared" si="93"/>
        <v>76.482394221016762</v>
      </c>
      <c r="CB89" s="22">
        <f t="shared" si="64"/>
        <v>700.00020660160408</v>
      </c>
      <c r="CC89" s="62">
        <f t="shared" si="65"/>
        <v>972.98195466700872</v>
      </c>
      <c r="CD89" s="62">
        <f ca="1">AVERAGE(OFFSET($CC$3,0,0,'Données projet'!$E$12+1,1))-AVERAGE(OFFSET($H$3,0,0,'Données projet'!$E$12+1,1))</f>
        <v>401.1031790385295</v>
      </c>
      <c r="CE89" s="62">
        <f t="shared" si="94"/>
        <v>402.09589424130615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projet'!$B$12,Paramètres!$A$1:$I$88,3,0)*0.475*44/12</f>
        <v>12.394951815728602</v>
      </c>
      <c r="CL89" s="23">
        <f>EXP(-LN(2)/25)*CL88+(1-EXP(-LN(2)/25))/(LN(2)/25)*Calculateur!CG89*Calculateur!CI89*VLOOKUP('Données projet'!$B$12,Paramètres!$A$1:$I$88,3,0)*0.475*44/12</f>
        <v>0</v>
      </c>
      <c r="CM89" s="23">
        <f>EXP(-LN(2)/2)*CM88+(1-EXP(-LN(2)/2))/(LN(2)/2)*CG89*CJ89*VLOOKUP('Données projet'!$B$12,Paramètres!$A$1:$I$88,3,0)*0.475*44/12</f>
        <v>5.0675940317939218E-4</v>
      </c>
      <c r="CN89" s="24">
        <f t="shared" si="66"/>
        <v>12.395458575131782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544.19999999999982</v>
      </c>
      <c r="CU89" s="18">
        <f>CT89*VLOOKUP('Données projet'!$B$13,Paramètres!$A$1:$I$88,3,0)*VLOOKUP('Données projet'!$B$13,Paramètres!$A$1:$I$88,5,0)</f>
        <v>325.43159999999995</v>
      </c>
      <c r="CV89" s="14">
        <f t="shared" si="95"/>
        <v>76.482394221016762</v>
      </c>
      <c r="CW89" s="22">
        <f t="shared" si="67"/>
        <v>700.00020660160408</v>
      </c>
      <c r="CX89" s="62">
        <f t="shared" si="68"/>
        <v>972.98195466700872</v>
      </c>
      <c r="CY89" s="62">
        <f ca="1">AVERAGE(OFFSET($CX$3,0,0,'Données projet'!$E$13+1,1))-AVERAGE(OFFSET($H$3,0,0,'Données projet'!$E$13+1,1))</f>
        <v>401.1031790385295</v>
      </c>
      <c r="CZ89" s="62">
        <f t="shared" si="96"/>
        <v>402.09589424130615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projet'!$B$13,Paramètres!$A$1:$I$88,3,0)*0.475*44/12</f>
        <v>12.394951815728602</v>
      </c>
      <c r="DG89" s="23">
        <f>EXP(-LN(2)/25)*DG88+(1-EXP(-LN(2)/25))/(LN(2)/25)*Calculateur!DB89*Calculateur!DD89*VLOOKUP('Données projet'!$B$13,Paramètres!$A$1:$I$88,3,0)*0.475*44/12</f>
        <v>0</v>
      </c>
      <c r="DH89" s="23">
        <f>EXP(-LN(2)/2)*DH88+(1-EXP(-LN(2)/2))/(LN(2)/2)*DB89*DE89*VLOOKUP('Données projet'!$B$13,Paramètres!$A$1:$I$88,3,0)*0.475*44/12</f>
        <v>5.0675940317939218E-4</v>
      </c>
      <c r="DI89" s="24">
        <f t="shared" si="69"/>
        <v>12.395458575131782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860.00000000000023</v>
      </c>
      <c r="DP89" s="18">
        <f>DO89*VLOOKUP('Données projet'!$B$14,Paramètres!$A$1:$I$88,3,0)*VLOOKUP('Données projet'!$B$14,Paramètres!$A$1:$I$88,5,0)</f>
        <v>346.5800000000001</v>
      </c>
      <c r="DQ89" s="14">
        <f t="shared" si="97"/>
        <v>80.857895771535127</v>
      </c>
      <c r="DR89" s="22">
        <f t="shared" si="70"/>
        <v>744.45433513542378</v>
      </c>
      <c r="DS89" s="62">
        <f t="shared" si="71"/>
        <v>1017.4360832008285</v>
      </c>
      <c r="DT89" s="62">
        <f ca="1">AVERAGE(OFFSET($DS$3,0,0,'Données projet'!$E$14+1,1))-AVERAGE(OFFSET($H$3,0,0,'Données projet'!$E$14+1,1))</f>
        <v>432.59662347701629</v>
      </c>
      <c r="DU89" s="62">
        <f t="shared" si="98"/>
        <v>348.67401091099748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projet'!$B$14,Paramètres!$A$1:$I$88,3,0)*0.475*44/12</f>
        <v>55.835070158619821</v>
      </c>
      <c r="EB89" s="23">
        <f>EXP(-LN(2)/25)*EB88+(1-EXP(-LN(2)/25))/(LN(2)/25)*Calculateur!DW89*Calculateur!DY89*VLOOKUP('Données projet'!$B$14,Paramètres!$A$1:$I$88,3,0)*0.475*44/12</f>
        <v>58.875339611702998</v>
      </c>
      <c r="EC89" s="23">
        <f>EXP(-LN(2)/2)*EC88+(1-EXP(-LN(2)/2))/(LN(2)/2)*DW89*DZ89*VLOOKUP('Données projet'!$B$14,Paramètres!$A$1:$I$88,3,0)*0.475*44/12</f>
        <v>0</v>
      </c>
      <c r="ED89" s="24">
        <f t="shared" si="72"/>
        <v>114.71040977032283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1099.9999999999998</v>
      </c>
      <c r="EK89" s="18">
        <f>EJ89*VLOOKUP('Données projet'!$B$15,Paramètres!$A$1:$I$88,3,0)*VLOOKUP('Données projet'!$B$15,Paramètres!$A$1:$I$88,5,0)</f>
        <v>486.19999999999993</v>
      </c>
      <c r="EL89" s="14">
        <f t="shared" si="99"/>
        <v>109.0490179035375</v>
      </c>
      <c r="EM89" s="22">
        <f t="shared" si="73"/>
        <v>1036.725372848661</v>
      </c>
      <c r="EN89" s="62">
        <f t="shared" si="74"/>
        <v>1309.7071209140656</v>
      </c>
      <c r="EO89" s="62">
        <f ca="1">AVERAGE(OFFSET($EN$3,0,0,'Données projet'!$E$15+1,1))-AVERAGE(OFFSET($H$3,0,0,'Données projet'!$E$15+1,1))</f>
        <v>582.26951914082088</v>
      </c>
      <c r="EP89" s="62">
        <f t="shared" si="100"/>
        <v>434.80429932654715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projet'!$B$15,Paramètres!$A$1:$I$88,3,0)*0.475*44/12</f>
        <v>56.261572198076642</v>
      </c>
      <c r="EW89" s="23">
        <f>EXP(-LN(2)/25)*EW88+(1-EXP(-LN(2)/25))/(LN(2)/25)*Calculateur!ER89*Calculateur!ET89*VLOOKUP('Données projet'!$B$15,Paramètres!$A$1:$I$88,3,0)*0.475*44/12</f>
        <v>52.904075414177576</v>
      </c>
      <c r="EX89" s="23">
        <f>EXP(-LN(2)/2)*EX88+(1-EXP(-LN(2)/2))/(LN(2)/2)*ER89*EU89*VLOOKUP('Données projet'!$B$15,Paramètres!$A$1:$I$88,3,0)*0.475*44/12</f>
        <v>0</v>
      </c>
      <c r="EY89" s="24">
        <f t="shared" si="75"/>
        <v>109.16564761225422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17.8</v>
      </c>
      <c r="FE89" s="13">
        <f>IF('Données projet'!$A$218&gt;35,FE88+FD89-FM88,IF(A89&lt;'Données projet'!$A$218,$FB$205^A89,IF(A89='Données projet'!$A$218,'Données projet'!$B$218,FE88+FD89-FM88)))</f>
        <v>730.80000000000007</v>
      </c>
      <c r="FF89" s="18">
        <f>FE89*VLOOKUP('Données projet'!$B$16,Paramètres!$A$1:$I$88,3,0)*VLOOKUP('Données projet'!$B$16,Paramètres!$A$1:$I$88,5,0)</f>
        <v>342.01440000000002</v>
      </c>
      <c r="FG89" s="14">
        <f t="shared" si="101"/>
        <v>79.915991022086629</v>
      </c>
      <c r="FH89" s="22">
        <f t="shared" si="76"/>
        <v>734.8620976968009</v>
      </c>
      <c r="FI89" s="62">
        <f t="shared" si="77"/>
        <v>1007.8438457622055</v>
      </c>
      <c r="FJ89" s="62">
        <f ca="1">AVERAGE(OFFSET($FI$3,0,0,'Données projet'!$E$16+1,1))-AVERAGE(OFFSET($H$3,0,0,'Données projet'!$E$16+1,1))</f>
        <v>429.87867712133851</v>
      </c>
      <c r="FK89" s="62">
        <f t="shared" si="102"/>
        <v>182.81277865988014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projet'!$B$16,Paramètres!$A$1:$I$88,3,0)*0.475*44/12</f>
        <v>40.20973960798964</v>
      </c>
      <c r="FR89" s="23">
        <f>EXP(-LN(2)/25)*FR88+(1-EXP(-LN(2)/25))/(LN(2)/25)*Calculateur!FM89*Calculateur!FO89*VLOOKUP('Données projet'!$B$16,Paramètres!$A$1:$I$88,3,0)*0.475*44/12</f>
        <v>57.849872246551833</v>
      </c>
      <c r="FS89" s="23">
        <f>EXP(-LN(2)/2)*FS88+(1-EXP(-LN(2)/2))/(LN(2)/2)*FM89*FP89*VLOOKUP('Données projet'!$B$16,Paramètres!$A$1:$I$88,3,0)*0.475*44/12</f>
        <v>0</v>
      </c>
      <c r="FT89" s="24">
        <f t="shared" si="78"/>
        <v>98.059611854541473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498.99999999999955</v>
      </c>
      <c r="GA89" s="18">
        <f>FZ89*VLOOKUP('Données projet'!$B$17,Paramètres!$A$1:$I$88,3,0)*VLOOKUP('Données projet'!$B$17,Paramètres!$A$1:$I$88,5,0)</f>
        <v>240.01899999999978</v>
      </c>
      <c r="GB89" s="14">
        <f t="shared" si="103"/>
        <v>58.443618405936313</v>
      </c>
      <c r="GC89" s="22">
        <f t="shared" si="79"/>
        <v>519.82239372367201</v>
      </c>
      <c r="GD89" s="62">
        <f t="shared" si="80"/>
        <v>792.80414178907677</v>
      </c>
      <c r="GE89" s="62">
        <f ca="1">AVERAGE(OFFSET($GD$3,0,0,'Données projet'!$E$17+1,1))-AVERAGE(OFFSET($H$3,0,0,'Données projet'!$E$17+1,1))</f>
        <v>273.24375559399846</v>
      </c>
      <c r="GF89" s="62">
        <f t="shared" si="104"/>
        <v>270.77718895097848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projet'!$B$17,Paramètres!$A$1:$I$88,3,0)*0.475*44/12</f>
        <v>28.73024169138834</v>
      </c>
      <c r="GM89" s="23">
        <f>EXP(-LN(2)/25)*GM88+(1-EXP(-LN(2)/25))/(LN(2)/25)*Calculateur!GH89*Calculateur!GJ89*VLOOKUP('Données projet'!$B$17,Paramètres!$A$1:$I$88,3,0)*0.475*44/12</f>
        <v>25.803081539038505</v>
      </c>
      <c r="GN89" s="23">
        <f>EXP(-LN(2)/2)*GN88+(1-EXP(-LN(2)/2))/(LN(2)/2)*GH89*GK89*VLOOKUP('Données projet'!$B$17,Paramètres!$A$1:$I$88,3,0)*0.475*44/12</f>
        <v>0</v>
      </c>
      <c r="GO89" s="23">
        <f t="shared" si="81"/>
        <v>54.533323230426845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550.99999999999966</v>
      </c>
      <c r="O90" s="14">
        <f>N90*VLOOKUP('Données projet'!$B$9,Paramètres!$A$1:$I$88,3,0)*VLOOKUP('Données projet'!$B$9,Paramètres!$A$1:$I$88,5,0)</f>
        <v>308.00899999999979</v>
      </c>
      <c r="P90" s="14">
        <f t="shared" si="87"/>
        <v>72.852874331417695</v>
      </c>
      <c r="Q90" s="22">
        <f t="shared" si="54"/>
        <v>663.33443112721886</v>
      </c>
      <c r="R90" s="62">
        <f t="shared" si="55"/>
        <v>936.6692336976937</v>
      </c>
      <c r="S90" s="62">
        <f ca="1">AVERAGE(OFFSET($R$3,0,0,'Données projet'!$E$9+1,1))-AVERAGE(OFFSET($H$3,0,0,'Données projet'!$E$9+1,1))</f>
        <v>289.94242154211224</v>
      </c>
      <c r="T90" s="62">
        <f t="shared" si="88"/>
        <v>369.12599166143661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43.219042863573002</v>
      </c>
      <c r="AA90" s="23">
        <f>EXP(-LN(2)/25)*AA89+(1-EXP(-LN(2)/25))/(LN(2)/25)*Calculateur!V90*Calculateur!X90*VLOOKUP('Données projet'!$B$9,Paramètres!$A$1:$I$88,3,0)*0.475*44/12</f>
        <v>31.608453576198194</v>
      </c>
      <c r="AB90" s="23">
        <f>EXP(-LN(2)/2)*AB89+(1-EXP(-LN(2)/2))/(LN(2)/2)*V90*Y90*VLOOKUP('Données projet'!$B$9,Paramètres!$A$1:$I$88,3,0)*0.475*44/12</f>
        <v>0</v>
      </c>
      <c r="AC90" s="24">
        <f t="shared" si="57"/>
        <v>74.827496439771195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7.125</v>
      </c>
      <c r="AI90" s="14">
        <f>IF('Données projet'!$A$62&gt;35,AI89+AH90-AQ89,IF(A90&lt;'Données projet'!$A$62,$AF$205^A90,IF(A90='Données projet'!$A$62,'Données projet'!$B$62,AI89+AH90-AQ89)))</f>
        <v>241.25</v>
      </c>
      <c r="AJ90" s="14">
        <f>AI90*VLOOKUP('Données projet'!$B$10,Paramètres!$A$1:$I$88,3,0)*VLOOKUP('Données projet'!$B$10,Paramètres!$A$1:$I$88,5,0)</f>
        <v>218.28299999999999</v>
      </c>
      <c r="AK90" s="14">
        <f t="shared" si="89"/>
        <v>53.741534251426721</v>
      </c>
      <c r="AL90" s="22">
        <f t="shared" si="58"/>
        <v>473.7760638212348</v>
      </c>
      <c r="AM90" s="62">
        <f t="shared" si="59"/>
        <v>747.11086639170958</v>
      </c>
      <c r="AN90" s="62">
        <f ca="1">AVERAGE(OFFSET($AM$3,0,0,'Données projet'!$E$10+1,1))-AVERAGE(OFFSET($H$3,0,0,'Données projet'!$E$10+1,1))</f>
        <v>518.31628039365785</v>
      </c>
      <c r="AO90" s="62">
        <f t="shared" si="90"/>
        <v>66.435071953154761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17.572328334383403</v>
      </c>
      <c r="AV90" s="23">
        <f>EXP(-LN(2)/25)*AV89+(1-EXP(-LN(2)/25))/(LN(2)/25)*Calculateur!AQ90*Calculateur!AS90*VLOOKUP('Données projet'!$B$10,Paramètres!$A$1:$I$88,3,0)*0.475*44/12</f>
        <v>0</v>
      </c>
      <c r="AW90" s="23">
        <f>EXP(-LN(2)/2)*AW89+(1-EXP(-LN(2)/2))/(LN(2)/2)*AQ90*AT90*VLOOKUP('Données projet'!$B$10,Paramètres!$A$1:$I$88,3,0)*0.475*44/12</f>
        <v>0</v>
      </c>
      <c r="AX90" s="23">
        <f t="shared" si="60"/>
        <v>17.572328334383403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7.125</v>
      </c>
      <c r="BD90" s="13">
        <f>IF('Données projet'!$A$88&gt;35,BD89+BC90-BL89,IF(A90&lt;'Données projet'!$A$88,$BA$205^A90,IF(A90='Données projet'!$A$88,'Données projet'!$B$88,BD89+BC90-BL89)))</f>
        <v>241.25</v>
      </c>
      <c r="BE90" s="14">
        <f>BD90*VLOOKUP('Données projet'!$B$11,Paramètres!$A$1:$I$88,3,0)*VLOOKUP('Données projet'!$B$11,Paramètres!$A$1:$I$88,5,0)</f>
        <v>244.6275</v>
      </c>
      <c r="BF90" s="14">
        <f t="shared" si="91"/>
        <v>59.434050321417551</v>
      </c>
      <c r="BG90" s="22">
        <f t="shared" si="61"/>
        <v>529.57386680980221</v>
      </c>
      <c r="BH90" s="62">
        <f t="shared" si="62"/>
        <v>802.90866938027705</v>
      </c>
      <c r="BI90" s="62">
        <f ca="1">AVERAGE(OFFSET($BH$3,0,0,'Données projet'!$E$11+1,1))-AVERAGE(OFFSET($H$3,0,0,'Données projet'!$E$11+1,1))</f>
        <v>570.2785736203931</v>
      </c>
      <c r="BJ90" s="62">
        <f t="shared" si="92"/>
        <v>67.677759965081719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19.69312658163658</v>
      </c>
      <c r="BQ90" s="23">
        <f>EXP(-LN(2)/25)*BQ89+(1-EXP(-LN(2)/25))/(LN(2)/25)*Calculateur!BL90*Calculateur!BN90*VLOOKUP('Données projet'!$B$11,Paramètres!$A$1:$I$88,3,0)*0.475*44/12</f>
        <v>0</v>
      </c>
      <c r="BR90" s="23">
        <f>EXP(-LN(2)/2)*BR89+(1-EXP(-LN(2)/2))/(LN(2)/2)*BL90*BO90*VLOOKUP('Données projet'!$B$11,Paramètres!$A$1:$I$88,3,0)*0.475*44/12</f>
        <v>0</v>
      </c>
      <c r="BS90" s="24">
        <f t="shared" si="63"/>
        <v>19.69312658163658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544.19999999999982</v>
      </c>
      <c r="BZ90" s="14">
        <f>BY90*VLOOKUP('Données projet'!$B$12,Paramètres!$A$1:$I$88,3,0)*VLOOKUP('Données projet'!$B$12,Paramètres!$A$1:$I$88,5,0)</f>
        <v>325.43159999999995</v>
      </c>
      <c r="CA90" s="14">
        <f t="shared" si="93"/>
        <v>76.482394221016762</v>
      </c>
      <c r="CB90" s="22">
        <f t="shared" si="64"/>
        <v>700.00020660160408</v>
      </c>
      <c r="CC90" s="62">
        <f t="shared" si="65"/>
        <v>973.33500917207891</v>
      </c>
      <c r="CD90" s="62">
        <f ca="1">AVERAGE(OFFSET($CC$3,0,0,'Données projet'!$E$12+1,1))-AVERAGE(OFFSET($H$3,0,0,'Données projet'!$E$12+1,1))</f>
        <v>401.1031790385295</v>
      </c>
      <c r="CE90" s="62">
        <f t="shared" si="94"/>
        <v>402.09589424130615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projet'!$B$12,Paramètres!$A$1:$I$88,3,0)*0.475*44/12</f>
        <v>12.151894370796267</v>
      </c>
      <c r="CL90" s="23">
        <f>EXP(-LN(2)/25)*CL89+(1-EXP(-LN(2)/25))/(LN(2)/25)*Calculateur!CG90*Calculateur!CI90*VLOOKUP('Données projet'!$B$12,Paramètres!$A$1:$I$88,3,0)*0.475*44/12</f>
        <v>0</v>
      </c>
      <c r="CM90" s="23">
        <f>EXP(-LN(2)/2)*CM89+(1-EXP(-LN(2)/2))/(LN(2)/2)*CG90*CJ90*VLOOKUP('Données projet'!$B$12,Paramètres!$A$1:$I$88,3,0)*0.475*44/12</f>
        <v>3.5833301041819589E-4</v>
      </c>
      <c r="CN90" s="24">
        <f t="shared" si="66"/>
        <v>12.152252703806685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544.19999999999982</v>
      </c>
      <c r="CU90" s="18">
        <f>CT90*VLOOKUP('Données projet'!$B$13,Paramètres!$A$1:$I$88,3,0)*VLOOKUP('Données projet'!$B$13,Paramètres!$A$1:$I$88,5,0)</f>
        <v>325.43159999999995</v>
      </c>
      <c r="CV90" s="14">
        <f t="shared" si="95"/>
        <v>76.482394221016762</v>
      </c>
      <c r="CW90" s="22">
        <f t="shared" si="67"/>
        <v>700.00020660160408</v>
      </c>
      <c r="CX90" s="62">
        <f t="shared" si="68"/>
        <v>973.33500917207891</v>
      </c>
      <c r="CY90" s="62">
        <f ca="1">AVERAGE(OFFSET($CX$3,0,0,'Données projet'!$E$13+1,1))-AVERAGE(OFFSET($H$3,0,0,'Données projet'!$E$13+1,1))</f>
        <v>401.1031790385295</v>
      </c>
      <c r="CZ90" s="62">
        <f t="shared" si="96"/>
        <v>402.09589424130615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projet'!$B$13,Paramètres!$A$1:$I$88,3,0)*0.475*44/12</f>
        <v>12.151894370796267</v>
      </c>
      <c r="DG90" s="23">
        <f>EXP(-LN(2)/25)*DG89+(1-EXP(-LN(2)/25))/(LN(2)/25)*Calculateur!DB90*Calculateur!DD90*VLOOKUP('Données projet'!$B$13,Paramètres!$A$1:$I$88,3,0)*0.475*44/12</f>
        <v>0</v>
      </c>
      <c r="DH90" s="23">
        <f>EXP(-LN(2)/2)*DH89+(1-EXP(-LN(2)/2))/(LN(2)/2)*DB90*DE90*VLOOKUP('Données projet'!$B$13,Paramètres!$A$1:$I$88,3,0)*0.475*44/12</f>
        <v>3.5833301041819589E-4</v>
      </c>
      <c r="DI90" s="24">
        <f t="shared" si="69"/>
        <v>12.152252703806685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860.00000000000023</v>
      </c>
      <c r="DP90" s="18">
        <f>DO90*VLOOKUP('Données projet'!$B$14,Paramètres!$A$1:$I$88,3,0)*VLOOKUP('Données projet'!$B$14,Paramètres!$A$1:$I$88,5,0)</f>
        <v>346.5800000000001</v>
      </c>
      <c r="DQ90" s="14">
        <f t="shared" si="97"/>
        <v>80.857895771535127</v>
      </c>
      <c r="DR90" s="22">
        <f t="shared" si="70"/>
        <v>744.45433513542378</v>
      </c>
      <c r="DS90" s="62">
        <f t="shared" si="71"/>
        <v>1017.7891377058986</v>
      </c>
      <c r="DT90" s="62">
        <f ca="1">AVERAGE(OFFSET($DS$3,0,0,'Données projet'!$E$14+1,1))-AVERAGE(OFFSET($H$3,0,0,'Données projet'!$E$14+1,1))</f>
        <v>432.59662347701629</v>
      </c>
      <c r="DU90" s="62">
        <f t="shared" si="98"/>
        <v>348.67401091099748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projet'!$B$14,Paramètres!$A$1:$I$88,3,0)*0.475*44/12</f>
        <v>54.740178488839327</v>
      </c>
      <c r="EB90" s="23">
        <f>EXP(-LN(2)/25)*EB89+(1-EXP(-LN(2)/25))/(LN(2)/25)*Calculateur!DW90*Calculateur!DY90*VLOOKUP('Données projet'!$B$14,Paramètres!$A$1:$I$88,3,0)*0.475*44/12</f>
        <v>57.265390353901431</v>
      </c>
      <c r="EC90" s="23">
        <f>EXP(-LN(2)/2)*EC89+(1-EXP(-LN(2)/2))/(LN(2)/2)*DW90*DZ90*VLOOKUP('Données projet'!$B$14,Paramètres!$A$1:$I$88,3,0)*0.475*44/12</f>
        <v>0</v>
      </c>
      <c r="ED90" s="24">
        <f t="shared" si="72"/>
        <v>112.00556884274076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1099.9999999999998</v>
      </c>
      <c r="EK90" s="18">
        <f>EJ90*VLOOKUP('Données projet'!$B$15,Paramètres!$A$1:$I$88,3,0)*VLOOKUP('Données projet'!$B$15,Paramètres!$A$1:$I$88,5,0)</f>
        <v>486.19999999999993</v>
      </c>
      <c r="EL90" s="14">
        <f t="shared" si="99"/>
        <v>109.0490179035375</v>
      </c>
      <c r="EM90" s="22">
        <f t="shared" si="73"/>
        <v>1036.725372848661</v>
      </c>
      <c r="EN90" s="62">
        <f t="shared" si="74"/>
        <v>1310.0601754191357</v>
      </c>
      <c r="EO90" s="62">
        <f ca="1">AVERAGE(OFFSET($EN$3,0,0,'Données projet'!$E$15+1,1))-AVERAGE(OFFSET($H$3,0,0,'Données projet'!$E$15+1,1))</f>
        <v>582.26951914082088</v>
      </c>
      <c r="EP90" s="62">
        <f t="shared" si="100"/>
        <v>434.80429932654715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projet'!$B$15,Paramètres!$A$1:$I$88,3,0)*0.475*44/12</f>
        <v>55.158317083442959</v>
      </c>
      <c r="EW90" s="23">
        <f>EXP(-LN(2)/25)*EW89+(1-EXP(-LN(2)/25))/(LN(2)/25)*Calculateur!ER90*Calculateur!ET90*VLOOKUP('Données projet'!$B$15,Paramètres!$A$1:$I$88,3,0)*0.475*44/12</f>
        <v>51.457410689872475</v>
      </c>
      <c r="EX90" s="23">
        <f>EXP(-LN(2)/2)*EX89+(1-EXP(-LN(2)/2))/(LN(2)/2)*ER90*EU90*VLOOKUP('Données projet'!$B$15,Paramètres!$A$1:$I$88,3,0)*0.475*44/12</f>
        <v>0</v>
      </c>
      <c r="EY90" s="24">
        <f t="shared" si="75"/>
        <v>106.61572777331543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17.8</v>
      </c>
      <c r="FE90" s="13">
        <f>IF('Données projet'!$A$218&gt;35,FE89+FD90-FM89,IF(A90&lt;'Données projet'!$A$218,$FB$205^A90,IF(A90='Données projet'!$A$218,'Données projet'!$B$218,FE89+FD90-FM89)))</f>
        <v>748.6</v>
      </c>
      <c r="FF90" s="18">
        <f>FE90*VLOOKUP('Données projet'!$B$16,Paramètres!$A$1:$I$88,3,0)*VLOOKUP('Données projet'!$B$16,Paramètres!$A$1:$I$88,5,0)</f>
        <v>350.34479999999996</v>
      </c>
      <c r="FG90" s="14">
        <f t="shared" si="101"/>
        <v>81.633505069784817</v>
      </c>
      <c r="FH90" s="22">
        <f t="shared" si="76"/>
        <v>752.36221466320842</v>
      </c>
      <c r="FI90" s="62">
        <f t="shared" si="77"/>
        <v>1025.6970172336833</v>
      </c>
      <c r="FJ90" s="62">
        <f ca="1">AVERAGE(OFFSET($FI$3,0,0,'Données projet'!$E$16+1,1))-AVERAGE(OFFSET($H$3,0,0,'Données projet'!$E$16+1,1))</f>
        <v>429.87867712133851</v>
      </c>
      <c r="FK90" s="62">
        <f t="shared" si="102"/>
        <v>182.81277865988014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projet'!$B$16,Paramètres!$A$1:$I$88,3,0)*0.475*44/12</f>
        <v>39.421251139796432</v>
      </c>
      <c r="FR90" s="23">
        <f>EXP(-LN(2)/25)*FR89+(1-EXP(-LN(2)/25))/(LN(2)/25)*Calculateur!FM90*Calculateur!FO90*VLOOKUP('Données projet'!$B$16,Paramètres!$A$1:$I$88,3,0)*0.475*44/12</f>
        <v>56.26796444777731</v>
      </c>
      <c r="FS90" s="23">
        <f>EXP(-LN(2)/2)*FS89+(1-EXP(-LN(2)/2))/(LN(2)/2)*FM90*FP90*VLOOKUP('Données projet'!$B$16,Paramètres!$A$1:$I$88,3,0)*0.475*44/12</f>
        <v>0</v>
      </c>
      <c r="FT90" s="24">
        <f t="shared" si="78"/>
        <v>95.689215587573742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498.99999999999955</v>
      </c>
      <c r="GA90" s="18">
        <f>FZ90*VLOOKUP('Données projet'!$B$17,Paramètres!$A$1:$I$88,3,0)*VLOOKUP('Données projet'!$B$17,Paramètres!$A$1:$I$88,5,0)</f>
        <v>240.01899999999978</v>
      </c>
      <c r="GB90" s="14">
        <f t="shared" si="103"/>
        <v>58.443618405936313</v>
      </c>
      <c r="GC90" s="22">
        <f t="shared" si="79"/>
        <v>519.82239372367201</v>
      </c>
      <c r="GD90" s="62">
        <f t="shared" si="80"/>
        <v>793.15719629414684</v>
      </c>
      <c r="GE90" s="62">
        <f ca="1">AVERAGE(OFFSET($GD$3,0,0,'Données projet'!$E$17+1,1))-AVERAGE(OFFSET($H$3,0,0,'Données projet'!$E$17+1,1))</f>
        <v>273.24375559399846</v>
      </c>
      <c r="GF90" s="62">
        <f t="shared" si="104"/>
        <v>270.77718895097848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projet'!$B$17,Paramètres!$A$1:$I$88,3,0)*0.475*44/12</f>
        <v>28.166859175537322</v>
      </c>
      <c r="GM90" s="23">
        <f>EXP(-LN(2)/25)*GM89+(1-EXP(-LN(2)/25))/(LN(2)/25)*Calculateur!GH90*Calculateur!GJ90*VLOOKUP('Données projet'!$B$17,Paramètres!$A$1:$I$88,3,0)*0.475*44/12</f>
        <v>25.097494917428413</v>
      </c>
      <c r="GN90" s="23">
        <f>EXP(-LN(2)/2)*GN89+(1-EXP(-LN(2)/2))/(LN(2)/2)*GH90*GK90*VLOOKUP('Données projet'!$B$17,Paramètres!$A$1:$I$88,3,0)*0.475*44/12</f>
        <v>0</v>
      </c>
      <c r="GO90" s="23">
        <f t="shared" si="81"/>
        <v>53.264354092965732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550.99999999999966</v>
      </c>
      <c r="O91" s="14">
        <f>N91*VLOOKUP('Données projet'!$B$9,Paramètres!$A$1:$I$88,3,0)*VLOOKUP('Données projet'!$B$9,Paramètres!$A$1:$I$88,5,0)</f>
        <v>308.00899999999979</v>
      </c>
      <c r="P91" s="14">
        <f t="shared" si="87"/>
        <v>72.852874331417695</v>
      </c>
      <c r="Q91" s="22">
        <f t="shared" si="54"/>
        <v>663.33443112721886</v>
      </c>
      <c r="R91" s="62">
        <f t="shared" si="55"/>
        <v>937.01616349641256</v>
      </c>
      <c r="S91" s="62">
        <f ca="1">AVERAGE(OFFSET($R$3,0,0,'Données projet'!$E$9+1,1))-AVERAGE(OFFSET($H$3,0,0,'Données projet'!$E$9+1,1))</f>
        <v>289.94242154211224</v>
      </c>
      <c r="T91" s="62">
        <f t="shared" si="88"/>
        <v>369.12599166143661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42.371543794031545</v>
      </c>
      <c r="AA91" s="23">
        <f>EXP(-LN(2)/25)*AA90+(1-EXP(-LN(2)/25))/(LN(2)/25)*Calculateur!V91*Calculateur!X91*VLOOKUP('Données projet'!$B$9,Paramètres!$A$1:$I$88,3,0)*0.475*44/12</f>
        <v>30.744118750940721</v>
      </c>
      <c r="AB91" s="23">
        <f>EXP(-LN(2)/2)*AB90+(1-EXP(-LN(2)/2))/(LN(2)/2)*V91*Y91*VLOOKUP('Données projet'!$B$9,Paramètres!$A$1:$I$88,3,0)*0.475*44/12</f>
        <v>0</v>
      </c>
      <c r="AC91" s="24">
        <f t="shared" si="57"/>
        <v>73.115662544972267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7.125</v>
      </c>
      <c r="AI91" s="14">
        <f>IF('Données projet'!$A$62&gt;35,AI90+AH91-AQ90,IF(A91&lt;'Données projet'!$A$62,$AF$205^A91,IF(A91='Données projet'!$A$62,'Données projet'!$B$62,AI90+AH91-AQ90)))</f>
        <v>248.375</v>
      </c>
      <c r="AJ91" s="14">
        <f>AI91*VLOOKUP('Données projet'!$B$10,Paramètres!$A$1:$I$88,3,0)*VLOOKUP('Données projet'!$B$10,Paramètres!$A$1:$I$88,5,0)</f>
        <v>224.72969999999998</v>
      </c>
      <c r="AK91" s="14">
        <f t="shared" si="89"/>
        <v>55.141586595886729</v>
      </c>
      <c r="AL91" s="22">
        <f t="shared" si="58"/>
        <v>487.44249082116932</v>
      </c>
      <c r="AM91" s="62">
        <f t="shared" si="59"/>
        <v>761.12422319036295</v>
      </c>
      <c r="AN91" s="62">
        <f ca="1">AVERAGE(OFFSET($AM$3,0,0,'Données projet'!$E$10+1,1))-AVERAGE(OFFSET($H$3,0,0,'Données projet'!$E$10+1,1))</f>
        <v>518.31628039365785</v>
      </c>
      <c r="AO91" s="62">
        <f t="shared" si="90"/>
        <v>66.435071953154761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17.227745693808107</v>
      </c>
      <c r="AV91" s="23">
        <f>EXP(-LN(2)/25)*AV90+(1-EXP(-LN(2)/25))/(LN(2)/25)*Calculateur!AQ91*Calculateur!AS91*VLOOKUP('Données projet'!$B$10,Paramètres!$A$1:$I$88,3,0)*0.475*44/12</f>
        <v>0</v>
      </c>
      <c r="AW91" s="23">
        <f>EXP(-LN(2)/2)*AW90+(1-EXP(-LN(2)/2))/(LN(2)/2)*AQ91*AT91*VLOOKUP('Données projet'!$B$10,Paramètres!$A$1:$I$88,3,0)*0.475*44/12</f>
        <v>0</v>
      </c>
      <c r="AX91" s="23">
        <f t="shared" si="60"/>
        <v>17.227745693808107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7.125</v>
      </c>
      <c r="BD91" s="13">
        <f>IF('Données projet'!$A$88&gt;35,BD90+BC91-BL90,IF(A91&lt;'Données projet'!$A$88,$BA$205^A91,IF(A91='Données projet'!$A$88,'Données projet'!$B$88,BD90+BC91-BL90)))</f>
        <v>248.375</v>
      </c>
      <c r="BE91" s="14">
        <f>BD91*VLOOKUP('Données projet'!$B$11,Paramètres!$A$1:$I$88,3,0)*VLOOKUP('Données projet'!$B$11,Paramètres!$A$1:$I$88,5,0)</f>
        <v>251.85225</v>
      </c>
      <c r="BF91" s="14">
        <f t="shared" si="91"/>
        <v>60.982401752992999</v>
      </c>
      <c r="BG91" s="22">
        <f t="shared" si="61"/>
        <v>544.85368513646279</v>
      </c>
      <c r="BH91" s="62">
        <f t="shared" si="62"/>
        <v>818.53541750565648</v>
      </c>
      <c r="BI91" s="62">
        <f ca="1">AVERAGE(OFFSET($BH$3,0,0,'Données projet'!$E$11+1,1))-AVERAGE(OFFSET($H$3,0,0,'Données projet'!$E$11+1,1))</f>
        <v>570.2785736203931</v>
      </c>
      <c r="BJ91" s="62">
        <f t="shared" si="92"/>
        <v>67.677759965081719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19.306956380991853</v>
      </c>
      <c r="BQ91" s="23">
        <f>EXP(-LN(2)/25)*BQ90+(1-EXP(-LN(2)/25))/(LN(2)/25)*Calculateur!BL91*Calculateur!BN91*VLOOKUP('Données projet'!$B$11,Paramètres!$A$1:$I$88,3,0)*0.475*44/12</f>
        <v>0</v>
      </c>
      <c r="BR91" s="23">
        <f>EXP(-LN(2)/2)*BR90+(1-EXP(-LN(2)/2))/(LN(2)/2)*BL91*BO91*VLOOKUP('Données projet'!$B$11,Paramètres!$A$1:$I$88,3,0)*0.475*44/12</f>
        <v>0</v>
      </c>
      <c r="BS91" s="24">
        <f t="shared" si="63"/>
        <v>19.306956380991853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544.19999999999982</v>
      </c>
      <c r="BZ91" s="14">
        <f>BY91*VLOOKUP('Données projet'!$B$12,Paramètres!$A$1:$I$88,3,0)*VLOOKUP('Données projet'!$B$12,Paramètres!$A$1:$I$88,5,0)</f>
        <v>325.43159999999995</v>
      </c>
      <c r="CA91" s="14">
        <f t="shared" si="93"/>
        <v>76.482394221016762</v>
      </c>
      <c r="CB91" s="22">
        <f t="shared" si="64"/>
        <v>700.00020660160408</v>
      </c>
      <c r="CC91" s="62">
        <f t="shared" si="65"/>
        <v>973.68193897079777</v>
      </c>
      <c r="CD91" s="62">
        <f ca="1">AVERAGE(OFFSET($CC$3,0,0,'Données projet'!$E$12+1,1))-AVERAGE(OFFSET($H$3,0,0,'Données projet'!$E$12+1,1))</f>
        <v>401.1031790385295</v>
      </c>
      <c r="CE91" s="62">
        <f t="shared" si="94"/>
        <v>402.09589424130615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projet'!$B$12,Paramètres!$A$1:$I$88,3,0)*0.475*44/12</f>
        <v>11.913603134108651</v>
      </c>
      <c r="CL91" s="23">
        <f>EXP(-LN(2)/25)*CL90+(1-EXP(-LN(2)/25))/(LN(2)/25)*Calculateur!CG91*Calculateur!CI91*VLOOKUP('Données projet'!$B$12,Paramètres!$A$1:$I$88,3,0)*0.475*44/12</f>
        <v>0</v>
      </c>
      <c r="CM91" s="23">
        <f>EXP(-LN(2)/2)*CM90+(1-EXP(-LN(2)/2))/(LN(2)/2)*CG91*CJ91*VLOOKUP('Données projet'!$B$12,Paramètres!$A$1:$I$88,3,0)*0.475*44/12</f>
        <v>2.5337970158969609E-4</v>
      </c>
      <c r="CN91" s="24">
        <f t="shared" si="66"/>
        <v>11.913856513810241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544.19999999999982</v>
      </c>
      <c r="CU91" s="18">
        <f>CT91*VLOOKUP('Données projet'!$B$13,Paramètres!$A$1:$I$88,3,0)*VLOOKUP('Données projet'!$B$13,Paramètres!$A$1:$I$88,5,0)</f>
        <v>325.43159999999995</v>
      </c>
      <c r="CV91" s="14">
        <f t="shared" si="95"/>
        <v>76.482394221016762</v>
      </c>
      <c r="CW91" s="22">
        <f t="shared" si="67"/>
        <v>700.00020660160408</v>
      </c>
      <c r="CX91" s="62">
        <f t="shared" si="68"/>
        <v>973.68193897079777</v>
      </c>
      <c r="CY91" s="62">
        <f ca="1">AVERAGE(OFFSET($CX$3,0,0,'Données projet'!$E$13+1,1))-AVERAGE(OFFSET($H$3,0,0,'Données projet'!$E$13+1,1))</f>
        <v>401.1031790385295</v>
      </c>
      <c r="CZ91" s="62">
        <f t="shared" si="96"/>
        <v>402.09589424130615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projet'!$B$13,Paramètres!$A$1:$I$88,3,0)*0.475*44/12</f>
        <v>11.913603134108651</v>
      </c>
      <c r="DG91" s="23">
        <f>EXP(-LN(2)/25)*DG90+(1-EXP(-LN(2)/25))/(LN(2)/25)*Calculateur!DB91*Calculateur!DD91*VLOOKUP('Données projet'!$B$13,Paramètres!$A$1:$I$88,3,0)*0.475*44/12</f>
        <v>0</v>
      </c>
      <c r="DH91" s="23">
        <f>EXP(-LN(2)/2)*DH90+(1-EXP(-LN(2)/2))/(LN(2)/2)*DB91*DE91*VLOOKUP('Données projet'!$B$13,Paramètres!$A$1:$I$88,3,0)*0.475*44/12</f>
        <v>2.5337970158969609E-4</v>
      </c>
      <c r="DI91" s="24">
        <f t="shared" si="69"/>
        <v>11.913856513810241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860.00000000000023</v>
      </c>
      <c r="DP91" s="18">
        <f>DO91*VLOOKUP('Données projet'!$B$14,Paramètres!$A$1:$I$88,3,0)*VLOOKUP('Données projet'!$B$14,Paramètres!$A$1:$I$88,5,0)</f>
        <v>346.5800000000001</v>
      </c>
      <c r="DQ91" s="14">
        <f t="shared" si="97"/>
        <v>80.857895771535127</v>
      </c>
      <c r="DR91" s="22">
        <f t="shared" si="70"/>
        <v>744.45433513542378</v>
      </c>
      <c r="DS91" s="62">
        <f t="shared" si="71"/>
        <v>1018.1360675046175</v>
      </c>
      <c r="DT91" s="62">
        <f ca="1">AVERAGE(OFFSET($DS$3,0,0,'Données projet'!$E$14+1,1))-AVERAGE(OFFSET($H$3,0,0,'Données projet'!$E$14+1,1))</f>
        <v>432.59662347701629</v>
      </c>
      <c r="DU91" s="62">
        <f t="shared" si="98"/>
        <v>348.67401091099748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projet'!$B$14,Paramètres!$A$1:$I$88,3,0)*0.475*44/12</f>
        <v>53.666756976885253</v>
      </c>
      <c r="EB91" s="23">
        <f>EXP(-LN(2)/25)*EB90+(1-EXP(-LN(2)/25))/(LN(2)/25)*Calculateur!DW91*Calculateur!DY91*VLOOKUP('Données projet'!$B$14,Paramètres!$A$1:$I$88,3,0)*0.475*44/12</f>
        <v>55.699465243218</v>
      </c>
      <c r="EC91" s="23">
        <f>EXP(-LN(2)/2)*EC90+(1-EXP(-LN(2)/2))/(LN(2)/2)*DW91*DZ91*VLOOKUP('Données projet'!$B$14,Paramètres!$A$1:$I$88,3,0)*0.475*44/12</f>
        <v>0</v>
      </c>
      <c r="ED91" s="24">
        <f t="shared" si="72"/>
        <v>109.36622222010325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1099.9999999999998</v>
      </c>
      <c r="EK91" s="18">
        <f>EJ91*VLOOKUP('Données projet'!$B$15,Paramètres!$A$1:$I$88,3,0)*VLOOKUP('Données projet'!$B$15,Paramètres!$A$1:$I$88,5,0)</f>
        <v>486.19999999999993</v>
      </c>
      <c r="EL91" s="14">
        <f t="shared" si="99"/>
        <v>109.0490179035375</v>
      </c>
      <c r="EM91" s="22">
        <f t="shared" si="73"/>
        <v>1036.725372848661</v>
      </c>
      <c r="EN91" s="62">
        <f t="shared" si="74"/>
        <v>1310.4071052178547</v>
      </c>
      <c r="EO91" s="62">
        <f ca="1">AVERAGE(OFFSET($EN$3,0,0,'Données projet'!$E$15+1,1))-AVERAGE(OFFSET($H$3,0,0,'Données projet'!$E$15+1,1))</f>
        <v>582.26951914082088</v>
      </c>
      <c r="EP91" s="62">
        <f t="shared" si="100"/>
        <v>434.80429932654715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projet'!$B$15,Paramètres!$A$1:$I$88,3,0)*0.475*44/12</f>
        <v>54.07669612868807</v>
      </c>
      <c r="EW91" s="23">
        <f>EXP(-LN(2)/25)*EW90+(1-EXP(-LN(2)/25))/(LN(2)/25)*Calculateur!ER91*Calculateur!ET91*VLOOKUP('Données projet'!$B$15,Paramètres!$A$1:$I$88,3,0)*0.475*44/12</f>
        <v>50.050305088530294</v>
      </c>
      <c r="EX91" s="23">
        <f>EXP(-LN(2)/2)*EX90+(1-EXP(-LN(2)/2))/(LN(2)/2)*ER91*EU91*VLOOKUP('Données projet'!$B$15,Paramètres!$A$1:$I$88,3,0)*0.475*44/12</f>
        <v>0</v>
      </c>
      <c r="EY91" s="24">
        <f t="shared" si="75"/>
        <v>104.12700121721836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17.8</v>
      </c>
      <c r="FE91" s="13">
        <f>IF('Données projet'!$A$218&gt;35,FE90+FD91-FM90,IF(A91&lt;'Données projet'!$A$218,$FB$205^A91,IF(A91='Données projet'!$A$218,'Données projet'!$B$218,FE90+FD91-FM90)))</f>
        <v>766.4</v>
      </c>
      <c r="FF91" s="18">
        <f>FE91*VLOOKUP('Données projet'!$B$16,Paramètres!$A$1:$I$88,3,0)*VLOOKUP('Données projet'!$B$16,Paramètres!$A$1:$I$88,5,0)</f>
        <v>358.67520000000002</v>
      </c>
      <c r="FG91" s="14">
        <f t="shared" si="101"/>
        <v>83.346271607947827</v>
      </c>
      <c r="FH91" s="22">
        <f t="shared" si="76"/>
        <v>769.85406305050913</v>
      </c>
      <c r="FI91" s="62">
        <f t="shared" si="77"/>
        <v>1043.5357954197029</v>
      </c>
      <c r="FJ91" s="62">
        <f ca="1">AVERAGE(OFFSET($FI$3,0,0,'Données projet'!$E$16+1,1))-AVERAGE(OFFSET($H$3,0,0,'Données projet'!$E$16+1,1))</f>
        <v>429.87867712133851</v>
      </c>
      <c r="FK91" s="62">
        <f t="shared" si="102"/>
        <v>182.81277865988014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projet'!$B$16,Paramètres!$A$1:$I$88,3,0)*0.475*44/12</f>
        <v>38.648224449534013</v>
      </c>
      <c r="FR91" s="23">
        <f>EXP(-LN(2)/25)*FR90+(1-EXP(-LN(2)/25))/(LN(2)/25)*Calculateur!FM91*Calculateur!FO91*VLOOKUP('Données projet'!$B$16,Paramètres!$A$1:$I$88,3,0)*0.475*44/12</f>
        <v>54.729314000949188</v>
      </c>
      <c r="FS91" s="23">
        <f>EXP(-LN(2)/2)*FS90+(1-EXP(-LN(2)/2))/(LN(2)/2)*FM91*FP91*VLOOKUP('Données projet'!$B$16,Paramètres!$A$1:$I$88,3,0)*0.475*44/12</f>
        <v>0</v>
      </c>
      <c r="FT91" s="24">
        <f t="shared" si="78"/>
        <v>93.3775384504832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498.99999999999955</v>
      </c>
      <c r="GA91" s="18">
        <f>FZ91*VLOOKUP('Données projet'!$B$17,Paramètres!$A$1:$I$88,3,0)*VLOOKUP('Données projet'!$B$17,Paramètres!$A$1:$I$88,5,0)</f>
        <v>240.01899999999978</v>
      </c>
      <c r="GB91" s="14">
        <f t="shared" si="103"/>
        <v>58.443618405936313</v>
      </c>
      <c r="GC91" s="22">
        <f t="shared" si="79"/>
        <v>519.82239372367201</v>
      </c>
      <c r="GD91" s="62">
        <f t="shared" si="80"/>
        <v>793.5041260928657</v>
      </c>
      <c r="GE91" s="62">
        <f ca="1">AVERAGE(OFFSET($GD$3,0,0,'Données projet'!$E$17+1,1))-AVERAGE(OFFSET($H$3,0,0,'Données projet'!$E$17+1,1))</f>
        <v>273.24375559399846</v>
      </c>
      <c r="GF91" s="62">
        <f t="shared" si="104"/>
        <v>270.77718895097848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projet'!$B$17,Paramètres!$A$1:$I$88,3,0)*0.475*44/12</f>
        <v>27.61452424719274</v>
      </c>
      <c r="GM91" s="23">
        <f>EXP(-LN(2)/25)*GM90+(1-EXP(-LN(2)/25))/(LN(2)/25)*Calculateur!GH91*Calculateur!GJ91*VLOOKUP('Données projet'!$B$17,Paramètres!$A$1:$I$88,3,0)*0.475*44/12</f>
        <v>24.411202599091435</v>
      </c>
      <c r="GN91" s="23">
        <f>EXP(-LN(2)/2)*GN90+(1-EXP(-LN(2)/2))/(LN(2)/2)*GH91*GK91*VLOOKUP('Données projet'!$B$17,Paramètres!$A$1:$I$88,3,0)*0.475*44/12</f>
        <v>0</v>
      </c>
      <c r="GO91" s="23">
        <f t="shared" si="81"/>
        <v>52.025726846284172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550.99999999999966</v>
      </c>
      <c r="O92" s="14">
        <f>N92*VLOOKUP('Données projet'!$B$9,Paramètres!$A$1:$I$88,3,0)*VLOOKUP('Données projet'!$B$9,Paramètres!$A$1:$I$88,5,0)</f>
        <v>308.00899999999979</v>
      </c>
      <c r="P92" s="14">
        <f t="shared" si="87"/>
        <v>72.852874331417695</v>
      </c>
      <c r="Q92" s="22">
        <f t="shared" si="54"/>
        <v>663.33443112721886</v>
      </c>
      <c r="R92" s="62">
        <f t="shared" si="55"/>
        <v>937.35707483874239</v>
      </c>
      <c r="S92" s="62">
        <f ca="1">AVERAGE(OFFSET($R$3,0,0,'Données projet'!$E$9+1,1))-AVERAGE(OFFSET($H$3,0,0,'Données projet'!$E$9+1,1))</f>
        <v>289.94242154211224</v>
      </c>
      <c r="T92" s="62">
        <f t="shared" si="88"/>
        <v>369.12599166143661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41.540663664320412</v>
      </c>
      <c r="AA92" s="23">
        <f>EXP(-LN(2)/25)*AA91+(1-EXP(-LN(2)/25))/(LN(2)/25)*Calculateur!V92*Calculateur!X92*VLOOKUP('Données projet'!$B$9,Paramètres!$A$1:$I$88,3,0)*0.475*44/12</f>
        <v>29.903419206933307</v>
      </c>
      <c r="AB92" s="23">
        <f>EXP(-LN(2)/2)*AB91+(1-EXP(-LN(2)/2))/(LN(2)/2)*V92*Y92*VLOOKUP('Données projet'!$B$9,Paramètres!$A$1:$I$88,3,0)*0.475*44/12</f>
        <v>0</v>
      </c>
      <c r="AC92" s="24">
        <f t="shared" si="57"/>
        <v>71.444082871253727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7.125</v>
      </c>
      <c r="AI92" s="14">
        <f>IF('Données projet'!$A$62&gt;35,AI91+AH92-AQ91,IF(A92&lt;'Données projet'!$A$62,$AF$205^A92,IF(A92='Données projet'!$A$62,'Données projet'!$B$62,AI91+AH92-AQ91)))</f>
        <v>255.5</v>
      </c>
      <c r="AJ92" s="14">
        <f>AI92*VLOOKUP('Données projet'!$B$10,Paramètres!$A$1:$I$88,3,0)*VLOOKUP('Données projet'!$B$10,Paramètres!$A$1:$I$88,5,0)</f>
        <v>231.1764</v>
      </c>
      <c r="AK92" s="14">
        <f t="shared" si="89"/>
        <v>56.536971139595458</v>
      </c>
      <c r="AL92" s="22">
        <f t="shared" si="58"/>
        <v>501.10078806812868</v>
      </c>
      <c r="AM92" s="62">
        <f t="shared" si="59"/>
        <v>775.12343177965226</v>
      </c>
      <c r="AN92" s="62">
        <f ca="1">AVERAGE(OFFSET($AM$3,0,0,'Données projet'!$E$10+1,1))-AVERAGE(OFFSET($H$3,0,0,'Données projet'!$E$10+1,1))</f>
        <v>518.31628039365785</v>
      </c>
      <c r="AO92" s="62">
        <f t="shared" si="90"/>
        <v>66.435071953154761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16.889920108639835</v>
      </c>
      <c r="AV92" s="23">
        <f>EXP(-LN(2)/25)*AV91+(1-EXP(-LN(2)/25))/(LN(2)/25)*Calculateur!AQ92*Calculateur!AS92*VLOOKUP('Données projet'!$B$10,Paramètres!$A$1:$I$88,3,0)*0.475*44/12</f>
        <v>0</v>
      </c>
      <c r="AW92" s="23">
        <f>EXP(-LN(2)/2)*AW91+(1-EXP(-LN(2)/2))/(LN(2)/2)*AQ92*AT92*VLOOKUP('Données projet'!$B$10,Paramètres!$A$1:$I$88,3,0)*0.475*44/12</f>
        <v>0</v>
      </c>
      <c r="AX92" s="23">
        <f t="shared" si="60"/>
        <v>16.889920108639835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7.125</v>
      </c>
      <c r="BD92" s="13">
        <f>IF('Données projet'!$A$88&gt;35,BD91+BC92-BL91,IF(A92&lt;'Données projet'!$A$88,$BA$205^A92,IF(A92='Données projet'!$A$88,'Données projet'!$B$88,BD91+BC92-BL91)))</f>
        <v>255.5</v>
      </c>
      <c r="BE92" s="14">
        <f>BD92*VLOOKUP('Données projet'!$B$11,Paramètres!$A$1:$I$88,3,0)*VLOOKUP('Données projet'!$B$11,Paramètres!$A$1:$I$88,5,0)</f>
        <v>259.07700000000006</v>
      </c>
      <c r="BF92" s="14">
        <f t="shared" si="91"/>
        <v>62.525590951881775</v>
      </c>
      <c r="BG92" s="22">
        <f t="shared" si="61"/>
        <v>560.12451257452756</v>
      </c>
      <c r="BH92" s="62">
        <f t="shared" si="62"/>
        <v>834.14715628605109</v>
      </c>
      <c r="BI92" s="62">
        <f ca="1">AVERAGE(OFFSET($BH$3,0,0,'Données projet'!$E$11+1,1))-AVERAGE(OFFSET($H$3,0,0,'Données projet'!$E$11+1,1))</f>
        <v>570.2785736203931</v>
      </c>
      <c r="BJ92" s="62">
        <f t="shared" si="92"/>
        <v>67.677759965081719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18.928358742441205</v>
      </c>
      <c r="BQ92" s="23">
        <f>EXP(-LN(2)/25)*BQ91+(1-EXP(-LN(2)/25))/(LN(2)/25)*Calculateur!BL92*Calculateur!BN92*VLOOKUP('Données projet'!$B$11,Paramètres!$A$1:$I$88,3,0)*0.475*44/12</f>
        <v>0</v>
      </c>
      <c r="BR92" s="23">
        <f>EXP(-LN(2)/2)*BR91+(1-EXP(-LN(2)/2))/(LN(2)/2)*BL92*BO92*VLOOKUP('Données projet'!$B$11,Paramètres!$A$1:$I$88,3,0)*0.475*44/12</f>
        <v>0</v>
      </c>
      <c r="BS92" s="24">
        <f t="shared" si="63"/>
        <v>18.928358742441205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544.19999999999982</v>
      </c>
      <c r="BZ92" s="14">
        <f>BY92*VLOOKUP('Données projet'!$B$12,Paramètres!$A$1:$I$88,3,0)*VLOOKUP('Données projet'!$B$12,Paramètres!$A$1:$I$88,5,0)</f>
        <v>325.43159999999995</v>
      </c>
      <c r="CA92" s="14">
        <f t="shared" si="93"/>
        <v>76.482394221016762</v>
      </c>
      <c r="CB92" s="22">
        <f t="shared" si="64"/>
        <v>700.00020660160408</v>
      </c>
      <c r="CC92" s="62">
        <f t="shared" si="65"/>
        <v>974.02285031312772</v>
      </c>
      <c r="CD92" s="62">
        <f ca="1">AVERAGE(OFFSET($CC$3,0,0,'Données projet'!$E$12+1,1))-AVERAGE(OFFSET($H$3,0,0,'Données projet'!$E$12+1,1))</f>
        <v>401.1031790385295</v>
      </c>
      <c r="CE92" s="62">
        <f t="shared" si="94"/>
        <v>402.09589424130615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projet'!$B$12,Paramètres!$A$1:$I$88,3,0)*0.475*44/12</f>
        <v>11.679984643229178</v>
      </c>
      <c r="CL92" s="23">
        <f>EXP(-LN(2)/25)*CL91+(1-EXP(-LN(2)/25))/(LN(2)/25)*Calculateur!CG92*Calculateur!CI92*VLOOKUP('Données projet'!$B$12,Paramètres!$A$1:$I$88,3,0)*0.475*44/12</f>
        <v>0</v>
      </c>
      <c r="CM92" s="23">
        <f>EXP(-LN(2)/2)*CM91+(1-EXP(-LN(2)/2))/(LN(2)/2)*CG92*CJ92*VLOOKUP('Données projet'!$B$12,Paramètres!$A$1:$I$88,3,0)*0.475*44/12</f>
        <v>1.7916650520909794E-4</v>
      </c>
      <c r="CN92" s="24">
        <f t="shared" si="66"/>
        <v>11.680163809734387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544.19999999999982</v>
      </c>
      <c r="CU92" s="18">
        <f>CT92*VLOOKUP('Données projet'!$B$13,Paramètres!$A$1:$I$88,3,0)*VLOOKUP('Données projet'!$B$13,Paramètres!$A$1:$I$88,5,0)</f>
        <v>325.43159999999995</v>
      </c>
      <c r="CV92" s="14">
        <f t="shared" si="95"/>
        <v>76.482394221016762</v>
      </c>
      <c r="CW92" s="22">
        <f t="shared" si="67"/>
        <v>700.00020660160408</v>
      </c>
      <c r="CX92" s="62">
        <f t="shared" si="68"/>
        <v>974.02285031312772</v>
      </c>
      <c r="CY92" s="62">
        <f ca="1">AVERAGE(OFFSET($CX$3,0,0,'Données projet'!$E$13+1,1))-AVERAGE(OFFSET($H$3,0,0,'Données projet'!$E$13+1,1))</f>
        <v>401.1031790385295</v>
      </c>
      <c r="CZ92" s="62">
        <f t="shared" si="96"/>
        <v>402.09589424130615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projet'!$B$13,Paramètres!$A$1:$I$88,3,0)*0.475*44/12</f>
        <v>11.679984643229178</v>
      </c>
      <c r="DG92" s="23">
        <f>EXP(-LN(2)/25)*DG91+(1-EXP(-LN(2)/25))/(LN(2)/25)*Calculateur!DB92*Calculateur!DD92*VLOOKUP('Données projet'!$B$13,Paramètres!$A$1:$I$88,3,0)*0.475*44/12</f>
        <v>0</v>
      </c>
      <c r="DH92" s="23">
        <f>EXP(-LN(2)/2)*DH91+(1-EXP(-LN(2)/2))/(LN(2)/2)*DB92*DE92*VLOOKUP('Données projet'!$B$13,Paramètres!$A$1:$I$88,3,0)*0.475*44/12</f>
        <v>1.7916650520909794E-4</v>
      </c>
      <c r="DI92" s="24">
        <f t="shared" si="69"/>
        <v>11.680163809734387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860.00000000000023</v>
      </c>
      <c r="DP92" s="18">
        <f>DO92*VLOOKUP('Données projet'!$B$14,Paramètres!$A$1:$I$88,3,0)*VLOOKUP('Données projet'!$B$14,Paramètres!$A$1:$I$88,5,0)</f>
        <v>346.5800000000001</v>
      </c>
      <c r="DQ92" s="14">
        <f t="shared" si="97"/>
        <v>80.857895771535127</v>
      </c>
      <c r="DR92" s="22">
        <f t="shared" si="70"/>
        <v>744.45433513542378</v>
      </c>
      <c r="DS92" s="62">
        <f t="shared" si="71"/>
        <v>1018.4769788469473</v>
      </c>
      <c r="DT92" s="62">
        <f ca="1">AVERAGE(OFFSET($DS$3,0,0,'Données projet'!$E$14+1,1))-AVERAGE(OFFSET($H$3,0,0,'Données projet'!$E$14+1,1))</f>
        <v>432.59662347701629</v>
      </c>
      <c r="DU92" s="62">
        <f t="shared" si="98"/>
        <v>348.67401091099748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projet'!$B$14,Paramètres!$A$1:$I$88,3,0)*0.475*44/12</f>
        <v>52.614384606058124</v>
      </c>
      <c r="EB92" s="23">
        <f>EXP(-LN(2)/25)*EB91+(1-EXP(-LN(2)/25))/(LN(2)/25)*Calculateur!DW92*Calculateur!DY92*VLOOKUP('Données projet'!$B$14,Paramètres!$A$1:$I$88,3,0)*0.475*44/12</f>
        <v>54.176360437034631</v>
      </c>
      <c r="EC92" s="23">
        <f>EXP(-LN(2)/2)*EC91+(1-EXP(-LN(2)/2))/(LN(2)/2)*DW92*DZ92*VLOOKUP('Données projet'!$B$14,Paramètres!$A$1:$I$88,3,0)*0.475*44/12</f>
        <v>0</v>
      </c>
      <c r="ED92" s="24">
        <f t="shared" si="72"/>
        <v>106.79074504309276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1099.9999999999998</v>
      </c>
      <c r="EK92" s="18">
        <f>EJ92*VLOOKUP('Données projet'!$B$15,Paramètres!$A$1:$I$88,3,0)*VLOOKUP('Données projet'!$B$15,Paramètres!$A$1:$I$88,5,0)</f>
        <v>486.19999999999993</v>
      </c>
      <c r="EL92" s="14">
        <f t="shared" si="99"/>
        <v>109.0490179035375</v>
      </c>
      <c r="EM92" s="22">
        <f t="shared" si="73"/>
        <v>1036.725372848661</v>
      </c>
      <c r="EN92" s="62">
        <f t="shared" si="74"/>
        <v>1310.7480165601846</v>
      </c>
      <c r="EO92" s="62">
        <f ca="1">AVERAGE(OFFSET($EN$3,0,0,'Données projet'!$E$15+1,1))-AVERAGE(OFFSET($H$3,0,0,'Données projet'!$E$15+1,1))</f>
        <v>582.26951914082088</v>
      </c>
      <c r="EP92" s="62">
        <f t="shared" si="100"/>
        <v>434.80429932654715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projet'!$B$15,Paramètres!$A$1:$I$88,3,0)*0.475*44/12</f>
        <v>53.016285101132283</v>
      </c>
      <c r="EW92" s="23">
        <f>EXP(-LN(2)/25)*EW91+(1-EXP(-LN(2)/25))/(LN(2)/25)*Calculateur!ER92*Calculateur!ET92*VLOOKUP('Données projet'!$B$15,Paramètres!$A$1:$I$88,3,0)*0.475*44/12</f>
        <v>48.681676863853284</v>
      </c>
      <c r="EX92" s="23">
        <f>EXP(-LN(2)/2)*EX91+(1-EXP(-LN(2)/2))/(LN(2)/2)*ER92*EU92*VLOOKUP('Données projet'!$B$15,Paramètres!$A$1:$I$88,3,0)*0.475*44/12</f>
        <v>0</v>
      </c>
      <c r="EY92" s="24">
        <f t="shared" si="75"/>
        <v>101.69796196498557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17.8</v>
      </c>
      <c r="FE92" s="13">
        <f>IF('Données projet'!$A$218&gt;35,FE91+FD92-FM91,IF(A92&lt;'Données projet'!$A$218,$FB$205^A92,IF(A92='Données projet'!$A$218,'Données projet'!$B$218,FE91+FD92-FM91)))</f>
        <v>784.19999999999993</v>
      </c>
      <c r="FF92" s="18">
        <f>FE92*VLOOKUP('Données projet'!$B$16,Paramètres!$A$1:$I$88,3,0)*VLOOKUP('Données projet'!$B$16,Paramètres!$A$1:$I$88,5,0)</f>
        <v>367.00559999999996</v>
      </c>
      <c r="FG92" s="14">
        <f t="shared" si="101"/>
        <v>85.054413590443389</v>
      </c>
      <c r="FH92" s="22">
        <f t="shared" si="76"/>
        <v>787.33785700335545</v>
      </c>
      <c r="FI92" s="62">
        <f t="shared" si="77"/>
        <v>1061.360500714879</v>
      </c>
      <c r="FJ92" s="62">
        <f ca="1">AVERAGE(OFFSET($FI$3,0,0,'Données projet'!$E$16+1,1))-AVERAGE(OFFSET($H$3,0,0,'Données projet'!$E$16+1,1))</f>
        <v>429.87867712133851</v>
      </c>
      <c r="FK92" s="62">
        <f t="shared" si="102"/>
        <v>182.81277865988014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projet'!$B$16,Paramètres!$A$1:$I$88,3,0)*0.475*44/12</f>
        <v>37.890356341167916</v>
      </c>
      <c r="FR92" s="23">
        <f>EXP(-LN(2)/25)*FR91+(1-EXP(-LN(2)/25))/(LN(2)/25)*Calculateur!FM92*Calculateur!FO92*VLOOKUP('Données projet'!$B$16,Paramètres!$A$1:$I$88,3,0)*0.475*44/12</f>
        <v>53.232738031503693</v>
      </c>
      <c r="FS92" s="23">
        <f>EXP(-LN(2)/2)*FS91+(1-EXP(-LN(2)/2))/(LN(2)/2)*FM92*FP92*VLOOKUP('Données projet'!$B$16,Paramètres!$A$1:$I$88,3,0)*0.475*44/12</f>
        <v>0</v>
      </c>
      <c r="FT92" s="24">
        <f t="shared" si="78"/>
        <v>91.123094372671602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498.99999999999955</v>
      </c>
      <c r="GA92" s="18">
        <f>FZ92*VLOOKUP('Données projet'!$B$17,Paramètres!$A$1:$I$88,3,0)*VLOOKUP('Données projet'!$B$17,Paramètres!$A$1:$I$88,5,0)</f>
        <v>240.01899999999978</v>
      </c>
      <c r="GB92" s="14">
        <f t="shared" si="103"/>
        <v>58.443618405936313</v>
      </c>
      <c r="GC92" s="22">
        <f t="shared" si="79"/>
        <v>519.82239372367201</v>
      </c>
      <c r="GD92" s="62">
        <f t="shared" si="80"/>
        <v>793.84503743519554</v>
      </c>
      <c r="GE92" s="62">
        <f ca="1">AVERAGE(OFFSET($GD$3,0,0,'Données projet'!$E$17+1,1))-AVERAGE(OFFSET($H$3,0,0,'Données projet'!$E$17+1,1))</f>
        <v>273.24375559399846</v>
      </c>
      <c r="GF92" s="62">
        <f t="shared" si="104"/>
        <v>270.77718895097848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projet'!$B$17,Paramètres!$A$1:$I$88,3,0)*0.475*44/12</f>
        <v>27.073020269901953</v>
      </c>
      <c r="GM92" s="23">
        <f>EXP(-LN(2)/25)*GM91+(1-EXP(-LN(2)/25))/(LN(2)/25)*Calculateur!GH92*Calculateur!GJ92*VLOOKUP('Données projet'!$B$17,Paramètres!$A$1:$I$88,3,0)*0.475*44/12</f>
        <v>23.743676980289926</v>
      </c>
      <c r="GN92" s="23">
        <f>EXP(-LN(2)/2)*GN91+(1-EXP(-LN(2)/2))/(LN(2)/2)*GH92*GK92*VLOOKUP('Données projet'!$B$17,Paramètres!$A$1:$I$88,3,0)*0.475*44/12</f>
        <v>0</v>
      </c>
      <c r="GO92" s="23">
        <f t="shared" si="81"/>
        <v>50.816697250191879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550.99999999999966</v>
      </c>
      <c r="O93" s="14">
        <f>N93*VLOOKUP('Données projet'!$B$9,Paramètres!$A$1:$I$88,3,0)*VLOOKUP('Données projet'!$B$9,Paramètres!$A$1:$I$88,5,0)</f>
        <v>308.00899999999979</v>
      </c>
      <c r="P93" s="14">
        <f t="shared" si="87"/>
        <v>72.852874331417695</v>
      </c>
      <c r="Q93" s="22">
        <f t="shared" si="54"/>
        <v>663.33443112721886</v>
      </c>
      <c r="R93" s="62">
        <f t="shared" si="55"/>
        <v>937.69207213144659</v>
      </c>
      <c r="S93" s="62">
        <f ca="1">AVERAGE(OFFSET($R$3,0,0,'Données projet'!$E$9+1,1))-AVERAGE(OFFSET($H$3,0,0,'Données projet'!$E$9+1,1))</f>
        <v>289.94242154211224</v>
      </c>
      <c r="T93" s="62">
        <f t="shared" si="88"/>
        <v>369.12599166143661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40.726076587166077</v>
      </c>
      <c r="AA93" s="23">
        <f>EXP(-LN(2)/25)*AA92+(1-EXP(-LN(2)/25))/(LN(2)/25)*Calculateur!V93*Calculateur!X93*VLOOKUP('Données projet'!$B$9,Paramètres!$A$1:$I$88,3,0)*0.475*44/12</f>
        <v>29.085708636167244</v>
      </c>
      <c r="AB93" s="23">
        <f>EXP(-LN(2)/2)*AB92+(1-EXP(-LN(2)/2))/(LN(2)/2)*V93*Y93*VLOOKUP('Données projet'!$B$9,Paramètres!$A$1:$I$88,3,0)*0.475*44/12</f>
        <v>0</v>
      </c>
      <c r="AC93" s="24">
        <f t="shared" si="57"/>
        <v>69.811785223333317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7.125</v>
      </c>
      <c r="AI93" s="14">
        <f>IF('Données projet'!$A$62&gt;35,AI92+AH93-AQ92,IF(A93&lt;'Données projet'!$A$62,$AF$205^A93,IF(A93='Données projet'!$A$62,'Données projet'!$B$62,AI92+AH93-AQ92)))</f>
        <v>262.625</v>
      </c>
      <c r="AJ93" s="14">
        <f>AI93*VLOOKUP('Données projet'!$B$10,Paramètres!$A$1:$I$88,3,0)*VLOOKUP('Données projet'!$B$10,Paramètres!$A$1:$I$88,5,0)</f>
        <v>237.62309999999999</v>
      </c>
      <c r="AK93" s="14">
        <f t="shared" si="89"/>
        <v>57.927833005296407</v>
      </c>
      <c r="AL93" s="22">
        <f t="shared" si="58"/>
        <v>514.75120831755794</v>
      </c>
      <c r="AM93" s="62">
        <f t="shared" si="59"/>
        <v>789.10884932178556</v>
      </c>
      <c r="AN93" s="62">
        <f ca="1">AVERAGE(OFFSET($AM$3,0,0,'Données projet'!$E$10+1,1))-AVERAGE(OFFSET($H$3,0,0,'Données projet'!$E$10+1,1))</f>
        <v>518.31628039365785</v>
      </c>
      <c r="AO93" s="62">
        <f t="shared" si="90"/>
        <v>66.435071953154761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16.558719077143451</v>
      </c>
      <c r="AV93" s="23">
        <f>EXP(-LN(2)/25)*AV92+(1-EXP(-LN(2)/25))/(LN(2)/25)*Calculateur!AQ93*Calculateur!AS93*VLOOKUP('Données projet'!$B$10,Paramètres!$A$1:$I$88,3,0)*0.475*44/12</f>
        <v>0</v>
      </c>
      <c r="AW93" s="23">
        <f>EXP(-LN(2)/2)*AW92+(1-EXP(-LN(2)/2))/(LN(2)/2)*AQ93*AT93*VLOOKUP('Données projet'!$B$10,Paramètres!$A$1:$I$88,3,0)*0.475*44/12</f>
        <v>0</v>
      </c>
      <c r="AX93" s="23">
        <f t="shared" si="60"/>
        <v>16.558719077143451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7.125</v>
      </c>
      <c r="BD93" s="13">
        <f>IF('Données projet'!$A$88&gt;35,BD92+BC93-BL92,IF(A93&lt;'Données projet'!$A$88,$BA$205^A93,IF(A93='Données projet'!$A$88,'Données projet'!$B$88,BD92+BC93-BL92)))</f>
        <v>262.625</v>
      </c>
      <c r="BE93" s="14">
        <f>BD93*VLOOKUP('Données projet'!$B$11,Paramètres!$A$1:$I$88,3,0)*VLOOKUP('Données projet'!$B$11,Paramètres!$A$1:$I$88,5,0)</f>
        <v>266.30175000000003</v>
      </c>
      <c r="BF93" s="14">
        <f t="shared" si="91"/>
        <v>64.063778412802961</v>
      </c>
      <c r="BG93" s="22">
        <f t="shared" si="61"/>
        <v>575.38662865229844</v>
      </c>
      <c r="BH93" s="62">
        <f t="shared" si="62"/>
        <v>849.74426965652606</v>
      </c>
      <c r="BI93" s="62">
        <f ca="1">AVERAGE(OFFSET($BH$3,0,0,'Données projet'!$E$11+1,1))-AVERAGE(OFFSET($H$3,0,0,'Données projet'!$E$11+1,1))</f>
        <v>570.2785736203931</v>
      </c>
      <c r="BJ93" s="62">
        <f t="shared" si="92"/>
        <v>67.677759965081719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18.557185172660777</v>
      </c>
      <c r="BQ93" s="23">
        <f>EXP(-LN(2)/25)*BQ92+(1-EXP(-LN(2)/25))/(LN(2)/25)*Calculateur!BL93*Calculateur!BN93*VLOOKUP('Données projet'!$B$11,Paramètres!$A$1:$I$88,3,0)*0.475*44/12</f>
        <v>0</v>
      </c>
      <c r="BR93" s="23">
        <f>EXP(-LN(2)/2)*BR92+(1-EXP(-LN(2)/2))/(LN(2)/2)*BL93*BO93*VLOOKUP('Données projet'!$B$11,Paramètres!$A$1:$I$88,3,0)*0.475*44/12</f>
        <v>0</v>
      </c>
      <c r="BS93" s="24">
        <f t="shared" si="63"/>
        <v>18.557185172660777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544.19999999999982</v>
      </c>
      <c r="BZ93" s="14">
        <f>BY93*VLOOKUP('Données projet'!$B$12,Paramètres!$A$1:$I$88,3,0)*VLOOKUP('Données projet'!$B$12,Paramètres!$A$1:$I$88,5,0)</f>
        <v>325.43159999999995</v>
      </c>
      <c r="CA93" s="14">
        <f t="shared" si="93"/>
        <v>76.482394221016762</v>
      </c>
      <c r="CB93" s="22">
        <f t="shared" si="64"/>
        <v>700.00020660160408</v>
      </c>
      <c r="CC93" s="62">
        <f t="shared" si="65"/>
        <v>974.35784760583169</v>
      </c>
      <c r="CD93" s="62">
        <f ca="1">AVERAGE(OFFSET($CC$3,0,0,'Données projet'!$E$12+1,1))-AVERAGE(OFFSET($H$3,0,0,'Données projet'!$E$12+1,1))</f>
        <v>401.1031790385295</v>
      </c>
      <c r="CE93" s="62">
        <f t="shared" si="94"/>
        <v>402.09589424130615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projet'!$B$12,Paramètres!$A$1:$I$88,3,0)*0.475*44/12</f>
        <v>11.45094726846264</v>
      </c>
      <c r="CL93" s="23">
        <f>EXP(-LN(2)/25)*CL92+(1-EXP(-LN(2)/25))/(LN(2)/25)*Calculateur!CG93*Calculateur!CI93*VLOOKUP('Données projet'!$B$12,Paramètres!$A$1:$I$88,3,0)*0.475*44/12</f>
        <v>0</v>
      </c>
      <c r="CM93" s="23">
        <f>EXP(-LN(2)/2)*CM92+(1-EXP(-LN(2)/2))/(LN(2)/2)*CG93*CJ93*VLOOKUP('Données projet'!$B$12,Paramètres!$A$1:$I$88,3,0)*0.475*44/12</f>
        <v>1.2668985079484804E-4</v>
      </c>
      <c r="CN93" s="24">
        <f t="shared" si="66"/>
        <v>11.451073958313435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544.19999999999982</v>
      </c>
      <c r="CU93" s="18">
        <f>CT93*VLOOKUP('Données projet'!$B$13,Paramètres!$A$1:$I$88,3,0)*VLOOKUP('Données projet'!$B$13,Paramètres!$A$1:$I$88,5,0)</f>
        <v>325.43159999999995</v>
      </c>
      <c r="CV93" s="14">
        <f t="shared" si="95"/>
        <v>76.482394221016762</v>
      </c>
      <c r="CW93" s="22">
        <f t="shared" si="67"/>
        <v>700.00020660160408</v>
      </c>
      <c r="CX93" s="62">
        <f t="shared" si="68"/>
        <v>974.35784760583169</v>
      </c>
      <c r="CY93" s="62">
        <f ca="1">AVERAGE(OFFSET($CX$3,0,0,'Données projet'!$E$13+1,1))-AVERAGE(OFFSET($H$3,0,0,'Données projet'!$E$13+1,1))</f>
        <v>401.1031790385295</v>
      </c>
      <c r="CZ93" s="62">
        <f t="shared" si="96"/>
        <v>402.09589424130615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projet'!$B$13,Paramètres!$A$1:$I$88,3,0)*0.475*44/12</f>
        <v>11.45094726846264</v>
      </c>
      <c r="DG93" s="23">
        <f>EXP(-LN(2)/25)*DG92+(1-EXP(-LN(2)/25))/(LN(2)/25)*Calculateur!DB93*Calculateur!DD93*VLOOKUP('Données projet'!$B$13,Paramètres!$A$1:$I$88,3,0)*0.475*44/12</f>
        <v>0</v>
      </c>
      <c r="DH93" s="23">
        <f>EXP(-LN(2)/2)*DH92+(1-EXP(-LN(2)/2))/(LN(2)/2)*DB93*DE93*VLOOKUP('Données projet'!$B$13,Paramètres!$A$1:$I$88,3,0)*0.475*44/12</f>
        <v>1.2668985079484804E-4</v>
      </c>
      <c r="DI93" s="24">
        <f t="shared" si="69"/>
        <v>11.451073958313435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860.00000000000023</v>
      </c>
      <c r="DP93" s="18">
        <f>DO93*VLOOKUP('Données projet'!$B$14,Paramètres!$A$1:$I$88,3,0)*VLOOKUP('Données projet'!$B$14,Paramètres!$A$1:$I$88,5,0)</f>
        <v>346.5800000000001</v>
      </c>
      <c r="DQ93" s="14">
        <f t="shared" si="97"/>
        <v>80.857895771535127</v>
      </c>
      <c r="DR93" s="22">
        <f t="shared" si="70"/>
        <v>744.45433513542378</v>
      </c>
      <c r="DS93" s="62">
        <f t="shared" si="71"/>
        <v>1018.8119761396515</v>
      </c>
      <c r="DT93" s="62">
        <f ca="1">AVERAGE(OFFSET($DS$3,0,0,'Données projet'!$E$14+1,1))-AVERAGE(OFFSET($H$3,0,0,'Données projet'!$E$14+1,1))</f>
        <v>432.59662347701629</v>
      </c>
      <c r="DU93" s="62">
        <f t="shared" si="98"/>
        <v>348.67401091099748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projet'!$B$14,Paramètres!$A$1:$I$88,3,0)*0.475*44/12</f>
        <v>51.582648615539149</v>
      </c>
      <c r="EB93" s="23">
        <f>EXP(-LN(2)/25)*EB92+(1-EXP(-LN(2)/25))/(LN(2)/25)*Calculateur!DW93*Calculateur!DY93*VLOOKUP('Données projet'!$B$14,Paramètres!$A$1:$I$88,3,0)*0.475*44/12</f>
        <v>52.694905011872947</v>
      </c>
      <c r="EC93" s="23">
        <f>EXP(-LN(2)/2)*EC92+(1-EXP(-LN(2)/2))/(LN(2)/2)*DW93*DZ93*VLOOKUP('Données projet'!$B$14,Paramètres!$A$1:$I$88,3,0)*0.475*44/12</f>
        <v>0</v>
      </c>
      <c r="ED93" s="24">
        <f t="shared" si="72"/>
        <v>104.27755362741209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1099.9999999999998</v>
      </c>
      <c r="EK93" s="18">
        <f>EJ93*VLOOKUP('Données projet'!$B$15,Paramètres!$A$1:$I$88,3,0)*VLOOKUP('Données projet'!$B$15,Paramètres!$A$1:$I$88,5,0)</f>
        <v>486.19999999999993</v>
      </c>
      <c r="EL93" s="14">
        <f t="shared" si="99"/>
        <v>109.0490179035375</v>
      </c>
      <c r="EM93" s="22">
        <f t="shared" si="73"/>
        <v>1036.725372848661</v>
      </c>
      <c r="EN93" s="62">
        <f t="shared" si="74"/>
        <v>1311.0830138528886</v>
      </c>
      <c r="EO93" s="62">
        <f ca="1">AVERAGE(OFFSET($EN$3,0,0,'Données projet'!$E$15+1,1))-AVERAGE(OFFSET($H$3,0,0,'Données projet'!$E$15+1,1))</f>
        <v>582.26951914082088</v>
      </c>
      <c r="EP93" s="62">
        <f t="shared" si="100"/>
        <v>434.80429932654715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projet'!$B$15,Paramètres!$A$1:$I$88,3,0)*0.475*44/12</f>
        <v>51.976668087040004</v>
      </c>
      <c r="EW93" s="23">
        <f>EXP(-LN(2)/25)*EW92+(1-EXP(-LN(2)/25))/(LN(2)/25)*Calculateur!ER93*Calculateur!ET93*VLOOKUP('Données projet'!$B$15,Paramètres!$A$1:$I$88,3,0)*0.475*44/12</f>
        <v>47.35047384995309</v>
      </c>
      <c r="EX93" s="23">
        <f>EXP(-LN(2)/2)*EX92+(1-EXP(-LN(2)/2))/(LN(2)/2)*ER93*EU93*VLOOKUP('Données projet'!$B$15,Paramètres!$A$1:$I$88,3,0)*0.475*44/12</f>
        <v>0</v>
      </c>
      <c r="EY93" s="24">
        <f t="shared" si="75"/>
        <v>99.327141936993087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802</v>
      </c>
      <c r="FC93" s="13">
        <f>VLOOKUP(A93,'Données projet'!$A$217:$I$237,9,0)</f>
        <v>17.8</v>
      </c>
      <c r="FD93" s="13">
        <f t="array" ref="FD93">INDEX(FC:FC,MIN(IF(ISNUMBER(FC93:FC289),ROW(FC93:FC289),"")))</f>
        <v>17.8</v>
      </c>
      <c r="FE93" s="13">
        <f>IF('Données projet'!$A$218&gt;35,FE92+FD93-FM92,IF(A93&lt;'Données projet'!$A$218,$FB$205^A93,IF(A93='Données projet'!$A$218,'Données projet'!$B$218,FE92+FD93-FM92)))</f>
        <v>801.99999999999989</v>
      </c>
      <c r="FF93" s="18">
        <f>FE93*VLOOKUP('Données projet'!$B$16,Paramètres!$A$1:$I$88,3,0)*VLOOKUP('Données projet'!$B$16,Paramètres!$A$1:$I$88,5,0)</f>
        <v>375.33599999999996</v>
      </c>
      <c r="FG93" s="14">
        <f t="shared" si="101"/>
        <v>86.75804807087205</v>
      </c>
      <c r="FH93" s="22">
        <f t="shared" si="76"/>
        <v>804.81380039010207</v>
      </c>
      <c r="FI93" s="62">
        <f t="shared" si="77"/>
        <v>1079.1714413943298</v>
      </c>
      <c r="FJ93" s="62">
        <f ca="1">AVERAGE(OFFSET($FI$3,0,0,'Données projet'!$E$16+1,1))-AVERAGE(OFFSET($H$3,0,0,'Données projet'!$E$16+1,1))</f>
        <v>429.87867712133851</v>
      </c>
      <c r="FK93" s="62">
        <f t="shared" si="102"/>
        <v>182.81277865988014</v>
      </c>
      <c r="FL93" s="16">
        <f>IF(ISNA(VLOOKUP(A93,'Données projet'!$A$217:$I$237,3,0)),0,VLOOKUP(A93,'Données projet'!$A$217:$I$237,3,0))</f>
        <v>6</v>
      </c>
      <c r="FM93" s="16">
        <f>IF(ISNA(VLOOKUP(A93,'Données projet'!$A$217:$I$237,4,0)),0,VLOOKUP(A93,'Données projet'!$A$217:$I$237,4,0))</f>
        <v>97</v>
      </c>
      <c r="FN93" s="17">
        <f>IF(ISNA(VLOOKUP(A93,'Données projet'!$A$217:$I$237,5,0)),0%,VLOOKUP(A93,'Données projet'!$A$217:$I$237,5,0)*VLOOKUP('Données projet'!$B$16,Paramètres!$A$1:$I$88,7,0))</f>
        <v>0.41250000000000003</v>
      </c>
      <c r="FO93" s="17">
        <f>IF(ISNA(VLOOKUP(A93,'Données projet'!$A$217:$I$237,6,0)),0%,VLOOKUP(A93,'Données projet'!$A$217:$I$237,6,0)*VLOOKUP('Données projet'!$B$16,Paramètres!$A$1:$I$88,7,0))</f>
        <v>0.13750000000000001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projet'!$B$16,Paramètres!$A$1:$I$88,3,0)*0.475*44/12</f>
        <v>61.988396572045488</v>
      </c>
      <c r="FR93" s="23">
        <f>EXP(-LN(2)/25)*FR92+(1-EXP(-LN(2)/25))/(LN(2)/25)*Calculateur!FM93*Calculateur!FO93*VLOOKUP('Données projet'!$B$16,Paramètres!$A$1:$I$88,3,0)*0.475*44/12</f>
        <v>60.024832124191356</v>
      </c>
      <c r="FS93" s="23">
        <f>EXP(-LN(2)/2)*FS92+(1-EXP(-LN(2)/2))/(LN(2)/2)*FM93*FP93*VLOOKUP('Données projet'!$B$16,Paramètres!$A$1:$I$88,3,0)*0.475*44/12</f>
        <v>0</v>
      </c>
      <c r="FT93" s="24">
        <f t="shared" si="78"/>
        <v>122.01322869623684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498.99999999999955</v>
      </c>
      <c r="GA93" s="18">
        <f>FZ93*VLOOKUP('Données projet'!$B$17,Paramètres!$A$1:$I$88,3,0)*VLOOKUP('Données projet'!$B$17,Paramètres!$A$1:$I$88,5,0)</f>
        <v>240.01899999999978</v>
      </c>
      <c r="GB93" s="14">
        <f t="shared" si="103"/>
        <v>58.443618405936313</v>
      </c>
      <c r="GC93" s="22">
        <f t="shared" si="79"/>
        <v>519.82239372367201</v>
      </c>
      <c r="GD93" s="62">
        <f t="shared" si="80"/>
        <v>794.18003472789974</v>
      </c>
      <c r="GE93" s="62">
        <f ca="1">AVERAGE(OFFSET($GD$3,0,0,'Données projet'!$E$17+1,1))-AVERAGE(OFFSET($H$3,0,0,'Données projet'!$E$17+1,1))</f>
        <v>273.24375559399846</v>
      </c>
      <c r="GF93" s="62">
        <f t="shared" si="104"/>
        <v>270.77718895097848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projet'!$B$17,Paramètres!$A$1:$I$88,3,0)*0.475*44/12</f>
        <v>26.542134855321027</v>
      </c>
      <c r="GM93" s="23">
        <f>EXP(-LN(2)/25)*GM92+(1-EXP(-LN(2)/25))/(LN(2)/25)*Calculateur!GH93*Calculateur!GJ93*VLOOKUP('Données projet'!$B$17,Paramètres!$A$1:$I$88,3,0)*0.475*44/12</f>
        <v>23.094404884638191</v>
      </c>
      <c r="GN93" s="23">
        <f>EXP(-LN(2)/2)*GN92+(1-EXP(-LN(2)/2))/(LN(2)/2)*GH93*GK93*VLOOKUP('Données projet'!$B$17,Paramètres!$A$1:$I$88,3,0)*0.475*44/12</f>
        <v>0</v>
      </c>
      <c r="GO93" s="23">
        <f t="shared" si="81"/>
        <v>49.636539739959218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550.99999999999966</v>
      </c>
      <c r="O94" s="14">
        <f>N94*VLOOKUP('Données projet'!$B$9,Paramètres!$A$1:$I$88,3,0)*VLOOKUP('Données projet'!$B$9,Paramètres!$A$1:$I$88,5,0)</f>
        <v>308.00899999999979</v>
      </c>
      <c r="P94" s="14">
        <f t="shared" si="87"/>
        <v>72.852874331417695</v>
      </c>
      <c r="Q94" s="22">
        <f t="shared" si="54"/>
        <v>663.33443112721886</v>
      </c>
      <c r="R94" s="62">
        <f t="shared" si="55"/>
        <v>938.02125797006397</v>
      </c>
      <c r="S94" s="62">
        <f ca="1">AVERAGE(OFFSET($R$3,0,0,'Données projet'!$E$9+1,1))-AVERAGE(OFFSET($H$3,0,0,'Données projet'!$E$9+1,1))</f>
        <v>289.94242154211224</v>
      </c>
      <c r="T94" s="62">
        <f t="shared" si="88"/>
        <v>369.12599166143661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39.927463065745677</v>
      </c>
      <c r="AA94" s="23">
        <f>EXP(-LN(2)/25)*AA93+(1-EXP(-LN(2)/25))/(LN(2)/25)*Calculateur!V94*Calculateur!X94*VLOOKUP('Données projet'!$B$9,Paramètres!$A$1:$I$88,3,0)*0.475*44/12</f>
        <v>28.290358403960308</v>
      </c>
      <c r="AB94" s="23">
        <f>EXP(-LN(2)/2)*AB93+(1-EXP(-LN(2)/2))/(LN(2)/2)*V94*Y94*VLOOKUP('Données projet'!$B$9,Paramètres!$A$1:$I$88,3,0)*0.475*44/12</f>
        <v>0</v>
      </c>
      <c r="AC94" s="24">
        <f t="shared" si="57"/>
        <v>68.217821469705981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7.125</v>
      </c>
      <c r="AI94" s="14">
        <f>IF('Données projet'!$A$62&gt;35,AI93+AH94-AQ93,IF(A94&lt;'Données projet'!$A$62,$AF$205^A94,IF(A94='Données projet'!$A$62,'Données projet'!$B$62,AI93+AH94-AQ93)))</f>
        <v>269.75</v>
      </c>
      <c r="AJ94" s="14">
        <f>AI94*VLOOKUP('Données projet'!$B$10,Paramètres!$A$1:$I$88,3,0)*VLOOKUP('Données projet'!$B$10,Paramètres!$A$1:$I$88,5,0)</f>
        <v>244.06979999999999</v>
      </c>
      <c r="AK94" s="14">
        <f t="shared" si="89"/>
        <v>59.314308993162705</v>
      </c>
      <c r="AL94" s="22">
        <f t="shared" si="58"/>
        <v>528.39398982975831</v>
      </c>
      <c r="AM94" s="62">
        <f t="shared" si="59"/>
        <v>803.08081667260331</v>
      </c>
      <c r="AN94" s="62">
        <f ca="1">AVERAGE(OFFSET($AM$3,0,0,'Données projet'!$E$10+1,1))-AVERAGE(OFFSET($H$3,0,0,'Données projet'!$E$10+1,1))</f>
        <v>518.31628039365785</v>
      </c>
      <c r="AO94" s="62">
        <f t="shared" si="90"/>
        <v>66.435071953154761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16.234012695862031</v>
      </c>
      <c r="AV94" s="23">
        <f>EXP(-LN(2)/25)*AV93+(1-EXP(-LN(2)/25))/(LN(2)/25)*Calculateur!AQ94*Calculateur!AS94*VLOOKUP('Données projet'!$B$10,Paramètres!$A$1:$I$88,3,0)*0.475*44/12</f>
        <v>0</v>
      </c>
      <c r="AW94" s="23">
        <f>EXP(-LN(2)/2)*AW93+(1-EXP(-LN(2)/2))/(LN(2)/2)*AQ94*AT94*VLOOKUP('Données projet'!$B$10,Paramètres!$A$1:$I$88,3,0)*0.475*44/12</f>
        <v>0</v>
      </c>
      <c r="AX94" s="23">
        <f t="shared" si="60"/>
        <v>16.234012695862031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7.125</v>
      </c>
      <c r="BD94" s="13">
        <f>IF('Données projet'!$A$88&gt;35,BD93+BC94-BL93,IF(A94&lt;'Données projet'!$A$88,$BA$205^A94,IF(A94='Données projet'!$A$88,'Données projet'!$B$88,BD93+BC94-BL93)))</f>
        <v>269.75</v>
      </c>
      <c r="BE94" s="14">
        <f>BD94*VLOOKUP('Données projet'!$B$11,Paramètres!$A$1:$I$88,3,0)*VLOOKUP('Données projet'!$B$11,Paramètres!$A$1:$I$88,5,0)</f>
        <v>273.5265</v>
      </c>
      <c r="BF94" s="14">
        <f t="shared" si="91"/>
        <v>65.59711542634561</v>
      </c>
      <c r="BG94" s="22">
        <f t="shared" si="61"/>
        <v>590.64029686755191</v>
      </c>
      <c r="BH94" s="62">
        <f t="shared" si="62"/>
        <v>865.32712371039702</v>
      </c>
      <c r="BI94" s="62">
        <f ca="1">AVERAGE(OFFSET($BH$3,0,0,'Données projet'!$E$11+1,1))-AVERAGE(OFFSET($H$3,0,0,'Données projet'!$E$11+1,1))</f>
        <v>570.2785736203931</v>
      </c>
      <c r="BJ94" s="62">
        <f t="shared" si="92"/>
        <v>67.677759965081719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18.193290090190221</v>
      </c>
      <c r="BQ94" s="23">
        <f>EXP(-LN(2)/25)*BQ93+(1-EXP(-LN(2)/25))/(LN(2)/25)*Calculateur!BL94*Calculateur!BN94*VLOOKUP('Données projet'!$B$11,Paramètres!$A$1:$I$88,3,0)*0.475*44/12</f>
        <v>0</v>
      </c>
      <c r="BR94" s="23">
        <f>EXP(-LN(2)/2)*BR93+(1-EXP(-LN(2)/2))/(LN(2)/2)*BL94*BO94*VLOOKUP('Données projet'!$B$11,Paramètres!$A$1:$I$88,3,0)*0.475*44/12</f>
        <v>0</v>
      </c>
      <c r="BS94" s="24">
        <f t="shared" si="63"/>
        <v>18.193290090190221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544.19999999999982</v>
      </c>
      <c r="BZ94" s="14">
        <f>BY94*VLOOKUP('Données projet'!$B$12,Paramètres!$A$1:$I$88,3,0)*VLOOKUP('Données projet'!$B$12,Paramètres!$A$1:$I$88,5,0)</f>
        <v>325.43159999999995</v>
      </c>
      <c r="CA94" s="14">
        <f t="shared" si="93"/>
        <v>76.482394221016762</v>
      </c>
      <c r="CB94" s="22">
        <f t="shared" si="64"/>
        <v>700.00020660160408</v>
      </c>
      <c r="CC94" s="62">
        <f t="shared" si="65"/>
        <v>974.68703344444907</v>
      </c>
      <c r="CD94" s="62">
        <f ca="1">AVERAGE(OFFSET($CC$3,0,0,'Données projet'!$E$12+1,1))-AVERAGE(OFFSET($H$3,0,0,'Données projet'!$E$12+1,1))</f>
        <v>401.1031790385295</v>
      </c>
      <c r="CE94" s="62">
        <f t="shared" si="94"/>
        <v>402.09589424130615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projet'!$B$12,Paramètres!$A$1:$I$88,3,0)*0.475*44/12</f>
        <v>11.226401176916271</v>
      </c>
      <c r="CL94" s="23">
        <f>EXP(-LN(2)/25)*CL93+(1-EXP(-LN(2)/25))/(LN(2)/25)*Calculateur!CG94*Calculateur!CI94*VLOOKUP('Données projet'!$B$12,Paramètres!$A$1:$I$88,3,0)*0.475*44/12</f>
        <v>0</v>
      </c>
      <c r="CM94" s="23">
        <f>EXP(-LN(2)/2)*CM93+(1-EXP(-LN(2)/2))/(LN(2)/2)*CG94*CJ94*VLOOKUP('Données projet'!$B$12,Paramètres!$A$1:$I$88,3,0)*0.475*44/12</f>
        <v>8.9583252604548972E-5</v>
      </c>
      <c r="CN94" s="24">
        <f t="shared" si="66"/>
        <v>11.226490760168875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544.19999999999982</v>
      </c>
      <c r="CU94" s="18">
        <f>CT94*VLOOKUP('Données projet'!$B$13,Paramètres!$A$1:$I$88,3,0)*VLOOKUP('Données projet'!$B$13,Paramètres!$A$1:$I$88,5,0)</f>
        <v>325.43159999999995</v>
      </c>
      <c r="CV94" s="14">
        <f t="shared" si="95"/>
        <v>76.482394221016762</v>
      </c>
      <c r="CW94" s="22">
        <f t="shared" si="67"/>
        <v>700.00020660160408</v>
      </c>
      <c r="CX94" s="62">
        <f t="shared" si="68"/>
        <v>974.68703344444907</v>
      </c>
      <c r="CY94" s="62">
        <f ca="1">AVERAGE(OFFSET($CX$3,0,0,'Données projet'!$E$13+1,1))-AVERAGE(OFFSET($H$3,0,0,'Données projet'!$E$13+1,1))</f>
        <v>401.1031790385295</v>
      </c>
      <c r="CZ94" s="62">
        <f t="shared" si="96"/>
        <v>402.09589424130615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projet'!$B$13,Paramètres!$A$1:$I$88,3,0)*0.475*44/12</f>
        <v>11.226401176916271</v>
      </c>
      <c r="DG94" s="23">
        <f>EXP(-LN(2)/25)*DG93+(1-EXP(-LN(2)/25))/(LN(2)/25)*Calculateur!DB94*Calculateur!DD94*VLOOKUP('Données projet'!$B$13,Paramètres!$A$1:$I$88,3,0)*0.475*44/12</f>
        <v>0</v>
      </c>
      <c r="DH94" s="23">
        <f>EXP(-LN(2)/2)*DH93+(1-EXP(-LN(2)/2))/(LN(2)/2)*DB94*DE94*VLOOKUP('Données projet'!$B$13,Paramètres!$A$1:$I$88,3,0)*0.475*44/12</f>
        <v>8.9583252604548972E-5</v>
      </c>
      <c r="DI94" s="24">
        <f t="shared" si="69"/>
        <v>11.226490760168875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860.00000000000023</v>
      </c>
      <c r="DP94" s="18">
        <f>DO94*VLOOKUP('Données projet'!$B$14,Paramètres!$A$1:$I$88,3,0)*VLOOKUP('Données projet'!$B$14,Paramètres!$A$1:$I$88,5,0)</f>
        <v>346.5800000000001</v>
      </c>
      <c r="DQ94" s="14">
        <f t="shared" si="97"/>
        <v>80.857895771535127</v>
      </c>
      <c r="DR94" s="22">
        <f t="shared" si="70"/>
        <v>744.45433513542378</v>
      </c>
      <c r="DS94" s="62">
        <f t="shared" si="71"/>
        <v>1019.1411619782689</v>
      </c>
      <c r="DT94" s="62">
        <f ca="1">AVERAGE(OFFSET($DS$3,0,0,'Données projet'!$E$14+1,1))-AVERAGE(OFFSET($H$3,0,0,'Données projet'!$E$14+1,1))</f>
        <v>432.59662347701629</v>
      </c>
      <c r="DU94" s="62">
        <f t="shared" si="98"/>
        <v>348.67401091099748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projet'!$B$14,Paramètres!$A$1:$I$88,3,0)*0.475*44/12</f>
        <v>50.57114433849744</v>
      </c>
      <c r="EB94" s="23">
        <f>EXP(-LN(2)/25)*EB93+(1-EXP(-LN(2)/25))/(LN(2)/25)*Calculateur!DW94*Calculateur!DY94*VLOOKUP('Données projet'!$B$14,Paramètres!$A$1:$I$88,3,0)*0.475*44/12</f>
        <v>51.253960063218663</v>
      </c>
      <c r="EC94" s="23">
        <f>EXP(-LN(2)/2)*EC93+(1-EXP(-LN(2)/2))/(LN(2)/2)*DW94*DZ94*VLOOKUP('Données projet'!$B$14,Paramètres!$A$1:$I$88,3,0)*0.475*44/12</f>
        <v>0</v>
      </c>
      <c r="ED94" s="24">
        <f t="shared" si="72"/>
        <v>101.8251044017161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1099.9999999999998</v>
      </c>
      <c r="EK94" s="18">
        <f>EJ94*VLOOKUP('Données projet'!$B$15,Paramètres!$A$1:$I$88,3,0)*VLOOKUP('Données projet'!$B$15,Paramètres!$A$1:$I$88,5,0)</f>
        <v>486.19999999999993</v>
      </c>
      <c r="EL94" s="14">
        <f t="shared" si="99"/>
        <v>109.0490179035375</v>
      </c>
      <c r="EM94" s="22">
        <f t="shared" si="73"/>
        <v>1036.725372848661</v>
      </c>
      <c r="EN94" s="62">
        <f t="shared" si="74"/>
        <v>1311.412199691506</v>
      </c>
      <c r="EO94" s="62">
        <f ca="1">AVERAGE(OFFSET($EN$3,0,0,'Données projet'!$E$15+1,1))-AVERAGE(OFFSET($H$3,0,0,'Données projet'!$E$15+1,1))</f>
        <v>582.26951914082088</v>
      </c>
      <c r="EP94" s="62">
        <f t="shared" si="100"/>
        <v>434.80429932654715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projet'!$B$15,Paramètres!$A$1:$I$88,3,0)*0.475*44/12</f>
        <v>50.957437328490307</v>
      </c>
      <c r="EW94" s="23">
        <f>EXP(-LN(2)/25)*EW93+(1-EXP(-LN(2)/25))/(LN(2)/25)*Calculateur!ER94*Calculateur!ET94*VLOOKUP('Données projet'!$B$15,Paramètres!$A$1:$I$88,3,0)*0.475*44/12</f>
        <v>46.055672652472921</v>
      </c>
      <c r="EX94" s="23">
        <f>EXP(-LN(2)/2)*EX93+(1-EXP(-LN(2)/2))/(LN(2)/2)*ER94*EU94*VLOOKUP('Données projet'!$B$15,Paramètres!$A$1:$I$88,3,0)*0.475*44/12</f>
        <v>0</v>
      </c>
      <c r="EY94" s="24">
        <f t="shared" si="75"/>
        <v>97.013109980963236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15</v>
      </c>
      <c r="FE94" s="13">
        <f>IF('Données projet'!$A$218&gt;35,FE93+FD94-FM93,IF(A94&lt;'Données projet'!$A$218,$FB$205^A94,IF(A94='Données projet'!$A$218,'Données projet'!$B$218,FE93+FD94-FM93)))</f>
        <v>719.99999999999989</v>
      </c>
      <c r="FF94" s="18">
        <f>FE94*VLOOKUP('Données projet'!$B$16,Paramètres!$A$1:$I$88,3,0)*VLOOKUP('Données projet'!$B$16,Paramètres!$A$1:$I$88,5,0)</f>
        <v>336.95999999999992</v>
      </c>
      <c r="FG94" s="14">
        <f t="shared" si="101"/>
        <v>78.871535242083567</v>
      </c>
      <c r="FH94" s="22">
        <f t="shared" si="76"/>
        <v>724.23992387996202</v>
      </c>
      <c r="FI94" s="62">
        <f t="shared" si="77"/>
        <v>998.92675072280713</v>
      </c>
      <c r="FJ94" s="62">
        <f ca="1">AVERAGE(OFFSET($FI$3,0,0,'Données projet'!$E$16+1,1))-AVERAGE(OFFSET($H$3,0,0,'Données projet'!$E$16+1,1))</f>
        <v>429.87867712133851</v>
      </c>
      <c r="FK94" s="62">
        <f t="shared" si="102"/>
        <v>182.81277865988014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projet'!$B$16,Paramètres!$A$1:$I$88,3,0)*0.475*44/12</f>
        <v>60.772841924456237</v>
      </c>
      <c r="FR94" s="23">
        <f>EXP(-LN(2)/25)*FR93+(1-EXP(-LN(2)/25))/(LN(2)/25)*Calculateur!FM94*Calculateur!FO94*VLOOKUP('Données projet'!$B$16,Paramètres!$A$1:$I$88,3,0)*0.475*44/12</f>
        <v>58.383449933186611</v>
      </c>
      <c r="FS94" s="23">
        <f>EXP(-LN(2)/2)*FS93+(1-EXP(-LN(2)/2))/(LN(2)/2)*FM94*FP94*VLOOKUP('Données projet'!$B$16,Paramètres!$A$1:$I$88,3,0)*0.475*44/12</f>
        <v>0</v>
      </c>
      <c r="FT94" s="24">
        <f t="shared" si="78"/>
        <v>119.15629185764286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498.99999999999955</v>
      </c>
      <c r="GA94" s="18">
        <f>FZ94*VLOOKUP('Données projet'!$B$17,Paramètres!$A$1:$I$88,3,0)*VLOOKUP('Données projet'!$B$17,Paramètres!$A$1:$I$88,5,0)</f>
        <v>240.01899999999978</v>
      </c>
      <c r="GB94" s="14">
        <f t="shared" si="103"/>
        <v>58.443618405936313</v>
      </c>
      <c r="GC94" s="22">
        <f t="shared" si="79"/>
        <v>519.82239372367201</v>
      </c>
      <c r="GD94" s="62">
        <f t="shared" si="80"/>
        <v>794.50922056651712</v>
      </c>
      <c r="GE94" s="62">
        <f ca="1">AVERAGE(OFFSET($GD$3,0,0,'Données projet'!$E$17+1,1))-AVERAGE(OFFSET($H$3,0,0,'Données projet'!$E$17+1,1))</f>
        <v>273.24375559399846</v>
      </c>
      <c r="GF94" s="62">
        <f t="shared" si="104"/>
        <v>270.77718895097848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projet'!$B$17,Paramètres!$A$1:$I$88,3,0)*0.475*44/12</f>
        <v>26.021659779911904</v>
      </c>
      <c r="GM94" s="23">
        <f>EXP(-LN(2)/25)*GM93+(1-EXP(-LN(2)/25))/(LN(2)/25)*Calculateur!GH94*Calculateur!GJ94*VLOOKUP('Données projet'!$B$17,Paramètres!$A$1:$I$88,3,0)*0.475*44/12</f>
        <v>22.462887168585791</v>
      </c>
      <c r="GN94" s="23">
        <f>EXP(-LN(2)/2)*GN93+(1-EXP(-LN(2)/2))/(LN(2)/2)*GH94*GK94*VLOOKUP('Données projet'!$B$17,Paramètres!$A$1:$I$88,3,0)*0.475*44/12</f>
        <v>0</v>
      </c>
      <c r="GO94" s="23">
        <f t="shared" si="81"/>
        <v>48.484546948497695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550.99999999999966</v>
      </c>
      <c r="O95" s="14">
        <f>N95*VLOOKUP('Données projet'!$B$9,Paramètres!$A$1:$I$88,3,0)*VLOOKUP('Données projet'!$B$9,Paramètres!$A$1:$I$88,5,0)</f>
        <v>308.00899999999979</v>
      </c>
      <c r="P95" s="14">
        <f t="shared" si="87"/>
        <v>72.852874331417695</v>
      </c>
      <c r="Q95" s="22">
        <f t="shared" si="54"/>
        <v>663.33443112721886</v>
      </c>
      <c r="R95" s="62">
        <f t="shared" si="55"/>
        <v>938.34473317033053</v>
      </c>
      <c r="S95" s="62">
        <f ca="1">AVERAGE(OFFSET($R$3,0,0,'Données projet'!$E$9+1,1))-AVERAGE(OFFSET($H$3,0,0,'Données projet'!$E$9+1,1))</f>
        <v>289.94242154211224</v>
      </c>
      <c r="T95" s="62">
        <f t="shared" si="88"/>
        <v>369.12599166143661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39.144509868374179</v>
      </c>
      <c r="AA95" s="23">
        <f>EXP(-LN(2)/25)*AA94+(1-EXP(-LN(2)/25))/(LN(2)/25)*Calculateur!V95*Calculateur!X95*VLOOKUP('Données projet'!$B$9,Paramètres!$A$1:$I$88,3,0)*0.475*44/12</f>
        <v>27.516757065678725</v>
      </c>
      <c r="AB95" s="23">
        <f>EXP(-LN(2)/2)*AB94+(1-EXP(-LN(2)/2))/(LN(2)/2)*V95*Y95*VLOOKUP('Données projet'!$B$9,Paramètres!$A$1:$I$88,3,0)*0.475*44/12</f>
        <v>0</v>
      </c>
      <c r="AC95" s="24">
        <f t="shared" si="57"/>
        <v>66.661266934052904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7.125</v>
      </c>
      <c r="AI95" s="14">
        <f>IF('Données projet'!$A$62&gt;35,AI94+AH95-AQ94,IF(A95&lt;'Données projet'!$A$62,$AF$205^A95,IF(A95='Données projet'!$A$62,'Données projet'!$B$62,AI94+AH95-AQ94)))</f>
        <v>276.875</v>
      </c>
      <c r="AJ95" s="14">
        <f>AI95*VLOOKUP('Données projet'!$B$10,Paramètres!$A$1:$I$88,3,0)*VLOOKUP('Données projet'!$B$10,Paramètres!$A$1:$I$88,5,0)</f>
        <v>250.51649999999998</v>
      </c>
      <c r="AK95" s="14">
        <f t="shared" si="89"/>
        <v>60.696528265135505</v>
      </c>
      <c r="AL95" s="22">
        <f t="shared" si="58"/>
        <v>542.0293575617776</v>
      </c>
      <c r="AM95" s="62">
        <f t="shared" si="59"/>
        <v>817.03965960488927</v>
      </c>
      <c r="AN95" s="62">
        <f ca="1">AVERAGE(OFFSET($AM$3,0,0,'Données projet'!$E$10+1,1))-AVERAGE(OFFSET($H$3,0,0,'Données projet'!$E$10+1,1))</f>
        <v>518.31628039365785</v>
      </c>
      <c r="AO95" s="62">
        <f t="shared" si="90"/>
        <v>66.435071953154761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15.915673608666202</v>
      </c>
      <c r="AV95" s="23">
        <f>EXP(-LN(2)/25)*AV94+(1-EXP(-LN(2)/25))/(LN(2)/25)*Calculateur!AQ95*Calculateur!AS95*VLOOKUP('Données projet'!$B$10,Paramètres!$A$1:$I$88,3,0)*0.475*44/12</f>
        <v>0</v>
      </c>
      <c r="AW95" s="23">
        <f>EXP(-LN(2)/2)*AW94+(1-EXP(-LN(2)/2))/(LN(2)/2)*AQ95*AT95*VLOOKUP('Données projet'!$B$10,Paramètres!$A$1:$I$88,3,0)*0.475*44/12</f>
        <v>0</v>
      </c>
      <c r="AX95" s="23">
        <f t="shared" si="60"/>
        <v>15.915673608666202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7.125</v>
      </c>
      <c r="BD95" s="13">
        <f>IF('Données projet'!$A$88&gt;35,BD94+BC95-BL94,IF(A95&lt;'Données projet'!$A$88,$BA$205^A95,IF(A95='Données projet'!$A$88,'Données projet'!$B$88,BD94+BC95-BL94)))</f>
        <v>276.875</v>
      </c>
      <c r="BE95" s="14">
        <f>BD95*VLOOKUP('Données projet'!$B$11,Paramètres!$A$1:$I$88,3,0)*VLOOKUP('Données projet'!$B$11,Paramètres!$A$1:$I$88,5,0)</f>
        <v>280.75125000000003</v>
      </c>
      <c r="BF95" s="14">
        <f t="shared" si="91"/>
        <v>67.125744835795047</v>
      </c>
      <c r="BG95" s="22">
        <f t="shared" si="61"/>
        <v>605.88576600567637</v>
      </c>
      <c r="BH95" s="62">
        <f t="shared" si="62"/>
        <v>880.89606804878804</v>
      </c>
      <c r="BI95" s="62">
        <f ca="1">AVERAGE(OFFSET($BH$3,0,0,'Données projet'!$E$11+1,1))-AVERAGE(OFFSET($H$3,0,0,'Données projet'!$E$11+1,1))</f>
        <v>570.2785736203931</v>
      </c>
      <c r="BJ95" s="62">
        <f t="shared" si="92"/>
        <v>67.677759965081719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17.836530768332828</v>
      </c>
      <c r="BQ95" s="23">
        <f>EXP(-LN(2)/25)*BQ94+(1-EXP(-LN(2)/25))/(LN(2)/25)*Calculateur!BL95*Calculateur!BN95*VLOOKUP('Données projet'!$B$11,Paramètres!$A$1:$I$88,3,0)*0.475*44/12</f>
        <v>0</v>
      </c>
      <c r="BR95" s="23">
        <f>EXP(-LN(2)/2)*BR94+(1-EXP(-LN(2)/2))/(LN(2)/2)*BL95*BO95*VLOOKUP('Données projet'!$B$11,Paramètres!$A$1:$I$88,3,0)*0.475*44/12</f>
        <v>0</v>
      </c>
      <c r="BS95" s="24">
        <f t="shared" si="63"/>
        <v>17.836530768332828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544.19999999999982</v>
      </c>
      <c r="BZ95" s="14">
        <f>BY95*VLOOKUP('Données projet'!$B$12,Paramètres!$A$1:$I$88,3,0)*VLOOKUP('Données projet'!$B$12,Paramètres!$A$1:$I$88,5,0)</f>
        <v>325.43159999999995</v>
      </c>
      <c r="CA95" s="14">
        <f t="shared" si="93"/>
        <v>76.482394221016762</v>
      </c>
      <c r="CB95" s="22">
        <f t="shared" si="64"/>
        <v>700.00020660160408</v>
      </c>
      <c r="CC95" s="62">
        <f t="shared" si="65"/>
        <v>975.01050864471586</v>
      </c>
      <c r="CD95" s="62">
        <f ca="1">AVERAGE(OFFSET($CC$3,0,0,'Données projet'!$E$12+1,1))-AVERAGE(OFFSET($H$3,0,0,'Données projet'!$E$12+1,1))</f>
        <v>401.1031790385295</v>
      </c>
      <c r="CE95" s="62">
        <f t="shared" si="94"/>
        <v>402.09589424130615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projet'!$B$12,Paramètres!$A$1:$I$88,3,0)*0.475*44/12</f>
        <v>11.006258297265534</v>
      </c>
      <c r="CL95" s="23">
        <f>EXP(-LN(2)/25)*CL94+(1-EXP(-LN(2)/25))/(LN(2)/25)*Calculateur!CG95*Calculateur!CI95*VLOOKUP('Données projet'!$B$12,Paramètres!$A$1:$I$88,3,0)*0.475*44/12</f>
        <v>0</v>
      </c>
      <c r="CM95" s="23">
        <f>EXP(-LN(2)/2)*CM94+(1-EXP(-LN(2)/2))/(LN(2)/2)*CG95*CJ95*VLOOKUP('Données projet'!$B$12,Paramètres!$A$1:$I$88,3,0)*0.475*44/12</f>
        <v>6.3344925397424022E-5</v>
      </c>
      <c r="CN95" s="24">
        <f t="shared" si="66"/>
        <v>11.006321642190931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544.19999999999982</v>
      </c>
      <c r="CU95" s="18">
        <f>CT95*VLOOKUP('Données projet'!$B$13,Paramètres!$A$1:$I$88,3,0)*VLOOKUP('Données projet'!$B$13,Paramètres!$A$1:$I$88,5,0)</f>
        <v>325.43159999999995</v>
      </c>
      <c r="CV95" s="14">
        <f t="shared" si="95"/>
        <v>76.482394221016762</v>
      </c>
      <c r="CW95" s="22">
        <f t="shared" si="67"/>
        <v>700.00020660160408</v>
      </c>
      <c r="CX95" s="62">
        <f t="shared" si="68"/>
        <v>975.01050864471586</v>
      </c>
      <c r="CY95" s="62">
        <f ca="1">AVERAGE(OFFSET($CX$3,0,0,'Données projet'!$E$13+1,1))-AVERAGE(OFFSET($H$3,0,0,'Données projet'!$E$13+1,1))</f>
        <v>401.1031790385295</v>
      </c>
      <c r="CZ95" s="62">
        <f t="shared" si="96"/>
        <v>402.09589424130615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projet'!$B$13,Paramètres!$A$1:$I$88,3,0)*0.475*44/12</f>
        <v>11.006258297265534</v>
      </c>
      <c r="DG95" s="23">
        <f>EXP(-LN(2)/25)*DG94+(1-EXP(-LN(2)/25))/(LN(2)/25)*Calculateur!DB95*Calculateur!DD95*VLOOKUP('Données projet'!$B$13,Paramètres!$A$1:$I$88,3,0)*0.475*44/12</f>
        <v>0</v>
      </c>
      <c r="DH95" s="23">
        <f>EXP(-LN(2)/2)*DH94+(1-EXP(-LN(2)/2))/(LN(2)/2)*DB95*DE95*VLOOKUP('Données projet'!$B$13,Paramètres!$A$1:$I$88,3,0)*0.475*44/12</f>
        <v>6.3344925397424022E-5</v>
      </c>
      <c r="DI95" s="24">
        <f t="shared" si="69"/>
        <v>11.006321642190931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860.00000000000023</v>
      </c>
      <c r="DP95" s="18">
        <f>DO95*VLOOKUP('Données projet'!$B$14,Paramètres!$A$1:$I$88,3,0)*VLOOKUP('Données projet'!$B$14,Paramètres!$A$1:$I$88,5,0)</f>
        <v>346.5800000000001</v>
      </c>
      <c r="DQ95" s="14">
        <f t="shared" si="97"/>
        <v>80.857895771535127</v>
      </c>
      <c r="DR95" s="22">
        <f t="shared" si="70"/>
        <v>744.45433513542378</v>
      </c>
      <c r="DS95" s="62">
        <f t="shared" si="71"/>
        <v>1019.4646371785354</v>
      </c>
      <c r="DT95" s="62">
        <f ca="1">AVERAGE(OFFSET($DS$3,0,0,'Données projet'!$E$14+1,1))-AVERAGE(OFFSET($H$3,0,0,'Données projet'!$E$14+1,1))</f>
        <v>432.59662347701629</v>
      </c>
      <c r="DU95" s="62">
        <f t="shared" si="98"/>
        <v>348.67401091099748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projet'!$B$14,Paramètres!$A$1:$I$88,3,0)*0.475*44/12</f>
        <v>49.579475043371829</v>
      </c>
      <c r="EB95" s="23">
        <f>EXP(-LN(2)/25)*EB94+(1-EXP(-LN(2)/25))/(LN(2)/25)*Calculateur!DW95*Calculateur!DY95*VLOOKUP('Données projet'!$B$14,Paramètres!$A$1:$I$88,3,0)*0.475*44/12</f>
        <v>49.852417829961333</v>
      </c>
      <c r="EC95" s="23">
        <f>EXP(-LN(2)/2)*EC94+(1-EXP(-LN(2)/2))/(LN(2)/2)*DW95*DZ95*VLOOKUP('Données projet'!$B$14,Paramètres!$A$1:$I$88,3,0)*0.475*44/12</f>
        <v>0</v>
      </c>
      <c r="ED95" s="24">
        <f t="shared" si="72"/>
        <v>99.431892873333169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1099.9999999999998</v>
      </c>
      <c r="EK95" s="18">
        <f>EJ95*VLOOKUP('Données projet'!$B$15,Paramètres!$A$1:$I$88,3,0)*VLOOKUP('Données projet'!$B$15,Paramètres!$A$1:$I$88,5,0)</f>
        <v>486.19999999999993</v>
      </c>
      <c r="EL95" s="14">
        <f t="shared" si="99"/>
        <v>109.0490179035375</v>
      </c>
      <c r="EM95" s="22">
        <f t="shared" si="73"/>
        <v>1036.725372848661</v>
      </c>
      <c r="EN95" s="62">
        <f t="shared" si="74"/>
        <v>1311.7356748917728</v>
      </c>
      <c r="EO95" s="62">
        <f ca="1">AVERAGE(OFFSET($EN$3,0,0,'Données projet'!$E$15+1,1))-AVERAGE(OFFSET($H$3,0,0,'Données projet'!$E$15+1,1))</f>
        <v>582.26951914082088</v>
      </c>
      <c r="EP95" s="62">
        <f t="shared" si="100"/>
        <v>434.80429932654715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projet'!$B$15,Paramètres!$A$1:$I$88,3,0)*0.475*44/12</f>
        <v>49.958193063446394</v>
      </c>
      <c r="EW95" s="23">
        <f>EXP(-LN(2)/25)*EW94+(1-EXP(-LN(2)/25))/(LN(2)/25)*Calculateur!ER95*Calculateur!ET95*VLOOKUP('Données projet'!$B$15,Paramètres!$A$1:$I$88,3,0)*0.475*44/12</f>
        <v>44.796277861828486</v>
      </c>
      <c r="EX95" s="23">
        <f>EXP(-LN(2)/2)*EX94+(1-EXP(-LN(2)/2))/(LN(2)/2)*ER95*EU95*VLOOKUP('Données projet'!$B$15,Paramètres!$A$1:$I$88,3,0)*0.475*44/12</f>
        <v>0</v>
      </c>
      <c r="EY95" s="24">
        <f t="shared" si="75"/>
        <v>94.754470925274887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15</v>
      </c>
      <c r="FE95" s="13">
        <f>IF('Données projet'!$A$218&gt;35,FE94+FD95-FM94,IF(A95&lt;'Données projet'!$A$218,$FB$205^A95,IF(A95='Données projet'!$A$218,'Données projet'!$B$218,FE94+FD95-FM94)))</f>
        <v>734.99999999999989</v>
      </c>
      <c r="FF95" s="18">
        <f>FE95*VLOOKUP('Données projet'!$B$16,Paramètres!$A$1:$I$88,3,0)*VLOOKUP('Données projet'!$B$16,Paramètres!$A$1:$I$88,5,0)</f>
        <v>343.97999999999996</v>
      </c>
      <c r="FG95" s="14">
        <f t="shared" si="101"/>
        <v>80.321681832084693</v>
      </c>
      <c r="FH95" s="22">
        <f t="shared" si="76"/>
        <v>738.9920958575475</v>
      </c>
      <c r="FI95" s="62">
        <f t="shared" si="77"/>
        <v>1014.0023979006592</v>
      </c>
      <c r="FJ95" s="62">
        <f ca="1">AVERAGE(OFFSET($FI$3,0,0,'Données projet'!$E$16+1,1))-AVERAGE(OFFSET($H$3,0,0,'Données projet'!$E$16+1,1))</f>
        <v>429.87867712133851</v>
      </c>
      <c r="FK95" s="62">
        <f t="shared" si="102"/>
        <v>182.81277865988014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projet'!$B$16,Paramètres!$A$1:$I$88,3,0)*0.475*44/12</f>
        <v>59.581123562091086</v>
      </c>
      <c r="FR95" s="23">
        <f>EXP(-LN(2)/25)*FR94+(1-EXP(-LN(2)/25))/(LN(2)/25)*Calculateur!FM95*Calculateur!FO95*VLOOKUP('Données projet'!$B$16,Paramètres!$A$1:$I$88,3,0)*0.475*44/12</f>
        <v>56.786951424511429</v>
      </c>
      <c r="FS95" s="23">
        <f>EXP(-LN(2)/2)*FS94+(1-EXP(-LN(2)/2))/(LN(2)/2)*FM95*FP95*VLOOKUP('Données projet'!$B$16,Paramètres!$A$1:$I$88,3,0)*0.475*44/12</f>
        <v>0</v>
      </c>
      <c r="FT95" s="24">
        <f t="shared" si="78"/>
        <v>116.36807498660252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498.99999999999955</v>
      </c>
      <c r="GA95" s="18">
        <f>FZ95*VLOOKUP('Données projet'!$B$17,Paramètres!$A$1:$I$88,3,0)*VLOOKUP('Données projet'!$B$17,Paramètres!$A$1:$I$88,5,0)</f>
        <v>240.01899999999978</v>
      </c>
      <c r="GB95" s="14">
        <f t="shared" si="103"/>
        <v>58.443618405936313</v>
      </c>
      <c r="GC95" s="22">
        <f t="shared" si="79"/>
        <v>519.82239372367201</v>
      </c>
      <c r="GD95" s="62">
        <f t="shared" si="80"/>
        <v>794.83269576678367</v>
      </c>
      <c r="GE95" s="62">
        <f ca="1">AVERAGE(OFFSET($GD$3,0,0,'Données projet'!$E$17+1,1))-AVERAGE(OFFSET($H$3,0,0,'Données projet'!$E$17+1,1))</f>
        <v>273.24375559399846</v>
      </c>
      <c r="GF95" s="62">
        <f t="shared" si="104"/>
        <v>270.77718895097848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projet'!$B$17,Paramètres!$A$1:$I$88,3,0)*0.475*44/12</f>
        <v>25.511390903273103</v>
      </c>
      <c r="GM95" s="23">
        <f>EXP(-LN(2)/25)*GM94+(1-EXP(-LN(2)/25))/(LN(2)/25)*Calculateur!GH95*Calculateur!GJ95*VLOOKUP('Données projet'!$B$17,Paramètres!$A$1:$I$88,3,0)*0.475*44/12</f>
        <v>21.848638337688914</v>
      </c>
      <c r="GN95" s="23">
        <f>EXP(-LN(2)/2)*GN94+(1-EXP(-LN(2)/2))/(LN(2)/2)*GH95*GK95*VLOOKUP('Données projet'!$B$17,Paramètres!$A$1:$I$88,3,0)*0.475*44/12</f>
        <v>0</v>
      </c>
      <c r="GO95" s="23">
        <f t="shared" si="81"/>
        <v>47.360029240962021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550.99999999999966</v>
      </c>
      <c r="O96" s="14">
        <f>N96*VLOOKUP('Données projet'!$B$9,Paramètres!$A$1:$I$88,3,0)*VLOOKUP('Données projet'!$B$9,Paramètres!$A$1:$I$88,5,0)</f>
        <v>308.00899999999979</v>
      </c>
      <c r="P96" s="14">
        <f t="shared" si="87"/>
        <v>72.852874331417695</v>
      </c>
      <c r="Q96" s="22">
        <f t="shared" si="54"/>
        <v>663.33443112721886</v>
      </c>
      <c r="R96" s="62">
        <f t="shared" si="55"/>
        <v>938.66259679905488</v>
      </c>
      <c r="S96" s="62">
        <f ca="1">AVERAGE(OFFSET($R$3,0,0,'Données projet'!$E$9+1,1))-AVERAGE(OFFSET($H$3,0,0,'Données projet'!$E$9+1,1))</f>
        <v>289.94242154211224</v>
      </c>
      <c r="T96" s="62">
        <f t="shared" si="88"/>
        <v>369.12599166143661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38.376909905648844</v>
      </c>
      <c r="AA96" s="23">
        <f>EXP(-LN(2)/25)*AA95+(1-EXP(-LN(2)/25))/(LN(2)/25)*Calculateur!V96*Calculateur!X96*VLOOKUP('Données projet'!$B$9,Paramètres!$A$1:$I$88,3,0)*0.475*44/12</f>
        <v>26.764309896674376</v>
      </c>
      <c r="AB96" s="23">
        <f>EXP(-LN(2)/2)*AB95+(1-EXP(-LN(2)/2))/(LN(2)/2)*V96*Y96*VLOOKUP('Données projet'!$B$9,Paramètres!$A$1:$I$88,3,0)*0.475*44/12</f>
        <v>0</v>
      </c>
      <c r="AC96" s="24">
        <f t="shared" si="57"/>
        <v>65.141219802323221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>
        <f>VLOOKUP(A96,'Données projet'!$A$61:$I$81,2,0)</f>
        <v>284</v>
      </c>
      <c r="AG96" s="13">
        <f>VLOOKUP(A96,'Données projet'!$A$61:$I$81,9,0)</f>
        <v>7.125</v>
      </c>
      <c r="AH96" s="13">
        <f t="array" ref="AH96">INDEX(AG:AG,MIN(IF(ISNUMBER(AG96:AG292),ROW(AG96:AG292),"")))</f>
        <v>7.125</v>
      </c>
      <c r="AI96" s="14">
        <f>IF('Données projet'!$A$62&gt;35,AI95+AH96-AQ95,IF(A96&lt;'Données projet'!$A$62,$AF$205^A96,IF(A96='Données projet'!$A$62,'Données projet'!$B$62,AI95+AH96-AQ95)))</f>
        <v>284</v>
      </c>
      <c r="AJ96" s="14">
        <f>AI96*VLOOKUP('Données projet'!$B$10,Paramètres!$A$1:$I$88,3,0)*VLOOKUP('Données projet'!$B$10,Paramètres!$A$1:$I$88,5,0)</f>
        <v>256.96320000000003</v>
      </c>
      <c r="AK96" s="14">
        <f t="shared" si="89"/>
        <v>62.074612956838024</v>
      </c>
      <c r="AL96" s="22">
        <f t="shared" si="58"/>
        <v>555.65752423315951</v>
      </c>
      <c r="AM96" s="62">
        <f t="shared" si="59"/>
        <v>830.98568990499552</v>
      </c>
      <c r="AN96" s="62">
        <f ca="1">AVERAGE(OFFSET($AM$3,0,0,'Données projet'!$E$10+1,1))-AVERAGE(OFFSET($H$3,0,0,'Données projet'!$E$10+1,1))</f>
        <v>518.31628039365785</v>
      </c>
      <c r="AO96" s="62">
        <f t="shared" si="90"/>
        <v>66.435071953154761</v>
      </c>
      <c r="AP96" s="16">
        <f>IF(ISNA(VLOOKUP(A96,'Données projet'!$A$61:$I$81,3,0)),0,VLOOKUP(A96,'Données projet'!$A$61:$I$81,3,0))</f>
        <v>11</v>
      </c>
      <c r="AQ96" s="16">
        <f>IF(ISNA(VLOOKUP(A96,'Données projet'!$A$61:$I$81,4,0)),0,VLOOKUP(A96,'Données projet'!$A$61:$I$81,4,0))</f>
        <v>40</v>
      </c>
      <c r="AR96" s="17">
        <f>IF(ISNA(VLOOKUP(A96,'Données projet'!$A$61:$I$81,5,0)),0%,VLOOKUP(A96,'Données projet'!$A$61:$I$81,5,0)*VLOOKUP('Données projet'!$B$10,Paramètres!$A$1:$I$88,7,0))</f>
        <v>0.17200000000000001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22.485156600684338</v>
      </c>
      <c r="AV96" s="23">
        <f>EXP(-LN(2)/25)*AV95+(1-EXP(-LN(2)/25))/(LN(2)/25)*Calculateur!AQ96*Calculateur!AS96*VLOOKUP('Données projet'!$B$10,Paramètres!$A$1:$I$88,3,0)*0.475*44/12</f>
        <v>0</v>
      </c>
      <c r="AW96" s="23">
        <f>EXP(-LN(2)/2)*AW95+(1-EXP(-LN(2)/2))/(LN(2)/2)*AQ96*AT96*VLOOKUP('Données projet'!$B$10,Paramètres!$A$1:$I$88,3,0)*0.475*44/12</f>
        <v>0</v>
      </c>
      <c r="AX96" s="23">
        <f t="shared" si="60"/>
        <v>22.485156600684338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>
        <f>VLOOKUP(A96,'Données projet'!$A$87:$I$107,2,0)</f>
        <v>284</v>
      </c>
      <c r="BB96" s="13">
        <f>VLOOKUP(A96,'Données projet'!$A$87:$I$107,9,0)</f>
        <v>7.125</v>
      </c>
      <c r="BC96" s="13">
        <f t="array" ref="BC96">INDEX(BB:BB,MIN(IF(ISNUMBER(BB96:BB292),ROW(BB96:BB292),"")))</f>
        <v>7.125</v>
      </c>
      <c r="BD96" s="13">
        <f>IF('Données projet'!$A$88&gt;35,BD95+BC96-BL95,IF(A96&lt;'Données projet'!$A$88,$BA$205^A96,IF(A96='Données projet'!$A$88,'Données projet'!$B$88,BD95+BC96-BL95)))</f>
        <v>284</v>
      </c>
      <c r="BE96" s="14">
        <f>BD96*VLOOKUP('Données projet'!$B$11,Paramètres!$A$1:$I$88,3,0)*VLOOKUP('Données projet'!$B$11,Paramètres!$A$1:$I$88,5,0)</f>
        <v>287.976</v>
      </c>
      <c r="BF96" s="14">
        <f t="shared" si="91"/>
        <v>68.649801713863141</v>
      </c>
      <c r="BG96" s="22">
        <f t="shared" si="61"/>
        <v>621.12327131831159</v>
      </c>
      <c r="BH96" s="62">
        <f t="shared" si="62"/>
        <v>896.45143699014761</v>
      </c>
      <c r="BI96" s="62">
        <f ca="1">AVERAGE(OFFSET($BH$3,0,0,'Données projet'!$E$11+1,1))-AVERAGE(OFFSET($H$3,0,0,'Données projet'!$E$11+1,1))</f>
        <v>570.2785736203931</v>
      </c>
      <c r="BJ96" s="62">
        <f t="shared" si="92"/>
        <v>67.677759965081719</v>
      </c>
      <c r="BK96" s="16">
        <f>IF(ISNA(VLOOKUP(A96,'Données projet'!$A$87:$I$107,3,0)),0,VLOOKUP(A96,'Données projet'!$A$87:$I$107,3,0))</f>
        <v>11</v>
      </c>
      <c r="BL96" s="16">
        <f>IF(ISNA(VLOOKUP(A96,'Données projet'!$A$87:$I$107,4,0)),0,VLOOKUP(A96,'Données projet'!$A$87:$I$107,4,0))</f>
        <v>40</v>
      </c>
      <c r="BM96" s="17">
        <f>IF(ISNA(VLOOKUP(A96,'Données projet'!$A$87:$I$107,5,0)),0%,VLOOKUP(A96,'Données projet'!$A$87:$I$107,5,0)*VLOOKUP('Données projet'!$B$11,Paramètres!$A$1:$I$88,7,0))</f>
        <v>0.17200000000000001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25.19888239731867</v>
      </c>
      <c r="BQ96" s="23">
        <f>EXP(-LN(2)/25)*BQ95+(1-EXP(-LN(2)/25))/(LN(2)/25)*Calculateur!BL96*Calculateur!BN96*VLOOKUP('Données projet'!$B$11,Paramètres!$A$1:$I$88,3,0)*0.475*44/12</f>
        <v>0</v>
      </c>
      <c r="BR96" s="23">
        <f>EXP(-LN(2)/2)*BR95+(1-EXP(-LN(2)/2))/(LN(2)/2)*BL96*BO96*VLOOKUP('Données projet'!$B$11,Paramètres!$A$1:$I$88,3,0)*0.475*44/12</f>
        <v>0</v>
      </c>
      <c r="BS96" s="24">
        <f t="shared" si="63"/>
        <v>25.19888239731867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544.19999999999982</v>
      </c>
      <c r="BZ96" s="14">
        <f>BY96*VLOOKUP('Données projet'!$B$12,Paramètres!$A$1:$I$88,3,0)*VLOOKUP('Données projet'!$B$12,Paramètres!$A$1:$I$88,5,0)</f>
        <v>325.43159999999995</v>
      </c>
      <c r="CA96" s="14">
        <f t="shared" si="93"/>
        <v>76.482394221016762</v>
      </c>
      <c r="CB96" s="22">
        <f t="shared" si="64"/>
        <v>700.00020660160408</v>
      </c>
      <c r="CC96" s="62">
        <f t="shared" si="65"/>
        <v>975.32837227343998</v>
      </c>
      <c r="CD96" s="62">
        <f ca="1">AVERAGE(OFFSET($CC$3,0,0,'Données projet'!$E$12+1,1))-AVERAGE(OFFSET($H$3,0,0,'Données projet'!$E$12+1,1))</f>
        <v>401.1031790385295</v>
      </c>
      <c r="CE96" s="62">
        <f t="shared" si="94"/>
        <v>402.09589424130615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projet'!$B$12,Paramètres!$A$1:$I$88,3,0)*0.475*44/12</f>
        <v>10.79043228521085</v>
      </c>
      <c r="CL96" s="23">
        <f>EXP(-LN(2)/25)*CL95+(1-EXP(-LN(2)/25))/(LN(2)/25)*Calculateur!CG96*Calculateur!CI96*VLOOKUP('Données projet'!$B$12,Paramètres!$A$1:$I$88,3,0)*0.475*44/12</f>
        <v>0</v>
      </c>
      <c r="CM96" s="23">
        <f>EXP(-LN(2)/2)*CM95+(1-EXP(-LN(2)/2))/(LN(2)/2)*CG96*CJ96*VLOOKUP('Données projet'!$B$12,Paramètres!$A$1:$I$88,3,0)*0.475*44/12</f>
        <v>4.4791626302274486E-5</v>
      </c>
      <c r="CN96" s="24">
        <f t="shared" si="66"/>
        <v>10.790477076837153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544.19999999999982</v>
      </c>
      <c r="CU96" s="18">
        <f>CT96*VLOOKUP('Données projet'!$B$13,Paramètres!$A$1:$I$88,3,0)*VLOOKUP('Données projet'!$B$13,Paramètres!$A$1:$I$88,5,0)</f>
        <v>325.43159999999995</v>
      </c>
      <c r="CV96" s="14">
        <f t="shared" si="95"/>
        <v>76.482394221016762</v>
      </c>
      <c r="CW96" s="22">
        <f t="shared" si="67"/>
        <v>700.00020660160408</v>
      </c>
      <c r="CX96" s="62">
        <f t="shared" si="68"/>
        <v>975.32837227343998</v>
      </c>
      <c r="CY96" s="62">
        <f ca="1">AVERAGE(OFFSET($CX$3,0,0,'Données projet'!$E$13+1,1))-AVERAGE(OFFSET($H$3,0,0,'Données projet'!$E$13+1,1))</f>
        <v>401.1031790385295</v>
      </c>
      <c r="CZ96" s="62">
        <f t="shared" si="96"/>
        <v>402.09589424130615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projet'!$B$13,Paramètres!$A$1:$I$88,3,0)*0.475*44/12</f>
        <v>10.79043228521085</v>
      </c>
      <c r="DG96" s="23">
        <f>EXP(-LN(2)/25)*DG95+(1-EXP(-LN(2)/25))/(LN(2)/25)*Calculateur!DB96*Calculateur!DD96*VLOOKUP('Données projet'!$B$13,Paramètres!$A$1:$I$88,3,0)*0.475*44/12</f>
        <v>0</v>
      </c>
      <c r="DH96" s="23">
        <f>EXP(-LN(2)/2)*DH95+(1-EXP(-LN(2)/2))/(LN(2)/2)*DB96*DE96*VLOOKUP('Données projet'!$B$13,Paramètres!$A$1:$I$88,3,0)*0.475*44/12</f>
        <v>4.4791626302274486E-5</v>
      </c>
      <c r="DI96" s="24">
        <f t="shared" si="69"/>
        <v>10.790477076837153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860.00000000000023</v>
      </c>
      <c r="DP96" s="18">
        <f>DO96*VLOOKUP('Données projet'!$B$14,Paramètres!$A$1:$I$88,3,0)*VLOOKUP('Données projet'!$B$14,Paramètres!$A$1:$I$88,5,0)</f>
        <v>346.5800000000001</v>
      </c>
      <c r="DQ96" s="14">
        <f t="shared" si="97"/>
        <v>80.857895771535127</v>
      </c>
      <c r="DR96" s="22">
        <f t="shared" si="70"/>
        <v>744.45433513542378</v>
      </c>
      <c r="DS96" s="62">
        <f t="shared" si="71"/>
        <v>1019.7825008072598</v>
      </c>
      <c r="DT96" s="62">
        <f ca="1">AVERAGE(OFFSET($DS$3,0,0,'Données projet'!$E$14+1,1))-AVERAGE(OFFSET($H$3,0,0,'Données projet'!$E$14+1,1))</f>
        <v>432.59662347701629</v>
      </c>
      <c r="DU96" s="62">
        <f t="shared" si="98"/>
        <v>348.67401091099748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projet'!$B$14,Paramètres!$A$1:$I$88,3,0)*0.475*44/12</f>
        <v>48.607251778265081</v>
      </c>
      <c r="EB96" s="23">
        <f>EXP(-LN(2)/25)*EB95+(1-EXP(-LN(2)/25))/(LN(2)/25)*Calculateur!DW96*Calculateur!DY96*VLOOKUP('Données projet'!$B$14,Paramètres!$A$1:$I$88,3,0)*0.475*44/12</f>
        <v>48.489200842776327</v>
      </c>
      <c r="EC96" s="23">
        <f>EXP(-LN(2)/2)*EC95+(1-EXP(-LN(2)/2))/(LN(2)/2)*DW96*DZ96*VLOOKUP('Données projet'!$B$14,Paramètres!$A$1:$I$88,3,0)*0.475*44/12</f>
        <v>0</v>
      </c>
      <c r="ED96" s="24">
        <f t="shared" si="72"/>
        <v>97.096452621041408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1099.9999999999998</v>
      </c>
      <c r="EK96" s="18">
        <f>EJ96*VLOOKUP('Données projet'!$B$15,Paramètres!$A$1:$I$88,3,0)*VLOOKUP('Données projet'!$B$15,Paramètres!$A$1:$I$88,5,0)</f>
        <v>486.19999999999993</v>
      </c>
      <c r="EL96" s="14">
        <f t="shared" si="99"/>
        <v>109.0490179035375</v>
      </c>
      <c r="EM96" s="22">
        <f t="shared" si="73"/>
        <v>1036.725372848661</v>
      </c>
      <c r="EN96" s="62">
        <f t="shared" si="74"/>
        <v>1312.0535385204969</v>
      </c>
      <c r="EO96" s="62">
        <f ca="1">AVERAGE(OFFSET($EN$3,0,0,'Données projet'!$E$15+1,1))-AVERAGE(OFFSET($H$3,0,0,'Données projet'!$E$15+1,1))</f>
        <v>582.26951914082088</v>
      </c>
      <c r="EP96" s="62">
        <f t="shared" si="100"/>
        <v>434.80429932654715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projet'!$B$15,Paramètres!$A$1:$I$88,3,0)*0.475*44/12</f>
        <v>48.978543368961169</v>
      </c>
      <c r="EW96" s="23">
        <f>EXP(-LN(2)/25)*EW95+(1-EXP(-LN(2)/25))/(LN(2)/25)*Calculateur!ER96*Calculateur!ET96*VLOOKUP('Données projet'!$B$15,Paramètres!$A$1:$I$88,3,0)*0.475*44/12</f>
        <v>43.571321287962917</v>
      </c>
      <c r="EX96" s="23">
        <f>EXP(-LN(2)/2)*EX95+(1-EXP(-LN(2)/2))/(LN(2)/2)*ER96*EU96*VLOOKUP('Données projet'!$B$15,Paramètres!$A$1:$I$88,3,0)*0.475*44/12</f>
        <v>0</v>
      </c>
      <c r="EY96" s="24">
        <f t="shared" si="75"/>
        <v>92.549864656924086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15</v>
      </c>
      <c r="FE96" s="13">
        <f>IF('Données projet'!$A$218&gt;35,FE95+FD96-FM95,IF(A96&lt;'Données projet'!$A$218,$FB$205^A96,IF(A96='Données projet'!$A$218,'Données projet'!$B$218,FE95+FD96-FM95)))</f>
        <v>749.99999999999989</v>
      </c>
      <c r="FF96" s="18">
        <f>FE96*VLOOKUP('Données projet'!$B$16,Paramètres!$A$1:$I$88,3,0)*VLOOKUP('Données projet'!$B$16,Paramètres!$A$1:$I$88,5,0)</f>
        <v>350.99999999999994</v>
      </c>
      <c r="FG96" s="14">
        <f t="shared" si="101"/>
        <v>81.768387419963787</v>
      </c>
      <c r="FH96" s="22">
        <f t="shared" si="76"/>
        <v>753.73827475643691</v>
      </c>
      <c r="FI96" s="62">
        <f t="shared" si="77"/>
        <v>1029.0664404282729</v>
      </c>
      <c r="FJ96" s="62">
        <f ca="1">AVERAGE(OFFSET($FI$3,0,0,'Données projet'!$E$16+1,1))-AVERAGE(OFFSET($H$3,0,0,'Données projet'!$E$16+1,1))</f>
        <v>429.87867712133851</v>
      </c>
      <c r="FK96" s="62">
        <f t="shared" si="102"/>
        <v>182.81277865988014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projet'!$B$16,Paramètres!$A$1:$I$88,3,0)*0.475*44/12</f>
        <v>58.412774069935487</v>
      </c>
      <c r="FR96" s="23">
        <f>EXP(-LN(2)/25)*FR95+(1-EXP(-LN(2)/25))/(LN(2)/25)*Calculateur!FM96*Calculateur!FO96*VLOOKUP('Données projet'!$B$16,Paramètres!$A$1:$I$88,3,0)*0.475*44/12</f>
        <v>55.23410925151218</v>
      </c>
      <c r="FS96" s="23">
        <f>EXP(-LN(2)/2)*FS95+(1-EXP(-LN(2)/2))/(LN(2)/2)*FM96*FP96*VLOOKUP('Données projet'!$B$16,Paramètres!$A$1:$I$88,3,0)*0.475*44/12</f>
        <v>0</v>
      </c>
      <c r="FT96" s="24">
        <f t="shared" si="78"/>
        <v>113.64688332144766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498.99999999999955</v>
      </c>
      <c r="GA96" s="18">
        <f>FZ96*VLOOKUP('Données projet'!$B$17,Paramètres!$A$1:$I$88,3,0)*VLOOKUP('Données projet'!$B$17,Paramètres!$A$1:$I$88,5,0)</f>
        <v>240.01899999999978</v>
      </c>
      <c r="GB96" s="14">
        <f t="shared" si="103"/>
        <v>58.443618405936313</v>
      </c>
      <c r="GC96" s="22">
        <f t="shared" si="79"/>
        <v>519.82239372367201</v>
      </c>
      <c r="GD96" s="62">
        <f t="shared" si="80"/>
        <v>795.15055939550803</v>
      </c>
      <c r="GE96" s="62">
        <f ca="1">AVERAGE(OFFSET($GD$3,0,0,'Données projet'!$E$17+1,1))-AVERAGE(OFFSET($H$3,0,0,'Données projet'!$E$17+1,1))</f>
        <v>273.24375559399846</v>
      </c>
      <c r="GF96" s="62">
        <f t="shared" si="104"/>
        <v>270.77718895097848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projet'!$B$17,Paramètres!$A$1:$I$88,3,0)*0.475*44/12</f>
        <v>25.011128088071906</v>
      </c>
      <c r="GM96" s="23">
        <f>EXP(-LN(2)/25)*GM95+(1-EXP(-LN(2)/25))/(LN(2)/25)*Calculateur!GH96*Calculateur!GJ96*VLOOKUP('Données projet'!$B$17,Paramètres!$A$1:$I$88,3,0)*0.475*44/12</f>
        <v>21.251186173374858</v>
      </c>
      <c r="GN96" s="23">
        <f>EXP(-LN(2)/2)*GN95+(1-EXP(-LN(2)/2))/(LN(2)/2)*GH96*GK96*VLOOKUP('Données projet'!$B$17,Paramètres!$A$1:$I$88,3,0)*0.475*44/12</f>
        <v>0</v>
      </c>
      <c r="GO96" s="23">
        <f t="shared" si="81"/>
        <v>46.262314261446761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550.99999999999966</v>
      </c>
      <c r="O97" s="14">
        <f>N97*VLOOKUP('Données projet'!$B$9,Paramètres!$A$1:$I$88,3,0)*VLOOKUP('Données projet'!$B$9,Paramètres!$A$1:$I$88,5,0)</f>
        <v>308.00899999999979</v>
      </c>
      <c r="P97" s="14">
        <f t="shared" si="87"/>
        <v>72.852874331417695</v>
      </c>
      <c r="Q97" s="22">
        <f t="shared" si="54"/>
        <v>663.33443112721886</v>
      </c>
      <c r="R97" s="62">
        <f t="shared" si="55"/>
        <v>938.97494620445741</v>
      </c>
      <c r="S97" s="62">
        <f ca="1">AVERAGE(OFFSET($R$3,0,0,'Données projet'!$E$9+1,1))-AVERAGE(OFFSET($H$3,0,0,'Données projet'!$E$9+1,1))</f>
        <v>289.94242154211224</v>
      </c>
      <c r="T97" s="62">
        <f t="shared" si="88"/>
        <v>369.12599166143661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37.624362110002807</v>
      </c>
      <c r="AA97" s="23">
        <f>EXP(-LN(2)/25)*AA96+(1-EXP(-LN(2)/25))/(LN(2)/25)*Calculateur!V97*Calculateur!X97*VLOOKUP('Données projet'!$B$9,Paramètres!$A$1:$I$88,3,0)*0.475*44/12</f>
        <v>26.032438435075928</v>
      </c>
      <c r="AB97" s="23">
        <f>EXP(-LN(2)/2)*AB96+(1-EXP(-LN(2)/2))/(LN(2)/2)*V97*Y97*VLOOKUP('Données projet'!$B$9,Paramètres!$A$1:$I$88,3,0)*0.475*44/12</f>
        <v>0</v>
      </c>
      <c r="AC97" s="24">
        <f t="shared" si="57"/>
        <v>63.656800545078738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6.75</v>
      </c>
      <c r="AI97" s="14">
        <f>IF('Données projet'!$A$62&gt;35,AI96+AH97-AQ96,IF(A97&lt;'Données projet'!$A$62,$AF$205^A97,IF(A97='Données projet'!$A$62,'Données projet'!$B$62,AI96+AH97-AQ96)))</f>
        <v>250.75</v>
      </c>
      <c r="AJ97" s="14">
        <f>AI97*VLOOKUP('Données projet'!$B$10,Paramètres!$A$1:$I$88,3,0)*VLOOKUP('Données projet'!$B$10,Paramètres!$A$1:$I$88,5,0)</f>
        <v>226.87860000000001</v>
      </c>
      <c r="AK97" s="14">
        <f t="shared" si="89"/>
        <v>55.60722607580724</v>
      </c>
      <c r="AL97" s="22">
        <f t="shared" si="58"/>
        <v>491.99614708203103</v>
      </c>
      <c r="AM97" s="62">
        <f t="shared" si="59"/>
        <v>767.63666215926946</v>
      </c>
      <c r="AN97" s="62">
        <f ca="1">AVERAGE(OFFSET($AM$3,0,0,'Données projet'!$E$10+1,1))-AVERAGE(OFFSET($H$3,0,0,'Données projet'!$E$10+1,1))</f>
        <v>518.31628039365785</v>
      </c>
      <c r="AO97" s="62">
        <f t="shared" si="90"/>
        <v>66.435071953154761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22.044236394336242</v>
      </c>
      <c r="AV97" s="23">
        <f>EXP(-LN(2)/25)*AV96+(1-EXP(-LN(2)/25))/(LN(2)/25)*Calculateur!AQ97*Calculateur!AS97*VLOOKUP('Données projet'!$B$10,Paramètres!$A$1:$I$88,3,0)*0.475*44/12</f>
        <v>0</v>
      </c>
      <c r="AW97" s="23">
        <f>EXP(-LN(2)/2)*AW96+(1-EXP(-LN(2)/2))/(LN(2)/2)*AQ97*AT97*VLOOKUP('Données projet'!$B$10,Paramètres!$A$1:$I$88,3,0)*0.475*44/12</f>
        <v>0</v>
      </c>
      <c r="AX97" s="23">
        <f t="shared" si="60"/>
        <v>22.044236394336242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6.75</v>
      </c>
      <c r="BD97" s="13">
        <f>IF('Données projet'!$A$88&gt;35,BD96+BC97-BL96,IF(A97&lt;'Données projet'!$A$88,$BA$205^A97,IF(A97='Données projet'!$A$88,'Données projet'!$B$88,BD96+BC97-BL96)))</f>
        <v>250.75</v>
      </c>
      <c r="BE97" s="14">
        <f>BD97*VLOOKUP('Données projet'!$B$11,Paramètres!$A$1:$I$88,3,0)*VLOOKUP('Données projet'!$B$11,Paramètres!$A$1:$I$88,5,0)</f>
        <v>254.26050000000004</v>
      </c>
      <c r="BF97" s="14">
        <f t="shared" si="91"/>
        <v>61.497363610087667</v>
      </c>
      <c r="BG97" s="22">
        <f t="shared" si="61"/>
        <v>549.9449457875694</v>
      </c>
      <c r="BH97" s="62">
        <f t="shared" si="62"/>
        <v>825.58546086480783</v>
      </c>
      <c r="BI97" s="62">
        <f ca="1">AVERAGE(OFFSET($BH$3,0,0,'Données projet'!$E$11+1,1))-AVERAGE(OFFSET($H$3,0,0,'Données projet'!$E$11+1,1))</f>
        <v>570.2785736203931</v>
      </c>
      <c r="BJ97" s="62">
        <f t="shared" si="92"/>
        <v>67.677759965081719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24.704747683307872</v>
      </c>
      <c r="BQ97" s="23">
        <f>EXP(-LN(2)/25)*BQ96+(1-EXP(-LN(2)/25))/(LN(2)/25)*Calculateur!BL97*Calculateur!BN97*VLOOKUP('Données projet'!$B$11,Paramètres!$A$1:$I$88,3,0)*0.475*44/12</f>
        <v>0</v>
      </c>
      <c r="BR97" s="23">
        <f>EXP(-LN(2)/2)*BR96+(1-EXP(-LN(2)/2))/(LN(2)/2)*BL97*BO97*VLOOKUP('Données projet'!$B$11,Paramètres!$A$1:$I$88,3,0)*0.475*44/12</f>
        <v>0</v>
      </c>
      <c r="BS97" s="24">
        <f t="shared" si="63"/>
        <v>24.704747683307872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544.19999999999982</v>
      </c>
      <c r="BZ97" s="14">
        <f>BY97*VLOOKUP('Données projet'!$B$12,Paramètres!$A$1:$I$88,3,0)*VLOOKUP('Données projet'!$B$12,Paramètres!$A$1:$I$88,5,0)</f>
        <v>325.43159999999995</v>
      </c>
      <c r="CA97" s="14">
        <f t="shared" si="93"/>
        <v>76.482394221016762</v>
      </c>
      <c r="CB97" s="22">
        <f t="shared" si="64"/>
        <v>700.00020660160408</v>
      </c>
      <c r="CC97" s="62">
        <f t="shared" si="65"/>
        <v>975.64072167884251</v>
      </c>
      <c r="CD97" s="62">
        <f ca="1">AVERAGE(OFFSET($CC$3,0,0,'Données projet'!$E$12+1,1))-AVERAGE(OFFSET($H$3,0,0,'Données projet'!$E$12+1,1))</f>
        <v>401.1031790385295</v>
      </c>
      <c r="CE97" s="62">
        <f t="shared" si="94"/>
        <v>402.09589424130615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projet'!$B$12,Paramètres!$A$1:$I$88,3,0)*0.475*44/12</f>
        <v>10.578838489611689</v>
      </c>
      <c r="CL97" s="23">
        <f>EXP(-LN(2)/25)*CL96+(1-EXP(-LN(2)/25))/(LN(2)/25)*Calculateur!CG97*Calculateur!CI97*VLOOKUP('Données projet'!$B$12,Paramètres!$A$1:$I$88,3,0)*0.475*44/12</f>
        <v>0</v>
      </c>
      <c r="CM97" s="23">
        <f>EXP(-LN(2)/2)*CM96+(1-EXP(-LN(2)/2))/(LN(2)/2)*CG97*CJ97*VLOOKUP('Données projet'!$B$12,Paramètres!$A$1:$I$88,3,0)*0.475*44/12</f>
        <v>3.1672462698712011E-5</v>
      </c>
      <c r="CN97" s="24">
        <f t="shared" si="66"/>
        <v>10.578870162074388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544.19999999999982</v>
      </c>
      <c r="CU97" s="18">
        <f>CT97*VLOOKUP('Données projet'!$B$13,Paramètres!$A$1:$I$88,3,0)*VLOOKUP('Données projet'!$B$13,Paramètres!$A$1:$I$88,5,0)</f>
        <v>325.43159999999995</v>
      </c>
      <c r="CV97" s="14">
        <f t="shared" si="95"/>
        <v>76.482394221016762</v>
      </c>
      <c r="CW97" s="22">
        <f t="shared" si="67"/>
        <v>700.00020660160408</v>
      </c>
      <c r="CX97" s="62">
        <f t="shared" si="68"/>
        <v>975.64072167884251</v>
      </c>
      <c r="CY97" s="62">
        <f ca="1">AVERAGE(OFFSET($CX$3,0,0,'Données projet'!$E$13+1,1))-AVERAGE(OFFSET($H$3,0,0,'Données projet'!$E$13+1,1))</f>
        <v>401.1031790385295</v>
      </c>
      <c r="CZ97" s="62">
        <f t="shared" si="96"/>
        <v>402.09589424130615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projet'!$B$13,Paramètres!$A$1:$I$88,3,0)*0.475*44/12</f>
        <v>10.578838489611689</v>
      </c>
      <c r="DG97" s="23">
        <f>EXP(-LN(2)/25)*DG96+(1-EXP(-LN(2)/25))/(LN(2)/25)*Calculateur!DB97*Calculateur!DD97*VLOOKUP('Données projet'!$B$13,Paramètres!$A$1:$I$88,3,0)*0.475*44/12</f>
        <v>0</v>
      </c>
      <c r="DH97" s="23">
        <f>EXP(-LN(2)/2)*DH96+(1-EXP(-LN(2)/2))/(LN(2)/2)*DB97*DE97*VLOOKUP('Données projet'!$B$13,Paramètres!$A$1:$I$88,3,0)*0.475*44/12</f>
        <v>3.1672462698712011E-5</v>
      </c>
      <c r="DI97" s="24">
        <f t="shared" si="69"/>
        <v>10.578870162074388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860.00000000000023</v>
      </c>
      <c r="DP97" s="18">
        <f>DO97*VLOOKUP('Données projet'!$B$14,Paramètres!$A$1:$I$88,3,0)*VLOOKUP('Données projet'!$B$14,Paramètres!$A$1:$I$88,5,0)</f>
        <v>346.5800000000001</v>
      </c>
      <c r="DQ97" s="14">
        <f t="shared" si="97"/>
        <v>80.857895771535127</v>
      </c>
      <c r="DR97" s="22">
        <f t="shared" si="70"/>
        <v>744.45433513542378</v>
      </c>
      <c r="DS97" s="62">
        <f t="shared" si="71"/>
        <v>1020.0948502126623</v>
      </c>
      <c r="DT97" s="62">
        <f ca="1">AVERAGE(OFFSET($DS$3,0,0,'Données projet'!$E$14+1,1))-AVERAGE(OFFSET($H$3,0,0,'Données projet'!$E$14+1,1))</f>
        <v>432.59662347701629</v>
      </c>
      <c r="DU97" s="62">
        <f t="shared" si="98"/>
        <v>348.67401091099748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projet'!$B$14,Paramètres!$A$1:$I$88,3,0)*0.475*44/12</f>
        <v>47.654093218389441</v>
      </c>
      <c r="EB97" s="23">
        <f>EXP(-LN(2)/25)*EB96+(1-EXP(-LN(2)/25))/(LN(2)/25)*Calculateur!DW97*Calculateur!DY97*VLOOKUP('Données projet'!$B$14,Paramètres!$A$1:$I$88,3,0)*0.475*44/12</f>
        <v>47.163261095794361</v>
      </c>
      <c r="EC97" s="23">
        <f>EXP(-LN(2)/2)*EC96+(1-EXP(-LN(2)/2))/(LN(2)/2)*DW97*DZ97*VLOOKUP('Données projet'!$B$14,Paramètres!$A$1:$I$88,3,0)*0.475*44/12</f>
        <v>0</v>
      </c>
      <c r="ED97" s="24">
        <f t="shared" si="72"/>
        <v>94.817354314183802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1099.9999999999998</v>
      </c>
      <c r="EK97" s="18">
        <f>EJ97*VLOOKUP('Données projet'!$B$15,Paramètres!$A$1:$I$88,3,0)*VLOOKUP('Données projet'!$B$15,Paramètres!$A$1:$I$88,5,0)</f>
        <v>486.19999999999993</v>
      </c>
      <c r="EL97" s="14">
        <f t="shared" si="99"/>
        <v>109.0490179035375</v>
      </c>
      <c r="EM97" s="22">
        <f t="shared" si="73"/>
        <v>1036.725372848661</v>
      </c>
      <c r="EN97" s="62">
        <f t="shared" si="74"/>
        <v>1312.3658879258994</v>
      </c>
      <c r="EO97" s="62">
        <f ca="1">AVERAGE(OFFSET($EN$3,0,0,'Données projet'!$E$15+1,1))-AVERAGE(OFFSET($H$3,0,0,'Données projet'!$E$15+1,1))</f>
        <v>582.26951914082088</v>
      </c>
      <c r="EP97" s="62">
        <f t="shared" si="100"/>
        <v>434.80429932654715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projet'!$B$15,Paramètres!$A$1:$I$88,3,0)*0.475*44/12</f>
        <v>48.018104007457488</v>
      </c>
      <c r="EW97" s="23">
        <f>EXP(-LN(2)/25)*EW96+(1-EXP(-LN(2)/25))/(LN(2)/25)*Calculateur!ER97*Calculateur!ET97*VLOOKUP('Données projet'!$B$15,Paramètres!$A$1:$I$88,3,0)*0.475*44/12</f>
        <v>42.379861216027365</v>
      </c>
      <c r="EX97" s="23">
        <f>EXP(-LN(2)/2)*EX96+(1-EXP(-LN(2)/2))/(LN(2)/2)*ER97*EU97*VLOOKUP('Données projet'!$B$15,Paramètres!$A$1:$I$88,3,0)*0.475*44/12</f>
        <v>0</v>
      </c>
      <c r="EY97" s="24">
        <f t="shared" si="75"/>
        <v>90.397965223484846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15</v>
      </c>
      <c r="FE97" s="13">
        <f>IF('Données projet'!$A$218&gt;35,FE96+FD97-FM96,IF(A97&lt;'Données projet'!$A$218,$FB$205^A97,IF(A97='Données projet'!$A$218,'Données projet'!$B$218,FE96+FD97-FM96)))</f>
        <v>764.99999999999989</v>
      </c>
      <c r="FF97" s="18">
        <f>FE97*VLOOKUP('Données projet'!$B$16,Paramètres!$A$1:$I$88,3,0)*VLOOKUP('Données projet'!$B$16,Paramètres!$A$1:$I$88,5,0)</f>
        <v>358.02</v>
      </c>
      <c r="FG97" s="14">
        <f t="shared" si="101"/>
        <v>83.211728757381735</v>
      </c>
      <c r="FH97" s="22">
        <f t="shared" si="76"/>
        <v>768.47859425243985</v>
      </c>
      <c r="FI97" s="62">
        <f t="shared" si="77"/>
        <v>1044.1191093296784</v>
      </c>
      <c r="FJ97" s="62">
        <f ca="1">AVERAGE(OFFSET($FI$3,0,0,'Données projet'!$E$16+1,1))-AVERAGE(OFFSET($H$3,0,0,'Données projet'!$E$16+1,1))</f>
        <v>429.87867712133851</v>
      </c>
      <c r="FK97" s="62">
        <f t="shared" si="102"/>
        <v>182.81277865988014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projet'!$B$16,Paramètres!$A$1:$I$88,3,0)*0.475*44/12</f>
        <v>57.267335198698234</v>
      </c>
      <c r="FR97" s="23">
        <f>EXP(-LN(2)/25)*FR96+(1-EXP(-LN(2)/25))/(LN(2)/25)*Calculateur!FM97*Calculateur!FO97*VLOOKUP('Données projet'!$B$16,Paramètres!$A$1:$I$88,3,0)*0.475*44/12</f>
        <v>53.723729629394015</v>
      </c>
      <c r="FS97" s="23">
        <f>EXP(-LN(2)/2)*FS96+(1-EXP(-LN(2)/2))/(LN(2)/2)*FM97*FP97*VLOOKUP('Données projet'!$B$16,Paramètres!$A$1:$I$88,3,0)*0.475*44/12</f>
        <v>0</v>
      </c>
      <c r="FT97" s="24">
        <f t="shared" si="78"/>
        <v>110.99106482809225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498.99999999999955</v>
      </c>
      <c r="GA97" s="18">
        <f>FZ97*VLOOKUP('Données projet'!$B$17,Paramètres!$A$1:$I$88,3,0)*VLOOKUP('Données projet'!$B$17,Paramètres!$A$1:$I$88,5,0)</f>
        <v>240.01899999999978</v>
      </c>
      <c r="GB97" s="14">
        <f t="shared" si="103"/>
        <v>58.443618405936313</v>
      </c>
      <c r="GC97" s="22">
        <f t="shared" si="79"/>
        <v>519.82239372367201</v>
      </c>
      <c r="GD97" s="62">
        <f t="shared" si="80"/>
        <v>795.46290880091055</v>
      </c>
      <c r="GE97" s="62">
        <f ca="1">AVERAGE(OFFSET($GD$3,0,0,'Données projet'!$E$17+1,1))-AVERAGE(OFFSET($H$3,0,0,'Données projet'!$E$17+1,1))</f>
        <v>273.24375559399846</v>
      </c>
      <c r="GF97" s="62">
        <f t="shared" si="104"/>
        <v>270.77718895097848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projet'!$B$17,Paramètres!$A$1:$I$88,3,0)*0.475*44/12</f>
        <v>24.520675121546617</v>
      </c>
      <c r="GM97" s="23">
        <f>EXP(-LN(2)/25)*GM96+(1-EXP(-LN(2)/25))/(LN(2)/25)*Calculateur!GH97*Calculateur!GJ97*VLOOKUP('Données projet'!$B$17,Paramètres!$A$1:$I$88,3,0)*0.475*44/12</f>
        <v>20.670071369912613</v>
      </c>
      <c r="GN97" s="23">
        <f>EXP(-LN(2)/2)*GN96+(1-EXP(-LN(2)/2))/(LN(2)/2)*GH97*GK97*VLOOKUP('Données projet'!$B$17,Paramètres!$A$1:$I$88,3,0)*0.475*44/12</f>
        <v>0</v>
      </c>
      <c r="GO97" s="23">
        <f t="shared" si="81"/>
        <v>45.19074649145923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550.99999999999966</v>
      </c>
      <c r="O98" s="14">
        <f>N98*VLOOKUP('Données projet'!$B$9,Paramètres!$A$1:$I$88,3,0)*VLOOKUP('Données projet'!$B$9,Paramètres!$A$1:$I$88,5,0)</f>
        <v>308.00899999999979</v>
      </c>
      <c r="P98" s="14">
        <f t="shared" si="87"/>
        <v>72.852874331417695</v>
      </c>
      <c r="Q98" s="22">
        <f t="shared" si="54"/>
        <v>663.33443112721886</v>
      </c>
      <c r="R98" s="62">
        <f t="shared" si="55"/>
        <v>939.28187704598486</v>
      </c>
      <c r="S98" s="62">
        <f ca="1">AVERAGE(OFFSET($R$3,0,0,'Données projet'!$E$9+1,1))-AVERAGE(OFFSET($H$3,0,0,'Données projet'!$E$9+1,1))</f>
        <v>289.94242154211224</v>
      </c>
      <c r="T98" s="62">
        <f t="shared" si="88"/>
        <v>369.12599166143661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36.88657131762055</v>
      </c>
      <c r="AA98" s="23">
        <f>EXP(-LN(2)/25)*AA97+(1-EXP(-LN(2)/25))/(LN(2)/25)*Calculateur!V98*Calculateur!X98*VLOOKUP('Données projet'!$B$9,Paramètres!$A$1:$I$88,3,0)*0.475*44/12</f>
        <v>25.320580037082337</v>
      </c>
      <c r="AB98" s="23">
        <f>EXP(-LN(2)/2)*AB97+(1-EXP(-LN(2)/2))/(LN(2)/2)*V98*Y98*VLOOKUP('Données projet'!$B$9,Paramètres!$A$1:$I$88,3,0)*0.475*44/12</f>
        <v>0</v>
      </c>
      <c r="AC98" s="24">
        <f t="shared" si="57"/>
        <v>62.207151354702887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6.75</v>
      </c>
      <c r="AI98" s="14">
        <f>IF('Données projet'!$A$62&gt;35,AI97+AH98-AQ97,IF(A98&lt;'Données projet'!$A$62,$AF$205^A98,IF(A98='Données projet'!$A$62,'Données projet'!$B$62,AI97+AH98-AQ97)))</f>
        <v>257.5</v>
      </c>
      <c r="AJ98" s="14">
        <f>AI98*VLOOKUP('Données projet'!$B$10,Paramètres!$A$1:$I$88,3,0)*VLOOKUP('Données projet'!$B$10,Paramètres!$A$1:$I$88,5,0)</f>
        <v>232.98599999999999</v>
      </c>
      <c r="AK98" s="14">
        <f t="shared" si="89"/>
        <v>56.927839044655315</v>
      </c>
      <c r="AL98" s="22">
        <f t="shared" si="58"/>
        <v>504.93326966944136</v>
      </c>
      <c r="AM98" s="62">
        <f t="shared" si="59"/>
        <v>780.88071558820729</v>
      </c>
      <c r="AN98" s="62">
        <f ca="1">AVERAGE(OFFSET($AM$3,0,0,'Données projet'!$E$10+1,1))-AVERAGE(OFFSET($H$3,0,0,'Données projet'!$E$10+1,1))</f>
        <v>518.31628039365785</v>
      </c>
      <c r="AO98" s="62">
        <f t="shared" si="90"/>
        <v>66.435071953154761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21.61196236429986</v>
      </c>
      <c r="AV98" s="23">
        <f>EXP(-LN(2)/25)*AV97+(1-EXP(-LN(2)/25))/(LN(2)/25)*Calculateur!AQ98*Calculateur!AS98*VLOOKUP('Données projet'!$B$10,Paramètres!$A$1:$I$88,3,0)*0.475*44/12</f>
        <v>0</v>
      </c>
      <c r="AW98" s="23">
        <f>EXP(-LN(2)/2)*AW97+(1-EXP(-LN(2)/2))/(LN(2)/2)*AQ98*AT98*VLOOKUP('Données projet'!$B$10,Paramètres!$A$1:$I$88,3,0)*0.475*44/12</f>
        <v>0</v>
      </c>
      <c r="AX98" s="23">
        <f t="shared" si="60"/>
        <v>21.61196236429986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6.75</v>
      </c>
      <c r="BD98" s="13">
        <f>IF('Données projet'!$A$88&gt;35,BD97+BC98-BL97,IF(A98&lt;'Données projet'!$A$88,$BA$205^A98,IF(A98='Données projet'!$A$88,'Données projet'!$B$88,BD97+BC98-BL97)))</f>
        <v>257.5</v>
      </c>
      <c r="BE98" s="14">
        <f>BD98*VLOOKUP('Données projet'!$B$11,Paramètres!$A$1:$I$88,3,0)*VLOOKUP('Données projet'!$B$11,Paramètres!$A$1:$I$88,5,0)</f>
        <v>261.10500000000002</v>
      </c>
      <c r="BF98" s="14">
        <f t="shared" si="91"/>
        <v>62.957861132886798</v>
      </c>
      <c r="BG98" s="22">
        <f t="shared" si="61"/>
        <v>564.40948313977788</v>
      </c>
      <c r="BH98" s="62">
        <f t="shared" si="62"/>
        <v>840.35692905854376</v>
      </c>
      <c r="BI98" s="62">
        <f ca="1">AVERAGE(OFFSET($BH$3,0,0,'Données projet'!$E$11+1,1))-AVERAGE(OFFSET($H$3,0,0,'Données projet'!$E$11+1,1))</f>
        <v>570.2785736203931</v>
      </c>
      <c r="BJ98" s="62">
        <f t="shared" si="92"/>
        <v>67.677759965081719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24.22030264964641</v>
      </c>
      <c r="BQ98" s="23">
        <f>EXP(-LN(2)/25)*BQ97+(1-EXP(-LN(2)/25))/(LN(2)/25)*Calculateur!BL98*Calculateur!BN98*VLOOKUP('Données projet'!$B$11,Paramètres!$A$1:$I$88,3,0)*0.475*44/12</f>
        <v>0</v>
      </c>
      <c r="BR98" s="23">
        <f>EXP(-LN(2)/2)*BR97+(1-EXP(-LN(2)/2))/(LN(2)/2)*BL98*BO98*VLOOKUP('Données projet'!$B$11,Paramètres!$A$1:$I$88,3,0)*0.475*44/12</f>
        <v>0</v>
      </c>
      <c r="BS98" s="24">
        <f t="shared" si="63"/>
        <v>24.22030264964641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544.19999999999982</v>
      </c>
      <c r="BZ98" s="14">
        <f>BY98*VLOOKUP('Données projet'!$B$12,Paramètres!$A$1:$I$88,3,0)*VLOOKUP('Données projet'!$B$12,Paramètres!$A$1:$I$88,5,0)</f>
        <v>325.43159999999995</v>
      </c>
      <c r="CA98" s="14">
        <f t="shared" si="93"/>
        <v>76.482394221016762</v>
      </c>
      <c r="CB98" s="22">
        <f t="shared" si="64"/>
        <v>700.00020660160408</v>
      </c>
      <c r="CC98" s="62">
        <f t="shared" si="65"/>
        <v>975.94765252036996</v>
      </c>
      <c r="CD98" s="62">
        <f ca="1">AVERAGE(OFFSET($CC$3,0,0,'Données projet'!$E$12+1,1))-AVERAGE(OFFSET($H$3,0,0,'Données projet'!$E$12+1,1))</f>
        <v>401.1031790385295</v>
      </c>
      <c r="CE98" s="62">
        <f t="shared" si="94"/>
        <v>402.09589424130615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projet'!$B$12,Paramètres!$A$1:$I$88,3,0)*0.475*44/12</f>
        <v>10.371393919284756</v>
      </c>
      <c r="CL98" s="23">
        <f>EXP(-LN(2)/25)*CL97+(1-EXP(-LN(2)/25))/(LN(2)/25)*Calculateur!CG98*Calculateur!CI98*VLOOKUP('Données projet'!$B$12,Paramètres!$A$1:$I$88,3,0)*0.475*44/12</f>
        <v>0</v>
      </c>
      <c r="CM98" s="23">
        <f>EXP(-LN(2)/2)*CM97+(1-EXP(-LN(2)/2))/(LN(2)/2)*CG98*CJ98*VLOOKUP('Données projet'!$B$12,Paramètres!$A$1:$I$88,3,0)*0.475*44/12</f>
        <v>2.2395813151137243E-5</v>
      </c>
      <c r="CN98" s="24">
        <f t="shared" si="66"/>
        <v>10.371416315097907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544.19999999999982</v>
      </c>
      <c r="CU98" s="18">
        <f>CT98*VLOOKUP('Données projet'!$B$13,Paramètres!$A$1:$I$88,3,0)*VLOOKUP('Données projet'!$B$13,Paramètres!$A$1:$I$88,5,0)</f>
        <v>325.43159999999995</v>
      </c>
      <c r="CV98" s="14">
        <f t="shared" si="95"/>
        <v>76.482394221016762</v>
      </c>
      <c r="CW98" s="22">
        <f t="shared" si="67"/>
        <v>700.00020660160408</v>
      </c>
      <c r="CX98" s="62">
        <f t="shared" si="68"/>
        <v>975.94765252036996</v>
      </c>
      <c r="CY98" s="62">
        <f ca="1">AVERAGE(OFFSET($CX$3,0,0,'Données projet'!$E$13+1,1))-AVERAGE(OFFSET($H$3,0,0,'Données projet'!$E$13+1,1))</f>
        <v>401.1031790385295</v>
      </c>
      <c r="CZ98" s="62">
        <f t="shared" si="96"/>
        <v>402.09589424130615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projet'!$B$13,Paramètres!$A$1:$I$88,3,0)*0.475*44/12</f>
        <v>10.371393919284756</v>
      </c>
      <c r="DG98" s="23">
        <f>EXP(-LN(2)/25)*DG97+(1-EXP(-LN(2)/25))/(LN(2)/25)*Calculateur!DB98*Calculateur!DD98*VLOOKUP('Données projet'!$B$13,Paramètres!$A$1:$I$88,3,0)*0.475*44/12</f>
        <v>0</v>
      </c>
      <c r="DH98" s="23">
        <f>EXP(-LN(2)/2)*DH97+(1-EXP(-LN(2)/2))/(LN(2)/2)*DB98*DE98*VLOOKUP('Données projet'!$B$13,Paramètres!$A$1:$I$88,3,0)*0.475*44/12</f>
        <v>2.2395813151137243E-5</v>
      </c>
      <c r="DI98" s="24">
        <f t="shared" si="69"/>
        <v>10.371416315097907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860.00000000000023</v>
      </c>
      <c r="DP98" s="18">
        <f>DO98*VLOOKUP('Données projet'!$B$14,Paramètres!$A$1:$I$88,3,0)*VLOOKUP('Données projet'!$B$14,Paramètres!$A$1:$I$88,5,0)</f>
        <v>346.5800000000001</v>
      </c>
      <c r="DQ98" s="14">
        <f t="shared" si="97"/>
        <v>80.857895771535127</v>
      </c>
      <c r="DR98" s="22">
        <f t="shared" si="70"/>
        <v>744.45433513542378</v>
      </c>
      <c r="DS98" s="62">
        <f t="shared" si="71"/>
        <v>1020.4017810541898</v>
      </c>
      <c r="DT98" s="62">
        <f ca="1">AVERAGE(OFFSET($DS$3,0,0,'Données projet'!$E$14+1,1))-AVERAGE(OFFSET($H$3,0,0,'Données projet'!$E$14+1,1))</f>
        <v>432.59662347701629</v>
      </c>
      <c r="DU98" s="62">
        <f t="shared" si="98"/>
        <v>348.67401091099748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projet'!$B$14,Paramètres!$A$1:$I$88,3,0)*0.475*44/12</f>
        <v>46.719625516503648</v>
      </c>
      <c r="EB98" s="23">
        <f>EXP(-LN(2)/25)*EB97+(1-EXP(-LN(2)/25))/(LN(2)/25)*Calculateur!DW98*Calculateur!DY98*VLOOKUP('Données projet'!$B$14,Paramètres!$A$1:$I$88,3,0)*0.475*44/12</f>
        <v>45.873579240921757</v>
      </c>
      <c r="EC98" s="23">
        <f>EXP(-LN(2)/2)*EC97+(1-EXP(-LN(2)/2))/(LN(2)/2)*DW98*DZ98*VLOOKUP('Données projet'!$B$14,Paramètres!$A$1:$I$88,3,0)*0.475*44/12</f>
        <v>0</v>
      </c>
      <c r="ED98" s="24">
        <f t="shared" si="72"/>
        <v>92.593204757425411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1099.9999999999998</v>
      </c>
      <c r="EK98" s="18">
        <f>EJ98*VLOOKUP('Données projet'!$B$15,Paramètres!$A$1:$I$88,3,0)*VLOOKUP('Données projet'!$B$15,Paramètres!$A$1:$I$88,5,0)</f>
        <v>486.19999999999993</v>
      </c>
      <c r="EL98" s="14">
        <f t="shared" si="99"/>
        <v>109.0490179035375</v>
      </c>
      <c r="EM98" s="22">
        <f t="shared" si="73"/>
        <v>1036.725372848661</v>
      </c>
      <c r="EN98" s="62">
        <f t="shared" si="74"/>
        <v>1312.6728187674269</v>
      </c>
      <c r="EO98" s="62">
        <f ca="1">AVERAGE(OFFSET($EN$3,0,0,'Données projet'!$E$15+1,1))-AVERAGE(OFFSET($H$3,0,0,'Données projet'!$E$15+1,1))</f>
        <v>582.26951914082088</v>
      </c>
      <c r="EP98" s="62">
        <f t="shared" si="100"/>
        <v>434.80429932654715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projet'!$B$15,Paramètres!$A$1:$I$88,3,0)*0.475*44/12</f>
        <v>47.076498276022726</v>
      </c>
      <c r="EW98" s="23">
        <f>EXP(-LN(2)/25)*EW97+(1-EXP(-LN(2)/25))/(LN(2)/25)*Calculateur!ER98*Calculateur!ET98*VLOOKUP('Données projet'!$B$15,Paramètres!$A$1:$I$88,3,0)*0.475*44/12</f>
        <v>41.220981682415058</v>
      </c>
      <c r="EX98" s="23">
        <f>EXP(-LN(2)/2)*EX97+(1-EXP(-LN(2)/2))/(LN(2)/2)*ER98*EU98*VLOOKUP('Données projet'!$B$15,Paramètres!$A$1:$I$88,3,0)*0.475*44/12</f>
        <v>0</v>
      </c>
      <c r="EY98" s="24">
        <f t="shared" si="75"/>
        <v>88.297479958437776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15</v>
      </c>
      <c r="FE98" s="13">
        <f>IF('Données projet'!$A$218&gt;35,FE97+FD98-FM97,IF(A98&lt;'Données projet'!$A$218,$FB$205^A98,IF(A98='Données projet'!$A$218,'Données projet'!$B$218,FE97+FD98-FM97)))</f>
        <v>779.99999999999989</v>
      </c>
      <c r="FF98" s="18">
        <f>FE98*VLOOKUP('Données projet'!$B$16,Paramètres!$A$1:$I$88,3,0)*VLOOKUP('Données projet'!$B$16,Paramètres!$A$1:$I$88,5,0)</f>
        <v>365.03999999999996</v>
      </c>
      <c r="FG98" s="14">
        <f t="shared" si="101"/>
        <v>84.651779413976413</v>
      </c>
      <c r="FH98" s="22">
        <f t="shared" si="76"/>
        <v>783.21318247934221</v>
      </c>
      <c r="FI98" s="62">
        <f t="shared" si="77"/>
        <v>1059.1606283981082</v>
      </c>
      <c r="FJ98" s="62">
        <f ca="1">AVERAGE(OFFSET($FI$3,0,0,'Données projet'!$E$16+1,1))-AVERAGE(OFFSET($H$3,0,0,'Données projet'!$E$16+1,1))</f>
        <v>429.87867712133851</v>
      </c>
      <c r="FK98" s="62">
        <f t="shared" si="102"/>
        <v>182.81277865988014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projet'!$B$16,Paramètres!$A$1:$I$88,3,0)*0.475*44/12</f>
        <v>56.144357685077217</v>
      </c>
      <c r="FR98" s="23">
        <f>EXP(-LN(2)/25)*FR97+(1-EXP(-LN(2)/25))/(LN(2)/25)*Calculateur!FM98*Calculateur!FO98*VLOOKUP('Données projet'!$B$16,Paramètres!$A$1:$I$88,3,0)*0.475*44/12</f>
        <v>52.254651417470079</v>
      </c>
      <c r="FS98" s="23">
        <f>EXP(-LN(2)/2)*FS97+(1-EXP(-LN(2)/2))/(LN(2)/2)*FM98*FP98*VLOOKUP('Données projet'!$B$16,Paramètres!$A$1:$I$88,3,0)*0.475*44/12</f>
        <v>0</v>
      </c>
      <c r="FT98" s="24">
        <f t="shared" si="78"/>
        <v>108.3990091025473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498.99999999999955</v>
      </c>
      <c r="GA98" s="18">
        <f>FZ98*VLOOKUP('Données projet'!$B$17,Paramètres!$A$1:$I$88,3,0)*VLOOKUP('Données projet'!$B$17,Paramètres!$A$1:$I$88,5,0)</f>
        <v>240.01899999999978</v>
      </c>
      <c r="GB98" s="14">
        <f t="shared" si="103"/>
        <v>58.443618405936313</v>
      </c>
      <c r="GC98" s="22">
        <f t="shared" si="79"/>
        <v>519.82239372367201</v>
      </c>
      <c r="GD98" s="62">
        <f t="shared" si="80"/>
        <v>795.769839642438</v>
      </c>
      <c r="GE98" s="62">
        <f ca="1">AVERAGE(OFFSET($GD$3,0,0,'Données projet'!$E$17+1,1))-AVERAGE(OFFSET($H$3,0,0,'Données projet'!$E$17+1,1))</f>
        <v>273.24375559399846</v>
      </c>
      <c r="GF98" s="62">
        <f t="shared" si="104"/>
        <v>270.77718895097848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projet'!$B$17,Paramètres!$A$1:$I$88,3,0)*0.475*44/12</f>
        <v>24.039839638548116</v>
      </c>
      <c r="GM98" s="23">
        <f>EXP(-LN(2)/25)*GM97+(1-EXP(-LN(2)/25))/(LN(2)/25)*Calculateur!GH98*Calculateur!GJ98*VLOOKUP('Données projet'!$B$17,Paramètres!$A$1:$I$88,3,0)*0.475*44/12</f>
        <v>20.104847181310539</v>
      </c>
      <c r="GN98" s="23">
        <f>EXP(-LN(2)/2)*GN97+(1-EXP(-LN(2)/2))/(LN(2)/2)*GH98*GK98*VLOOKUP('Données projet'!$B$17,Paramètres!$A$1:$I$88,3,0)*0.475*44/12</f>
        <v>0</v>
      </c>
      <c r="GO98" s="23">
        <f t="shared" si="81"/>
        <v>44.144686819858656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550.99999999999966</v>
      </c>
      <c r="O99" s="14">
        <f>N99*VLOOKUP('Données projet'!$B$9,Paramètres!$A$1:$I$88,3,0)*VLOOKUP('Données projet'!$B$9,Paramètres!$A$1:$I$88,5,0)</f>
        <v>308.00899999999979</v>
      </c>
      <c r="P99" s="14">
        <f t="shared" si="87"/>
        <v>72.852874331417695</v>
      </c>
      <c r="Q99" s="22">
        <f t="shared" ref="Q99:Q130" si="107">(O99+P99)*0.475*44/12</f>
        <v>663.33443112721886</v>
      </c>
      <c r="R99" s="62">
        <f t="shared" si="55"/>
        <v>939.58348332360629</v>
      </c>
      <c r="S99" s="62">
        <f ca="1">AVERAGE(OFFSET($R$3,0,0,'Données projet'!$E$9+1,1))-AVERAGE(OFFSET($H$3,0,0,'Données projet'!$E$9+1,1))</f>
        <v>289.94242154211224</v>
      </c>
      <c r="T99" s="62">
        <f t="shared" si="88"/>
        <v>369.12599166143661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36.163248152668963</v>
      </c>
      <c r="AA99" s="23">
        <f>EXP(-LN(2)/25)*AA98+(1-EXP(-LN(2)/25))/(LN(2)/25)*Calculateur!V99*Calculateur!X99*VLOOKUP('Données projet'!$B$9,Paramètres!$A$1:$I$88,3,0)*0.475*44/12</f>
        <v>24.628187444416888</v>
      </c>
      <c r="AB99" s="23">
        <f>EXP(-LN(2)/2)*AB98+(1-EXP(-LN(2)/2))/(LN(2)/2)*V99*Y99*VLOOKUP('Données projet'!$B$9,Paramètres!$A$1:$I$88,3,0)*0.475*44/12</f>
        <v>0</v>
      </c>
      <c r="AC99" s="24">
        <f t="shared" si="57"/>
        <v>60.791435597085851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6.75</v>
      </c>
      <c r="AI99" s="14">
        <f>IF('Données projet'!$A$62&gt;35,AI98+AH99-AQ98,IF(A99&lt;'Données projet'!$A$62,$AF$205^A99,IF(A99='Données projet'!$A$62,'Données projet'!$B$62,AI98+AH99-AQ98)))</f>
        <v>264.25</v>
      </c>
      <c r="AJ99" s="14">
        <f>AI99*VLOOKUP('Données projet'!$B$10,Paramètres!$A$1:$I$88,3,0)*VLOOKUP('Données projet'!$B$10,Paramètres!$A$1:$I$88,5,0)</f>
        <v>239.09339999999997</v>
      </c>
      <c r="AK99" s="14">
        <f t="shared" si="89"/>
        <v>58.244428131498353</v>
      </c>
      <c r="AL99" s="22">
        <f t="shared" si="58"/>
        <v>517.86338399569286</v>
      </c>
      <c r="AM99" s="62">
        <f t="shared" si="59"/>
        <v>794.11243619208028</v>
      </c>
      <c r="AN99" s="62">
        <f ca="1">AVERAGE(OFFSET($AM$3,0,0,'Données projet'!$E$10+1,1))-AVERAGE(OFFSET($H$3,0,0,'Données projet'!$E$10+1,1))</f>
        <v>518.31628039365785</v>
      </c>
      <c r="AO99" s="62">
        <f t="shared" si="90"/>
        <v>66.435071953154761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21.188164964331367</v>
      </c>
      <c r="AV99" s="23">
        <f>EXP(-LN(2)/25)*AV98+(1-EXP(-LN(2)/25))/(LN(2)/25)*Calculateur!AQ99*Calculateur!AS99*VLOOKUP('Données projet'!$B$10,Paramètres!$A$1:$I$88,3,0)*0.475*44/12</f>
        <v>0</v>
      </c>
      <c r="AW99" s="23">
        <f>EXP(-LN(2)/2)*AW98+(1-EXP(-LN(2)/2))/(LN(2)/2)*AQ99*AT99*VLOOKUP('Données projet'!$B$10,Paramètres!$A$1:$I$88,3,0)*0.475*44/12</f>
        <v>0</v>
      </c>
      <c r="AX99" s="23">
        <f t="shared" si="60"/>
        <v>21.188164964331367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6.75</v>
      </c>
      <c r="BD99" s="13">
        <f>IF('Données projet'!$A$88&gt;35,BD98+BC99-BL98,IF(A99&lt;'Données projet'!$A$88,$BA$205^A99,IF(A99='Données projet'!$A$88,'Données projet'!$B$88,BD98+BC99-BL98)))</f>
        <v>264.25</v>
      </c>
      <c r="BE99" s="14">
        <f>BD99*VLOOKUP('Données projet'!$B$11,Paramètres!$A$1:$I$88,3,0)*VLOOKUP('Données projet'!$B$11,Paramètres!$A$1:$I$88,5,0)</f>
        <v>267.94950000000006</v>
      </c>
      <c r="BF99" s="14">
        <f t="shared" si="91"/>
        <v>64.413908548168465</v>
      </c>
      <c r="BG99" s="22">
        <f t="shared" si="61"/>
        <v>578.86626988806017</v>
      </c>
      <c r="BH99" s="62">
        <f t="shared" si="62"/>
        <v>855.1153220844476</v>
      </c>
      <c r="BI99" s="62">
        <f ca="1">AVERAGE(OFFSET($BH$3,0,0,'Données projet'!$E$11+1,1))-AVERAGE(OFFSET($H$3,0,0,'Données projet'!$E$11+1,1))</f>
        <v>570.2785736203931</v>
      </c>
      <c r="BJ99" s="62">
        <f t="shared" si="92"/>
        <v>67.677759965081719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23.745357287612755</v>
      </c>
      <c r="BQ99" s="23">
        <f>EXP(-LN(2)/25)*BQ98+(1-EXP(-LN(2)/25))/(LN(2)/25)*Calculateur!BL99*Calculateur!BN99*VLOOKUP('Données projet'!$B$11,Paramètres!$A$1:$I$88,3,0)*0.475*44/12</f>
        <v>0</v>
      </c>
      <c r="BR99" s="23">
        <f>EXP(-LN(2)/2)*BR98+(1-EXP(-LN(2)/2))/(LN(2)/2)*BL99*BO99*VLOOKUP('Données projet'!$B$11,Paramètres!$A$1:$I$88,3,0)*0.475*44/12</f>
        <v>0</v>
      </c>
      <c r="BS99" s="24">
        <f t="shared" si="63"/>
        <v>23.745357287612755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544.19999999999982</v>
      </c>
      <c r="BZ99" s="14">
        <f>BY99*VLOOKUP('Données projet'!$B$12,Paramètres!$A$1:$I$88,3,0)*VLOOKUP('Données projet'!$B$12,Paramètres!$A$1:$I$88,5,0)</f>
        <v>325.43159999999995</v>
      </c>
      <c r="CA99" s="14">
        <f t="shared" si="93"/>
        <v>76.482394221016762</v>
      </c>
      <c r="CB99" s="22">
        <f t="shared" si="64"/>
        <v>700.00020660160408</v>
      </c>
      <c r="CC99" s="62">
        <f t="shared" si="65"/>
        <v>976.2492587979915</v>
      </c>
      <c r="CD99" s="62">
        <f ca="1">AVERAGE(OFFSET($CC$3,0,0,'Données projet'!$E$12+1,1))-AVERAGE(OFFSET($H$3,0,0,'Données projet'!$E$12+1,1))</f>
        <v>401.1031790385295</v>
      </c>
      <c r="CE99" s="62">
        <f t="shared" si="94"/>
        <v>402.09589424130615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projet'!$B$12,Paramètres!$A$1:$I$88,3,0)*0.475*44/12</f>
        <v>10.16801721045324</v>
      </c>
      <c r="CL99" s="23">
        <f>EXP(-LN(2)/25)*CL98+(1-EXP(-LN(2)/25))/(LN(2)/25)*Calculateur!CG99*Calculateur!CI99*VLOOKUP('Données projet'!$B$12,Paramètres!$A$1:$I$88,3,0)*0.475*44/12</f>
        <v>0</v>
      </c>
      <c r="CM99" s="23">
        <f>EXP(-LN(2)/2)*CM98+(1-EXP(-LN(2)/2))/(LN(2)/2)*CG99*CJ99*VLOOKUP('Données projet'!$B$12,Paramètres!$A$1:$I$88,3,0)*0.475*44/12</f>
        <v>1.5836231349356006E-5</v>
      </c>
      <c r="CN99" s="24">
        <f t="shared" si="66"/>
        <v>10.168033046684588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544.19999999999982</v>
      </c>
      <c r="CU99" s="18">
        <f>CT99*VLOOKUP('Données projet'!$B$13,Paramètres!$A$1:$I$88,3,0)*VLOOKUP('Données projet'!$B$13,Paramètres!$A$1:$I$88,5,0)</f>
        <v>325.43159999999995</v>
      </c>
      <c r="CV99" s="14">
        <f t="shared" si="95"/>
        <v>76.482394221016762</v>
      </c>
      <c r="CW99" s="22">
        <f t="shared" si="67"/>
        <v>700.00020660160408</v>
      </c>
      <c r="CX99" s="62">
        <f t="shared" si="68"/>
        <v>976.2492587979915</v>
      </c>
      <c r="CY99" s="62">
        <f ca="1">AVERAGE(OFFSET($CX$3,0,0,'Données projet'!$E$13+1,1))-AVERAGE(OFFSET($H$3,0,0,'Données projet'!$E$13+1,1))</f>
        <v>401.1031790385295</v>
      </c>
      <c r="CZ99" s="62">
        <f t="shared" si="96"/>
        <v>402.09589424130615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projet'!$B$13,Paramètres!$A$1:$I$88,3,0)*0.475*44/12</f>
        <v>10.16801721045324</v>
      </c>
      <c r="DG99" s="23">
        <f>EXP(-LN(2)/25)*DG98+(1-EXP(-LN(2)/25))/(LN(2)/25)*Calculateur!DB99*Calculateur!DD99*VLOOKUP('Données projet'!$B$13,Paramètres!$A$1:$I$88,3,0)*0.475*44/12</f>
        <v>0</v>
      </c>
      <c r="DH99" s="23">
        <f>EXP(-LN(2)/2)*DH98+(1-EXP(-LN(2)/2))/(LN(2)/2)*DB99*DE99*VLOOKUP('Données projet'!$B$13,Paramètres!$A$1:$I$88,3,0)*0.475*44/12</f>
        <v>1.5836231349356006E-5</v>
      </c>
      <c r="DI99" s="24">
        <f t="shared" si="69"/>
        <v>10.168033046684588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860.00000000000023</v>
      </c>
      <c r="DP99" s="18">
        <f>DO99*VLOOKUP('Données projet'!$B$14,Paramètres!$A$1:$I$88,3,0)*VLOOKUP('Données projet'!$B$14,Paramètres!$A$1:$I$88,5,0)</f>
        <v>346.5800000000001</v>
      </c>
      <c r="DQ99" s="14">
        <f t="shared" si="97"/>
        <v>80.857895771535127</v>
      </c>
      <c r="DR99" s="22">
        <f t="shared" si="70"/>
        <v>744.45433513542378</v>
      </c>
      <c r="DS99" s="62">
        <f t="shared" si="71"/>
        <v>1020.7033873318112</v>
      </c>
      <c r="DT99" s="62">
        <f ca="1">AVERAGE(OFFSET($DS$3,0,0,'Données projet'!$E$14+1,1))-AVERAGE(OFFSET($H$3,0,0,'Données projet'!$E$14+1,1))</f>
        <v>432.59662347701629</v>
      </c>
      <c r="DU99" s="62">
        <f t="shared" si="98"/>
        <v>348.67401091099748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projet'!$B$14,Paramètres!$A$1:$I$88,3,0)*0.475*44/12</f>
        <v>45.803482156282811</v>
      </c>
      <c r="EB99" s="23">
        <f>EXP(-LN(2)/25)*EB98+(1-EXP(-LN(2)/25))/(LN(2)/25)*Calculateur!DW99*Calculateur!DY99*VLOOKUP('Données projet'!$B$14,Paramètres!$A$1:$I$88,3,0)*0.475*44/12</f>
        <v>44.619163804192063</v>
      </c>
      <c r="EC99" s="23">
        <f>EXP(-LN(2)/2)*EC98+(1-EXP(-LN(2)/2))/(LN(2)/2)*DW99*DZ99*VLOOKUP('Données projet'!$B$14,Paramètres!$A$1:$I$88,3,0)*0.475*44/12</f>
        <v>0</v>
      </c>
      <c r="ED99" s="24">
        <f t="shared" si="72"/>
        <v>90.422645960474881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1099.9999999999998</v>
      </c>
      <c r="EK99" s="18">
        <f>EJ99*VLOOKUP('Données projet'!$B$15,Paramètres!$A$1:$I$88,3,0)*VLOOKUP('Données projet'!$B$15,Paramètres!$A$1:$I$88,5,0)</f>
        <v>486.19999999999993</v>
      </c>
      <c r="EL99" s="14">
        <f t="shared" si="99"/>
        <v>109.0490179035375</v>
      </c>
      <c r="EM99" s="22">
        <f t="shared" si="73"/>
        <v>1036.725372848661</v>
      </c>
      <c r="EN99" s="62">
        <f t="shared" si="74"/>
        <v>1312.9744250450485</v>
      </c>
      <c r="EO99" s="62">
        <f ca="1">AVERAGE(OFFSET($EN$3,0,0,'Données projet'!$E$15+1,1))-AVERAGE(OFFSET($H$3,0,0,'Données projet'!$E$15+1,1))</f>
        <v>582.26951914082088</v>
      </c>
      <c r="EP99" s="62">
        <f t="shared" si="100"/>
        <v>434.80429932654715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projet'!$B$15,Paramètres!$A$1:$I$88,3,0)*0.475*44/12</f>
        <v>46.153356858658611</v>
      </c>
      <c r="EW99" s="23">
        <f>EXP(-LN(2)/25)*EW98+(1-EXP(-LN(2)/25))/(LN(2)/25)*Calculateur!ER99*Calculateur!ET99*VLOOKUP('Données projet'!$B$15,Paramètres!$A$1:$I$88,3,0)*0.475*44/12</f>
        <v>40.093791770592205</v>
      </c>
      <c r="EX99" s="23">
        <f>EXP(-LN(2)/2)*EX98+(1-EXP(-LN(2)/2))/(LN(2)/2)*ER99*EU99*VLOOKUP('Données projet'!$B$15,Paramètres!$A$1:$I$88,3,0)*0.475*44/12</f>
        <v>0</v>
      </c>
      <c r="EY99" s="24">
        <f t="shared" si="75"/>
        <v>86.247148629250816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15</v>
      </c>
      <c r="FE99" s="13">
        <f>IF('Données projet'!$A$218&gt;35,FE98+FD99-FM98,IF(A99&lt;'Données projet'!$A$218,$FB$205^A99,IF(A99='Données projet'!$A$218,'Données projet'!$B$218,FE98+FD99-FM98)))</f>
        <v>794.99999999999989</v>
      </c>
      <c r="FF99" s="18">
        <f>FE99*VLOOKUP('Données projet'!$B$16,Paramètres!$A$1:$I$88,3,0)*VLOOKUP('Données projet'!$B$16,Paramètres!$A$1:$I$88,5,0)</f>
        <v>372.05999999999995</v>
      </c>
      <c r="FG99" s="14">
        <f t="shared" si="101"/>
        <v>86.08860996789744</v>
      </c>
      <c r="FH99" s="22">
        <f t="shared" si="76"/>
        <v>797.94216236075465</v>
      </c>
      <c r="FI99" s="62">
        <f t="shared" si="77"/>
        <v>1074.1912145571421</v>
      </c>
      <c r="FJ99" s="62">
        <f ca="1">AVERAGE(OFFSET($FI$3,0,0,'Données projet'!$E$16+1,1))-AVERAGE(OFFSET($H$3,0,0,'Données projet'!$E$16+1,1))</f>
        <v>429.87867712133851</v>
      </c>
      <c r="FK99" s="62">
        <f t="shared" si="102"/>
        <v>182.81277865988014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projet'!$B$16,Paramètres!$A$1:$I$88,3,0)*0.475*44/12</f>
        <v>55.04340107554966</v>
      </c>
      <c r="FR99" s="23">
        <f>EXP(-LN(2)/25)*FR98+(1-EXP(-LN(2)/25))/(LN(2)/25)*Calculateur!FM99*Calculateur!FO99*VLOOKUP('Données projet'!$B$16,Paramètres!$A$1:$I$88,3,0)*0.475*44/12</f>
        <v>50.825745226506669</v>
      </c>
      <c r="FS99" s="23">
        <f>EXP(-LN(2)/2)*FS98+(1-EXP(-LN(2)/2))/(LN(2)/2)*FM99*FP99*VLOOKUP('Données projet'!$B$16,Paramètres!$A$1:$I$88,3,0)*0.475*44/12</f>
        <v>0</v>
      </c>
      <c r="FT99" s="24">
        <f t="shared" si="78"/>
        <v>105.86914630205632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498.99999999999955</v>
      </c>
      <c r="GA99" s="18">
        <f>FZ99*VLOOKUP('Données projet'!$B$17,Paramètres!$A$1:$I$88,3,0)*VLOOKUP('Données projet'!$B$17,Paramètres!$A$1:$I$88,5,0)</f>
        <v>240.01899999999978</v>
      </c>
      <c r="GB99" s="14">
        <f t="shared" si="103"/>
        <v>58.443618405936313</v>
      </c>
      <c r="GC99" s="22">
        <f t="shared" si="79"/>
        <v>519.82239372367201</v>
      </c>
      <c r="GD99" s="62">
        <f t="shared" si="80"/>
        <v>796.07144592005943</v>
      </c>
      <c r="GE99" s="62">
        <f ca="1">AVERAGE(OFFSET($GD$3,0,0,'Données projet'!$E$17+1,1))-AVERAGE(OFFSET($H$3,0,0,'Données projet'!$E$17+1,1))</f>
        <v>273.24375559399846</v>
      </c>
      <c r="GF99" s="62">
        <f t="shared" si="104"/>
        <v>270.77718895097848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projet'!$B$17,Paramètres!$A$1:$I$88,3,0)*0.475*44/12</f>
        <v>23.568433046090529</v>
      </c>
      <c r="GM99" s="23">
        <f>EXP(-LN(2)/25)*GM98+(1-EXP(-LN(2)/25))/(LN(2)/25)*Calculateur!GH99*Calculateur!GJ99*VLOOKUP('Données projet'!$B$17,Paramètres!$A$1:$I$88,3,0)*0.475*44/12</f>
        <v>19.555079077869639</v>
      </c>
      <c r="GN99" s="23">
        <f>EXP(-LN(2)/2)*GN98+(1-EXP(-LN(2)/2))/(LN(2)/2)*GH99*GK99*VLOOKUP('Données projet'!$B$17,Paramètres!$A$1:$I$88,3,0)*0.475*44/12</f>
        <v>0</v>
      </c>
      <c r="GO99" s="23">
        <f t="shared" si="81"/>
        <v>43.123512123960168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550.99999999999966</v>
      </c>
      <c r="O100" s="14">
        <f>N100*VLOOKUP('Données projet'!$B$9,Paramètres!$A$1:$I$88,3,0)*VLOOKUP('Données projet'!$B$9,Paramètres!$A$1:$I$88,5,0)</f>
        <v>308.00899999999979</v>
      </c>
      <c r="P100" s="14">
        <f t="shared" si="87"/>
        <v>72.852874331417695</v>
      </c>
      <c r="Q100" s="22">
        <f t="shared" si="107"/>
        <v>663.33443112721886</v>
      </c>
      <c r="R100" s="62">
        <f t="shared" si="55"/>
        <v>939.87985740660167</v>
      </c>
      <c r="S100" s="62">
        <f ca="1">AVERAGE(OFFSET($R$3,0,0,'Données projet'!$E$9+1,1))-AVERAGE(OFFSET($H$3,0,0,'Données projet'!$E$9+1,1))</f>
        <v>289.94242154211224</v>
      </c>
      <c r="T100" s="62">
        <f t="shared" si="88"/>
        <v>369.12599166143661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35.454108913798507</v>
      </c>
      <c r="AA100" s="23">
        <f>EXP(-LN(2)/25)*AA99+(1-EXP(-LN(2)/25))/(LN(2)/25)*Calculateur!V100*Calculateur!X100*VLOOKUP('Données projet'!$B$9,Paramètres!$A$1:$I$88,3,0)*0.475*44/12</f>
        <v>23.95472836360922</v>
      </c>
      <c r="AB100" s="23">
        <f>EXP(-LN(2)/2)*AB99+(1-EXP(-LN(2)/2))/(LN(2)/2)*V100*Y100*VLOOKUP('Données projet'!$B$9,Paramètres!$A$1:$I$88,3,0)*0.475*44/12</f>
        <v>0</v>
      </c>
      <c r="AC100" s="24">
        <f t="shared" si="57"/>
        <v>59.408837277407727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6.75</v>
      </c>
      <c r="AI100" s="14">
        <f>IF('Données projet'!$A$62&gt;35,AI99+AH100-AQ99,IF(A100&lt;'Données projet'!$A$62,$AF$205^A100,IF(A100='Données projet'!$A$62,'Données projet'!$B$62,AI99+AH100-AQ99)))</f>
        <v>271</v>
      </c>
      <c r="AJ100" s="14">
        <f>AI100*VLOOKUP('Données projet'!$B$10,Paramètres!$A$1:$I$88,3,0)*VLOOKUP('Données projet'!$B$10,Paramètres!$A$1:$I$88,5,0)</f>
        <v>245.20079999999999</v>
      </c>
      <c r="AK100" s="14">
        <f t="shared" si="89"/>
        <v>59.557107941433735</v>
      </c>
      <c r="AL100" s="22">
        <f t="shared" si="58"/>
        <v>530.78668966466364</v>
      </c>
      <c r="AM100" s="62">
        <f t="shared" si="59"/>
        <v>807.33211594404645</v>
      </c>
      <c r="AN100" s="62">
        <f ca="1">AVERAGE(OFFSET($AM$3,0,0,'Données projet'!$E$10+1,1))-AVERAGE(OFFSET($H$3,0,0,'Données projet'!$E$10+1,1))</f>
        <v>518.31628039365785</v>
      </c>
      <c r="AO100" s="62">
        <f t="shared" si="90"/>
        <v>66.435071953154761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20.772677972885369</v>
      </c>
      <c r="AV100" s="23">
        <f>EXP(-LN(2)/25)*AV99+(1-EXP(-LN(2)/25))/(LN(2)/25)*Calculateur!AQ100*Calculateur!AS100*VLOOKUP('Données projet'!$B$10,Paramètres!$A$1:$I$88,3,0)*0.475*44/12</f>
        <v>0</v>
      </c>
      <c r="AW100" s="23">
        <f>EXP(-LN(2)/2)*AW99+(1-EXP(-LN(2)/2))/(LN(2)/2)*AQ100*AT100*VLOOKUP('Données projet'!$B$10,Paramètres!$A$1:$I$88,3,0)*0.475*44/12</f>
        <v>0</v>
      </c>
      <c r="AX100" s="23">
        <f t="shared" si="60"/>
        <v>20.772677972885369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6.75</v>
      </c>
      <c r="BD100" s="13">
        <f>IF('Données projet'!$A$88&gt;35,BD99+BC100-BL99,IF(A100&lt;'Données projet'!$A$88,$BA$205^A100,IF(A100='Données projet'!$A$88,'Données projet'!$B$88,BD99+BC100-BL99)))</f>
        <v>271</v>
      </c>
      <c r="BE100" s="14">
        <f>BD100*VLOOKUP('Données projet'!$B$11,Paramètres!$A$1:$I$88,3,0)*VLOOKUP('Données projet'!$B$11,Paramètres!$A$1:$I$88,5,0)</f>
        <v>274.79400000000004</v>
      </c>
      <c r="BF100" s="14">
        <f t="shared" si="91"/>
        <v>65.865632600455527</v>
      </c>
      <c r="BG100" s="22">
        <f t="shared" si="61"/>
        <v>593.3155267791268</v>
      </c>
      <c r="BH100" s="62">
        <f t="shared" si="62"/>
        <v>869.86095305850961</v>
      </c>
      <c r="BI100" s="62">
        <f ca="1">AVERAGE(OFFSET($BH$3,0,0,'Données projet'!$E$11+1,1))-AVERAGE(OFFSET($H$3,0,0,'Données projet'!$E$11+1,1))</f>
        <v>570.2785736203931</v>
      </c>
      <c r="BJ100" s="62">
        <f t="shared" si="92"/>
        <v>67.677759965081719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23.279725314440512</v>
      </c>
      <c r="BQ100" s="23">
        <f>EXP(-LN(2)/25)*BQ99+(1-EXP(-LN(2)/25))/(LN(2)/25)*Calculateur!BL100*Calculateur!BN100*VLOOKUP('Données projet'!$B$11,Paramètres!$A$1:$I$88,3,0)*0.475*44/12</f>
        <v>0</v>
      </c>
      <c r="BR100" s="23">
        <f>EXP(-LN(2)/2)*BR99+(1-EXP(-LN(2)/2))/(LN(2)/2)*BL100*BO100*VLOOKUP('Données projet'!$B$11,Paramètres!$A$1:$I$88,3,0)*0.475*44/12</f>
        <v>0</v>
      </c>
      <c r="BS100" s="24">
        <f t="shared" si="63"/>
        <v>23.279725314440512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544.19999999999982</v>
      </c>
      <c r="BZ100" s="14">
        <f>BY100*VLOOKUP('Données projet'!$B$12,Paramètres!$A$1:$I$88,3,0)*VLOOKUP('Données projet'!$B$12,Paramètres!$A$1:$I$88,5,0)</f>
        <v>325.43159999999995</v>
      </c>
      <c r="CA100" s="14">
        <f t="shared" si="93"/>
        <v>76.482394221016762</v>
      </c>
      <c r="CB100" s="22">
        <f t="shared" si="64"/>
        <v>700.00020660160408</v>
      </c>
      <c r="CC100" s="62">
        <f t="shared" si="65"/>
        <v>976.54563288098689</v>
      </c>
      <c r="CD100" s="62">
        <f ca="1">AVERAGE(OFFSET($CC$3,0,0,'Données projet'!$E$12+1,1))-AVERAGE(OFFSET($H$3,0,0,'Données projet'!$E$12+1,1))</f>
        <v>401.1031790385295</v>
      </c>
      <c r="CE100" s="62">
        <f t="shared" si="94"/>
        <v>402.09589424130615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projet'!$B$12,Paramètres!$A$1:$I$88,3,0)*0.475*44/12</f>
        <v>9.9686285948343656</v>
      </c>
      <c r="CL100" s="23">
        <f>EXP(-LN(2)/25)*CL99+(1-EXP(-LN(2)/25))/(LN(2)/25)*Calculateur!CG100*Calculateur!CI100*VLOOKUP('Données projet'!$B$12,Paramètres!$A$1:$I$88,3,0)*0.475*44/12</f>
        <v>0</v>
      </c>
      <c r="CM100" s="23">
        <f>EXP(-LN(2)/2)*CM99+(1-EXP(-LN(2)/2))/(LN(2)/2)*CG100*CJ100*VLOOKUP('Données projet'!$B$12,Paramètres!$A$1:$I$88,3,0)*0.475*44/12</f>
        <v>1.1197906575568621E-5</v>
      </c>
      <c r="CN100" s="24">
        <f t="shared" si="66"/>
        <v>9.9686397927409409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544.19999999999982</v>
      </c>
      <c r="CU100" s="18">
        <f>CT100*VLOOKUP('Données projet'!$B$13,Paramètres!$A$1:$I$88,3,0)*VLOOKUP('Données projet'!$B$13,Paramètres!$A$1:$I$88,5,0)</f>
        <v>325.43159999999995</v>
      </c>
      <c r="CV100" s="14">
        <f t="shared" si="95"/>
        <v>76.482394221016762</v>
      </c>
      <c r="CW100" s="22">
        <f t="shared" si="67"/>
        <v>700.00020660160408</v>
      </c>
      <c r="CX100" s="62">
        <f t="shared" si="68"/>
        <v>976.54563288098689</v>
      </c>
      <c r="CY100" s="62">
        <f ca="1">AVERAGE(OFFSET($CX$3,0,0,'Données projet'!$E$13+1,1))-AVERAGE(OFFSET($H$3,0,0,'Données projet'!$E$13+1,1))</f>
        <v>401.1031790385295</v>
      </c>
      <c r="CZ100" s="62">
        <f t="shared" si="96"/>
        <v>402.09589424130615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projet'!$B$13,Paramètres!$A$1:$I$88,3,0)*0.475*44/12</f>
        <v>9.9686285948343656</v>
      </c>
      <c r="DG100" s="23">
        <f>EXP(-LN(2)/25)*DG99+(1-EXP(-LN(2)/25))/(LN(2)/25)*Calculateur!DB100*Calculateur!DD100*VLOOKUP('Données projet'!$B$13,Paramètres!$A$1:$I$88,3,0)*0.475*44/12</f>
        <v>0</v>
      </c>
      <c r="DH100" s="23">
        <f>EXP(-LN(2)/2)*DH99+(1-EXP(-LN(2)/2))/(LN(2)/2)*DB100*DE100*VLOOKUP('Données projet'!$B$13,Paramètres!$A$1:$I$88,3,0)*0.475*44/12</f>
        <v>1.1197906575568621E-5</v>
      </c>
      <c r="DI100" s="24">
        <f t="shared" si="69"/>
        <v>9.9686397927409409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860.00000000000023</v>
      </c>
      <c r="DP100" s="18">
        <f>DO100*VLOOKUP('Données projet'!$B$14,Paramètres!$A$1:$I$88,3,0)*VLOOKUP('Données projet'!$B$14,Paramètres!$A$1:$I$88,5,0)</f>
        <v>346.5800000000001</v>
      </c>
      <c r="DQ100" s="14">
        <f t="shared" si="97"/>
        <v>80.857895771535127</v>
      </c>
      <c r="DR100" s="22">
        <f t="shared" si="70"/>
        <v>744.45433513542378</v>
      </c>
      <c r="DS100" s="62">
        <f t="shared" si="71"/>
        <v>1020.9997614148066</v>
      </c>
      <c r="DT100" s="62">
        <f ca="1">AVERAGE(OFFSET($DS$3,0,0,'Données projet'!$E$14+1,1))-AVERAGE(OFFSET($H$3,0,0,'Données projet'!$E$14+1,1))</f>
        <v>432.59662347701629</v>
      </c>
      <c r="DU100" s="62">
        <f t="shared" si="98"/>
        <v>348.67401091099748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projet'!$B$14,Paramètres!$A$1:$I$88,3,0)*0.475*44/12</f>
        <v>44.905303808563637</v>
      </c>
      <c r="EB100" s="23">
        <f>EXP(-LN(2)/25)*EB99+(1-EXP(-LN(2)/25))/(LN(2)/25)*Calculateur!DW100*Calculateur!DY100*VLOOKUP('Données projet'!$B$14,Paramètres!$A$1:$I$88,3,0)*0.475*44/12</f>
        <v>43.399050423546583</v>
      </c>
      <c r="EC100" s="23">
        <f>EXP(-LN(2)/2)*EC99+(1-EXP(-LN(2)/2))/(LN(2)/2)*DW100*DZ100*VLOOKUP('Données projet'!$B$14,Paramètres!$A$1:$I$88,3,0)*0.475*44/12</f>
        <v>0</v>
      </c>
      <c r="ED100" s="24">
        <f t="shared" si="72"/>
        <v>88.304354232110228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1099.9999999999998</v>
      </c>
      <c r="EK100" s="18">
        <f>EJ100*VLOOKUP('Données projet'!$B$15,Paramètres!$A$1:$I$88,3,0)*VLOOKUP('Données projet'!$B$15,Paramètres!$A$1:$I$88,5,0)</f>
        <v>486.19999999999993</v>
      </c>
      <c r="EL100" s="14">
        <f t="shared" si="99"/>
        <v>109.0490179035375</v>
      </c>
      <c r="EM100" s="22">
        <f t="shared" si="73"/>
        <v>1036.725372848661</v>
      </c>
      <c r="EN100" s="62">
        <f t="shared" si="74"/>
        <v>1313.2707991280438</v>
      </c>
      <c r="EO100" s="62">
        <f ca="1">AVERAGE(OFFSET($EN$3,0,0,'Données projet'!$E$15+1,1))-AVERAGE(OFFSET($H$3,0,0,'Données projet'!$E$15+1,1))</f>
        <v>582.26951914082088</v>
      </c>
      <c r="EP100" s="62">
        <f t="shared" si="100"/>
        <v>434.80429932654715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projet'!$B$15,Paramètres!$A$1:$I$88,3,0)*0.475*44/12</f>
        <v>45.24831768142834</v>
      </c>
      <c r="EW100" s="23">
        <f>EXP(-LN(2)/25)*EW99+(1-EXP(-LN(2)/25))/(LN(2)/25)*Calculateur!ER100*Calculateur!ET100*VLOOKUP('Données projet'!$B$15,Paramètres!$A$1:$I$88,3,0)*0.475*44/12</f>
        <v>38.997424926184486</v>
      </c>
      <c r="EX100" s="23">
        <f>EXP(-LN(2)/2)*EX99+(1-EXP(-LN(2)/2))/(LN(2)/2)*ER100*EU100*VLOOKUP('Données projet'!$B$15,Paramètres!$A$1:$I$88,3,0)*0.475*44/12</f>
        <v>0</v>
      </c>
      <c r="EY100" s="24">
        <f t="shared" si="75"/>
        <v>84.245742607612826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15</v>
      </c>
      <c r="FE100" s="13">
        <f>IF('Données projet'!$A$218&gt;35,FE99+FD100-FM99,IF(A100&lt;'Données projet'!$A$218,$FB$205^A100,IF(A100='Données projet'!$A$218,'Données projet'!$B$218,FE99+FD100-FM99)))</f>
        <v>809.99999999999989</v>
      </c>
      <c r="FF100" s="18">
        <f>FE100*VLOOKUP('Données projet'!$B$16,Paramètres!$A$1:$I$88,3,0)*VLOOKUP('Données projet'!$B$16,Paramètres!$A$1:$I$88,5,0)</f>
        <v>379.08</v>
      </c>
      <c r="FG100" s="14">
        <f t="shared" si="101"/>
        <v>87.522288181554913</v>
      </c>
      <c r="FH100" s="22">
        <f t="shared" si="76"/>
        <v>812.66565191620805</v>
      </c>
      <c r="FI100" s="62">
        <f t="shared" si="77"/>
        <v>1089.2110781955907</v>
      </c>
      <c r="FJ100" s="62">
        <f ca="1">AVERAGE(OFFSET($FI$3,0,0,'Données projet'!$E$16+1,1))-AVERAGE(OFFSET($H$3,0,0,'Données projet'!$E$16+1,1))</f>
        <v>429.87867712133851</v>
      </c>
      <c r="FK100" s="62">
        <f t="shared" si="102"/>
        <v>182.81277865988014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projet'!$B$16,Paramètres!$A$1:$I$88,3,0)*0.475*44/12</f>
        <v>53.96403355361771</v>
      </c>
      <c r="FR100" s="23">
        <f>EXP(-LN(2)/25)*FR99+(1-EXP(-LN(2)/25))/(LN(2)/25)*Calculateur!FM100*Calculateur!FO100*VLOOKUP('Données projet'!$B$16,Paramètres!$A$1:$I$88,3,0)*0.475*44/12</f>
        <v>49.435912550478065</v>
      </c>
      <c r="FS100" s="23">
        <f>EXP(-LN(2)/2)*FS99+(1-EXP(-LN(2)/2))/(LN(2)/2)*FM100*FP100*VLOOKUP('Données projet'!$B$16,Paramètres!$A$1:$I$88,3,0)*0.475*44/12</f>
        <v>0</v>
      </c>
      <c r="FT100" s="24">
        <f t="shared" si="78"/>
        <v>103.39994610409578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498.99999999999955</v>
      </c>
      <c r="GA100" s="18">
        <f>FZ100*VLOOKUP('Données projet'!$B$17,Paramètres!$A$1:$I$88,3,0)*VLOOKUP('Données projet'!$B$17,Paramètres!$A$1:$I$88,5,0)</f>
        <v>240.01899999999978</v>
      </c>
      <c r="GB100" s="14">
        <f t="shared" si="103"/>
        <v>58.443618405936313</v>
      </c>
      <c r="GC100" s="22">
        <f t="shared" si="79"/>
        <v>519.82239372367201</v>
      </c>
      <c r="GD100" s="62">
        <f t="shared" si="80"/>
        <v>796.36782000305482</v>
      </c>
      <c r="GE100" s="62">
        <f ca="1">AVERAGE(OFFSET($GD$3,0,0,'Données projet'!$E$17+1,1))-AVERAGE(OFFSET($H$3,0,0,'Données projet'!$E$17+1,1))</f>
        <v>273.24375559399846</v>
      </c>
      <c r="GF100" s="62">
        <f t="shared" si="104"/>
        <v>270.77718895097848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projet'!$B$17,Paramètres!$A$1:$I$88,3,0)*0.475*44/12</f>
        <v>23.106270449381405</v>
      </c>
      <c r="GM100" s="23">
        <f>EXP(-LN(2)/25)*GM99+(1-EXP(-LN(2)/25))/(LN(2)/25)*Calculateur!GH100*Calculateur!GJ100*VLOOKUP('Données projet'!$B$17,Paramètres!$A$1:$I$88,3,0)*0.475*44/12</f>
        <v>19.020344412128377</v>
      </c>
      <c r="GN100" s="23">
        <f>EXP(-LN(2)/2)*GN99+(1-EXP(-LN(2)/2))/(LN(2)/2)*GH100*GK100*VLOOKUP('Données projet'!$B$17,Paramètres!$A$1:$I$88,3,0)*0.475*44/12</f>
        <v>0</v>
      </c>
      <c r="GO100" s="23">
        <f t="shared" si="81"/>
        <v>42.126614861509779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550.99999999999966</v>
      </c>
      <c r="O101" s="14">
        <f>N101*VLOOKUP('Données projet'!$B$9,Paramètres!$A$1:$I$88,3,0)*VLOOKUP('Données projet'!$B$9,Paramètres!$A$1:$I$88,5,0)</f>
        <v>308.00899999999979</v>
      </c>
      <c r="P101" s="14">
        <f t="shared" si="87"/>
        <v>72.852874331417695</v>
      </c>
      <c r="Q101" s="22">
        <f t="shared" si="107"/>
        <v>663.33443112721886</v>
      </c>
      <c r="R101" s="62">
        <f t="shared" si="55"/>
        <v>940.17109006185024</v>
      </c>
      <c r="S101" s="62">
        <f ca="1">AVERAGE(OFFSET($R$3,0,0,'Données projet'!$E$9+1,1))-AVERAGE(OFFSET($H$3,0,0,'Données projet'!$E$9+1,1))</f>
        <v>289.94242154211224</v>
      </c>
      <c r="T101" s="62">
        <f t="shared" si="88"/>
        <v>369.12599166143661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34.75887546287008</v>
      </c>
      <c r="AA101" s="23">
        <f>EXP(-LN(2)/25)*AA100+(1-EXP(-LN(2)/25))/(LN(2)/25)*Calculateur!V101*Calculateur!X101*VLOOKUP('Données projet'!$B$9,Paramètres!$A$1:$I$88,3,0)*0.475*44/12</f>
        <v>23.299685056781911</v>
      </c>
      <c r="AB101" s="23">
        <f>EXP(-LN(2)/2)*AB100+(1-EXP(-LN(2)/2))/(LN(2)/2)*V101*Y101*VLOOKUP('Données projet'!$B$9,Paramètres!$A$1:$I$88,3,0)*0.475*44/12</f>
        <v>0</v>
      </c>
      <c r="AC101" s="24">
        <f t="shared" si="57"/>
        <v>58.058560519651991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6.75</v>
      </c>
      <c r="AI101" s="14">
        <f>IF('Données projet'!$A$62&gt;35,AI100+AH101-AQ100,IF(A101&lt;'Données projet'!$A$62,$AF$205^A101,IF(A101='Données projet'!$A$62,'Données projet'!$B$62,AI100+AH101-AQ100)))</f>
        <v>277.75</v>
      </c>
      <c r="AJ101" s="14">
        <f>AI101*VLOOKUP('Données projet'!$B$10,Paramètres!$A$1:$I$88,3,0)*VLOOKUP('Données projet'!$B$10,Paramètres!$A$1:$I$88,5,0)</f>
        <v>251.3082</v>
      </c>
      <c r="AK101" s="14">
        <f t="shared" si="89"/>
        <v>60.865987045046865</v>
      </c>
      <c r="AL101" s="22">
        <f t="shared" si="58"/>
        <v>543.70337577012333</v>
      </c>
      <c r="AM101" s="62">
        <f t="shared" si="59"/>
        <v>820.5400347047547</v>
      </c>
      <c r="AN101" s="62">
        <f ca="1">AVERAGE(OFFSET($AM$3,0,0,'Données projet'!$E$10+1,1))-AVERAGE(OFFSET($H$3,0,0,'Données projet'!$E$10+1,1))</f>
        <v>518.31628039365785</v>
      </c>
      <c r="AO101" s="62">
        <f t="shared" si="90"/>
        <v>66.435071953154761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20.365338427919582</v>
      </c>
      <c r="AV101" s="23">
        <f>EXP(-LN(2)/25)*AV100+(1-EXP(-LN(2)/25))/(LN(2)/25)*Calculateur!AQ101*Calculateur!AS101*VLOOKUP('Données projet'!$B$10,Paramètres!$A$1:$I$88,3,0)*0.475*44/12</f>
        <v>0</v>
      </c>
      <c r="AW101" s="23">
        <f>EXP(-LN(2)/2)*AW100+(1-EXP(-LN(2)/2))/(LN(2)/2)*AQ101*AT101*VLOOKUP('Données projet'!$B$10,Paramètres!$A$1:$I$88,3,0)*0.475*44/12</f>
        <v>0</v>
      </c>
      <c r="AX101" s="23">
        <f t="shared" si="60"/>
        <v>20.365338427919582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6.75</v>
      </c>
      <c r="BD101" s="13">
        <f>IF('Données projet'!$A$88&gt;35,BD100+BC101-BL100,IF(A101&lt;'Données projet'!$A$88,$BA$205^A101,IF(A101='Données projet'!$A$88,'Données projet'!$B$88,BD100+BC101-BL100)))</f>
        <v>277.75</v>
      </c>
      <c r="BE101" s="14">
        <f>BD101*VLOOKUP('Données projet'!$B$11,Paramètres!$A$1:$I$88,3,0)*VLOOKUP('Données projet'!$B$11,Paramètres!$A$1:$I$88,5,0)</f>
        <v>281.63850000000002</v>
      </c>
      <c r="BF101" s="14">
        <f t="shared" si="91"/>
        <v>67.313153360559795</v>
      </c>
      <c r="BG101" s="22">
        <f t="shared" si="61"/>
        <v>607.75746293630834</v>
      </c>
      <c r="BH101" s="62">
        <f t="shared" si="62"/>
        <v>884.59412187093972</v>
      </c>
      <c r="BI101" s="62">
        <f ca="1">AVERAGE(OFFSET($BH$3,0,0,'Données projet'!$E$11+1,1))-AVERAGE(OFFSET($H$3,0,0,'Données projet'!$E$11+1,1))</f>
        <v>570.2785736203931</v>
      </c>
      <c r="BJ101" s="62">
        <f t="shared" si="92"/>
        <v>67.677759965081719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22.823224100254716</v>
      </c>
      <c r="BQ101" s="23">
        <f>EXP(-LN(2)/25)*BQ100+(1-EXP(-LN(2)/25))/(LN(2)/25)*Calculateur!BL101*Calculateur!BN101*VLOOKUP('Données projet'!$B$11,Paramètres!$A$1:$I$88,3,0)*0.475*44/12</f>
        <v>0</v>
      </c>
      <c r="BR101" s="23">
        <f>EXP(-LN(2)/2)*BR100+(1-EXP(-LN(2)/2))/(LN(2)/2)*BL101*BO101*VLOOKUP('Données projet'!$B$11,Paramètres!$A$1:$I$88,3,0)*0.475*44/12</f>
        <v>0</v>
      </c>
      <c r="BS101" s="24">
        <f t="shared" si="63"/>
        <v>22.823224100254716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544.19999999999982</v>
      </c>
      <c r="BZ101" s="14">
        <f>BY101*VLOOKUP('Données projet'!$B$12,Paramètres!$A$1:$I$88,3,0)*VLOOKUP('Données projet'!$B$12,Paramètres!$A$1:$I$88,5,0)</f>
        <v>325.43159999999995</v>
      </c>
      <c r="CA101" s="14">
        <f t="shared" si="93"/>
        <v>76.482394221016762</v>
      </c>
      <c r="CB101" s="22">
        <f t="shared" si="64"/>
        <v>700.00020660160408</v>
      </c>
      <c r="CC101" s="62">
        <f t="shared" si="65"/>
        <v>976.83686553623545</v>
      </c>
      <c r="CD101" s="62">
        <f ca="1">AVERAGE(OFFSET($CC$3,0,0,'Données projet'!$E$12+1,1))-AVERAGE(OFFSET($H$3,0,0,'Données projet'!$E$12+1,1))</f>
        <v>401.1031790385295</v>
      </c>
      <c r="CE101" s="62">
        <f t="shared" si="94"/>
        <v>402.09589424130615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projet'!$B$12,Paramètres!$A$1:$I$88,3,0)*0.475*44/12</f>
        <v>9.7731498683527303</v>
      </c>
      <c r="CL101" s="23">
        <f>EXP(-LN(2)/25)*CL100+(1-EXP(-LN(2)/25))/(LN(2)/25)*Calculateur!CG101*Calculateur!CI101*VLOOKUP('Données projet'!$B$12,Paramètres!$A$1:$I$88,3,0)*0.475*44/12</f>
        <v>0</v>
      </c>
      <c r="CM101" s="23">
        <f>EXP(-LN(2)/2)*CM100+(1-EXP(-LN(2)/2))/(LN(2)/2)*CG101*CJ101*VLOOKUP('Données projet'!$B$12,Paramètres!$A$1:$I$88,3,0)*0.475*44/12</f>
        <v>7.9181156746780028E-6</v>
      </c>
      <c r="CN101" s="24">
        <f t="shared" si="66"/>
        <v>9.7731577864684045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544.19999999999982</v>
      </c>
      <c r="CU101" s="18">
        <f>CT101*VLOOKUP('Données projet'!$B$13,Paramètres!$A$1:$I$88,3,0)*VLOOKUP('Données projet'!$B$13,Paramètres!$A$1:$I$88,5,0)</f>
        <v>325.43159999999995</v>
      </c>
      <c r="CV101" s="14">
        <f t="shared" si="95"/>
        <v>76.482394221016762</v>
      </c>
      <c r="CW101" s="22">
        <f t="shared" si="67"/>
        <v>700.00020660160408</v>
      </c>
      <c r="CX101" s="62">
        <f t="shared" si="68"/>
        <v>976.83686553623545</v>
      </c>
      <c r="CY101" s="62">
        <f ca="1">AVERAGE(OFFSET($CX$3,0,0,'Données projet'!$E$13+1,1))-AVERAGE(OFFSET($H$3,0,0,'Données projet'!$E$13+1,1))</f>
        <v>401.1031790385295</v>
      </c>
      <c r="CZ101" s="62">
        <f t="shared" si="96"/>
        <v>402.09589424130615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projet'!$B$13,Paramètres!$A$1:$I$88,3,0)*0.475*44/12</f>
        <v>9.7731498683527303</v>
      </c>
      <c r="DG101" s="23">
        <f>EXP(-LN(2)/25)*DG100+(1-EXP(-LN(2)/25))/(LN(2)/25)*Calculateur!DB101*Calculateur!DD101*VLOOKUP('Données projet'!$B$13,Paramètres!$A$1:$I$88,3,0)*0.475*44/12</f>
        <v>0</v>
      </c>
      <c r="DH101" s="23">
        <f>EXP(-LN(2)/2)*DH100+(1-EXP(-LN(2)/2))/(LN(2)/2)*DB101*DE101*VLOOKUP('Données projet'!$B$13,Paramètres!$A$1:$I$88,3,0)*0.475*44/12</f>
        <v>7.9181156746780028E-6</v>
      </c>
      <c r="DI101" s="24">
        <f t="shared" si="69"/>
        <v>9.7731577864684045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860.00000000000023</v>
      </c>
      <c r="DP101" s="18">
        <f>DO101*VLOOKUP('Données projet'!$B$14,Paramètres!$A$1:$I$88,3,0)*VLOOKUP('Données projet'!$B$14,Paramètres!$A$1:$I$88,5,0)</f>
        <v>346.5800000000001</v>
      </c>
      <c r="DQ101" s="14">
        <f t="shared" si="97"/>
        <v>80.857895771535127</v>
      </c>
      <c r="DR101" s="22">
        <f t="shared" si="70"/>
        <v>744.45433513542378</v>
      </c>
      <c r="DS101" s="62">
        <f t="shared" si="71"/>
        <v>1021.2909940700551</v>
      </c>
      <c r="DT101" s="62">
        <f ca="1">AVERAGE(OFFSET($DS$3,0,0,'Données projet'!$E$14+1,1))-AVERAGE(OFFSET($H$3,0,0,'Données projet'!$E$14+1,1))</f>
        <v>432.59662347701629</v>
      </c>
      <c r="DU101" s="62">
        <f t="shared" si="98"/>
        <v>348.67401091099748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projet'!$B$14,Paramètres!$A$1:$I$88,3,0)*0.475*44/12</f>
        <v>44.024738190408534</v>
      </c>
      <c r="EB101" s="23">
        <f>EXP(-LN(2)/25)*EB100+(1-EXP(-LN(2)/25))/(LN(2)/25)*Calculateur!DW101*Calculateur!DY101*VLOOKUP('Données projet'!$B$14,Paramètres!$A$1:$I$88,3,0)*0.475*44/12</f>
        <v>42.212301107457833</v>
      </c>
      <c r="EC101" s="23">
        <f>EXP(-LN(2)/2)*EC100+(1-EXP(-LN(2)/2))/(LN(2)/2)*DW101*DZ101*VLOOKUP('Données projet'!$B$14,Paramètres!$A$1:$I$88,3,0)*0.475*44/12</f>
        <v>0</v>
      </c>
      <c r="ED101" s="24">
        <f t="shared" si="72"/>
        <v>86.237039297866374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1099.9999999999998</v>
      </c>
      <c r="EK101" s="18">
        <f>EJ101*VLOOKUP('Données projet'!$B$15,Paramètres!$A$1:$I$88,3,0)*VLOOKUP('Données projet'!$B$15,Paramètres!$A$1:$I$88,5,0)</f>
        <v>486.19999999999993</v>
      </c>
      <c r="EL101" s="14">
        <f t="shared" si="99"/>
        <v>109.0490179035375</v>
      </c>
      <c r="EM101" s="22">
        <f t="shared" si="73"/>
        <v>1036.725372848661</v>
      </c>
      <c r="EN101" s="62">
        <f t="shared" si="74"/>
        <v>1313.5620317832922</v>
      </c>
      <c r="EO101" s="62">
        <f ca="1">AVERAGE(OFFSET($EN$3,0,0,'Données projet'!$E$15+1,1))-AVERAGE(OFFSET($H$3,0,0,'Données projet'!$E$15+1,1))</f>
        <v>582.26951914082088</v>
      </c>
      <c r="EP101" s="62">
        <f t="shared" si="100"/>
        <v>434.80429932654715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projet'!$B$15,Paramètres!$A$1:$I$88,3,0)*0.475*44/12</f>
        <v>44.361025770444165</v>
      </c>
      <c r="EW101" s="23">
        <f>EXP(-LN(2)/25)*EW100+(1-EXP(-LN(2)/25))/(LN(2)/25)*Calculateur!ER101*Calculateur!ET101*VLOOKUP('Données projet'!$B$15,Paramètres!$A$1:$I$88,3,0)*0.475*44/12</f>
        <v>37.931038290792522</v>
      </c>
      <c r="EX101" s="23">
        <f>EXP(-LN(2)/2)*EX100+(1-EXP(-LN(2)/2))/(LN(2)/2)*ER101*EU101*VLOOKUP('Données projet'!$B$15,Paramètres!$A$1:$I$88,3,0)*0.475*44/12</f>
        <v>0</v>
      </c>
      <c r="EY101" s="24">
        <f t="shared" si="75"/>
        <v>82.292064061236687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15</v>
      </c>
      <c r="FE101" s="13">
        <f>IF('Données projet'!$A$218&gt;35,FE100+FD101-FM100,IF(A101&lt;'Données projet'!$A$218,$FB$205^A101,IF(A101='Données projet'!$A$218,'Données projet'!$B$218,FE100+FD101-FM100)))</f>
        <v>824.99999999999989</v>
      </c>
      <c r="FF101" s="18">
        <f>FE101*VLOOKUP('Données projet'!$B$16,Paramètres!$A$1:$I$88,3,0)*VLOOKUP('Données projet'!$B$16,Paramètres!$A$1:$I$88,5,0)</f>
        <v>386.09999999999997</v>
      </c>
      <c r="FG101" s="14">
        <f t="shared" si="101"/>
        <v>88.952879163979915</v>
      </c>
      <c r="FH101" s="22">
        <f t="shared" si="76"/>
        <v>827.38376454393153</v>
      </c>
      <c r="FI101" s="62">
        <f t="shared" si="77"/>
        <v>1104.2204234785629</v>
      </c>
      <c r="FJ101" s="62">
        <f ca="1">AVERAGE(OFFSET($FI$3,0,0,'Données projet'!$E$16+1,1))-AVERAGE(OFFSET($H$3,0,0,'Données projet'!$E$16+1,1))</f>
        <v>429.87867712133851</v>
      </c>
      <c r="FK101" s="62">
        <f t="shared" si="102"/>
        <v>182.81277865988014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projet'!$B$16,Paramètres!$A$1:$I$88,3,0)*0.475*44/12</f>
        <v>52.905831770441665</v>
      </c>
      <c r="FR101" s="23">
        <f>EXP(-LN(2)/25)*FR100+(1-EXP(-LN(2)/25))/(LN(2)/25)*Calculateur!FM101*Calculateur!FO101*VLOOKUP('Données projet'!$B$16,Paramètres!$A$1:$I$88,3,0)*0.475*44/12</f>
        <v>48.084084922063589</v>
      </c>
      <c r="FS101" s="23">
        <f>EXP(-LN(2)/2)*FS100+(1-EXP(-LN(2)/2))/(LN(2)/2)*FM101*FP101*VLOOKUP('Données projet'!$B$16,Paramètres!$A$1:$I$88,3,0)*0.475*44/12</f>
        <v>0</v>
      </c>
      <c r="FT101" s="24">
        <f t="shared" si="78"/>
        <v>100.98991669250526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498.99999999999955</v>
      </c>
      <c r="GA101" s="18">
        <f>FZ101*VLOOKUP('Données projet'!$B$17,Paramètres!$A$1:$I$88,3,0)*VLOOKUP('Données projet'!$B$17,Paramètres!$A$1:$I$88,5,0)</f>
        <v>240.01899999999978</v>
      </c>
      <c r="GB101" s="14">
        <f t="shared" si="103"/>
        <v>58.443618405936313</v>
      </c>
      <c r="GC101" s="22">
        <f t="shared" si="79"/>
        <v>519.82239372367201</v>
      </c>
      <c r="GD101" s="62">
        <f t="shared" si="80"/>
        <v>796.65905265830338</v>
      </c>
      <c r="GE101" s="62">
        <f ca="1">AVERAGE(OFFSET($GD$3,0,0,'Données projet'!$E$17+1,1))-AVERAGE(OFFSET($H$3,0,0,'Données projet'!$E$17+1,1))</f>
        <v>273.24375559399846</v>
      </c>
      <c r="GF101" s="62">
        <f t="shared" si="104"/>
        <v>270.77718895097848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projet'!$B$17,Paramètres!$A$1:$I$88,3,0)*0.475*44/12</f>
        <v>22.653170579302397</v>
      </c>
      <c r="GM101" s="23">
        <f>EXP(-LN(2)/25)*GM100+(1-EXP(-LN(2)/25))/(LN(2)/25)*Calculateur!GH101*Calculateur!GJ101*VLOOKUP('Données projet'!$B$17,Paramètres!$A$1:$I$88,3,0)*0.475*44/12</f>
        <v>18.500232093942287</v>
      </c>
      <c r="GN101" s="23">
        <f>EXP(-LN(2)/2)*GN100+(1-EXP(-LN(2)/2))/(LN(2)/2)*GH101*GK101*VLOOKUP('Données projet'!$B$17,Paramètres!$A$1:$I$88,3,0)*0.475*44/12</f>
        <v>0</v>
      </c>
      <c r="GO101" s="23">
        <f t="shared" si="81"/>
        <v>41.153402673244685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550.99999999999966</v>
      </c>
      <c r="O102" s="14">
        <f>N102*VLOOKUP('Données projet'!$B$9,Paramètres!$A$1:$I$88,3,0)*VLOOKUP('Données projet'!$B$9,Paramètres!$A$1:$I$88,5,0)</f>
        <v>308.00899999999979</v>
      </c>
      <c r="P102" s="14">
        <f t="shared" si="87"/>
        <v>72.852874331417695</v>
      </c>
      <c r="Q102" s="22">
        <f t="shared" si="107"/>
        <v>663.33443112721886</v>
      </c>
      <c r="R102" s="62">
        <f t="shared" si="55"/>
        <v>940.45727048162894</v>
      </c>
      <c r="S102" s="62">
        <f ca="1">AVERAGE(OFFSET($R$3,0,0,'Données projet'!$E$9+1,1))-AVERAGE(OFFSET($H$3,0,0,'Données projet'!$E$9+1,1))</f>
        <v>289.94242154211224</v>
      </c>
      <c r="T102" s="62">
        <f t="shared" si="88"/>
        <v>369.12599166143661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34.07727511586382</v>
      </c>
      <c r="AA102" s="23">
        <f>EXP(-LN(2)/25)*AA101+(1-EXP(-LN(2)/25))/(LN(2)/25)*Calculateur!V102*Calculateur!X102*VLOOKUP('Données projet'!$B$9,Paramètres!$A$1:$I$88,3,0)*0.475*44/12</f>
        <v>22.662553943627024</v>
      </c>
      <c r="AB102" s="23">
        <f>EXP(-LN(2)/2)*AB101+(1-EXP(-LN(2)/2))/(LN(2)/2)*V102*Y102*VLOOKUP('Données projet'!$B$9,Paramètres!$A$1:$I$88,3,0)*0.475*44/12</f>
        <v>0</v>
      </c>
      <c r="AC102" s="24">
        <f t="shared" si="57"/>
        <v>56.739829059490845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6.75</v>
      </c>
      <c r="AI102" s="14">
        <f>IF('Données projet'!$A$62&gt;35,AI101+AH102-AQ101,IF(A102&lt;'Données projet'!$A$62,$AF$205^A102,IF(A102='Données projet'!$A$62,'Données projet'!$B$62,AI101+AH102-AQ101)))</f>
        <v>284.5</v>
      </c>
      <c r="AJ102" s="14">
        <f>AI102*VLOOKUP('Données projet'!$B$10,Paramètres!$A$1:$I$88,3,0)*VLOOKUP('Données projet'!$B$10,Paramètres!$A$1:$I$88,5,0)</f>
        <v>257.41559999999998</v>
      </c>
      <c r="AK102" s="14">
        <f t="shared" si="89"/>
        <v>62.171168434977119</v>
      </c>
      <c r="AL102" s="22">
        <f t="shared" si="58"/>
        <v>556.61362169091842</v>
      </c>
      <c r="AM102" s="62">
        <f t="shared" si="59"/>
        <v>833.7364610453285</v>
      </c>
      <c r="AN102" s="62">
        <f ca="1">AVERAGE(OFFSET($AM$3,0,0,'Données projet'!$E$10+1,1))-AVERAGE(OFFSET($H$3,0,0,'Données projet'!$E$10+1,1))</f>
        <v>518.31628039365785</v>
      </c>
      <c r="AO102" s="62">
        <f t="shared" si="90"/>
        <v>66.435071953154761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19.965986562977985</v>
      </c>
      <c r="AV102" s="23">
        <f>EXP(-LN(2)/25)*AV101+(1-EXP(-LN(2)/25))/(LN(2)/25)*Calculateur!AQ102*Calculateur!AS102*VLOOKUP('Données projet'!$B$10,Paramètres!$A$1:$I$88,3,0)*0.475*44/12</f>
        <v>0</v>
      </c>
      <c r="AW102" s="23">
        <f>EXP(-LN(2)/2)*AW101+(1-EXP(-LN(2)/2))/(LN(2)/2)*AQ102*AT102*VLOOKUP('Données projet'!$B$10,Paramètres!$A$1:$I$88,3,0)*0.475*44/12</f>
        <v>0</v>
      </c>
      <c r="AX102" s="23">
        <f t="shared" si="60"/>
        <v>19.965986562977985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6.75</v>
      </c>
      <c r="BD102" s="13">
        <f>IF('Données projet'!$A$88&gt;35,BD101+BC102-BL101,IF(A102&lt;'Données projet'!$A$88,$BA$205^A102,IF(A102='Données projet'!$A$88,'Données projet'!$B$88,BD101+BC102-BL101)))</f>
        <v>284.5</v>
      </c>
      <c r="BE102" s="14">
        <f>BD102*VLOOKUP('Données projet'!$B$11,Paramètres!$A$1:$I$88,3,0)*VLOOKUP('Données projet'!$B$11,Paramètres!$A$1:$I$88,5,0)</f>
        <v>288.483</v>
      </c>
      <c r="BF102" s="14">
        <f t="shared" si="91"/>
        <v>68.756584730508692</v>
      </c>
      <c r="BG102" s="22">
        <f t="shared" si="61"/>
        <v>622.19227673896933</v>
      </c>
      <c r="BH102" s="62">
        <f t="shared" si="62"/>
        <v>899.3151160933794</v>
      </c>
      <c r="BI102" s="62">
        <f ca="1">AVERAGE(OFFSET($BH$3,0,0,'Données projet'!$E$11+1,1))-AVERAGE(OFFSET($H$3,0,0,'Données projet'!$E$11+1,1))</f>
        <v>570.2785736203931</v>
      </c>
      <c r="BJ102" s="62">
        <f t="shared" si="92"/>
        <v>67.677759965081719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22.375674596440859</v>
      </c>
      <c r="BQ102" s="23">
        <f>EXP(-LN(2)/25)*BQ101+(1-EXP(-LN(2)/25))/(LN(2)/25)*Calculateur!BL102*Calculateur!BN102*VLOOKUP('Données projet'!$B$11,Paramètres!$A$1:$I$88,3,0)*0.475*44/12</f>
        <v>0</v>
      </c>
      <c r="BR102" s="23">
        <f>EXP(-LN(2)/2)*BR101+(1-EXP(-LN(2)/2))/(LN(2)/2)*BL102*BO102*VLOOKUP('Données projet'!$B$11,Paramètres!$A$1:$I$88,3,0)*0.475*44/12</f>
        <v>0</v>
      </c>
      <c r="BS102" s="24">
        <f t="shared" si="63"/>
        <v>22.375674596440859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544.19999999999982</v>
      </c>
      <c r="BZ102" s="14">
        <f>BY102*VLOOKUP('Données projet'!$B$12,Paramètres!$A$1:$I$88,3,0)*VLOOKUP('Données projet'!$B$12,Paramètres!$A$1:$I$88,5,0)</f>
        <v>325.43159999999995</v>
      </c>
      <c r="CA102" s="14">
        <f t="shared" si="93"/>
        <v>76.482394221016762</v>
      </c>
      <c r="CB102" s="22">
        <f t="shared" si="64"/>
        <v>700.00020660160408</v>
      </c>
      <c r="CC102" s="62">
        <f t="shared" si="65"/>
        <v>977.12304595601427</v>
      </c>
      <c r="CD102" s="62">
        <f ca="1">AVERAGE(OFFSET($CC$3,0,0,'Données projet'!$E$12+1,1))-AVERAGE(OFFSET($H$3,0,0,'Données projet'!$E$12+1,1))</f>
        <v>401.1031790385295</v>
      </c>
      <c r="CE102" s="62">
        <f t="shared" si="94"/>
        <v>402.09589424130615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projet'!$B$12,Paramètres!$A$1:$I$88,3,0)*0.475*44/12</f>
        <v>9.5815043604671501</v>
      </c>
      <c r="CL102" s="23">
        <f>EXP(-LN(2)/25)*CL101+(1-EXP(-LN(2)/25))/(LN(2)/25)*Calculateur!CG102*Calculateur!CI102*VLOOKUP('Données projet'!$B$12,Paramètres!$A$1:$I$88,3,0)*0.475*44/12</f>
        <v>0</v>
      </c>
      <c r="CM102" s="23">
        <f>EXP(-LN(2)/2)*CM101+(1-EXP(-LN(2)/2))/(LN(2)/2)*CG102*CJ102*VLOOKUP('Données projet'!$B$12,Paramètres!$A$1:$I$88,3,0)*0.475*44/12</f>
        <v>5.5989532877843107E-6</v>
      </c>
      <c r="CN102" s="24">
        <f t="shared" si="66"/>
        <v>9.5815099594204387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544.19999999999982</v>
      </c>
      <c r="CU102" s="18">
        <f>CT102*VLOOKUP('Données projet'!$B$13,Paramètres!$A$1:$I$88,3,0)*VLOOKUP('Données projet'!$B$13,Paramètres!$A$1:$I$88,5,0)</f>
        <v>325.43159999999995</v>
      </c>
      <c r="CV102" s="14">
        <f t="shared" si="95"/>
        <v>76.482394221016762</v>
      </c>
      <c r="CW102" s="22">
        <f t="shared" si="67"/>
        <v>700.00020660160408</v>
      </c>
      <c r="CX102" s="62">
        <f t="shared" si="68"/>
        <v>977.12304595601427</v>
      </c>
      <c r="CY102" s="62">
        <f ca="1">AVERAGE(OFFSET($CX$3,0,0,'Données projet'!$E$13+1,1))-AVERAGE(OFFSET($H$3,0,0,'Données projet'!$E$13+1,1))</f>
        <v>401.1031790385295</v>
      </c>
      <c r="CZ102" s="62">
        <f t="shared" si="96"/>
        <v>402.09589424130615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projet'!$B$13,Paramètres!$A$1:$I$88,3,0)*0.475*44/12</f>
        <v>9.5815043604671501</v>
      </c>
      <c r="DG102" s="23">
        <f>EXP(-LN(2)/25)*DG101+(1-EXP(-LN(2)/25))/(LN(2)/25)*Calculateur!DB102*Calculateur!DD102*VLOOKUP('Données projet'!$B$13,Paramètres!$A$1:$I$88,3,0)*0.475*44/12</f>
        <v>0</v>
      </c>
      <c r="DH102" s="23">
        <f>EXP(-LN(2)/2)*DH101+(1-EXP(-LN(2)/2))/(LN(2)/2)*DB102*DE102*VLOOKUP('Données projet'!$B$13,Paramètres!$A$1:$I$88,3,0)*0.475*44/12</f>
        <v>5.5989532877843107E-6</v>
      </c>
      <c r="DI102" s="24">
        <f t="shared" si="69"/>
        <v>9.5815099594204387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860.00000000000023</v>
      </c>
      <c r="DP102" s="18">
        <f>DO102*VLOOKUP('Données projet'!$B$14,Paramètres!$A$1:$I$88,3,0)*VLOOKUP('Données projet'!$B$14,Paramètres!$A$1:$I$88,5,0)</f>
        <v>346.5800000000001</v>
      </c>
      <c r="DQ102" s="14">
        <f t="shared" si="97"/>
        <v>80.857895771535127</v>
      </c>
      <c r="DR102" s="22">
        <f t="shared" si="70"/>
        <v>744.45433513542378</v>
      </c>
      <c r="DS102" s="62">
        <f t="shared" si="71"/>
        <v>1021.5771744898339</v>
      </c>
      <c r="DT102" s="62">
        <f ca="1">AVERAGE(OFFSET($DS$3,0,0,'Données projet'!$E$14+1,1))-AVERAGE(OFFSET($H$3,0,0,'Données projet'!$E$14+1,1))</f>
        <v>432.59662347701629</v>
      </c>
      <c r="DU102" s="62">
        <f t="shared" si="98"/>
        <v>348.67401091099748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projet'!$B$14,Paramètres!$A$1:$I$88,3,0)*0.475*44/12</f>
        <v>43.161439926933461</v>
      </c>
      <c r="EB102" s="23">
        <f>EXP(-LN(2)/25)*EB101+(1-EXP(-LN(2)/25))/(LN(2)/25)*Calculateur!DW102*Calculateur!DY102*VLOOKUP('Données projet'!$B$14,Paramètres!$A$1:$I$88,3,0)*0.475*44/12</f>
        <v>41.058003513825959</v>
      </c>
      <c r="EC102" s="23">
        <f>EXP(-LN(2)/2)*EC101+(1-EXP(-LN(2)/2))/(LN(2)/2)*DW102*DZ102*VLOOKUP('Données projet'!$B$14,Paramètres!$A$1:$I$88,3,0)*0.475*44/12</f>
        <v>0</v>
      </c>
      <c r="ED102" s="24">
        <f t="shared" si="72"/>
        <v>84.21944344075942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1099.9999999999998</v>
      </c>
      <c r="EK102" s="18">
        <f>EJ102*VLOOKUP('Données projet'!$B$15,Paramètres!$A$1:$I$88,3,0)*VLOOKUP('Données projet'!$B$15,Paramètres!$A$1:$I$88,5,0)</f>
        <v>486.19999999999993</v>
      </c>
      <c r="EL102" s="14">
        <f t="shared" si="99"/>
        <v>109.0490179035375</v>
      </c>
      <c r="EM102" s="22">
        <f t="shared" si="73"/>
        <v>1036.725372848661</v>
      </c>
      <c r="EN102" s="62">
        <f t="shared" si="74"/>
        <v>1313.8482122030712</v>
      </c>
      <c r="EO102" s="62">
        <f ca="1">AVERAGE(OFFSET($EN$3,0,0,'Données projet'!$E$15+1,1))-AVERAGE(OFFSET($H$3,0,0,'Données projet'!$E$15+1,1))</f>
        <v>582.26951914082088</v>
      </c>
      <c r="EP102" s="62">
        <f t="shared" si="100"/>
        <v>434.80429932654715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projet'!$B$15,Paramètres!$A$1:$I$88,3,0)*0.475*44/12</f>
        <v>43.491133112639766</v>
      </c>
      <c r="EW102" s="23">
        <f>EXP(-LN(2)/25)*EW101+(1-EXP(-LN(2)/25))/(LN(2)/25)*Calculateur!ER102*Calculateur!ET102*VLOOKUP('Données projet'!$B$15,Paramètres!$A$1:$I$88,3,0)*0.475*44/12</f>
        <v>36.893812054024188</v>
      </c>
      <c r="EX102" s="23">
        <f>EXP(-LN(2)/2)*EX101+(1-EXP(-LN(2)/2))/(LN(2)/2)*ER102*EU102*VLOOKUP('Données projet'!$B$15,Paramètres!$A$1:$I$88,3,0)*0.475*44/12</f>
        <v>0</v>
      </c>
      <c r="EY102" s="24">
        <f t="shared" si="75"/>
        <v>80.384945166663954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15</v>
      </c>
      <c r="FE102" s="13">
        <f>IF('Données projet'!$A$218&gt;35,FE101+FD102-FM101,IF(A102&lt;'Données projet'!$A$218,$FB$205^A102,IF(A102='Données projet'!$A$218,'Données projet'!$B$218,FE101+FD102-FM101)))</f>
        <v>839.99999999999989</v>
      </c>
      <c r="FF102" s="18">
        <f>FE102*VLOOKUP('Données projet'!$B$16,Paramètres!$A$1:$I$88,3,0)*VLOOKUP('Données projet'!$B$16,Paramètres!$A$1:$I$88,5,0)</f>
        <v>393.11999999999989</v>
      </c>
      <c r="FG102" s="14">
        <f t="shared" si="101"/>
        <v>90.380445521044919</v>
      </c>
      <c r="FH102" s="22">
        <f t="shared" si="76"/>
        <v>842.09660928248638</v>
      </c>
      <c r="FI102" s="62">
        <f t="shared" si="77"/>
        <v>1119.2194486368965</v>
      </c>
      <c r="FJ102" s="62">
        <f ca="1">AVERAGE(OFFSET($FI$3,0,0,'Données projet'!$E$16+1,1))-AVERAGE(OFFSET($H$3,0,0,'Données projet'!$E$16+1,1))</f>
        <v>429.87867712133851</v>
      </c>
      <c r="FK102" s="62">
        <f t="shared" si="102"/>
        <v>182.81277865988014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projet'!$B$16,Paramètres!$A$1:$I$88,3,0)*0.475*44/12</f>
        <v>51.868380678794345</v>
      </c>
      <c r="FR102" s="23">
        <f>EXP(-LN(2)/25)*FR101+(1-EXP(-LN(2)/25))/(LN(2)/25)*Calculateur!FM102*Calculateur!FO102*VLOOKUP('Données projet'!$B$16,Paramètres!$A$1:$I$88,3,0)*0.475*44/12</f>
        <v>46.769223091237635</v>
      </c>
      <c r="FS102" s="23">
        <f>EXP(-LN(2)/2)*FS101+(1-EXP(-LN(2)/2))/(LN(2)/2)*FM102*FP102*VLOOKUP('Données projet'!$B$16,Paramètres!$A$1:$I$88,3,0)*0.475*44/12</f>
        <v>0</v>
      </c>
      <c r="FT102" s="24">
        <f t="shared" si="78"/>
        <v>98.637603770031973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498.99999999999955</v>
      </c>
      <c r="GA102" s="18">
        <f>FZ102*VLOOKUP('Données projet'!$B$17,Paramètres!$A$1:$I$88,3,0)*VLOOKUP('Données projet'!$B$17,Paramètres!$A$1:$I$88,5,0)</f>
        <v>240.01899999999978</v>
      </c>
      <c r="GB102" s="14">
        <f t="shared" si="103"/>
        <v>58.443618405936313</v>
      </c>
      <c r="GC102" s="22">
        <f t="shared" si="79"/>
        <v>519.82239372367201</v>
      </c>
      <c r="GD102" s="62">
        <f t="shared" si="80"/>
        <v>796.94523307808208</v>
      </c>
      <c r="GE102" s="62">
        <f ca="1">AVERAGE(OFFSET($GD$3,0,0,'Données projet'!$E$17+1,1))-AVERAGE(OFFSET($H$3,0,0,'Données projet'!$E$17+1,1))</f>
        <v>273.24375559399846</v>
      </c>
      <c r="GF102" s="62">
        <f t="shared" si="104"/>
        <v>270.77718895097848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projet'!$B$17,Paramètres!$A$1:$I$88,3,0)*0.475*44/12</f>
        <v>22.208955721312009</v>
      </c>
      <c r="GM102" s="23">
        <f>EXP(-LN(2)/25)*GM101+(1-EXP(-LN(2)/25))/(LN(2)/25)*Calculateur!GH102*Calculateur!GJ102*VLOOKUP('Données projet'!$B$17,Paramètres!$A$1:$I$88,3,0)*0.475*44/12</f>
        <v>17.994342274448513</v>
      </c>
      <c r="GN102" s="23">
        <f>EXP(-LN(2)/2)*GN101+(1-EXP(-LN(2)/2))/(LN(2)/2)*GH102*GK102*VLOOKUP('Données projet'!$B$17,Paramètres!$A$1:$I$88,3,0)*0.475*44/12</f>
        <v>0</v>
      </c>
      <c r="GO102" s="23">
        <f t="shared" si="81"/>
        <v>40.203297995760522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550.99999999999966</v>
      </c>
      <c r="O103" s="14">
        <f>N103*VLOOKUP('Données projet'!$B$9,Paramètres!$A$1:$I$88,3,0)*VLOOKUP('Données projet'!$B$9,Paramètres!$A$1:$I$88,5,0)</f>
        <v>308.00899999999979</v>
      </c>
      <c r="P103" s="14">
        <f t="shared" si="87"/>
        <v>72.852874331417695</v>
      </c>
      <c r="Q103" s="22">
        <f t="shared" si="107"/>
        <v>663.33443112721886</v>
      </c>
      <c r="R103" s="62">
        <f t="shared" si="55"/>
        <v>940.73848631092801</v>
      </c>
      <c r="S103" s="62">
        <f ca="1">AVERAGE(OFFSET($R$3,0,0,'Données projet'!$E$9+1,1))-AVERAGE(OFFSET($H$3,0,0,'Données projet'!$E$9+1,1))</f>
        <v>289.94242154211224</v>
      </c>
      <c r="T103" s="62">
        <f t="shared" si="88"/>
        <v>369.12599166143661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33.409040535927197</v>
      </c>
      <c r="AA103" s="23">
        <f>EXP(-LN(2)/25)*AA102+(1-EXP(-LN(2)/25))/(LN(2)/25)*Calculateur!V103*Calculateur!X103*VLOOKUP('Données projet'!$B$9,Paramètres!$A$1:$I$88,3,0)*0.475*44/12</f>
        <v>22.042845214266627</v>
      </c>
      <c r="AB103" s="23">
        <f>EXP(-LN(2)/2)*AB102+(1-EXP(-LN(2)/2))/(LN(2)/2)*V103*Y103*VLOOKUP('Données projet'!$B$9,Paramètres!$A$1:$I$88,3,0)*0.475*44/12</f>
        <v>0</v>
      </c>
      <c r="AC103" s="24">
        <f t="shared" si="57"/>
        <v>55.451885750193824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6.75</v>
      </c>
      <c r="AI103" s="14">
        <f>IF('Données projet'!$A$62&gt;35,AI102+AH103-AQ102,IF(A103&lt;'Données projet'!$A$62,$AF$205^A103,IF(A103='Données projet'!$A$62,'Données projet'!$B$62,AI102+AH103-AQ102)))</f>
        <v>291.25</v>
      </c>
      <c r="AJ103" s="14">
        <f>AI103*VLOOKUP('Données projet'!$B$10,Paramètres!$A$1:$I$88,3,0)*VLOOKUP('Données projet'!$B$10,Paramètres!$A$1:$I$88,5,0)</f>
        <v>263.52299999999997</v>
      </c>
      <c r="AK103" s="14">
        <f t="shared" si="89"/>
        <v>63.472749937933045</v>
      </c>
      <c r="AL103" s="22">
        <f t="shared" si="58"/>
        <v>569.51759780856662</v>
      </c>
      <c r="AM103" s="62">
        <f t="shared" si="59"/>
        <v>846.92165299227577</v>
      </c>
      <c r="AN103" s="62">
        <f ca="1">AVERAGE(OFFSET($AM$3,0,0,'Données projet'!$E$10+1,1))-AVERAGE(OFFSET($H$3,0,0,'Données projet'!$E$10+1,1))</f>
        <v>518.31628039365785</v>
      </c>
      <c r="AO103" s="62">
        <f t="shared" si="90"/>
        <v>66.435071953154761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19.574465744527309</v>
      </c>
      <c r="AV103" s="23">
        <f>EXP(-LN(2)/25)*AV102+(1-EXP(-LN(2)/25))/(LN(2)/25)*Calculateur!AQ103*Calculateur!AS103*VLOOKUP('Données projet'!$B$10,Paramètres!$A$1:$I$88,3,0)*0.475*44/12</f>
        <v>0</v>
      </c>
      <c r="AW103" s="23">
        <f>EXP(-LN(2)/2)*AW102+(1-EXP(-LN(2)/2))/(LN(2)/2)*AQ103*AT103*VLOOKUP('Données projet'!$B$10,Paramètres!$A$1:$I$88,3,0)*0.475*44/12</f>
        <v>0</v>
      </c>
      <c r="AX103" s="23">
        <f t="shared" si="60"/>
        <v>19.574465744527309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6.75</v>
      </c>
      <c r="BD103" s="13">
        <f>IF('Données projet'!$A$88&gt;35,BD102+BC103-BL102,IF(A103&lt;'Données projet'!$A$88,$BA$205^A103,IF(A103='Données projet'!$A$88,'Données projet'!$B$88,BD102+BC103-BL102)))</f>
        <v>291.25</v>
      </c>
      <c r="BE103" s="14">
        <f>BD103*VLOOKUP('Données projet'!$B$11,Paramètres!$A$1:$I$88,3,0)*VLOOKUP('Données projet'!$B$11,Paramètres!$A$1:$I$88,5,0)</f>
        <v>295.32749999999999</v>
      </c>
      <c r="BF103" s="14">
        <f t="shared" si="91"/>
        <v>70.196034899203028</v>
      </c>
      <c r="BG103" s="22">
        <f t="shared" si="61"/>
        <v>636.62015661611201</v>
      </c>
      <c r="BH103" s="62">
        <f t="shared" si="62"/>
        <v>914.02421179982116</v>
      </c>
      <c r="BI103" s="62">
        <f ca="1">AVERAGE(OFFSET($BH$3,0,0,'Données projet'!$E$11+1,1))-AVERAGE(OFFSET($H$3,0,0,'Données projet'!$E$11+1,1))</f>
        <v>570.2785736203931</v>
      </c>
      <c r="BJ103" s="62">
        <f t="shared" si="92"/>
        <v>67.677759965081719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21.936901265418548</v>
      </c>
      <c r="BQ103" s="23">
        <f>EXP(-LN(2)/25)*BQ102+(1-EXP(-LN(2)/25))/(LN(2)/25)*Calculateur!BL103*Calculateur!BN103*VLOOKUP('Données projet'!$B$11,Paramètres!$A$1:$I$88,3,0)*0.475*44/12</f>
        <v>0</v>
      </c>
      <c r="BR103" s="23">
        <f>EXP(-LN(2)/2)*BR102+(1-EXP(-LN(2)/2))/(LN(2)/2)*BL103*BO103*VLOOKUP('Données projet'!$B$11,Paramètres!$A$1:$I$88,3,0)*0.475*44/12</f>
        <v>0</v>
      </c>
      <c r="BS103" s="24">
        <f t="shared" si="63"/>
        <v>21.936901265418548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544.19999999999982</v>
      </c>
      <c r="BZ103" s="14">
        <f>BY103*VLOOKUP('Données projet'!$B$12,Paramètres!$A$1:$I$88,3,0)*VLOOKUP('Données projet'!$B$12,Paramètres!$A$1:$I$88,5,0)</f>
        <v>325.43159999999995</v>
      </c>
      <c r="CA103" s="14">
        <f t="shared" si="93"/>
        <v>76.482394221016762</v>
      </c>
      <c r="CB103" s="22">
        <f t="shared" si="64"/>
        <v>700.00020660160408</v>
      </c>
      <c r="CC103" s="62">
        <f t="shared" si="65"/>
        <v>977.40426178531334</v>
      </c>
      <c r="CD103" s="62">
        <f ca="1">AVERAGE(OFFSET($CC$3,0,0,'Données projet'!$E$12+1,1))-AVERAGE(OFFSET($H$3,0,0,'Données projet'!$E$12+1,1))</f>
        <v>401.1031790385295</v>
      </c>
      <c r="CE103" s="62">
        <f t="shared" si="94"/>
        <v>402.09589424130615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projet'!$B$12,Paramètres!$A$1:$I$88,3,0)*0.475*44/12</f>
        <v>9.3936169040989874</v>
      </c>
      <c r="CL103" s="23">
        <f>EXP(-LN(2)/25)*CL102+(1-EXP(-LN(2)/25))/(LN(2)/25)*Calculateur!CG103*Calculateur!CI103*VLOOKUP('Données projet'!$B$12,Paramètres!$A$1:$I$88,3,0)*0.475*44/12</f>
        <v>0</v>
      </c>
      <c r="CM103" s="23">
        <f>EXP(-LN(2)/2)*CM102+(1-EXP(-LN(2)/2))/(LN(2)/2)*CG103*CJ103*VLOOKUP('Données projet'!$B$12,Paramètres!$A$1:$I$88,3,0)*0.475*44/12</f>
        <v>3.9590578373390014E-6</v>
      </c>
      <c r="CN103" s="24">
        <f t="shared" si="66"/>
        <v>9.3936208631568245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544.19999999999982</v>
      </c>
      <c r="CU103" s="18">
        <f>CT103*VLOOKUP('Données projet'!$B$13,Paramètres!$A$1:$I$88,3,0)*VLOOKUP('Données projet'!$B$13,Paramètres!$A$1:$I$88,5,0)</f>
        <v>325.43159999999995</v>
      </c>
      <c r="CV103" s="14">
        <f t="shared" si="95"/>
        <v>76.482394221016762</v>
      </c>
      <c r="CW103" s="22">
        <f t="shared" si="67"/>
        <v>700.00020660160408</v>
      </c>
      <c r="CX103" s="62">
        <f t="shared" si="68"/>
        <v>977.40426178531334</v>
      </c>
      <c r="CY103" s="62">
        <f ca="1">AVERAGE(OFFSET($CX$3,0,0,'Données projet'!$E$13+1,1))-AVERAGE(OFFSET($H$3,0,0,'Données projet'!$E$13+1,1))</f>
        <v>401.1031790385295</v>
      </c>
      <c r="CZ103" s="62">
        <f t="shared" si="96"/>
        <v>402.09589424130615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projet'!$B$13,Paramètres!$A$1:$I$88,3,0)*0.475*44/12</f>
        <v>9.3936169040989874</v>
      </c>
      <c r="DG103" s="23">
        <f>EXP(-LN(2)/25)*DG102+(1-EXP(-LN(2)/25))/(LN(2)/25)*Calculateur!DB103*Calculateur!DD103*VLOOKUP('Données projet'!$B$13,Paramètres!$A$1:$I$88,3,0)*0.475*44/12</f>
        <v>0</v>
      </c>
      <c r="DH103" s="23">
        <f>EXP(-LN(2)/2)*DH102+(1-EXP(-LN(2)/2))/(LN(2)/2)*DB103*DE103*VLOOKUP('Données projet'!$B$13,Paramètres!$A$1:$I$88,3,0)*0.475*44/12</f>
        <v>3.9590578373390014E-6</v>
      </c>
      <c r="DI103" s="24">
        <f t="shared" si="69"/>
        <v>9.3936208631568245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860.00000000000023</v>
      </c>
      <c r="DP103" s="18">
        <f>DO103*VLOOKUP('Données projet'!$B$14,Paramètres!$A$1:$I$88,3,0)*VLOOKUP('Données projet'!$B$14,Paramètres!$A$1:$I$88,5,0)</f>
        <v>346.5800000000001</v>
      </c>
      <c r="DQ103" s="14">
        <f t="shared" si="97"/>
        <v>80.857895771535127</v>
      </c>
      <c r="DR103" s="22">
        <f t="shared" si="70"/>
        <v>744.45433513542378</v>
      </c>
      <c r="DS103" s="62">
        <f t="shared" si="71"/>
        <v>1021.8583903191329</v>
      </c>
      <c r="DT103" s="62">
        <f ca="1">AVERAGE(OFFSET($DS$3,0,0,'Données projet'!$E$14+1,1))-AVERAGE(OFFSET($H$3,0,0,'Données projet'!$E$14+1,1))</f>
        <v>432.59662347701629</v>
      </c>
      <c r="DU103" s="62">
        <f t="shared" si="98"/>
        <v>348.67401091099748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projet'!$B$14,Paramètres!$A$1:$I$88,3,0)*0.475*44/12</f>
        <v>42.315070415845184</v>
      </c>
      <c r="EB103" s="23">
        <f>EXP(-LN(2)/25)*EB102+(1-EXP(-LN(2)/25))/(LN(2)/25)*Calculateur!DW103*Calculateur!DY103*VLOOKUP('Données projet'!$B$14,Paramètres!$A$1:$I$88,3,0)*0.475*44/12</f>
        <v>39.935270248593824</v>
      </c>
      <c r="EC103" s="23">
        <f>EXP(-LN(2)/2)*EC102+(1-EXP(-LN(2)/2))/(LN(2)/2)*DW103*DZ103*VLOOKUP('Données projet'!$B$14,Paramètres!$A$1:$I$88,3,0)*0.475*44/12</f>
        <v>0</v>
      </c>
      <c r="ED103" s="24">
        <f t="shared" si="72"/>
        <v>82.250340664439008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1099.9999999999998</v>
      </c>
      <c r="EK103" s="18">
        <f>EJ103*VLOOKUP('Données projet'!$B$15,Paramètres!$A$1:$I$88,3,0)*VLOOKUP('Données projet'!$B$15,Paramètres!$A$1:$I$88,5,0)</f>
        <v>486.19999999999993</v>
      </c>
      <c r="EL103" s="14">
        <f t="shared" si="99"/>
        <v>109.0490179035375</v>
      </c>
      <c r="EM103" s="22">
        <f t="shared" si="73"/>
        <v>1036.725372848661</v>
      </c>
      <c r="EN103" s="62">
        <f t="shared" si="74"/>
        <v>1314.1294280323702</v>
      </c>
      <c r="EO103" s="62">
        <f ca="1">AVERAGE(OFFSET($EN$3,0,0,'Données projet'!$E$15+1,1))-AVERAGE(OFFSET($H$3,0,0,'Données projet'!$E$15+1,1))</f>
        <v>582.26951914082088</v>
      </c>
      <c r="EP103" s="62">
        <f t="shared" si="100"/>
        <v>434.80429932654715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projet'!$B$15,Paramètres!$A$1:$I$88,3,0)*0.475*44/12</f>
        <v>42.63829851927278</v>
      </c>
      <c r="EW103" s="23">
        <f>EXP(-LN(2)/25)*EW102+(1-EXP(-LN(2)/25))/(LN(2)/25)*Calculateur!ER103*Calculateur!ET103*VLOOKUP('Données projet'!$B$15,Paramètres!$A$1:$I$88,3,0)*0.475*44/12</f>
        <v>35.884948823245644</v>
      </c>
      <c r="EX103" s="23">
        <f>EXP(-LN(2)/2)*EX102+(1-EXP(-LN(2)/2))/(LN(2)/2)*ER103*EU103*VLOOKUP('Données projet'!$B$15,Paramètres!$A$1:$I$88,3,0)*0.475*44/12</f>
        <v>0</v>
      </c>
      <c r="EY103" s="24">
        <f t="shared" si="75"/>
        <v>78.523247342518431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855</v>
      </c>
      <c r="FC103" s="13">
        <f>VLOOKUP(A103,'Données projet'!$A$217:$I$237,9,0)</f>
        <v>15</v>
      </c>
      <c r="FD103" s="13">
        <f t="array" ref="FD103">INDEX(FC:FC,MIN(IF(ISNUMBER(FC103:FC299),ROW(FC103:FC299),"")))</f>
        <v>15</v>
      </c>
      <c r="FE103" s="13">
        <f>IF('Données projet'!$A$218&gt;35,FE102+FD103-FM102,IF(A103&lt;'Données projet'!$A$218,$FB$205^A103,IF(A103='Données projet'!$A$218,'Données projet'!$B$218,FE102+FD103-FM102)))</f>
        <v>854.99999999999989</v>
      </c>
      <c r="FF103" s="18">
        <f>FE103*VLOOKUP('Données projet'!$B$16,Paramètres!$A$1:$I$88,3,0)*VLOOKUP('Données projet'!$B$16,Paramètres!$A$1:$I$88,5,0)</f>
        <v>400.13999999999993</v>
      </c>
      <c r="FG103" s="14">
        <f t="shared" si="101"/>
        <v>91.805047494648534</v>
      </c>
      <c r="FH103" s="22">
        <f t="shared" si="76"/>
        <v>856.80429105317944</v>
      </c>
      <c r="FI103" s="62">
        <f t="shared" si="77"/>
        <v>1134.2083462368887</v>
      </c>
      <c r="FJ103" s="62">
        <f ca="1">AVERAGE(OFFSET($FI$3,0,0,'Données projet'!$E$16+1,1))-AVERAGE(OFFSET($H$3,0,0,'Données projet'!$E$16+1,1))</f>
        <v>429.87867712133851</v>
      </c>
      <c r="FK103" s="62">
        <f t="shared" si="102"/>
        <v>182.81277865988014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projet'!$B$16,Paramètres!$A$1:$I$88,3,0)*0.475*44/12</f>
        <v>50.851273370271549</v>
      </c>
      <c r="FR103" s="23">
        <f>EXP(-LN(2)/25)*FR102+(1-EXP(-LN(2)/25))/(LN(2)/25)*Calculateur!FM103*Calculateur!FO103*VLOOKUP('Données projet'!$B$16,Paramètres!$A$1:$I$88,3,0)*0.475*44/12</f>
        <v>45.490316226321191</v>
      </c>
      <c r="FS103" s="23">
        <f>EXP(-LN(2)/2)*FS102+(1-EXP(-LN(2)/2))/(LN(2)/2)*FM103*FP103*VLOOKUP('Données projet'!$B$16,Paramètres!$A$1:$I$88,3,0)*0.475*44/12</f>
        <v>0</v>
      </c>
      <c r="FT103" s="24">
        <f t="shared" si="78"/>
        <v>96.34158959659274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498.99999999999955</v>
      </c>
      <c r="GA103" s="18">
        <f>FZ103*VLOOKUP('Données projet'!$B$17,Paramètres!$A$1:$I$88,3,0)*VLOOKUP('Données projet'!$B$17,Paramètres!$A$1:$I$88,5,0)</f>
        <v>240.01899999999978</v>
      </c>
      <c r="GB103" s="14">
        <f t="shared" si="103"/>
        <v>58.443618405936313</v>
      </c>
      <c r="GC103" s="22">
        <f t="shared" si="79"/>
        <v>519.82239372367201</v>
      </c>
      <c r="GD103" s="62">
        <f t="shared" si="80"/>
        <v>797.22644890738115</v>
      </c>
      <c r="GE103" s="62">
        <f ca="1">AVERAGE(OFFSET($GD$3,0,0,'Données projet'!$E$17+1,1))-AVERAGE(OFFSET($H$3,0,0,'Données projet'!$E$17+1,1))</f>
        <v>273.24375559399846</v>
      </c>
      <c r="GF103" s="62">
        <f t="shared" si="104"/>
        <v>270.77718895097848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projet'!$B$17,Paramètres!$A$1:$I$88,3,0)*0.475*44/12</f>
        <v>21.773451645742501</v>
      </c>
      <c r="GM103" s="23">
        <f>EXP(-LN(2)/25)*GM102+(1-EXP(-LN(2)/25))/(LN(2)/25)*Calculateur!GH103*Calculateur!GJ103*VLOOKUP('Données projet'!$B$17,Paramètres!$A$1:$I$88,3,0)*0.475*44/12</f>
        <v>17.502286038672384</v>
      </c>
      <c r="GN103" s="23">
        <f>EXP(-LN(2)/2)*GN102+(1-EXP(-LN(2)/2))/(LN(2)/2)*GH103*GK103*VLOOKUP('Données projet'!$B$17,Paramètres!$A$1:$I$88,3,0)*0.475*44/12</f>
        <v>0</v>
      </c>
      <c r="GO103" s="23">
        <f t="shared" si="81"/>
        <v>39.275737684414885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550.99999999999966</v>
      </c>
      <c r="O104" s="14">
        <f>N104*VLOOKUP('Données projet'!$B$9,Paramètres!$A$1:$I$88,3,0)*VLOOKUP('Données projet'!$B$9,Paramètres!$A$1:$I$88,5,0)</f>
        <v>308.00899999999979</v>
      </c>
      <c r="P104" s="14">
        <f t="shared" si="87"/>
        <v>72.852874331417695</v>
      </c>
      <c r="Q104" s="22">
        <f t="shared" si="107"/>
        <v>663.33443112721886</v>
      </c>
      <c r="R104" s="62">
        <f t="shared" si="55"/>
        <v>941.01482367429321</v>
      </c>
      <c r="S104" s="62">
        <f ca="1">AVERAGE(OFFSET($R$3,0,0,'Données projet'!$E$9+1,1))-AVERAGE(OFFSET($H$3,0,0,'Données projet'!$E$9+1,1))</f>
        <v>289.94242154211224</v>
      </c>
      <c r="T104" s="62">
        <f t="shared" si="88"/>
        <v>369.12599166143661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32.753909628520283</v>
      </c>
      <c r="AA104" s="23">
        <f>EXP(-LN(2)/25)*AA103+(1-EXP(-LN(2)/25))/(LN(2)/25)*Calculateur!V104*Calculateur!X104*VLOOKUP('Données projet'!$B$9,Paramètres!$A$1:$I$88,3,0)*0.475*44/12</f>
        <v>21.440082452699656</v>
      </c>
      <c r="AB104" s="23">
        <f>EXP(-LN(2)/2)*AB103+(1-EXP(-LN(2)/2))/(LN(2)/2)*V104*Y104*VLOOKUP('Données projet'!$B$9,Paramètres!$A$1:$I$88,3,0)*0.475*44/12</f>
        <v>0</v>
      </c>
      <c r="AC104" s="24">
        <f t="shared" si="57"/>
        <v>54.193992081219939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>
        <f>VLOOKUP(A104,'Données projet'!$A$61:$I$81,2,0)</f>
        <v>298</v>
      </c>
      <c r="AG104" s="13">
        <f>VLOOKUP(A104,'Données projet'!$A$61:$I$81,9,0)</f>
        <v>6.75</v>
      </c>
      <c r="AH104" s="13">
        <f t="array" ref="AH104">INDEX(AG:AG,MIN(IF(ISNUMBER(AG104:AG300),ROW(AG104:AG300),"")))</f>
        <v>6.75</v>
      </c>
      <c r="AI104" s="14">
        <f>IF('Données projet'!$A$62&gt;35,AI103+AH104-AQ103,IF(A104&lt;'Données projet'!$A$62,$AF$205^A104,IF(A104='Données projet'!$A$62,'Données projet'!$B$62,AI103+AH104-AQ103)))</f>
        <v>298</v>
      </c>
      <c r="AJ104" s="14">
        <f>AI104*VLOOKUP('Données projet'!$B$10,Paramètres!$A$1:$I$88,3,0)*VLOOKUP('Données projet'!$B$10,Paramètres!$A$1:$I$88,5,0)</f>
        <v>269.63039999999995</v>
      </c>
      <c r="AK104" s="14">
        <f t="shared" si="89"/>
        <v>64.770824587436138</v>
      </c>
      <c r="AL104" s="22">
        <f t="shared" si="58"/>
        <v>582.4154661564512</v>
      </c>
      <c r="AM104" s="62">
        <f t="shared" si="59"/>
        <v>860.09585870352566</v>
      </c>
      <c r="AN104" s="62">
        <f ca="1">AVERAGE(OFFSET($AM$3,0,0,'Données projet'!$E$10+1,1))-AVERAGE(OFFSET($H$3,0,0,'Données projet'!$E$10+1,1))</f>
        <v>518.31628039365785</v>
      </c>
      <c r="AO104" s="62">
        <f t="shared" si="90"/>
        <v>66.435071953154761</v>
      </c>
      <c r="AP104" s="16">
        <f>IF(ISNA(VLOOKUP(A104,'Données projet'!$A$61:$I$81,3,0)),0,VLOOKUP(A104,'Données projet'!$A$61:$I$81,3,0))</f>
        <v>12</v>
      </c>
      <c r="AQ104" s="16">
        <f>IF(ISNA(VLOOKUP(A104,'Données projet'!$A$61:$I$81,4,0)),0,VLOOKUP(A104,'Données projet'!$A$61:$I$81,4,0))</f>
        <v>34</v>
      </c>
      <c r="AR104" s="17">
        <f>IF(ISNA(VLOOKUP(A104,'Données projet'!$A$61:$I$81,5,0)),0%,VLOOKUP(A104,'Données projet'!$A$61:$I$81,5,0)*VLOOKUP('Données projet'!$B$10,Paramètres!$A$1:$I$88,7,0))</f>
        <v>0.17200000000000001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25.039965107821796</v>
      </c>
      <c r="AV104" s="23">
        <f>EXP(-LN(2)/25)*AV103+(1-EXP(-LN(2)/25))/(LN(2)/25)*Calculateur!AQ104*Calculateur!AS104*VLOOKUP('Données projet'!$B$10,Paramètres!$A$1:$I$88,3,0)*0.475*44/12</f>
        <v>0</v>
      </c>
      <c r="AW104" s="23">
        <f>EXP(-LN(2)/2)*AW103+(1-EXP(-LN(2)/2))/(LN(2)/2)*AQ104*AT104*VLOOKUP('Données projet'!$B$10,Paramètres!$A$1:$I$88,3,0)*0.475*44/12</f>
        <v>0</v>
      </c>
      <c r="AX104" s="23">
        <f t="shared" si="60"/>
        <v>25.039965107821796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>
        <f>VLOOKUP(A104,'Données projet'!$A$87:$I$107,2,0)</f>
        <v>298</v>
      </c>
      <c r="BB104" s="13">
        <f>VLOOKUP(A104,'Données projet'!$A$87:$I$107,9,0)</f>
        <v>6.75</v>
      </c>
      <c r="BC104" s="13">
        <f t="array" ref="BC104">INDEX(BB:BB,MIN(IF(ISNUMBER(BB104:BB300),ROW(BB104:BB300),"")))</f>
        <v>6.75</v>
      </c>
      <c r="BD104" s="13">
        <f>IF('Données projet'!$A$88&gt;35,BD103+BC104-BL103,IF(A104&lt;'Données projet'!$A$88,$BA$205^A104,IF(A104='Données projet'!$A$88,'Données projet'!$B$88,BD103+BC104-BL103)))</f>
        <v>298</v>
      </c>
      <c r="BE104" s="14">
        <f>BD104*VLOOKUP('Données projet'!$B$11,Paramètres!$A$1:$I$88,3,0)*VLOOKUP('Données projet'!$B$11,Paramètres!$A$1:$I$88,5,0)</f>
        <v>302.17200000000003</v>
      </c>
      <c r="BF104" s="14">
        <f t="shared" si="91"/>
        <v>71.631606754643229</v>
      </c>
      <c r="BG104" s="22">
        <f t="shared" si="61"/>
        <v>651.04128176433699</v>
      </c>
      <c r="BH104" s="62">
        <f t="shared" si="62"/>
        <v>928.72167431141133</v>
      </c>
      <c r="BI104" s="62">
        <f ca="1">AVERAGE(OFFSET($BH$3,0,0,'Données projet'!$E$11+1,1))-AVERAGE(OFFSET($H$3,0,0,'Données projet'!$E$11+1,1))</f>
        <v>570.2785736203931</v>
      </c>
      <c r="BJ104" s="62">
        <f t="shared" si="92"/>
        <v>67.677759965081719</v>
      </c>
      <c r="BK104" s="16">
        <f>IF(ISNA(VLOOKUP(A104,'Données projet'!$A$87:$I$107,3,0)),0,VLOOKUP(A104,'Données projet'!$A$87:$I$107,3,0))</f>
        <v>12</v>
      </c>
      <c r="BL104" s="16">
        <f>IF(ISNA(VLOOKUP(A104,'Données projet'!$A$87:$I$107,4,0)),0,VLOOKUP(A104,'Données projet'!$A$87:$I$107,4,0))</f>
        <v>34</v>
      </c>
      <c r="BM104" s="17">
        <f>IF(ISNA(VLOOKUP(A104,'Données projet'!$A$87:$I$107,5,0)),0%,VLOOKUP(A104,'Données projet'!$A$87:$I$107,5,0)*VLOOKUP('Données projet'!$B$11,Paramètres!$A$1:$I$88,7,0))</f>
        <v>0.17200000000000001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28.062029862214093</v>
      </c>
      <c r="BQ104" s="23">
        <f>EXP(-LN(2)/25)*BQ103+(1-EXP(-LN(2)/25))/(LN(2)/25)*Calculateur!BL104*Calculateur!BN104*VLOOKUP('Données projet'!$B$11,Paramètres!$A$1:$I$88,3,0)*0.475*44/12</f>
        <v>0</v>
      </c>
      <c r="BR104" s="23">
        <f>EXP(-LN(2)/2)*BR103+(1-EXP(-LN(2)/2))/(LN(2)/2)*BL104*BO104*VLOOKUP('Données projet'!$B$11,Paramètres!$A$1:$I$88,3,0)*0.475*44/12</f>
        <v>0</v>
      </c>
      <c r="BS104" s="24">
        <f t="shared" si="63"/>
        <v>28.062029862214093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544.19999999999982</v>
      </c>
      <c r="BZ104" s="14">
        <f>BY104*VLOOKUP('Données projet'!$B$12,Paramètres!$A$1:$I$88,3,0)*VLOOKUP('Données projet'!$B$12,Paramètres!$A$1:$I$88,5,0)</f>
        <v>325.43159999999995</v>
      </c>
      <c r="CA104" s="14">
        <f t="shared" si="93"/>
        <v>76.482394221016762</v>
      </c>
      <c r="CB104" s="22">
        <f t="shared" si="64"/>
        <v>700.00020660160408</v>
      </c>
      <c r="CC104" s="62">
        <f t="shared" si="65"/>
        <v>977.68059914867854</v>
      </c>
      <c r="CD104" s="62">
        <f ca="1">AVERAGE(OFFSET($CC$3,0,0,'Données projet'!$E$12+1,1))-AVERAGE(OFFSET($H$3,0,0,'Données projet'!$E$12+1,1))</f>
        <v>401.1031790385295</v>
      </c>
      <c r="CE104" s="62">
        <f t="shared" si="94"/>
        <v>402.09589424130615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projet'!$B$12,Paramètres!$A$1:$I$88,3,0)*0.475*44/12</f>
        <v>9.209413806150172</v>
      </c>
      <c r="CL104" s="23">
        <f>EXP(-LN(2)/25)*CL103+(1-EXP(-LN(2)/25))/(LN(2)/25)*Calculateur!CG104*Calculateur!CI104*VLOOKUP('Données projet'!$B$12,Paramètres!$A$1:$I$88,3,0)*0.475*44/12</f>
        <v>0</v>
      </c>
      <c r="CM104" s="23">
        <f>EXP(-LN(2)/2)*CM103+(1-EXP(-LN(2)/2))/(LN(2)/2)*CG104*CJ104*VLOOKUP('Données projet'!$B$12,Paramètres!$A$1:$I$88,3,0)*0.475*44/12</f>
        <v>2.7994766438921554E-6</v>
      </c>
      <c r="CN104" s="24">
        <f t="shared" si="66"/>
        <v>9.2094166056268154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544.19999999999982</v>
      </c>
      <c r="CU104" s="18">
        <f>CT104*VLOOKUP('Données projet'!$B$13,Paramètres!$A$1:$I$88,3,0)*VLOOKUP('Données projet'!$B$13,Paramètres!$A$1:$I$88,5,0)</f>
        <v>325.43159999999995</v>
      </c>
      <c r="CV104" s="14">
        <f t="shared" si="95"/>
        <v>76.482394221016762</v>
      </c>
      <c r="CW104" s="22">
        <f t="shared" si="67"/>
        <v>700.00020660160408</v>
      </c>
      <c r="CX104" s="62">
        <f t="shared" si="68"/>
        <v>977.68059914867854</v>
      </c>
      <c r="CY104" s="62">
        <f ca="1">AVERAGE(OFFSET($CX$3,0,0,'Données projet'!$E$13+1,1))-AVERAGE(OFFSET($H$3,0,0,'Données projet'!$E$13+1,1))</f>
        <v>401.1031790385295</v>
      </c>
      <c r="CZ104" s="62">
        <f t="shared" si="96"/>
        <v>402.09589424130615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projet'!$B$13,Paramètres!$A$1:$I$88,3,0)*0.475*44/12</f>
        <v>9.209413806150172</v>
      </c>
      <c r="DG104" s="23">
        <f>EXP(-LN(2)/25)*DG103+(1-EXP(-LN(2)/25))/(LN(2)/25)*Calculateur!DB104*Calculateur!DD104*VLOOKUP('Données projet'!$B$13,Paramètres!$A$1:$I$88,3,0)*0.475*44/12</f>
        <v>0</v>
      </c>
      <c r="DH104" s="23">
        <f>EXP(-LN(2)/2)*DH103+(1-EXP(-LN(2)/2))/(LN(2)/2)*DB104*DE104*VLOOKUP('Données projet'!$B$13,Paramètres!$A$1:$I$88,3,0)*0.475*44/12</f>
        <v>2.7994766438921554E-6</v>
      </c>
      <c r="DI104" s="24">
        <f t="shared" si="69"/>
        <v>9.2094166056268154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860.00000000000023</v>
      </c>
      <c r="DP104" s="18">
        <f>DO104*VLOOKUP('Données projet'!$B$14,Paramètres!$A$1:$I$88,3,0)*VLOOKUP('Données projet'!$B$14,Paramètres!$A$1:$I$88,5,0)</f>
        <v>346.5800000000001</v>
      </c>
      <c r="DQ104" s="14">
        <f t="shared" si="97"/>
        <v>80.857895771535127</v>
      </c>
      <c r="DR104" s="22">
        <f t="shared" si="70"/>
        <v>744.45433513542378</v>
      </c>
      <c r="DS104" s="62">
        <f t="shared" si="71"/>
        <v>1022.1347276824981</v>
      </c>
      <c r="DT104" s="62">
        <f ca="1">AVERAGE(OFFSET($DS$3,0,0,'Données projet'!$E$14+1,1))-AVERAGE(OFFSET($H$3,0,0,'Données projet'!$E$14+1,1))</f>
        <v>432.59662347701629</v>
      </c>
      <c r="DU104" s="62">
        <f t="shared" si="98"/>
        <v>348.67401091099748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projet'!$B$14,Paramètres!$A$1:$I$88,3,0)*0.475*44/12</f>
        <v>41.485297694634923</v>
      </c>
      <c r="EB104" s="23">
        <f>EXP(-LN(2)/25)*EB103+(1-EXP(-LN(2)/25))/(LN(2)/25)*Calculateur!DW104*Calculateur!DY104*VLOOKUP('Données projet'!$B$14,Paramètres!$A$1:$I$88,3,0)*0.475*44/12</f>
        <v>38.843238183541438</v>
      </c>
      <c r="EC104" s="23">
        <f>EXP(-LN(2)/2)*EC103+(1-EXP(-LN(2)/2))/(LN(2)/2)*DW104*DZ104*VLOOKUP('Données projet'!$B$14,Paramètres!$A$1:$I$88,3,0)*0.475*44/12</f>
        <v>0</v>
      </c>
      <c r="ED104" s="24">
        <f t="shared" si="72"/>
        <v>80.328535878176353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1099.9999999999998</v>
      </c>
      <c r="EK104" s="18">
        <f>EJ104*VLOOKUP('Données projet'!$B$15,Paramètres!$A$1:$I$88,3,0)*VLOOKUP('Données projet'!$B$15,Paramètres!$A$1:$I$88,5,0)</f>
        <v>486.19999999999993</v>
      </c>
      <c r="EL104" s="14">
        <f t="shared" si="99"/>
        <v>109.0490179035375</v>
      </c>
      <c r="EM104" s="22">
        <f t="shared" si="73"/>
        <v>1036.725372848661</v>
      </c>
      <c r="EN104" s="62">
        <f t="shared" si="74"/>
        <v>1314.4057653957354</v>
      </c>
      <c r="EO104" s="62">
        <f ca="1">AVERAGE(OFFSET($EN$3,0,0,'Données projet'!$E$15+1,1))-AVERAGE(OFFSET($H$3,0,0,'Données projet'!$E$15+1,1))</f>
        <v>582.26951914082088</v>
      </c>
      <c r="EP104" s="62">
        <f t="shared" si="100"/>
        <v>434.80429932654715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projet'!$B$15,Paramètres!$A$1:$I$88,3,0)*0.475*44/12</f>
        <v>41.802187492103982</v>
      </c>
      <c r="EW104" s="23">
        <f>EXP(-LN(2)/25)*EW103+(1-EXP(-LN(2)/25))/(LN(2)/25)*Calculateur!ER104*Calculateur!ET104*VLOOKUP('Données projet'!$B$15,Paramètres!$A$1:$I$88,3,0)*0.475*44/12</f>
        <v>34.90367301056655</v>
      </c>
      <c r="EX104" s="23">
        <f>EXP(-LN(2)/2)*EX103+(1-EXP(-LN(2)/2))/(LN(2)/2)*ER104*EU104*VLOOKUP('Données projet'!$B$15,Paramètres!$A$1:$I$88,3,0)*0.475*44/12</f>
        <v>0</v>
      </c>
      <c r="EY104" s="24">
        <f t="shared" si="75"/>
        <v>76.705860502670532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854.99999999999989</v>
      </c>
      <c r="FF104" s="18">
        <f>FE104*VLOOKUP('Données projet'!$B$16,Paramètres!$A$1:$I$88,3,0)*VLOOKUP('Données projet'!$B$16,Paramètres!$A$1:$I$88,5,0)</f>
        <v>400.13999999999993</v>
      </c>
      <c r="FG104" s="14">
        <f t="shared" si="101"/>
        <v>91.805047494648534</v>
      </c>
      <c r="FH104" s="22">
        <f t="shared" si="76"/>
        <v>856.80429105317944</v>
      </c>
      <c r="FI104" s="62">
        <f t="shared" si="77"/>
        <v>1134.4846836002539</v>
      </c>
      <c r="FJ104" s="62">
        <f ca="1">AVERAGE(OFFSET($FI$3,0,0,'Données projet'!$E$16+1,1))-AVERAGE(OFFSET($H$3,0,0,'Données projet'!$E$16+1,1))</f>
        <v>429.87867712133851</v>
      </c>
      <c r="FK104" s="62">
        <f t="shared" si="102"/>
        <v>182.81277865988014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projet'!$B$16,Paramètres!$A$1:$I$88,3,0)*0.475*44/12</f>
        <v>49.854110915694683</v>
      </c>
      <c r="FR104" s="23">
        <f>EXP(-LN(2)/25)*FR103+(1-EXP(-LN(2)/25))/(LN(2)/25)*Calculateur!FM104*Calculateur!FO104*VLOOKUP('Données projet'!$B$16,Paramètres!$A$1:$I$88,3,0)*0.475*44/12</f>
        <v>44.246381136880679</v>
      </c>
      <c r="FS104" s="23">
        <f>EXP(-LN(2)/2)*FS103+(1-EXP(-LN(2)/2))/(LN(2)/2)*FM104*FP104*VLOOKUP('Données projet'!$B$16,Paramètres!$A$1:$I$88,3,0)*0.475*44/12</f>
        <v>0</v>
      </c>
      <c r="FT104" s="24">
        <f t="shared" si="78"/>
        <v>94.100492052575362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498.99999999999955</v>
      </c>
      <c r="GA104" s="18">
        <f>FZ104*VLOOKUP('Données projet'!$B$17,Paramètres!$A$1:$I$88,3,0)*VLOOKUP('Données projet'!$B$17,Paramètres!$A$1:$I$88,5,0)</f>
        <v>240.01899999999978</v>
      </c>
      <c r="GB104" s="14">
        <f t="shared" si="103"/>
        <v>58.443618405936313</v>
      </c>
      <c r="GC104" s="22">
        <f t="shared" si="79"/>
        <v>519.82239372367201</v>
      </c>
      <c r="GD104" s="62">
        <f t="shared" si="80"/>
        <v>797.50278627074636</v>
      </c>
      <c r="GE104" s="62">
        <f ca="1">AVERAGE(OFFSET($GD$3,0,0,'Données projet'!$E$17+1,1))-AVERAGE(OFFSET($H$3,0,0,'Données projet'!$E$17+1,1))</f>
        <v>273.24375559399846</v>
      </c>
      <c r="GF104" s="62">
        <f t="shared" si="104"/>
        <v>270.77718895097848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projet'!$B$17,Paramètres!$A$1:$I$88,3,0)*0.475*44/12</f>
        <v>21.346487539463656</v>
      </c>
      <c r="GM104" s="23">
        <f>EXP(-LN(2)/25)*GM103+(1-EXP(-LN(2)/25))/(LN(2)/25)*Calculateur!GH104*Calculateur!GJ104*VLOOKUP('Données projet'!$B$17,Paramètres!$A$1:$I$88,3,0)*0.475*44/12</f>
        <v>17.023685106539666</v>
      </c>
      <c r="GN104" s="23">
        <f>EXP(-LN(2)/2)*GN103+(1-EXP(-LN(2)/2))/(LN(2)/2)*GH104*GK104*VLOOKUP('Données projet'!$B$17,Paramètres!$A$1:$I$88,3,0)*0.475*44/12</f>
        <v>0</v>
      </c>
      <c r="GO104" s="23">
        <f t="shared" si="81"/>
        <v>38.370172646003326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550.99999999999966</v>
      </c>
      <c r="O105" s="14">
        <f>N105*VLOOKUP('Données projet'!$B$9,Paramètres!$A$1:$I$88,3,0)*VLOOKUP('Données projet'!$B$9,Paramètres!$A$1:$I$88,5,0)</f>
        <v>308.00899999999979</v>
      </c>
      <c r="P105" s="14">
        <f t="shared" si="87"/>
        <v>72.852874331417695</v>
      </c>
      <c r="Q105" s="22">
        <f t="shared" si="107"/>
        <v>663.33443112721886</v>
      </c>
      <c r="R105" s="62">
        <f t="shared" si="55"/>
        <v>941.28636720220175</v>
      </c>
      <c r="S105" s="62">
        <f ca="1">AVERAGE(OFFSET($R$3,0,0,'Données projet'!$E$9+1,1))-AVERAGE(OFFSET($H$3,0,0,'Données projet'!$E$9+1,1))</f>
        <v>289.94242154211224</v>
      </c>
      <c r="T105" s="62">
        <f t="shared" si="88"/>
        <v>369.12599166143661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32.111625438617217</v>
      </c>
      <c r="AA105" s="23">
        <f>EXP(-LN(2)/25)*AA104+(1-EXP(-LN(2)/25))/(LN(2)/25)*Calculateur!V105*Calculateur!X105*VLOOKUP('Données projet'!$B$9,Paramètres!$A$1:$I$88,3,0)*0.475*44/12</f>
        <v>20.85380227054565</v>
      </c>
      <c r="AB105" s="23">
        <f>EXP(-LN(2)/2)*AB104+(1-EXP(-LN(2)/2))/(LN(2)/2)*V105*Y105*VLOOKUP('Données projet'!$B$9,Paramètres!$A$1:$I$88,3,0)*0.475*44/12</f>
        <v>0</v>
      </c>
      <c r="AC105" s="24">
        <f t="shared" si="57"/>
        <v>52.965427709162867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6.8888888888888893</v>
      </c>
      <c r="AI105" s="14">
        <f>IF('Données projet'!$A$62&gt;35,AI104+AH105-AQ104,IF(A105&lt;'Données projet'!$A$62,$AF$205^A105,IF(A105='Données projet'!$A$62,'Données projet'!$B$62,AI104+AH105-AQ104)))</f>
        <v>270.88888888888891</v>
      </c>
      <c r="AJ105" s="14">
        <f>AI105*VLOOKUP('Données projet'!$B$10,Paramètres!$A$1:$I$88,3,0)*VLOOKUP('Données projet'!$B$10,Paramètres!$A$1:$I$88,5,0)</f>
        <v>245.10026666666667</v>
      </c>
      <c r="AK105" s="14">
        <f t="shared" si="89"/>
        <v>59.535531099895856</v>
      </c>
      <c r="AL105" s="22">
        <f t="shared" si="58"/>
        <v>530.57401444342975</v>
      </c>
      <c r="AM105" s="62">
        <f t="shared" si="59"/>
        <v>808.52595051841263</v>
      </c>
      <c r="AN105" s="62">
        <f ca="1">AVERAGE(OFFSET($AM$3,0,0,'Données projet'!$E$10+1,1))-AVERAGE(OFFSET($H$3,0,0,'Données projet'!$E$10+1,1))</f>
        <v>518.31628039365785</v>
      </c>
      <c r="AO105" s="62">
        <f t="shared" si="90"/>
        <v>66.435071953154761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24.548946664928057</v>
      </c>
      <c r="AV105" s="23">
        <f>EXP(-LN(2)/25)*AV104+(1-EXP(-LN(2)/25))/(LN(2)/25)*Calculateur!AQ105*Calculateur!AS105*VLOOKUP('Données projet'!$B$10,Paramètres!$A$1:$I$88,3,0)*0.475*44/12</f>
        <v>0</v>
      </c>
      <c r="AW105" s="23">
        <f>EXP(-LN(2)/2)*AW104+(1-EXP(-LN(2)/2))/(LN(2)/2)*AQ105*AT105*VLOOKUP('Données projet'!$B$10,Paramètres!$A$1:$I$88,3,0)*0.475*44/12</f>
        <v>0</v>
      </c>
      <c r="AX105" s="23">
        <f t="shared" si="60"/>
        <v>24.548946664928057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6.8888888888888893</v>
      </c>
      <c r="BD105" s="13">
        <f>IF('Données projet'!$A$88&gt;35,BD104+BC105-BL104,IF(A105&lt;'Données projet'!$A$88,$BA$205^A105,IF(A105='Données projet'!$A$88,'Données projet'!$B$88,BD104+BC105-BL104)))</f>
        <v>270.88888888888891</v>
      </c>
      <c r="BE105" s="14">
        <f>BD105*VLOOKUP('Données projet'!$B$11,Paramètres!$A$1:$I$88,3,0)*VLOOKUP('Données projet'!$B$11,Paramètres!$A$1:$I$88,5,0)</f>
        <v>274.68133333333338</v>
      </c>
      <c r="BF105" s="14">
        <f t="shared" si="91"/>
        <v>65.84177025443951</v>
      </c>
      <c r="BG105" s="22">
        <f t="shared" si="61"/>
        <v>593.07773874870452</v>
      </c>
      <c r="BH105" s="62">
        <f t="shared" si="62"/>
        <v>871.0296748236874</v>
      </c>
      <c r="BI105" s="62">
        <f ca="1">AVERAGE(OFFSET($BH$3,0,0,'Données projet'!$E$11+1,1))-AVERAGE(OFFSET($H$3,0,0,'Données projet'!$E$11+1,1))</f>
        <v>570.2785736203931</v>
      </c>
      <c r="BJ105" s="62">
        <f t="shared" si="92"/>
        <v>67.677759965081719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27.51175057276421</v>
      </c>
      <c r="BQ105" s="23">
        <f>EXP(-LN(2)/25)*BQ104+(1-EXP(-LN(2)/25))/(LN(2)/25)*Calculateur!BL105*Calculateur!BN105*VLOOKUP('Données projet'!$B$11,Paramètres!$A$1:$I$88,3,0)*0.475*44/12</f>
        <v>0</v>
      </c>
      <c r="BR105" s="23">
        <f>EXP(-LN(2)/2)*BR104+(1-EXP(-LN(2)/2))/(LN(2)/2)*BL105*BO105*VLOOKUP('Données projet'!$B$11,Paramètres!$A$1:$I$88,3,0)*0.475*44/12</f>
        <v>0</v>
      </c>
      <c r="BS105" s="24">
        <f t="shared" si="63"/>
        <v>27.51175057276421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544.19999999999982</v>
      </c>
      <c r="BZ105" s="14">
        <f>BY105*VLOOKUP('Données projet'!$B$12,Paramètres!$A$1:$I$88,3,0)*VLOOKUP('Données projet'!$B$12,Paramètres!$A$1:$I$88,5,0)</f>
        <v>325.43159999999995</v>
      </c>
      <c r="CA105" s="14">
        <f t="shared" si="93"/>
        <v>76.482394221016762</v>
      </c>
      <c r="CB105" s="22">
        <f t="shared" si="64"/>
        <v>700.00020660160408</v>
      </c>
      <c r="CC105" s="62">
        <f t="shared" si="65"/>
        <v>977.95214267658707</v>
      </c>
      <c r="CD105" s="62">
        <f ca="1">AVERAGE(OFFSET($CC$3,0,0,'Données projet'!$E$12+1,1))-AVERAGE(OFFSET($H$3,0,0,'Données projet'!$E$12+1,1))</f>
        <v>401.1031790385295</v>
      </c>
      <c r="CE105" s="62">
        <f t="shared" si="94"/>
        <v>402.09589424130615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projet'!$B$12,Paramètres!$A$1:$I$88,3,0)*0.475*44/12</f>
        <v>9.0288228185993376</v>
      </c>
      <c r="CL105" s="23">
        <f>EXP(-LN(2)/25)*CL104+(1-EXP(-LN(2)/25))/(LN(2)/25)*Calculateur!CG105*Calculateur!CI105*VLOOKUP('Données projet'!$B$12,Paramètres!$A$1:$I$88,3,0)*0.475*44/12</f>
        <v>0</v>
      </c>
      <c r="CM105" s="23">
        <f>EXP(-LN(2)/2)*CM104+(1-EXP(-LN(2)/2))/(LN(2)/2)*CG105*CJ105*VLOOKUP('Données projet'!$B$12,Paramètres!$A$1:$I$88,3,0)*0.475*44/12</f>
        <v>1.9795289186695007E-6</v>
      </c>
      <c r="CN105" s="24">
        <f t="shared" si="66"/>
        <v>9.028824798128257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544.19999999999982</v>
      </c>
      <c r="CU105" s="18">
        <f>CT105*VLOOKUP('Données projet'!$B$13,Paramètres!$A$1:$I$88,3,0)*VLOOKUP('Données projet'!$B$13,Paramètres!$A$1:$I$88,5,0)</f>
        <v>325.43159999999995</v>
      </c>
      <c r="CV105" s="14">
        <f t="shared" si="95"/>
        <v>76.482394221016762</v>
      </c>
      <c r="CW105" s="22">
        <f t="shared" si="67"/>
        <v>700.00020660160408</v>
      </c>
      <c r="CX105" s="62">
        <f t="shared" si="68"/>
        <v>977.95214267658707</v>
      </c>
      <c r="CY105" s="62">
        <f ca="1">AVERAGE(OFFSET($CX$3,0,0,'Données projet'!$E$13+1,1))-AVERAGE(OFFSET($H$3,0,0,'Données projet'!$E$13+1,1))</f>
        <v>401.1031790385295</v>
      </c>
      <c r="CZ105" s="62">
        <f t="shared" si="96"/>
        <v>402.09589424130615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projet'!$B$13,Paramètres!$A$1:$I$88,3,0)*0.475*44/12</f>
        <v>9.0288228185993376</v>
      </c>
      <c r="DG105" s="23">
        <f>EXP(-LN(2)/25)*DG104+(1-EXP(-LN(2)/25))/(LN(2)/25)*Calculateur!DB105*Calculateur!DD105*VLOOKUP('Données projet'!$B$13,Paramètres!$A$1:$I$88,3,0)*0.475*44/12</f>
        <v>0</v>
      </c>
      <c r="DH105" s="23">
        <f>EXP(-LN(2)/2)*DH104+(1-EXP(-LN(2)/2))/(LN(2)/2)*DB105*DE105*VLOOKUP('Données projet'!$B$13,Paramètres!$A$1:$I$88,3,0)*0.475*44/12</f>
        <v>1.9795289186695007E-6</v>
      </c>
      <c r="DI105" s="24">
        <f t="shared" si="69"/>
        <v>9.028824798128257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860.00000000000023</v>
      </c>
      <c r="DP105" s="18">
        <f>DO105*VLOOKUP('Données projet'!$B$14,Paramètres!$A$1:$I$88,3,0)*VLOOKUP('Données projet'!$B$14,Paramètres!$A$1:$I$88,5,0)</f>
        <v>346.5800000000001</v>
      </c>
      <c r="DQ105" s="14">
        <f t="shared" si="97"/>
        <v>80.857895771535127</v>
      </c>
      <c r="DR105" s="22">
        <f t="shared" si="70"/>
        <v>744.45433513542378</v>
      </c>
      <c r="DS105" s="62">
        <f t="shared" si="71"/>
        <v>1022.4062712104067</v>
      </c>
      <c r="DT105" s="62">
        <f ca="1">AVERAGE(OFFSET($DS$3,0,0,'Données projet'!$E$14+1,1))-AVERAGE(OFFSET($H$3,0,0,'Données projet'!$E$14+1,1))</f>
        <v>432.59662347701629</v>
      </c>
      <c r="DU105" s="62">
        <f t="shared" si="98"/>
        <v>348.67401091099748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projet'!$B$14,Paramètres!$A$1:$I$88,3,0)*0.475*44/12</f>
        <v>40.671796310376209</v>
      </c>
      <c r="EB105" s="23">
        <f>EXP(-LN(2)/25)*EB104+(1-EXP(-LN(2)/25))/(LN(2)/25)*Calculateur!DW105*Calculateur!DY105*VLOOKUP('Données projet'!$B$14,Paramètres!$A$1:$I$88,3,0)*0.475*44/12</f>
        <v>37.781067792735378</v>
      </c>
      <c r="EC105" s="23">
        <f>EXP(-LN(2)/2)*EC104+(1-EXP(-LN(2)/2))/(LN(2)/2)*DW105*DZ105*VLOOKUP('Données projet'!$B$14,Paramètres!$A$1:$I$88,3,0)*0.475*44/12</f>
        <v>0</v>
      </c>
      <c r="ED105" s="24">
        <f t="shared" si="72"/>
        <v>78.45286410311158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1099.9999999999998</v>
      </c>
      <c r="EK105" s="18">
        <f>EJ105*VLOOKUP('Données projet'!$B$15,Paramètres!$A$1:$I$88,3,0)*VLOOKUP('Données projet'!$B$15,Paramètres!$A$1:$I$88,5,0)</f>
        <v>486.19999999999993</v>
      </c>
      <c r="EL105" s="14">
        <f t="shared" si="99"/>
        <v>109.0490179035375</v>
      </c>
      <c r="EM105" s="22">
        <f t="shared" si="73"/>
        <v>1036.725372848661</v>
      </c>
      <c r="EN105" s="62">
        <f t="shared" si="74"/>
        <v>1314.677308923644</v>
      </c>
      <c r="EO105" s="62">
        <f ca="1">AVERAGE(OFFSET($EN$3,0,0,'Données projet'!$E$15+1,1))-AVERAGE(OFFSET($H$3,0,0,'Données projet'!$E$15+1,1))</f>
        <v>582.26951914082088</v>
      </c>
      <c r="EP105" s="62">
        <f t="shared" si="100"/>
        <v>434.80429932654715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projet'!$B$15,Paramètres!$A$1:$I$88,3,0)*0.475*44/12</f>
        <v>40.982472092200595</v>
      </c>
      <c r="EW105" s="23">
        <f>EXP(-LN(2)/25)*EW104+(1-EXP(-LN(2)/25))/(LN(2)/25)*Calculateur!ER105*Calculateur!ET105*VLOOKUP('Données projet'!$B$15,Paramètres!$A$1:$I$88,3,0)*0.475*44/12</f>
        <v>33.949230236588214</v>
      </c>
      <c r="EX105" s="23">
        <f>EXP(-LN(2)/2)*EX104+(1-EXP(-LN(2)/2))/(LN(2)/2)*ER105*EU105*VLOOKUP('Données projet'!$B$15,Paramètres!$A$1:$I$88,3,0)*0.475*44/12</f>
        <v>0</v>
      </c>
      <c r="EY105" s="24">
        <f t="shared" si="75"/>
        <v>74.931702328788816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854.99999999999989</v>
      </c>
      <c r="FF105" s="18">
        <f>FE105*VLOOKUP('Données projet'!$B$16,Paramètres!$A$1:$I$88,3,0)*VLOOKUP('Données projet'!$B$16,Paramètres!$A$1:$I$88,5,0)</f>
        <v>400.13999999999993</v>
      </c>
      <c r="FG105" s="14">
        <f t="shared" si="101"/>
        <v>91.805047494648534</v>
      </c>
      <c r="FH105" s="22">
        <f t="shared" si="76"/>
        <v>856.80429105317944</v>
      </c>
      <c r="FI105" s="62">
        <f t="shared" si="77"/>
        <v>1134.7562271281624</v>
      </c>
      <c r="FJ105" s="62">
        <f ca="1">AVERAGE(OFFSET($FI$3,0,0,'Données projet'!$E$16+1,1))-AVERAGE(OFFSET($H$3,0,0,'Données projet'!$E$16+1,1))</f>
        <v>429.87867712133851</v>
      </c>
      <c r="FK105" s="62">
        <f t="shared" si="102"/>
        <v>182.81277865988014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projet'!$B$16,Paramètres!$A$1:$I$88,3,0)*0.475*44/12</f>
        <v>48.876502208643025</v>
      </c>
      <c r="FR105" s="23">
        <f>EXP(-LN(2)/25)*FR104+(1-EXP(-LN(2)/25))/(LN(2)/25)*Calculateur!FM105*Calculateur!FO105*VLOOKUP('Données projet'!$B$16,Paramètres!$A$1:$I$88,3,0)*0.475*44/12</f>
        <v>43.036461517876617</v>
      </c>
      <c r="FS105" s="23">
        <f>EXP(-LN(2)/2)*FS104+(1-EXP(-LN(2)/2))/(LN(2)/2)*FM105*FP105*VLOOKUP('Données projet'!$B$16,Paramètres!$A$1:$I$88,3,0)*0.475*44/12</f>
        <v>0</v>
      </c>
      <c r="FT105" s="24">
        <f t="shared" si="78"/>
        <v>91.912963726519649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498.99999999999955</v>
      </c>
      <c r="GA105" s="18">
        <f>FZ105*VLOOKUP('Données projet'!$B$17,Paramètres!$A$1:$I$88,3,0)*VLOOKUP('Données projet'!$B$17,Paramètres!$A$1:$I$88,5,0)</f>
        <v>240.01899999999978</v>
      </c>
      <c r="GB105" s="14">
        <f t="shared" si="103"/>
        <v>58.443618405936313</v>
      </c>
      <c r="GC105" s="22">
        <f t="shared" si="79"/>
        <v>519.82239372367201</v>
      </c>
      <c r="GD105" s="62">
        <f t="shared" si="80"/>
        <v>797.77432979865489</v>
      </c>
      <c r="GE105" s="62">
        <f ca="1">AVERAGE(OFFSET($GD$3,0,0,'Données projet'!$E$17+1,1))-AVERAGE(OFFSET($H$3,0,0,'Données projet'!$E$17+1,1))</f>
        <v>273.24375559399846</v>
      </c>
      <c r="GF105" s="62">
        <f t="shared" si="104"/>
        <v>270.77718895097848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projet'!$B$17,Paramètres!$A$1:$I$88,3,0)*0.475*44/12</f>
        <v>20.927895938886547</v>
      </c>
      <c r="GM105" s="23">
        <f>EXP(-LN(2)/25)*GM104+(1-EXP(-LN(2)/25))/(LN(2)/25)*Calculateur!GH105*Calculateur!GJ105*VLOOKUP('Données projet'!$B$17,Paramètres!$A$1:$I$88,3,0)*0.475*44/12</f>
        <v>16.558171542064649</v>
      </c>
      <c r="GN105" s="23">
        <f>EXP(-LN(2)/2)*GN104+(1-EXP(-LN(2)/2))/(LN(2)/2)*GH105*GK105*VLOOKUP('Données projet'!$B$17,Paramètres!$A$1:$I$88,3,0)*0.475*44/12</f>
        <v>0</v>
      </c>
      <c r="GO105" s="23">
        <f t="shared" si="81"/>
        <v>37.486067480951192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550.99999999999966</v>
      </c>
      <c r="O106" s="14">
        <f>N106*VLOOKUP('Données projet'!$B$9,Paramètres!$A$1:$I$88,3,0)*VLOOKUP('Données projet'!$B$9,Paramètres!$A$1:$I$88,5,0)</f>
        <v>308.00899999999979</v>
      </c>
      <c r="P106" s="14">
        <f t="shared" si="87"/>
        <v>72.852874331417695</v>
      </c>
      <c r="Q106" s="22">
        <f t="shared" si="107"/>
        <v>663.33443112721886</v>
      </c>
      <c r="R106" s="62">
        <f t="shared" si="55"/>
        <v>941.5532000569815</v>
      </c>
      <c r="S106" s="62">
        <f ca="1">AVERAGE(OFFSET($R$3,0,0,'Données projet'!$E$9+1,1))-AVERAGE(OFFSET($H$3,0,0,'Données projet'!$E$9+1,1))</f>
        <v>289.94242154211224</v>
      </c>
      <c r="T106" s="62">
        <f t="shared" si="88"/>
        <v>369.12599166143661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31.48193604992348</v>
      </c>
      <c r="AA106" s="23">
        <f>EXP(-LN(2)/25)*AA105+(1-EXP(-LN(2)/25))/(LN(2)/25)*Calculateur!V106*Calculateur!X106*VLOOKUP('Données projet'!$B$9,Paramètres!$A$1:$I$88,3,0)*0.475*44/12</f>
        <v>20.283553950803778</v>
      </c>
      <c r="AB106" s="23">
        <f>EXP(-LN(2)/2)*AB105+(1-EXP(-LN(2)/2))/(LN(2)/2)*V106*Y106*VLOOKUP('Données projet'!$B$9,Paramètres!$A$1:$I$88,3,0)*0.475*44/12</f>
        <v>0</v>
      </c>
      <c r="AC106" s="24">
        <f t="shared" si="57"/>
        <v>51.765490000727254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6.8888888888888893</v>
      </c>
      <c r="AI106" s="14">
        <f>IF('Données projet'!$A$62&gt;35,AI105+AH106-AQ105,IF(A106&lt;'Données projet'!$A$62,$AF$205^A106,IF(A106='Données projet'!$A$62,'Données projet'!$B$62,AI105+AH106-AQ105)))</f>
        <v>277.77777777777783</v>
      </c>
      <c r="AJ106" s="14">
        <f>AI106*VLOOKUP('Données projet'!$B$10,Paramètres!$A$1:$I$88,3,0)*VLOOKUP('Données projet'!$B$10,Paramètres!$A$1:$I$88,5,0)</f>
        <v>251.3333333333334</v>
      </c>
      <c r="AK106" s="14">
        <f t="shared" si="89"/>
        <v>60.871365670222062</v>
      </c>
      <c r="AL106" s="22">
        <f t="shared" si="58"/>
        <v>543.75651743119226</v>
      </c>
      <c r="AM106" s="62">
        <f t="shared" si="59"/>
        <v>821.9752863609549</v>
      </c>
      <c r="AN106" s="62">
        <f ca="1">AVERAGE(OFFSET($AM$3,0,0,'Données projet'!$E$10+1,1))-AVERAGE(OFFSET($H$3,0,0,'Données projet'!$E$10+1,1))</f>
        <v>518.31628039365785</v>
      </c>
      <c r="AO106" s="62">
        <f t="shared" si="90"/>
        <v>66.435071953154761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24.067556794207785</v>
      </c>
      <c r="AV106" s="23">
        <f>EXP(-LN(2)/25)*AV105+(1-EXP(-LN(2)/25))/(LN(2)/25)*Calculateur!AQ106*Calculateur!AS106*VLOOKUP('Données projet'!$B$10,Paramètres!$A$1:$I$88,3,0)*0.475*44/12</f>
        <v>0</v>
      </c>
      <c r="AW106" s="23">
        <f>EXP(-LN(2)/2)*AW105+(1-EXP(-LN(2)/2))/(LN(2)/2)*AQ106*AT106*VLOOKUP('Données projet'!$B$10,Paramètres!$A$1:$I$88,3,0)*0.475*44/12</f>
        <v>0</v>
      </c>
      <c r="AX106" s="23">
        <f t="shared" si="60"/>
        <v>24.067556794207785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6.8888888888888893</v>
      </c>
      <c r="BD106" s="13">
        <f>IF('Données projet'!$A$88&gt;35,BD105+BC106-BL105,IF(A106&lt;'Données projet'!$A$88,$BA$205^A106,IF(A106='Données projet'!$A$88,'Données projet'!$B$88,BD105+BC106-BL105)))</f>
        <v>277.77777777777783</v>
      </c>
      <c r="BE106" s="14">
        <f>BD106*VLOOKUP('Données projet'!$B$11,Paramètres!$A$1:$I$88,3,0)*VLOOKUP('Données projet'!$B$11,Paramètres!$A$1:$I$88,5,0)</f>
        <v>281.66666666666674</v>
      </c>
      <c r="BF106" s="14">
        <f t="shared" si="91"/>
        <v>67.319101711007519</v>
      </c>
      <c r="BG106" s="22">
        <f t="shared" si="61"/>
        <v>607.81687992444938</v>
      </c>
      <c r="BH106" s="62">
        <f t="shared" si="62"/>
        <v>886.03564885421201</v>
      </c>
      <c r="BI106" s="62">
        <f ca="1">AVERAGE(OFFSET($BH$3,0,0,'Données projet'!$E$11+1,1))-AVERAGE(OFFSET($H$3,0,0,'Données projet'!$E$11+1,1))</f>
        <v>570.2785736203931</v>
      </c>
      <c r="BJ106" s="62">
        <f t="shared" si="92"/>
        <v>67.677759965081719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26.972261924543215</v>
      </c>
      <c r="BQ106" s="23">
        <f>EXP(-LN(2)/25)*BQ105+(1-EXP(-LN(2)/25))/(LN(2)/25)*Calculateur!BL106*Calculateur!BN106*VLOOKUP('Données projet'!$B$11,Paramètres!$A$1:$I$88,3,0)*0.475*44/12</f>
        <v>0</v>
      </c>
      <c r="BR106" s="23">
        <f>EXP(-LN(2)/2)*BR105+(1-EXP(-LN(2)/2))/(LN(2)/2)*BL106*BO106*VLOOKUP('Données projet'!$B$11,Paramètres!$A$1:$I$88,3,0)*0.475*44/12</f>
        <v>0</v>
      </c>
      <c r="BS106" s="24">
        <f t="shared" si="63"/>
        <v>26.972261924543215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544.19999999999982</v>
      </c>
      <c r="BZ106" s="14">
        <f>BY106*VLOOKUP('Données projet'!$B$12,Paramètres!$A$1:$I$88,3,0)*VLOOKUP('Données projet'!$B$12,Paramètres!$A$1:$I$88,5,0)</f>
        <v>325.43159999999995</v>
      </c>
      <c r="CA106" s="14">
        <f t="shared" si="93"/>
        <v>76.482394221016762</v>
      </c>
      <c r="CB106" s="22">
        <f t="shared" si="64"/>
        <v>700.00020660160408</v>
      </c>
      <c r="CC106" s="62">
        <f t="shared" si="65"/>
        <v>978.21897553136682</v>
      </c>
      <c r="CD106" s="62">
        <f ca="1">AVERAGE(OFFSET($CC$3,0,0,'Données projet'!$E$12+1,1))-AVERAGE(OFFSET($H$3,0,0,'Données projet'!$E$12+1,1))</f>
        <v>401.1031790385295</v>
      </c>
      <c r="CE106" s="62">
        <f t="shared" si="94"/>
        <v>402.09589424130615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projet'!$B$12,Paramètres!$A$1:$I$88,3,0)*0.475*44/12</f>
        <v>8.8517731101647499</v>
      </c>
      <c r="CL106" s="23">
        <f>EXP(-LN(2)/25)*CL105+(1-EXP(-LN(2)/25))/(LN(2)/25)*Calculateur!CG106*Calculateur!CI106*VLOOKUP('Données projet'!$B$12,Paramètres!$A$1:$I$88,3,0)*0.475*44/12</f>
        <v>0</v>
      </c>
      <c r="CM106" s="23">
        <f>EXP(-LN(2)/2)*CM105+(1-EXP(-LN(2)/2))/(LN(2)/2)*CG106*CJ106*VLOOKUP('Données projet'!$B$12,Paramètres!$A$1:$I$88,3,0)*0.475*44/12</f>
        <v>1.3997383219460777E-6</v>
      </c>
      <c r="CN106" s="24">
        <f t="shared" si="66"/>
        <v>8.8517745099030716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544.19999999999982</v>
      </c>
      <c r="CU106" s="18">
        <f>CT106*VLOOKUP('Données projet'!$B$13,Paramètres!$A$1:$I$88,3,0)*VLOOKUP('Données projet'!$B$13,Paramètres!$A$1:$I$88,5,0)</f>
        <v>325.43159999999995</v>
      </c>
      <c r="CV106" s="14">
        <f t="shared" si="95"/>
        <v>76.482394221016762</v>
      </c>
      <c r="CW106" s="22">
        <f t="shared" si="67"/>
        <v>700.00020660160408</v>
      </c>
      <c r="CX106" s="62">
        <f t="shared" si="68"/>
        <v>978.21897553136682</v>
      </c>
      <c r="CY106" s="62">
        <f ca="1">AVERAGE(OFFSET($CX$3,0,0,'Données projet'!$E$13+1,1))-AVERAGE(OFFSET($H$3,0,0,'Données projet'!$E$13+1,1))</f>
        <v>401.1031790385295</v>
      </c>
      <c r="CZ106" s="62">
        <f t="shared" si="96"/>
        <v>402.09589424130615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projet'!$B$13,Paramètres!$A$1:$I$88,3,0)*0.475*44/12</f>
        <v>8.8517731101647499</v>
      </c>
      <c r="DG106" s="23">
        <f>EXP(-LN(2)/25)*DG105+(1-EXP(-LN(2)/25))/(LN(2)/25)*Calculateur!DB106*Calculateur!DD106*VLOOKUP('Données projet'!$B$13,Paramètres!$A$1:$I$88,3,0)*0.475*44/12</f>
        <v>0</v>
      </c>
      <c r="DH106" s="23">
        <f>EXP(-LN(2)/2)*DH105+(1-EXP(-LN(2)/2))/(LN(2)/2)*DB106*DE106*VLOOKUP('Données projet'!$B$13,Paramètres!$A$1:$I$88,3,0)*0.475*44/12</f>
        <v>1.3997383219460777E-6</v>
      </c>
      <c r="DI106" s="24">
        <f t="shared" si="69"/>
        <v>8.8517745099030716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860.00000000000023</v>
      </c>
      <c r="DP106" s="18">
        <f>DO106*VLOOKUP('Données projet'!$B$14,Paramètres!$A$1:$I$88,3,0)*VLOOKUP('Données projet'!$B$14,Paramètres!$A$1:$I$88,5,0)</f>
        <v>346.5800000000001</v>
      </c>
      <c r="DQ106" s="14">
        <f t="shared" si="97"/>
        <v>80.857895771535127</v>
      </c>
      <c r="DR106" s="22">
        <f t="shared" si="70"/>
        <v>744.45433513542378</v>
      </c>
      <c r="DS106" s="62">
        <f t="shared" si="71"/>
        <v>1022.6731040651864</v>
      </c>
      <c r="DT106" s="62">
        <f ca="1">AVERAGE(OFFSET($DS$3,0,0,'Données projet'!$E$14+1,1))-AVERAGE(OFFSET($H$3,0,0,'Données projet'!$E$14+1,1))</f>
        <v>432.59662347701629</v>
      </c>
      <c r="DU106" s="62">
        <f t="shared" si="98"/>
        <v>348.67401091099748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projet'!$B$14,Paramètres!$A$1:$I$88,3,0)*0.475*44/12</f>
        <v>39.874247192075956</v>
      </c>
      <c r="EB106" s="23">
        <f>EXP(-LN(2)/25)*EB105+(1-EXP(-LN(2)/25))/(LN(2)/25)*Calculateur!DW106*Calculateur!DY106*VLOOKUP('Données projet'!$B$14,Paramètres!$A$1:$I$88,3,0)*0.475*44/12</f>
        <v>36.747942507123021</v>
      </c>
      <c r="EC106" s="23">
        <f>EXP(-LN(2)/2)*EC105+(1-EXP(-LN(2)/2))/(LN(2)/2)*DW106*DZ106*VLOOKUP('Données projet'!$B$14,Paramètres!$A$1:$I$88,3,0)*0.475*44/12</f>
        <v>0</v>
      </c>
      <c r="ED106" s="24">
        <f t="shared" si="72"/>
        <v>76.622189699198969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1099.9999999999998</v>
      </c>
      <c r="EK106" s="18">
        <f>EJ106*VLOOKUP('Données projet'!$B$15,Paramètres!$A$1:$I$88,3,0)*VLOOKUP('Données projet'!$B$15,Paramètres!$A$1:$I$88,5,0)</f>
        <v>486.19999999999993</v>
      </c>
      <c r="EL106" s="14">
        <f t="shared" si="99"/>
        <v>109.0490179035375</v>
      </c>
      <c r="EM106" s="22">
        <f t="shared" si="73"/>
        <v>1036.725372848661</v>
      </c>
      <c r="EN106" s="62">
        <f t="shared" si="74"/>
        <v>1314.9441417784237</v>
      </c>
      <c r="EO106" s="62">
        <f ca="1">AVERAGE(OFFSET($EN$3,0,0,'Données projet'!$E$15+1,1))-AVERAGE(OFFSET($H$3,0,0,'Données projet'!$E$15+1,1))</f>
        <v>582.26951914082088</v>
      </c>
      <c r="EP106" s="62">
        <f t="shared" si="100"/>
        <v>434.80429932654715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projet'!$B$15,Paramètres!$A$1:$I$88,3,0)*0.475*44/12</f>
        <v>40.178830811312288</v>
      </c>
      <c r="EW106" s="23">
        <f>EXP(-LN(2)/25)*EW105+(1-EXP(-LN(2)/25))/(LN(2)/25)*Calculateur!ER106*Calculateur!ET106*VLOOKUP('Données projet'!$B$15,Paramètres!$A$1:$I$88,3,0)*0.475*44/12</f>
        <v>33.020886750456285</v>
      </c>
      <c r="EX106" s="23">
        <f>EXP(-LN(2)/2)*EX105+(1-EXP(-LN(2)/2))/(LN(2)/2)*ER106*EU106*VLOOKUP('Données projet'!$B$15,Paramètres!$A$1:$I$88,3,0)*0.475*44/12</f>
        <v>0</v>
      </c>
      <c r="EY106" s="24">
        <f t="shared" si="75"/>
        <v>73.19971756176858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854.99999999999989</v>
      </c>
      <c r="FF106" s="18">
        <f>FE106*VLOOKUP('Données projet'!$B$16,Paramètres!$A$1:$I$88,3,0)*VLOOKUP('Données projet'!$B$16,Paramètres!$A$1:$I$88,5,0)</f>
        <v>400.13999999999993</v>
      </c>
      <c r="FG106" s="14">
        <f t="shared" si="101"/>
        <v>91.805047494648534</v>
      </c>
      <c r="FH106" s="22">
        <f t="shared" si="76"/>
        <v>856.80429105317944</v>
      </c>
      <c r="FI106" s="62">
        <f t="shared" si="77"/>
        <v>1135.0230599829422</v>
      </c>
      <c r="FJ106" s="62">
        <f ca="1">AVERAGE(OFFSET($FI$3,0,0,'Données projet'!$E$16+1,1))-AVERAGE(OFFSET($H$3,0,0,'Données projet'!$E$16+1,1))</f>
        <v>429.87867712133851</v>
      </c>
      <c r="FK106" s="62">
        <f t="shared" si="102"/>
        <v>182.81277865988014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projet'!$B$16,Paramètres!$A$1:$I$88,3,0)*0.475*44/12</f>
        <v>47.918063812054221</v>
      </c>
      <c r="FR106" s="23">
        <f>EXP(-LN(2)/25)*FR105+(1-EXP(-LN(2)/25))/(LN(2)/25)*Calculateur!FM106*Calculateur!FO106*VLOOKUP('Données projet'!$B$16,Paramètres!$A$1:$I$88,3,0)*0.475*44/12</f>
        <v>41.859627214481129</v>
      </c>
      <c r="FS106" s="23">
        <f>EXP(-LN(2)/2)*FS105+(1-EXP(-LN(2)/2))/(LN(2)/2)*FM106*FP106*VLOOKUP('Données projet'!$B$16,Paramètres!$A$1:$I$88,3,0)*0.475*44/12</f>
        <v>0</v>
      </c>
      <c r="FT106" s="24">
        <f t="shared" si="78"/>
        <v>89.777691026535351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498.99999999999955</v>
      </c>
      <c r="GA106" s="18">
        <f>FZ106*VLOOKUP('Données projet'!$B$17,Paramètres!$A$1:$I$88,3,0)*VLOOKUP('Données projet'!$B$17,Paramètres!$A$1:$I$88,5,0)</f>
        <v>240.01899999999978</v>
      </c>
      <c r="GB106" s="14">
        <f t="shared" si="103"/>
        <v>58.443618405936313</v>
      </c>
      <c r="GC106" s="22">
        <f t="shared" si="79"/>
        <v>519.82239372367201</v>
      </c>
      <c r="GD106" s="62">
        <f t="shared" si="80"/>
        <v>798.04116265343464</v>
      </c>
      <c r="GE106" s="62">
        <f ca="1">AVERAGE(OFFSET($GD$3,0,0,'Données projet'!$E$17+1,1))-AVERAGE(OFFSET($H$3,0,0,'Données projet'!$E$17+1,1))</f>
        <v>273.24375559399846</v>
      </c>
      <c r="GF106" s="62">
        <f t="shared" si="104"/>
        <v>270.77718895097848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projet'!$B$17,Paramètres!$A$1:$I$88,3,0)*0.475*44/12</f>
        <v>20.517512664281089</v>
      </c>
      <c r="GM106" s="23">
        <f>EXP(-LN(2)/25)*GM105+(1-EXP(-LN(2)/25))/(LN(2)/25)*Calculateur!GH106*Calculateur!GJ106*VLOOKUP('Données projet'!$B$17,Paramètres!$A$1:$I$88,3,0)*0.475*44/12</f>
        <v>16.105387470490495</v>
      </c>
      <c r="GN106" s="23">
        <f>EXP(-LN(2)/2)*GN105+(1-EXP(-LN(2)/2))/(LN(2)/2)*GH106*GK106*VLOOKUP('Données projet'!$B$17,Paramètres!$A$1:$I$88,3,0)*0.475*44/12</f>
        <v>0</v>
      </c>
      <c r="GO106" s="23">
        <f t="shared" si="81"/>
        <v>36.622900134771584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550.99999999999966</v>
      </c>
      <c r="O107" s="14">
        <f>N107*VLOOKUP('Données projet'!$B$9,Paramètres!$A$1:$I$88,3,0)*VLOOKUP('Données projet'!$B$9,Paramètres!$A$1:$I$88,5,0)</f>
        <v>308.00899999999979</v>
      </c>
      <c r="P107" s="14">
        <f t="shared" si="87"/>
        <v>72.852874331417695</v>
      </c>
      <c r="Q107" s="22">
        <f t="shared" si="107"/>
        <v>663.33443112721886</v>
      </c>
      <c r="R107" s="62">
        <f t="shared" si="55"/>
        <v>941.81540395827983</v>
      </c>
      <c r="S107" s="62">
        <f ca="1">AVERAGE(OFFSET($R$3,0,0,'Données projet'!$E$9+1,1))-AVERAGE(OFFSET($H$3,0,0,'Données projet'!$E$9+1,1))</f>
        <v>289.94242154211224</v>
      </c>
      <c r="T107" s="62">
        <f t="shared" si="88"/>
        <v>369.12599166143661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30.864594486069421</v>
      </c>
      <c r="AA107" s="23">
        <f>EXP(-LN(2)/25)*AA106+(1-EXP(-LN(2)/25))/(LN(2)/25)*Calculateur!V107*Calculateur!X107*VLOOKUP('Données projet'!$B$9,Paramètres!$A$1:$I$88,3,0)*0.475*44/12</f>
        <v>19.728899101353306</v>
      </c>
      <c r="AB107" s="23">
        <f>EXP(-LN(2)/2)*AB106+(1-EXP(-LN(2)/2))/(LN(2)/2)*V107*Y107*VLOOKUP('Données projet'!$B$9,Paramètres!$A$1:$I$88,3,0)*0.475*44/12</f>
        <v>0</v>
      </c>
      <c r="AC107" s="24">
        <f t="shared" si="57"/>
        <v>50.593493587422728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6.8888888888888893</v>
      </c>
      <c r="AI107" s="14">
        <f>IF('Données projet'!$A$62&gt;35,AI106+AH107-AQ106,IF(A107&lt;'Données projet'!$A$62,$AF$205^A107,IF(A107='Données projet'!$A$62,'Données projet'!$B$62,AI106+AH107-AQ106)))</f>
        <v>284.66666666666674</v>
      </c>
      <c r="AJ107" s="14">
        <f>AI107*VLOOKUP('Données projet'!$B$10,Paramètres!$A$1:$I$88,3,0)*VLOOKUP('Données projet'!$B$10,Paramètres!$A$1:$I$88,5,0)</f>
        <v>257.5664000000001</v>
      </c>
      <c r="AK107" s="14">
        <f t="shared" si="89"/>
        <v>62.203349203490781</v>
      </c>
      <c r="AL107" s="22">
        <f t="shared" si="58"/>
        <v>556.93231319607992</v>
      </c>
      <c r="AM107" s="62">
        <f t="shared" si="59"/>
        <v>835.41328602714088</v>
      </c>
      <c r="AN107" s="62">
        <f ca="1">AVERAGE(OFFSET($AM$3,0,0,'Données projet'!$E$10+1,1))-AVERAGE(OFFSET($H$3,0,0,'Données projet'!$E$10+1,1))</f>
        <v>518.31628039365785</v>
      </c>
      <c r="AO107" s="62">
        <f t="shared" si="90"/>
        <v>66.435071953154761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23.595606685233509</v>
      </c>
      <c r="AV107" s="23">
        <f>EXP(-LN(2)/25)*AV106+(1-EXP(-LN(2)/25))/(LN(2)/25)*Calculateur!AQ107*Calculateur!AS107*VLOOKUP('Données projet'!$B$10,Paramètres!$A$1:$I$88,3,0)*0.475*44/12</f>
        <v>0</v>
      </c>
      <c r="AW107" s="23">
        <f>EXP(-LN(2)/2)*AW106+(1-EXP(-LN(2)/2))/(LN(2)/2)*AQ107*AT107*VLOOKUP('Données projet'!$B$10,Paramètres!$A$1:$I$88,3,0)*0.475*44/12</f>
        <v>0</v>
      </c>
      <c r="AX107" s="23">
        <f t="shared" si="60"/>
        <v>23.595606685233509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6.8888888888888893</v>
      </c>
      <c r="BD107" s="13">
        <f>IF('Données projet'!$A$88&gt;35,BD106+BC107-BL106,IF(A107&lt;'Données projet'!$A$88,$BA$205^A107,IF(A107='Données projet'!$A$88,'Données projet'!$B$88,BD106+BC107-BL106)))</f>
        <v>284.66666666666674</v>
      </c>
      <c r="BE107" s="14">
        <f>BD107*VLOOKUP('Données projet'!$B$11,Paramètres!$A$1:$I$88,3,0)*VLOOKUP('Données projet'!$B$11,Paramètres!$A$1:$I$88,5,0)</f>
        <v>288.6520000000001</v>
      </c>
      <c r="BF107" s="14">
        <f t="shared" si="91"/>
        <v>68.792174213426648</v>
      </c>
      <c r="BG107" s="22">
        <f t="shared" si="61"/>
        <v>622.54860342171821</v>
      </c>
      <c r="BH107" s="62">
        <f t="shared" si="62"/>
        <v>901.02957625277918</v>
      </c>
      <c r="BI107" s="62">
        <f ca="1">AVERAGE(OFFSET($BH$3,0,0,'Données projet'!$E$11+1,1))-AVERAGE(OFFSET($H$3,0,0,'Données projet'!$E$11+1,1))</f>
        <v>570.2785736203931</v>
      </c>
      <c r="BJ107" s="62">
        <f t="shared" si="92"/>
        <v>67.677759965081719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26.443352319658249</v>
      </c>
      <c r="BQ107" s="23">
        <f>EXP(-LN(2)/25)*BQ106+(1-EXP(-LN(2)/25))/(LN(2)/25)*Calculateur!BL107*Calculateur!BN107*VLOOKUP('Données projet'!$B$11,Paramètres!$A$1:$I$88,3,0)*0.475*44/12</f>
        <v>0</v>
      </c>
      <c r="BR107" s="23">
        <f>EXP(-LN(2)/2)*BR106+(1-EXP(-LN(2)/2))/(LN(2)/2)*BL107*BO107*VLOOKUP('Données projet'!$B$11,Paramètres!$A$1:$I$88,3,0)*0.475*44/12</f>
        <v>0</v>
      </c>
      <c r="BS107" s="24">
        <f t="shared" si="63"/>
        <v>26.443352319658249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544.19999999999982</v>
      </c>
      <c r="BZ107" s="14">
        <f>BY107*VLOOKUP('Données projet'!$B$12,Paramètres!$A$1:$I$88,3,0)*VLOOKUP('Données projet'!$B$12,Paramètres!$A$1:$I$88,5,0)</f>
        <v>325.43159999999995</v>
      </c>
      <c r="CA107" s="14">
        <f t="shared" si="93"/>
        <v>76.482394221016762</v>
      </c>
      <c r="CB107" s="22">
        <f t="shared" si="64"/>
        <v>700.00020660160408</v>
      </c>
      <c r="CC107" s="62">
        <f t="shared" si="65"/>
        <v>978.48117943266493</v>
      </c>
      <c r="CD107" s="62">
        <f ca="1">AVERAGE(OFFSET($CC$3,0,0,'Données projet'!$E$12+1,1))-AVERAGE(OFFSET($H$3,0,0,'Données projet'!$E$12+1,1))</f>
        <v>401.1031790385295</v>
      </c>
      <c r="CE107" s="62">
        <f t="shared" si="94"/>
        <v>402.09589424130615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projet'!$B$12,Paramètres!$A$1:$I$88,3,0)*0.475*44/12</f>
        <v>8.6781952385229051</v>
      </c>
      <c r="CL107" s="23">
        <f>EXP(-LN(2)/25)*CL106+(1-EXP(-LN(2)/25))/(LN(2)/25)*Calculateur!CG107*Calculateur!CI107*VLOOKUP('Données projet'!$B$12,Paramètres!$A$1:$I$88,3,0)*0.475*44/12</f>
        <v>0</v>
      </c>
      <c r="CM107" s="23">
        <f>EXP(-LN(2)/2)*CM106+(1-EXP(-LN(2)/2))/(LN(2)/2)*CG107*CJ107*VLOOKUP('Données projet'!$B$12,Paramètres!$A$1:$I$88,3,0)*0.475*44/12</f>
        <v>9.8976445933475035E-7</v>
      </c>
      <c r="CN107" s="24">
        <f t="shared" si="66"/>
        <v>8.6781962282873639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544.19999999999982</v>
      </c>
      <c r="CU107" s="18">
        <f>CT107*VLOOKUP('Données projet'!$B$13,Paramètres!$A$1:$I$88,3,0)*VLOOKUP('Données projet'!$B$13,Paramètres!$A$1:$I$88,5,0)</f>
        <v>325.43159999999995</v>
      </c>
      <c r="CV107" s="14">
        <f t="shared" si="95"/>
        <v>76.482394221016762</v>
      </c>
      <c r="CW107" s="22">
        <f t="shared" si="67"/>
        <v>700.00020660160408</v>
      </c>
      <c r="CX107" s="62">
        <f t="shared" si="68"/>
        <v>978.48117943266493</v>
      </c>
      <c r="CY107" s="62">
        <f ca="1">AVERAGE(OFFSET($CX$3,0,0,'Données projet'!$E$13+1,1))-AVERAGE(OFFSET($H$3,0,0,'Données projet'!$E$13+1,1))</f>
        <v>401.1031790385295</v>
      </c>
      <c r="CZ107" s="62">
        <f t="shared" si="96"/>
        <v>402.09589424130615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projet'!$B$13,Paramètres!$A$1:$I$88,3,0)*0.475*44/12</f>
        <v>8.6781952385229051</v>
      </c>
      <c r="DG107" s="23">
        <f>EXP(-LN(2)/25)*DG106+(1-EXP(-LN(2)/25))/(LN(2)/25)*Calculateur!DB107*Calculateur!DD107*VLOOKUP('Données projet'!$B$13,Paramètres!$A$1:$I$88,3,0)*0.475*44/12</f>
        <v>0</v>
      </c>
      <c r="DH107" s="23">
        <f>EXP(-LN(2)/2)*DH106+(1-EXP(-LN(2)/2))/(LN(2)/2)*DB107*DE107*VLOOKUP('Données projet'!$B$13,Paramètres!$A$1:$I$88,3,0)*0.475*44/12</f>
        <v>9.8976445933475035E-7</v>
      </c>
      <c r="DI107" s="24">
        <f t="shared" si="69"/>
        <v>8.6781962282873639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860.00000000000023</v>
      </c>
      <c r="DP107" s="18">
        <f>DO107*VLOOKUP('Données projet'!$B$14,Paramètres!$A$1:$I$88,3,0)*VLOOKUP('Données projet'!$B$14,Paramètres!$A$1:$I$88,5,0)</f>
        <v>346.5800000000001</v>
      </c>
      <c r="DQ107" s="14">
        <f t="shared" si="97"/>
        <v>80.857895771535127</v>
      </c>
      <c r="DR107" s="22">
        <f t="shared" si="70"/>
        <v>744.45433513542378</v>
      </c>
      <c r="DS107" s="62">
        <f t="shared" si="71"/>
        <v>1022.9353079664847</v>
      </c>
      <c r="DT107" s="62">
        <f ca="1">AVERAGE(OFFSET($DS$3,0,0,'Données projet'!$E$14+1,1))-AVERAGE(OFFSET($H$3,0,0,'Données projet'!$E$14+1,1))</f>
        <v>432.59662347701629</v>
      </c>
      <c r="DU107" s="62">
        <f t="shared" si="98"/>
        <v>348.67401091099748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projet'!$B$14,Paramètres!$A$1:$I$88,3,0)*0.475*44/12</f>
        <v>39.092337525528642</v>
      </c>
      <c r="EB107" s="23">
        <f>EXP(-LN(2)/25)*EB106+(1-EXP(-LN(2)/25))/(LN(2)/25)*Calculateur!DW107*Calculateur!DY107*VLOOKUP('Données projet'!$B$14,Paramètres!$A$1:$I$88,3,0)*0.475*44/12</f>
        <v>35.743068086775438</v>
      </c>
      <c r="EC107" s="23">
        <f>EXP(-LN(2)/2)*EC106+(1-EXP(-LN(2)/2))/(LN(2)/2)*DW107*DZ107*VLOOKUP('Données projet'!$B$14,Paramètres!$A$1:$I$88,3,0)*0.475*44/12</f>
        <v>0</v>
      </c>
      <c r="ED107" s="24">
        <f t="shared" si="72"/>
        <v>74.835405612304072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1099.9999999999998</v>
      </c>
      <c r="EK107" s="18">
        <f>EJ107*VLOOKUP('Données projet'!$B$15,Paramètres!$A$1:$I$88,3,0)*VLOOKUP('Données projet'!$B$15,Paramètres!$A$1:$I$88,5,0)</f>
        <v>486.19999999999993</v>
      </c>
      <c r="EL107" s="14">
        <f t="shared" si="99"/>
        <v>109.0490179035375</v>
      </c>
      <c r="EM107" s="22">
        <f t="shared" si="73"/>
        <v>1036.725372848661</v>
      </c>
      <c r="EN107" s="62">
        <f t="shared" si="74"/>
        <v>1315.2063456797218</v>
      </c>
      <c r="EO107" s="62">
        <f ca="1">AVERAGE(OFFSET($EN$3,0,0,'Données projet'!$E$15+1,1))-AVERAGE(OFFSET($H$3,0,0,'Données projet'!$E$15+1,1))</f>
        <v>582.26951914082088</v>
      </c>
      <c r="EP107" s="62">
        <f t="shared" si="100"/>
        <v>434.80429932654715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projet'!$B$15,Paramètres!$A$1:$I$88,3,0)*0.475*44/12</f>
        <v>39.390948445769418</v>
      </c>
      <c r="EW107" s="23">
        <f>EXP(-LN(2)/25)*EW106+(1-EXP(-LN(2)/25))/(LN(2)/25)*Calculateur!ER107*Calculateur!ET107*VLOOKUP('Données projet'!$B$15,Paramètres!$A$1:$I$88,3,0)*0.475*44/12</f>
        <v>32.117928865772093</v>
      </c>
      <c r="EX107" s="23">
        <f>EXP(-LN(2)/2)*EX106+(1-EXP(-LN(2)/2))/(LN(2)/2)*ER107*EU107*VLOOKUP('Données projet'!$B$15,Paramètres!$A$1:$I$88,3,0)*0.475*44/12</f>
        <v>0</v>
      </c>
      <c r="EY107" s="24">
        <f t="shared" si="75"/>
        <v>71.508877311541511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854.99999999999989</v>
      </c>
      <c r="FF107" s="18">
        <f>FE107*VLOOKUP('Données projet'!$B$16,Paramètres!$A$1:$I$88,3,0)*VLOOKUP('Données projet'!$B$16,Paramètres!$A$1:$I$88,5,0)</f>
        <v>400.13999999999993</v>
      </c>
      <c r="FG107" s="14">
        <f t="shared" si="101"/>
        <v>91.805047494648534</v>
      </c>
      <c r="FH107" s="22">
        <f t="shared" si="76"/>
        <v>856.80429105317944</v>
      </c>
      <c r="FI107" s="62">
        <f t="shared" si="77"/>
        <v>1135.2852638842403</v>
      </c>
      <c r="FJ107" s="62">
        <f ca="1">AVERAGE(OFFSET($FI$3,0,0,'Données projet'!$E$16+1,1))-AVERAGE(OFFSET($H$3,0,0,'Données projet'!$E$16+1,1))</f>
        <v>429.87867712133851</v>
      </c>
      <c r="FK107" s="62">
        <f t="shared" si="102"/>
        <v>182.81277865988014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projet'!$B$16,Paramètres!$A$1:$I$88,3,0)*0.475*44/12</f>
        <v>46.978419807832822</v>
      </c>
      <c r="FR107" s="23">
        <f>EXP(-LN(2)/25)*FR106+(1-EXP(-LN(2)/25))/(LN(2)/25)*Calculateur!FM107*Calculateur!FO107*VLOOKUP('Données projet'!$B$16,Paramètres!$A$1:$I$88,3,0)*0.475*44/12</f>
        <v>40.714973506999016</v>
      </c>
      <c r="FS107" s="23">
        <f>EXP(-LN(2)/2)*FS106+(1-EXP(-LN(2)/2))/(LN(2)/2)*FM107*FP107*VLOOKUP('Données projet'!$B$16,Paramètres!$A$1:$I$88,3,0)*0.475*44/12</f>
        <v>0</v>
      </c>
      <c r="FT107" s="24">
        <f t="shared" si="78"/>
        <v>87.693393314831837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498.99999999999955</v>
      </c>
      <c r="GA107" s="18">
        <f>FZ107*VLOOKUP('Données projet'!$B$17,Paramètres!$A$1:$I$88,3,0)*VLOOKUP('Données projet'!$B$17,Paramètres!$A$1:$I$88,5,0)</f>
        <v>240.01899999999978</v>
      </c>
      <c r="GB107" s="14">
        <f t="shared" si="103"/>
        <v>58.443618405936313</v>
      </c>
      <c r="GC107" s="22">
        <f t="shared" si="79"/>
        <v>519.82239372367201</v>
      </c>
      <c r="GD107" s="62">
        <f t="shared" si="80"/>
        <v>798.30336655473297</v>
      </c>
      <c r="GE107" s="62">
        <f ca="1">AVERAGE(OFFSET($GD$3,0,0,'Données projet'!$E$17+1,1))-AVERAGE(OFFSET($H$3,0,0,'Données projet'!$E$17+1,1))</f>
        <v>273.24375559399846</v>
      </c>
      <c r="GF107" s="62">
        <f t="shared" si="104"/>
        <v>270.77718895097848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projet'!$B$17,Paramètres!$A$1:$I$88,3,0)*0.475*44/12</f>
        <v>20.115176755381562</v>
      </c>
      <c r="GM107" s="23">
        <f>EXP(-LN(2)/25)*GM106+(1-EXP(-LN(2)/25))/(LN(2)/25)*Calculateur!GH107*Calculateur!GJ107*VLOOKUP('Données projet'!$B$17,Paramètres!$A$1:$I$88,3,0)*0.475*44/12</f>
        <v>15.664984803164415</v>
      </c>
      <c r="GN107" s="23">
        <f>EXP(-LN(2)/2)*GN106+(1-EXP(-LN(2)/2))/(LN(2)/2)*GH107*GK107*VLOOKUP('Données projet'!$B$17,Paramètres!$A$1:$I$88,3,0)*0.475*44/12</f>
        <v>0</v>
      </c>
      <c r="GO107" s="23">
        <f t="shared" si="81"/>
        <v>35.780161558545977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550.99999999999966</v>
      </c>
      <c r="O108" s="14">
        <f>N108*VLOOKUP('Données projet'!$B$9,Paramètres!$A$1:$I$88,3,0)*VLOOKUP('Données projet'!$B$9,Paramètres!$A$1:$I$88,5,0)</f>
        <v>308.00899999999979</v>
      </c>
      <c r="P108" s="14">
        <f t="shared" si="87"/>
        <v>72.852874331417695</v>
      </c>
      <c r="Q108" s="22">
        <f t="shared" si="107"/>
        <v>663.33443112721886</v>
      </c>
      <c r="R108" s="62">
        <f t="shared" si="55"/>
        <v>942.07305920809063</v>
      </c>
      <c r="S108" s="62">
        <f ca="1">AVERAGE(OFFSET($R$3,0,0,'Données projet'!$E$9+1,1))-AVERAGE(OFFSET($H$3,0,0,'Données projet'!$E$9+1,1))</f>
        <v>289.94242154211224</v>
      </c>
      <c r="T108" s="62">
        <f t="shared" si="88"/>
        <v>369.12599166143661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30.259358613741369</v>
      </c>
      <c r="AA108" s="23">
        <f>EXP(-LN(2)/25)*AA107+(1-EXP(-LN(2)/25))/(LN(2)/25)*Calculateur!V108*Calculateur!X108*VLOOKUP('Données projet'!$B$9,Paramètres!$A$1:$I$88,3,0)*0.475*44/12</f>
        <v>19.189411317929089</v>
      </c>
      <c r="AB108" s="23">
        <f>EXP(-LN(2)/2)*AB107+(1-EXP(-LN(2)/2))/(LN(2)/2)*V108*Y108*VLOOKUP('Données projet'!$B$9,Paramètres!$A$1:$I$88,3,0)*0.475*44/12</f>
        <v>0</v>
      </c>
      <c r="AC108" s="24">
        <f t="shared" si="57"/>
        <v>49.448769931670455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6.8888888888888893</v>
      </c>
      <c r="AI108" s="14">
        <f>IF('Données projet'!$A$62&gt;35,AI107+AH108-AQ107,IF(A108&lt;'Données projet'!$A$62,$AF$205^A108,IF(A108='Données projet'!$A$62,'Données projet'!$B$62,AI107+AH108-AQ107)))</f>
        <v>291.55555555555566</v>
      </c>
      <c r="AJ108" s="14">
        <f>AI108*VLOOKUP('Données projet'!$B$10,Paramètres!$A$1:$I$88,3,0)*VLOOKUP('Données projet'!$B$10,Paramètres!$A$1:$I$88,5,0)</f>
        <v>263.79946666666677</v>
      </c>
      <c r="AK108" s="14">
        <f t="shared" si="89"/>
        <v>63.531585616149037</v>
      </c>
      <c r="AL108" s="22">
        <f t="shared" si="58"/>
        <v>570.10158272590422</v>
      </c>
      <c r="AM108" s="62">
        <f t="shared" si="59"/>
        <v>848.84021080677599</v>
      </c>
      <c r="AN108" s="62">
        <f ca="1">AVERAGE(OFFSET($AM$3,0,0,'Données projet'!$E$10+1,1))-AVERAGE(OFFSET($H$3,0,0,'Données projet'!$E$10+1,1))</f>
        <v>518.31628039365785</v>
      </c>
      <c r="AO108" s="62">
        <f t="shared" si="90"/>
        <v>66.435071953154761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23.132911230035077</v>
      </c>
      <c r="AV108" s="23">
        <f>EXP(-LN(2)/25)*AV107+(1-EXP(-LN(2)/25))/(LN(2)/25)*Calculateur!AQ108*Calculateur!AS108*VLOOKUP('Données projet'!$B$10,Paramètres!$A$1:$I$88,3,0)*0.475*44/12</f>
        <v>0</v>
      </c>
      <c r="AW108" s="23">
        <f>EXP(-LN(2)/2)*AW107+(1-EXP(-LN(2)/2))/(LN(2)/2)*AQ108*AT108*VLOOKUP('Données projet'!$B$10,Paramètres!$A$1:$I$88,3,0)*0.475*44/12</f>
        <v>0</v>
      </c>
      <c r="AX108" s="23">
        <f t="shared" si="60"/>
        <v>23.132911230035077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6.8888888888888893</v>
      </c>
      <c r="BD108" s="13">
        <f>IF('Données projet'!$A$88&gt;35,BD107+BC108-BL107,IF(A108&lt;'Données projet'!$A$88,$BA$205^A108,IF(A108='Données projet'!$A$88,'Données projet'!$B$88,BD107+BC108-BL107)))</f>
        <v>291.55555555555566</v>
      </c>
      <c r="BE108" s="14">
        <f>BD108*VLOOKUP('Données projet'!$B$11,Paramètres!$A$1:$I$88,3,0)*VLOOKUP('Données projet'!$B$11,Paramètres!$A$1:$I$88,5,0)</f>
        <v>295.63733333333346</v>
      </c>
      <c r="BF108" s="14">
        <f t="shared" si="91"/>
        <v>70.261102685385467</v>
      </c>
      <c r="BG108" s="22">
        <f t="shared" si="61"/>
        <v>637.27310939926872</v>
      </c>
      <c r="BH108" s="62">
        <f t="shared" si="62"/>
        <v>916.01173748014048</v>
      </c>
      <c r="BI108" s="62">
        <f ca="1">AVERAGE(OFFSET($BH$3,0,0,'Données projet'!$E$11+1,1))-AVERAGE(OFFSET($H$3,0,0,'Données projet'!$E$11+1,1))</f>
        <v>570.2785736203931</v>
      </c>
      <c r="BJ108" s="62">
        <f t="shared" si="92"/>
        <v>67.677759965081719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25.924814309522073</v>
      </c>
      <c r="BQ108" s="23">
        <f>EXP(-LN(2)/25)*BQ107+(1-EXP(-LN(2)/25))/(LN(2)/25)*Calculateur!BL108*Calculateur!BN108*VLOOKUP('Données projet'!$B$11,Paramètres!$A$1:$I$88,3,0)*0.475*44/12</f>
        <v>0</v>
      </c>
      <c r="BR108" s="23">
        <f>EXP(-LN(2)/2)*BR107+(1-EXP(-LN(2)/2))/(LN(2)/2)*BL108*BO108*VLOOKUP('Données projet'!$B$11,Paramètres!$A$1:$I$88,3,0)*0.475*44/12</f>
        <v>0</v>
      </c>
      <c r="BS108" s="24">
        <f t="shared" si="63"/>
        <v>25.924814309522073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544.19999999999982</v>
      </c>
      <c r="BZ108" s="14">
        <f>BY108*VLOOKUP('Données projet'!$B$12,Paramètres!$A$1:$I$88,3,0)*VLOOKUP('Données projet'!$B$12,Paramètres!$A$1:$I$88,5,0)</f>
        <v>325.43159999999995</v>
      </c>
      <c r="CA108" s="14">
        <f t="shared" si="93"/>
        <v>76.482394221016762</v>
      </c>
      <c r="CB108" s="22">
        <f t="shared" si="64"/>
        <v>700.00020660160408</v>
      </c>
      <c r="CC108" s="62">
        <f t="shared" si="65"/>
        <v>978.73883468247584</v>
      </c>
      <c r="CD108" s="62">
        <f ca="1">AVERAGE(OFFSET($CC$3,0,0,'Données projet'!$E$12+1,1))-AVERAGE(OFFSET($H$3,0,0,'Données projet'!$E$12+1,1))</f>
        <v>401.1031790385295</v>
      </c>
      <c r="CE108" s="62">
        <f t="shared" si="94"/>
        <v>402.09589424130615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projet'!$B$12,Paramètres!$A$1:$I$88,3,0)*0.475*44/12</f>
        <v>8.5080211230719094</v>
      </c>
      <c r="CL108" s="23">
        <f>EXP(-LN(2)/25)*CL107+(1-EXP(-LN(2)/25))/(LN(2)/25)*Calculateur!CG108*Calculateur!CI108*VLOOKUP('Données projet'!$B$12,Paramètres!$A$1:$I$88,3,0)*0.475*44/12</f>
        <v>0</v>
      </c>
      <c r="CM108" s="23">
        <f>EXP(-LN(2)/2)*CM107+(1-EXP(-LN(2)/2))/(LN(2)/2)*CG108*CJ108*VLOOKUP('Données projet'!$B$12,Paramètres!$A$1:$I$88,3,0)*0.475*44/12</f>
        <v>6.9986916097303884E-7</v>
      </c>
      <c r="CN108" s="24">
        <f t="shared" si="66"/>
        <v>8.5080218229410711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544.19999999999982</v>
      </c>
      <c r="CU108" s="18">
        <f>CT108*VLOOKUP('Données projet'!$B$13,Paramètres!$A$1:$I$88,3,0)*VLOOKUP('Données projet'!$B$13,Paramètres!$A$1:$I$88,5,0)</f>
        <v>325.43159999999995</v>
      </c>
      <c r="CV108" s="14">
        <f t="shared" si="95"/>
        <v>76.482394221016762</v>
      </c>
      <c r="CW108" s="22">
        <f t="shared" si="67"/>
        <v>700.00020660160408</v>
      </c>
      <c r="CX108" s="62">
        <f t="shared" si="68"/>
        <v>978.73883468247584</v>
      </c>
      <c r="CY108" s="62">
        <f ca="1">AVERAGE(OFFSET($CX$3,0,0,'Données projet'!$E$13+1,1))-AVERAGE(OFFSET($H$3,0,0,'Données projet'!$E$13+1,1))</f>
        <v>401.1031790385295</v>
      </c>
      <c r="CZ108" s="62">
        <f t="shared" si="96"/>
        <v>402.09589424130615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projet'!$B$13,Paramètres!$A$1:$I$88,3,0)*0.475*44/12</f>
        <v>8.5080211230719094</v>
      </c>
      <c r="DG108" s="23">
        <f>EXP(-LN(2)/25)*DG107+(1-EXP(-LN(2)/25))/(LN(2)/25)*Calculateur!DB108*Calculateur!DD108*VLOOKUP('Données projet'!$B$13,Paramètres!$A$1:$I$88,3,0)*0.475*44/12</f>
        <v>0</v>
      </c>
      <c r="DH108" s="23">
        <f>EXP(-LN(2)/2)*DH107+(1-EXP(-LN(2)/2))/(LN(2)/2)*DB108*DE108*VLOOKUP('Données projet'!$B$13,Paramètres!$A$1:$I$88,3,0)*0.475*44/12</f>
        <v>6.9986916097303884E-7</v>
      </c>
      <c r="DI108" s="24">
        <f t="shared" si="69"/>
        <v>8.5080218229410711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860.00000000000023</v>
      </c>
      <c r="DP108" s="18">
        <f>DO108*VLOOKUP('Données projet'!$B$14,Paramètres!$A$1:$I$88,3,0)*VLOOKUP('Données projet'!$B$14,Paramètres!$A$1:$I$88,5,0)</f>
        <v>346.5800000000001</v>
      </c>
      <c r="DQ108" s="14">
        <f t="shared" si="97"/>
        <v>80.857895771535127</v>
      </c>
      <c r="DR108" s="22">
        <f t="shared" si="70"/>
        <v>744.45433513542378</v>
      </c>
      <c r="DS108" s="62">
        <f t="shared" si="71"/>
        <v>1023.1929632162955</v>
      </c>
      <c r="DT108" s="62">
        <f ca="1">AVERAGE(OFFSET($DS$3,0,0,'Données projet'!$E$14+1,1))-AVERAGE(OFFSET($H$3,0,0,'Données projet'!$E$14+1,1))</f>
        <v>432.59662347701629</v>
      </c>
      <c r="DU108" s="62">
        <f t="shared" si="98"/>
        <v>348.67401091099748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projet'!$B$14,Paramètres!$A$1:$I$88,3,0)*0.475*44/12</f>
        <v>38.325760630624522</v>
      </c>
      <c r="EB108" s="23">
        <f>EXP(-LN(2)/25)*EB107+(1-EXP(-LN(2)/25))/(LN(2)/25)*Calculateur!DW108*Calculateur!DY108*VLOOKUP('Données projet'!$B$14,Paramètres!$A$1:$I$88,3,0)*0.475*44/12</f>
        <v>34.765672010296306</v>
      </c>
      <c r="EC108" s="23">
        <f>EXP(-LN(2)/2)*EC107+(1-EXP(-LN(2)/2))/(LN(2)/2)*DW108*DZ108*VLOOKUP('Données projet'!$B$14,Paramètres!$A$1:$I$88,3,0)*0.475*44/12</f>
        <v>0</v>
      </c>
      <c r="ED108" s="24">
        <f t="shared" si="72"/>
        <v>73.091432640920829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1099.9999999999998</v>
      </c>
      <c r="EK108" s="18">
        <f>EJ108*VLOOKUP('Données projet'!$B$15,Paramètres!$A$1:$I$88,3,0)*VLOOKUP('Données projet'!$B$15,Paramètres!$A$1:$I$88,5,0)</f>
        <v>486.19999999999993</v>
      </c>
      <c r="EL108" s="14">
        <f t="shared" si="99"/>
        <v>109.0490179035375</v>
      </c>
      <c r="EM108" s="22">
        <f t="shared" si="73"/>
        <v>1036.725372848661</v>
      </c>
      <c r="EN108" s="62">
        <f t="shared" si="74"/>
        <v>1315.4640009295326</v>
      </c>
      <c r="EO108" s="62">
        <f ca="1">AVERAGE(OFFSET($EN$3,0,0,'Données projet'!$E$15+1,1))-AVERAGE(OFFSET($H$3,0,0,'Données projet'!$E$15+1,1))</f>
        <v>582.26951914082088</v>
      </c>
      <c r="EP108" s="62">
        <f t="shared" si="100"/>
        <v>434.80429932654715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projet'!$B$15,Paramètres!$A$1:$I$88,3,0)*0.475*44/12</f>
        <v>38.618515972854048</v>
      </c>
      <c r="EW108" s="23">
        <f>EXP(-LN(2)/25)*EW107+(1-EXP(-LN(2)/25))/(LN(2)/25)*Calculateur!ER108*Calculateur!ET108*VLOOKUP('Données projet'!$B$15,Paramètres!$A$1:$I$88,3,0)*0.475*44/12</f>
        <v>31.239662411929082</v>
      </c>
      <c r="EX108" s="23">
        <f>EXP(-LN(2)/2)*EX107+(1-EXP(-LN(2)/2))/(LN(2)/2)*ER108*EU108*VLOOKUP('Données projet'!$B$15,Paramètres!$A$1:$I$88,3,0)*0.475*44/12</f>
        <v>0</v>
      </c>
      <c r="EY108" s="24">
        <f t="shared" si="75"/>
        <v>69.85817838478313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854.99999999999989</v>
      </c>
      <c r="FF108" s="18">
        <f>FE108*VLOOKUP('Données projet'!$B$16,Paramètres!$A$1:$I$88,3,0)*VLOOKUP('Données projet'!$B$16,Paramètres!$A$1:$I$88,5,0)</f>
        <v>400.13999999999993</v>
      </c>
      <c r="FG108" s="14">
        <f t="shared" si="101"/>
        <v>91.805047494648534</v>
      </c>
      <c r="FH108" s="22">
        <f t="shared" si="76"/>
        <v>856.80429105317944</v>
      </c>
      <c r="FI108" s="62">
        <f t="shared" si="77"/>
        <v>1135.5429191340513</v>
      </c>
      <c r="FJ108" s="62">
        <f ca="1">AVERAGE(OFFSET($FI$3,0,0,'Données projet'!$E$16+1,1))-AVERAGE(OFFSET($H$3,0,0,'Données projet'!$E$16+1,1))</f>
        <v>429.87867712133851</v>
      </c>
      <c r="FK108" s="62">
        <f t="shared" si="102"/>
        <v>182.81277865988014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projet'!$B$16,Paramètres!$A$1:$I$88,3,0)*0.475*44/12</f>
        <v>46.057201649407958</v>
      </c>
      <c r="FR108" s="23">
        <f>EXP(-LN(2)/25)*FR107+(1-EXP(-LN(2)/25))/(LN(2)/25)*Calculateur!FM108*Calculateur!FO108*VLOOKUP('Données projet'!$B$16,Paramètres!$A$1:$I$88,3,0)*0.475*44/12</f>
        <v>39.60162041534273</v>
      </c>
      <c r="FS108" s="23">
        <f>EXP(-LN(2)/2)*FS107+(1-EXP(-LN(2)/2))/(LN(2)/2)*FM108*FP108*VLOOKUP('Données projet'!$B$16,Paramètres!$A$1:$I$88,3,0)*0.475*44/12</f>
        <v>0</v>
      </c>
      <c r="FT108" s="24">
        <f t="shared" si="78"/>
        <v>85.658822064750694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498.99999999999955</v>
      </c>
      <c r="GA108" s="18">
        <f>FZ108*VLOOKUP('Données projet'!$B$17,Paramètres!$A$1:$I$88,3,0)*VLOOKUP('Données projet'!$B$17,Paramètres!$A$1:$I$88,5,0)</f>
        <v>240.01899999999978</v>
      </c>
      <c r="GB108" s="14">
        <f t="shared" si="103"/>
        <v>58.443618405936313</v>
      </c>
      <c r="GC108" s="22">
        <f t="shared" si="79"/>
        <v>519.82239372367201</v>
      </c>
      <c r="GD108" s="62">
        <f t="shared" si="80"/>
        <v>798.56102180454377</v>
      </c>
      <c r="GE108" s="62">
        <f ca="1">AVERAGE(OFFSET($GD$3,0,0,'Données projet'!$E$17+1,1))-AVERAGE(OFFSET($H$3,0,0,'Données projet'!$E$17+1,1))</f>
        <v>273.24375559399846</v>
      </c>
      <c r="GF108" s="62">
        <f t="shared" si="104"/>
        <v>270.77718895097848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projet'!$B$17,Paramètres!$A$1:$I$88,3,0)*0.475*44/12</f>
        <v>19.720730408254884</v>
      </c>
      <c r="GM108" s="23">
        <f>EXP(-LN(2)/25)*GM107+(1-EXP(-LN(2)/25))/(LN(2)/25)*Calculateur!GH108*Calculateur!GJ108*VLOOKUP('Données projet'!$B$17,Paramètres!$A$1:$I$88,3,0)*0.475*44/12</f>
        <v>15.236624969936136</v>
      </c>
      <c r="GN108" s="23">
        <f>EXP(-LN(2)/2)*GN107+(1-EXP(-LN(2)/2))/(LN(2)/2)*GH108*GK108*VLOOKUP('Données projet'!$B$17,Paramètres!$A$1:$I$88,3,0)*0.475*44/12</f>
        <v>0</v>
      </c>
      <c r="GO108" s="23">
        <f t="shared" si="81"/>
        <v>34.957355378191018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550.99999999999966</v>
      </c>
      <c r="O109" s="14">
        <f>N109*VLOOKUP('Données projet'!$B$9,Paramètres!$A$1:$I$88,3,0)*VLOOKUP('Données projet'!$B$9,Paramètres!$A$1:$I$88,5,0)</f>
        <v>308.00899999999979</v>
      </c>
      <c r="P109" s="14">
        <f t="shared" si="87"/>
        <v>72.852874331417695</v>
      </c>
      <c r="Q109" s="22">
        <f t="shared" si="107"/>
        <v>663.33443112721886</v>
      </c>
      <c r="R109" s="62">
        <f t="shared" si="55"/>
        <v>942.32624471534791</v>
      </c>
      <c r="S109" s="62">
        <f ca="1">AVERAGE(OFFSET($R$3,0,0,'Données projet'!$E$9+1,1))-AVERAGE(OFFSET($H$3,0,0,'Données projet'!$E$9+1,1))</f>
        <v>289.94242154211224</v>
      </c>
      <c r="T109" s="62">
        <f t="shared" si="88"/>
        <v>369.12599166143661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29.665991047712239</v>
      </c>
      <c r="AA109" s="23">
        <f>EXP(-LN(2)/25)*AA108+(1-EXP(-LN(2)/25))/(LN(2)/25)*Calculateur!V109*Calculateur!X109*VLOOKUP('Données projet'!$B$9,Paramètres!$A$1:$I$88,3,0)*0.475*44/12</f>
        <v>18.664675856313035</v>
      </c>
      <c r="AB109" s="23">
        <f>EXP(-LN(2)/2)*AB108+(1-EXP(-LN(2)/2))/(LN(2)/2)*V109*Y109*VLOOKUP('Données projet'!$B$9,Paramètres!$A$1:$I$88,3,0)*0.475*44/12</f>
        <v>0</v>
      </c>
      <c r="AC109" s="24">
        <f t="shared" si="57"/>
        <v>48.330666904025279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6.8888888888888893</v>
      </c>
      <c r="AI109" s="14">
        <f>IF('Données projet'!$A$62&gt;35,AI108+AH109-AQ108,IF(A109&lt;'Données projet'!$A$62,$AF$205^A109,IF(A109='Données projet'!$A$62,'Données projet'!$B$62,AI108+AH109-AQ108)))</f>
        <v>298.44444444444457</v>
      </c>
      <c r="AJ109" s="14">
        <f>AI109*VLOOKUP('Données projet'!$B$10,Paramètres!$A$1:$I$88,3,0)*VLOOKUP('Données projet'!$B$10,Paramètres!$A$1:$I$88,5,0)</f>
        <v>270.03253333333345</v>
      </c>
      <c r="AK109" s="14">
        <f t="shared" si="89"/>
        <v>64.856173633841721</v>
      </c>
      <c r="AL109" s="22">
        <f t="shared" si="58"/>
        <v>583.26449796783004</v>
      </c>
      <c r="AM109" s="62">
        <f t="shared" si="59"/>
        <v>862.2563115559592</v>
      </c>
      <c r="AN109" s="62">
        <f ca="1">AVERAGE(OFFSET($AM$3,0,0,'Données projet'!$E$10+1,1))-AVERAGE(OFFSET($H$3,0,0,'Données projet'!$E$10+1,1))</f>
        <v>518.31628039365785</v>
      </c>
      <c r="AO109" s="62">
        <f t="shared" si="90"/>
        <v>66.435071953154761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22.679288950496723</v>
      </c>
      <c r="AV109" s="23">
        <f>EXP(-LN(2)/25)*AV108+(1-EXP(-LN(2)/25))/(LN(2)/25)*Calculateur!AQ109*Calculateur!AS109*VLOOKUP('Données projet'!$B$10,Paramètres!$A$1:$I$88,3,0)*0.475*44/12</f>
        <v>0</v>
      </c>
      <c r="AW109" s="23">
        <f>EXP(-LN(2)/2)*AW108+(1-EXP(-LN(2)/2))/(LN(2)/2)*AQ109*AT109*VLOOKUP('Données projet'!$B$10,Paramètres!$A$1:$I$88,3,0)*0.475*44/12</f>
        <v>0</v>
      </c>
      <c r="AX109" s="23">
        <f t="shared" si="60"/>
        <v>22.679288950496723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6.8888888888888893</v>
      </c>
      <c r="BD109" s="13">
        <f>IF('Données projet'!$A$88&gt;35,BD108+BC109-BL108,IF(A109&lt;'Données projet'!$A$88,$BA$205^A109,IF(A109='Données projet'!$A$88,'Données projet'!$B$88,BD108+BC109-BL108)))</f>
        <v>298.44444444444457</v>
      </c>
      <c r="BE109" s="14">
        <f>BD109*VLOOKUP('Données projet'!$B$11,Paramètres!$A$1:$I$88,3,0)*VLOOKUP('Données projet'!$B$11,Paramètres!$A$1:$I$88,5,0)</f>
        <v>302.62266666666682</v>
      </c>
      <c r="BF109" s="14">
        <f t="shared" si="91"/>
        <v>71.725996309939987</v>
      </c>
      <c r="BG109" s="22">
        <f t="shared" si="61"/>
        <v>651.9905880175902</v>
      </c>
      <c r="BH109" s="62">
        <f t="shared" si="62"/>
        <v>930.98240160571936</v>
      </c>
      <c r="BI109" s="62">
        <f ca="1">AVERAGE(OFFSET($BH$3,0,0,'Données projet'!$E$11+1,1))-AVERAGE(OFFSET($H$3,0,0,'Données projet'!$E$11+1,1))</f>
        <v>570.2785736203931</v>
      </c>
      <c r="BJ109" s="62">
        <f t="shared" si="92"/>
        <v>67.677759965081719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25.416444513487711</v>
      </c>
      <c r="BQ109" s="23">
        <f>EXP(-LN(2)/25)*BQ108+(1-EXP(-LN(2)/25))/(LN(2)/25)*Calculateur!BL109*Calculateur!BN109*VLOOKUP('Données projet'!$B$11,Paramètres!$A$1:$I$88,3,0)*0.475*44/12</f>
        <v>0</v>
      </c>
      <c r="BR109" s="23">
        <f>EXP(-LN(2)/2)*BR108+(1-EXP(-LN(2)/2))/(LN(2)/2)*BL109*BO109*VLOOKUP('Données projet'!$B$11,Paramètres!$A$1:$I$88,3,0)*0.475*44/12</f>
        <v>0</v>
      </c>
      <c r="BS109" s="24">
        <f t="shared" si="63"/>
        <v>25.416444513487711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544.19999999999982</v>
      </c>
      <c r="BZ109" s="14">
        <f>BY109*VLOOKUP('Données projet'!$B$12,Paramètres!$A$1:$I$88,3,0)*VLOOKUP('Données projet'!$B$12,Paramètres!$A$1:$I$88,5,0)</f>
        <v>325.43159999999995</v>
      </c>
      <c r="CA109" s="14">
        <f t="shared" si="93"/>
        <v>76.482394221016762</v>
      </c>
      <c r="CB109" s="22">
        <f t="shared" si="64"/>
        <v>700.00020660160408</v>
      </c>
      <c r="CC109" s="62">
        <f t="shared" si="65"/>
        <v>978.99202018973324</v>
      </c>
      <c r="CD109" s="62">
        <f ca="1">AVERAGE(OFFSET($CC$3,0,0,'Données projet'!$E$12+1,1))-AVERAGE(OFFSET($H$3,0,0,'Données projet'!$E$12+1,1))</f>
        <v>401.1031790385295</v>
      </c>
      <c r="CE109" s="62">
        <f t="shared" si="94"/>
        <v>402.09589424130615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projet'!$B$12,Paramètres!$A$1:$I$88,3,0)*0.475*44/12</f>
        <v>8.3411840182289456</v>
      </c>
      <c r="CL109" s="23">
        <f>EXP(-LN(2)/25)*CL108+(1-EXP(-LN(2)/25))/(LN(2)/25)*Calculateur!CG109*Calculateur!CI109*VLOOKUP('Données projet'!$B$12,Paramètres!$A$1:$I$88,3,0)*0.475*44/12</f>
        <v>0</v>
      </c>
      <c r="CM109" s="23">
        <f>EXP(-LN(2)/2)*CM108+(1-EXP(-LN(2)/2))/(LN(2)/2)*CG109*CJ109*VLOOKUP('Données projet'!$B$12,Paramètres!$A$1:$I$88,3,0)*0.475*44/12</f>
        <v>4.9488222966737518E-7</v>
      </c>
      <c r="CN109" s="24">
        <f t="shared" si="66"/>
        <v>8.341184513111175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544.19999999999982</v>
      </c>
      <c r="CU109" s="18">
        <f>CT109*VLOOKUP('Données projet'!$B$13,Paramètres!$A$1:$I$88,3,0)*VLOOKUP('Données projet'!$B$13,Paramètres!$A$1:$I$88,5,0)</f>
        <v>325.43159999999995</v>
      </c>
      <c r="CV109" s="14">
        <f t="shared" si="95"/>
        <v>76.482394221016762</v>
      </c>
      <c r="CW109" s="22">
        <f t="shared" si="67"/>
        <v>700.00020660160408</v>
      </c>
      <c r="CX109" s="62">
        <f t="shared" si="68"/>
        <v>978.99202018973324</v>
      </c>
      <c r="CY109" s="62">
        <f ca="1">AVERAGE(OFFSET($CX$3,0,0,'Données projet'!$E$13+1,1))-AVERAGE(OFFSET($H$3,0,0,'Données projet'!$E$13+1,1))</f>
        <v>401.1031790385295</v>
      </c>
      <c r="CZ109" s="62">
        <f t="shared" si="96"/>
        <v>402.09589424130615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projet'!$B$13,Paramètres!$A$1:$I$88,3,0)*0.475*44/12</f>
        <v>8.3411840182289456</v>
      </c>
      <c r="DG109" s="23">
        <f>EXP(-LN(2)/25)*DG108+(1-EXP(-LN(2)/25))/(LN(2)/25)*Calculateur!DB109*Calculateur!DD109*VLOOKUP('Données projet'!$B$13,Paramètres!$A$1:$I$88,3,0)*0.475*44/12</f>
        <v>0</v>
      </c>
      <c r="DH109" s="23">
        <f>EXP(-LN(2)/2)*DH108+(1-EXP(-LN(2)/2))/(LN(2)/2)*DB109*DE109*VLOOKUP('Données projet'!$B$13,Paramètres!$A$1:$I$88,3,0)*0.475*44/12</f>
        <v>4.9488222966737518E-7</v>
      </c>
      <c r="DI109" s="24">
        <f t="shared" si="69"/>
        <v>8.341184513111175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860.00000000000023</v>
      </c>
      <c r="DP109" s="18">
        <f>DO109*VLOOKUP('Données projet'!$B$14,Paramètres!$A$1:$I$88,3,0)*VLOOKUP('Données projet'!$B$14,Paramètres!$A$1:$I$88,5,0)</f>
        <v>346.5800000000001</v>
      </c>
      <c r="DQ109" s="14">
        <f t="shared" si="97"/>
        <v>80.857895771535127</v>
      </c>
      <c r="DR109" s="22">
        <f t="shared" si="70"/>
        <v>744.45433513542378</v>
      </c>
      <c r="DS109" s="62">
        <f t="shared" si="71"/>
        <v>1023.4461487235528</v>
      </c>
      <c r="DT109" s="62">
        <f ca="1">AVERAGE(OFFSET($DS$3,0,0,'Données projet'!$E$14+1,1))-AVERAGE(OFFSET($H$3,0,0,'Données projet'!$E$14+1,1))</f>
        <v>432.59662347701629</v>
      </c>
      <c r="DU109" s="62">
        <f t="shared" si="98"/>
        <v>348.67401091099748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projet'!$B$14,Paramètres!$A$1:$I$88,3,0)*0.475*44/12</f>
        <v>37.574215841063733</v>
      </c>
      <c r="EB109" s="23">
        <f>EXP(-LN(2)/25)*EB108+(1-EXP(-LN(2)/25))/(LN(2)/25)*Calculateur!DW109*Calculateur!DY109*VLOOKUP('Données projet'!$B$14,Paramètres!$A$1:$I$88,3,0)*0.475*44/12</f>
        <v>33.815002880927523</v>
      </c>
      <c r="EC109" s="23">
        <f>EXP(-LN(2)/2)*EC108+(1-EXP(-LN(2)/2))/(LN(2)/2)*DW109*DZ109*VLOOKUP('Données projet'!$B$14,Paramètres!$A$1:$I$88,3,0)*0.475*44/12</f>
        <v>0</v>
      </c>
      <c r="ED109" s="24">
        <f t="shared" si="72"/>
        <v>71.389218721991256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1099.9999999999998</v>
      </c>
      <c r="EK109" s="18">
        <f>EJ109*VLOOKUP('Données projet'!$B$15,Paramètres!$A$1:$I$88,3,0)*VLOOKUP('Données projet'!$B$15,Paramètres!$A$1:$I$88,5,0)</f>
        <v>486.19999999999993</v>
      </c>
      <c r="EL109" s="14">
        <f t="shared" si="99"/>
        <v>109.0490179035375</v>
      </c>
      <c r="EM109" s="22">
        <f t="shared" si="73"/>
        <v>1036.725372848661</v>
      </c>
      <c r="EN109" s="62">
        <f t="shared" si="74"/>
        <v>1315.7171864367901</v>
      </c>
      <c r="EO109" s="62">
        <f ca="1">AVERAGE(OFFSET($EN$3,0,0,'Données projet'!$E$15+1,1))-AVERAGE(OFFSET($H$3,0,0,'Données projet'!$E$15+1,1))</f>
        <v>582.26951914082088</v>
      </c>
      <c r="EP109" s="62">
        <f t="shared" si="100"/>
        <v>434.80429932654715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projet'!$B$15,Paramètres!$A$1:$I$88,3,0)*0.475*44/12</f>
        <v>37.861230429595267</v>
      </c>
      <c r="EW109" s="23">
        <f>EXP(-LN(2)/25)*EW108+(1-EXP(-LN(2)/25))/(LN(2)/25)*Calculateur!ER109*Calculateur!ET109*VLOOKUP('Données projet'!$B$15,Paramètres!$A$1:$I$88,3,0)*0.475*44/12</f>
        <v>30.385412200452436</v>
      </c>
      <c r="EX109" s="23">
        <f>EXP(-LN(2)/2)*EX108+(1-EXP(-LN(2)/2))/(LN(2)/2)*ER109*EU109*VLOOKUP('Données projet'!$B$15,Paramètres!$A$1:$I$88,3,0)*0.475*44/12</f>
        <v>0</v>
      </c>
      <c r="EY109" s="24">
        <f t="shared" si="75"/>
        <v>68.246642630047702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854.99999999999989</v>
      </c>
      <c r="FF109" s="18">
        <f>FE109*VLOOKUP('Données projet'!$B$16,Paramètres!$A$1:$I$88,3,0)*VLOOKUP('Données projet'!$B$16,Paramètres!$A$1:$I$88,5,0)</f>
        <v>400.13999999999993</v>
      </c>
      <c r="FG109" s="14">
        <f t="shared" si="101"/>
        <v>91.805047494648534</v>
      </c>
      <c r="FH109" s="22">
        <f t="shared" si="76"/>
        <v>856.80429105317944</v>
      </c>
      <c r="FI109" s="62">
        <f t="shared" si="77"/>
        <v>1135.7961046413086</v>
      </c>
      <c r="FJ109" s="62">
        <f ca="1">AVERAGE(OFFSET($FI$3,0,0,'Données projet'!$E$16+1,1))-AVERAGE(OFFSET($H$3,0,0,'Données projet'!$E$16+1,1))</f>
        <v>429.87867712133851</v>
      </c>
      <c r="FK109" s="62">
        <f t="shared" si="102"/>
        <v>182.81277865988014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projet'!$B$16,Paramètres!$A$1:$I$88,3,0)*0.475*44/12</f>
        <v>45.154048017182205</v>
      </c>
      <c r="FR109" s="23">
        <f>EXP(-LN(2)/25)*FR108+(1-EXP(-LN(2)/25))/(LN(2)/25)*Calculateur!FM109*Calculateur!FO109*VLOOKUP('Données projet'!$B$16,Paramètres!$A$1:$I$88,3,0)*0.475*44/12</f>
        <v>38.518712022526479</v>
      </c>
      <c r="FS109" s="23">
        <f>EXP(-LN(2)/2)*FS108+(1-EXP(-LN(2)/2))/(LN(2)/2)*FM109*FP109*VLOOKUP('Données projet'!$B$16,Paramètres!$A$1:$I$88,3,0)*0.475*44/12</f>
        <v>0</v>
      </c>
      <c r="FT109" s="24">
        <f t="shared" si="78"/>
        <v>83.672760039708692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498.99999999999955</v>
      </c>
      <c r="GA109" s="18">
        <f>FZ109*VLOOKUP('Données projet'!$B$17,Paramètres!$A$1:$I$88,3,0)*VLOOKUP('Données projet'!$B$17,Paramètres!$A$1:$I$88,5,0)</f>
        <v>240.01899999999978</v>
      </c>
      <c r="GB109" s="14">
        <f t="shared" si="103"/>
        <v>58.443618405936313</v>
      </c>
      <c r="GC109" s="22">
        <f t="shared" si="79"/>
        <v>519.82239372367201</v>
      </c>
      <c r="GD109" s="62">
        <f t="shared" si="80"/>
        <v>798.81420731180106</v>
      </c>
      <c r="GE109" s="62">
        <f ca="1">AVERAGE(OFFSET($GD$3,0,0,'Données projet'!$E$17+1,1))-AVERAGE(OFFSET($H$3,0,0,'Données projet'!$E$17+1,1))</f>
        <v>273.24375559399846</v>
      </c>
      <c r="GF109" s="62">
        <f t="shared" si="104"/>
        <v>270.77718895097848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projet'!$B$17,Paramètres!$A$1:$I$88,3,0)*0.475*44/12</f>
        <v>19.334018913406844</v>
      </c>
      <c r="GM109" s="23">
        <f>EXP(-LN(2)/25)*GM108+(1-EXP(-LN(2)/25))/(LN(2)/25)*Calculateur!GH109*Calculateur!GJ109*VLOOKUP('Données projet'!$B$17,Paramètres!$A$1:$I$88,3,0)*0.475*44/12</f>
        <v>14.819978658873948</v>
      </c>
      <c r="GN109" s="23">
        <f>EXP(-LN(2)/2)*GN108+(1-EXP(-LN(2)/2))/(LN(2)/2)*GH109*GK109*VLOOKUP('Données projet'!$B$17,Paramètres!$A$1:$I$88,3,0)*0.475*44/12</f>
        <v>0</v>
      </c>
      <c r="GO109" s="23">
        <f t="shared" si="81"/>
        <v>34.153997572280794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550.99999999999966</v>
      </c>
      <c r="O110" s="14">
        <f>N110*VLOOKUP('Données projet'!$B$9,Paramètres!$A$1:$I$88,3,0)*VLOOKUP('Données projet'!$B$9,Paramètres!$A$1:$I$88,5,0)</f>
        <v>308.00899999999979</v>
      </c>
      <c r="P110" s="14">
        <f t="shared" si="87"/>
        <v>72.852874331417695</v>
      </c>
      <c r="Q110" s="22">
        <f t="shared" si="107"/>
        <v>663.33443112721886</v>
      </c>
      <c r="R110" s="62">
        <f t="shared" si="55"/>
        <v>942.57503802009251</v>
      </c>
      <c r="S110" s="62">
        <f ca="1">AVERAGE(OFFSET($R$3,0,0,'Données projet'!$E$9+1,1))-AVERAGE(OFFSET($H$3,0,0,'Données projet'!$E$9+1,1))</f>
        <v>289.94242154211224</v>
      </c>
      <c r="T110" s="62">
        <f t="shared" si="88"/>
        <v>369.12599166143661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29.08425905773446</v>
      </c>
      <c r="AA110" s="23">
        <f>EXP(-LN(2)/25)*AA109+(1-EXP(-LN(2)/25))/(LN(2)/25)*Calculateur!V110*Calculateur!X110*VLOOKUP('Données projet'!$B$9,Paramètres!$A$1:$I$88,3,0)*0.475*44/12</f>
        <v>18.15428931348951</v>
      </c>
      <c r="AB110" s="23">
        <f>EXP(-LN(2)/2)*AB109+(1-EXP(-LN(2)/2))/(LN(2)/2)*V110*Y110*VLOOKUP('Données projet'!$B$9,Paramètres!$A$1:$I$88,3,0)*0.475*44/12</f>
        <v>0</v>
      </c>
      <c r="AC110" s="24">
        <f t="shared" si="57"/>
        <v>47.23854837122397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6.8888888888888893</v>
      </c>
      <c r="AI110" s="14">
        <f>IF('Données projet'!$A$62&gt;35,AI109+AH110-AQ109,IF(A110&lt;'Données projet'!$A$62,$AF$205^A110,IF(A110='Données projet'!$A$62,'Données projet'!$B$62,AI109+AH110-AQ109)))</f>
        <v>305.33333333333348</v>
      </c>
      <c r="AJ110" s="14">
        <f>AI110*VLOOKUP('Données projet'!$B$10,Paramètres!$A$1:$I$88,3,0)*VLOOKUP('Données projet'!$B$10,Paramètres!$A$1:$I$88,5,0)</f>
        <v>276.26560000000012</v>
      </c>
      <c r="AK110" s="14">
        <f t="shared" si="89"/>
        <v>66.177207164442621</v>
      </c>
      <c r="AL110" s="22">
        <f t="shared" si="58"/>
        <v>596.42122247807106</v>
      </c>
      <c r="AM110" s="62">
        <f t="shared" si="59"/>
        <v>875.6618293709447</v>
      </c>
      <c r="AN110" s="62">
        <f ca="1">AVERAGE(OFFSET($AM$3,0,0,'Données projet'!$E$10+1,1))-AVERAGE(OFFSET($H$3,0,0,'Données projet'!$E$10+1,1))</f>
        <v>518.31628039365785</v>
      </c>
      <c r="AO110" s="62">
        <f t="shared" si="90"/>
        <v>66.435071953154761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22.234561927177847</v>
      </c>
      <c r="AV110" s="23">
        <f>EXP(-LN(2)/25)*AV109+(1-EXP(-LN(2)/25))/(LN(2)/25)*Calculateur!AQ110*Calculateur!AS110*VLOOKUP('Données projet'!$B$10,Paramètres!$A$1:$I$88,3,0)*0.475*44/12</f>
        <v>0</v>
      </c>
      <c r="AW110" s="23">
        <f>EXP(-LN(2)/2)*AW109+(1-EXP(-LN(2)/2))/(LN(2)/2)*AQ110*AT110*VLOOKUP('Données projet'!$B$10,Paramètres!$A$1:$I$88,3,0)*0.475*44/12</f>
        <v>0</v>
      </c>
      <c r="AX110" s="23">
        <f t="shared" si="60"/>
        <v>22.234561927177847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6.8888888888888893</v>
      </c>
      <c r="BD110" s="13">
        <f>IF('Données projet'!$A$88&gt;35,BD109+BC110-BL109,IF(A110&lt;'Données projet'!$A$88,$BA$205^A110,IF(A110='Données projet'!$A$88,'Données projet'!$B$88,BD109+BC110-BL109)))</f>
        <v>305.33333333333348</v>
      </c>
      <c r="BE110" s="14">
        <f>BD110*VLOOKUP('Données projet'!$B$11,Paramètres!$A$1:$I$88,3,0)*VLOOKUP('Données projet'!$B$11,Paramètres!$A$1:$I$88,5,0)</f>
        <v>309.60800000000017</v>
      </c>
      <c r="BF110" s="14">
        <f t="shared" si="91"/>
        <v>73.1869589420578</v>
      </c>
      <c r="BG110" s="22">
        <f t="shared" si="61"/>
        <v>666.70122015741754</v>
      </c>
      <c r="BH110" s="62">
        <f t="shared" si="62"/>
        <v>945.94182705029118</v>
      </c>
      <c r="BI110" s="62">
        <f ca="1">AVERAGE(OFFSET($BH$3,0,0,'Données projet'!$E$11+1,1))-AVERAGE(OFFSET($H$3,0,0,'Données projet'!$E$11+1,1))</f>
        <v>570.2785736203931</v>
      </c>
      <c r="BJ110" s="62">
        <f t="shared" si="92"/>
        <v>67.677759965081719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24.918043539078624</v>
      </c>
      <c r="BQ110" s="23">
        <f>EXP(-LN(2)/25)*BQ109+(1-EXP(-LN(2)/25))/(LN(2)/25)*Calculateur!BL110*Calculateur!BN110*VLOOKUP('Données projet'!$B$11,Paramètres!$A$1:$I$88,3,0)*0.475*44/12</f>
        <v>0</v>
      </c>
      <c r="BR110" s="23">
        <f>EXP(-LN(2)/2)*BR109+(1-EXP(-LN(2)/2))/(LN(2)/2)*BL110*BO110*VLOOKUP('Données projet'!$B$11,Paramètres!$A$1:$I$88,3,0)*0.475*44/12</f>
        <v>0</v>
      </c>
      <c r="BS110" s="24">
        <f t="shared" si="63"/>
        <v>24.918043539078624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544.19999999999982</v>
      </c>
      <c r="BZ110" s="14">
        <f>BY110*VLOOKUP('Données projet'!$B$12,Paramètres!$A$1:$I$88,3,0)*VLOOKUP('Données projet'!$B$12,Paramètres!$A$1:$I$88,5,0)</f>
        <v>325.43159999999995</v>
      </c>
      <c r="CA110" s="14">
        <f t="shared" si="93"/>
        <v>76.482394221016762</v>
      </c>
      <c r="CB110" s="22">
        <f t="shared" si="64"/>
        <v>700.00020660160408</v>
      </c>
      <c r="CC110" s="62">
        <f t="shared" si="65"/>
        <v>979.24081349447772</v>
      </c>
      <c r="CD110" s="62">
        <f ca="1">AVERAGE(OFFSET($CC$3,0,0,'Données projet'!$E$12+1,1))-AVERAGE(OFFSET($H$3,0,0,'Données projet'!$E$12+1,1))</f>
        <v>401.1031790385295</v>
      </c>
      <c r="CE110" s="62">
        <f t="shared" si="94"/>
        <v>402.09589424130615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projet'!$B$12,Paramètres!$A$1:$I$88,3,0)*0.475*44/12</f>
        <v>8.1776184872513671</v>
      </c>
      <c r="CL110" s="23">
        <f>EXP(-LN(2)/25)*CL109+(1-EXP(-LN(2)/25))/(LN(2)/25)*Calculateur!CG110*Calculateur!CI110*VLOOKUP('Données projet'!$B$12,Paramètres!$A$1:$I$88,3,0)*0.475*44/12</f>
        <v>0</v>
      </c>
      <c r="CM110" s="23">
        <f>EXP(-LN(2)/2)*CM109+(1-EXP(-LN(2)/2))/(LN(2)/2)*CG110*CJ110*VLOOKUP('Données projet'!$B$12,Paramètres!$A$1:$I$88,3,0)*0.475*44/12</f>
        <v>3.4993458048651942E-7</v>
      </c>
      <c r="CN110" s="24">
        <f t="shared" si="66"/>
        <v>8.177618837185948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544.19999999999982</v>
      </c>
      <c r="CU110" s="18">
        <f>CT110*VLOOKUP('Données projet'!$B$13,Paramètres!$A$1:$I$88,3,0)*VLOOKUP('Données projet'!$B$13,Paramètres!$A$1:$I$88,5,0)</f>
        <v>325.43159999999995</v>
      </c>
      <c r="CV110" s="14">
        <f t="shared" si="95"/>
        <v>76.482394221016762</v>
      </c>
      <c r="CW110" s="22">
        <f t="shared" si="67"/>
        <v>700.00020660160408</v>
      </c>
      <c r="CX110" s="62">
        <f t="shared" si="68"/>
        <v>979.24081349447772</v>
      </c>
      <c r="CY110" s="62">
        <f ca="1">AVERAGE(OFFSET($CX$3,0,0,'Données projet'!$E$13+1,1))-AVERAGE(OFFSET($H$3,0,0,'Données projet'!$E$13+1,1))</f>
        <v>401.1031790385295</v>
      </c>
      <c r="CZ110" s="62">
        <f t="shared" si="96"/>
        <v>402.09589424130615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projet'!$B$13,Paramètres!$A$1:$I$88,3,0)*0.475*44/12</f>
        <v>8.1776184872513671</v>
      </c>
      <c r="DG110" s="23">
        <f>EXP(-LN(2)/25)*DG109+(1-EXP(-LN(2)/25))/(LN(2)/25)*Calculateur!DB110*Calculateur!DD110*VLOOKUP('Données projet'!$B$13,Paramètres!$A$1:$I$88,3,0)*0.475*44/12</f>
        <v>0</v>
      </c>
      <c r="DH110" s="23">
        <f>EXP(-LN(2)/2)*DH109+(1-EXP(-LN(2)/2))/(LN(2)/2)*DB110*DE110*VLOOKUP('Données projet'!$B$13,Paramètres!$A$1:$I$88,3,0)*0.475*44/12</f>
        <v>3.4993458048651942E-7</v>
      </c>
      <c r="DI110" s="24">
        <f t="shared" si="69"/>
        <v>8.177618837185948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860.00000000000023</v>
      </c>
      <c r="DP110" s="18">
        <f>DO110*VLOOKUP('Données projet'!$B$14,Paramètres!$A$1:$I$88,3,0)*VLOOKUP('Données projet'!$B$14,Paramètres!$A$1:$I$88,5,0)</f>
        <v>346.5800000000001</v>
      </c>
      <c r="DQ110" s="14">
        <f t="shared" si="97"/>
        <v>80.857895771535127</v>
      </c>
      <c r="DR110" s="22">
        <f t="shared" si="70"/>
        <v>744.45433513542378</v>
      </c>
      <c r="DS110" s="62">
        <f t="shared" si="71"/>
        <v>1023.6949420282974</v>
      </c>
      <c r="DT110" s="62">
        <f ca="1">AVERAGE(OFFSET($DS$3,0,0,'Données projet'!$E$14+1,1))-AVERAGE(OFFSET($H$3,0,0,'Données projet'!$E$14+1,1))</f>
        <v>432.59662347701629</v>
      </c>
      <c r="DU110" s="62">
        <f t="shared" si="98"/>
        <v>348.67401091099748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projet'!$B$14,Paramètres!$A$1:$I$88,3,0)*0.475*44/12</f>
        <v>36.837408386429168</v>
      </c>
      <c r="EB110" s="23">
        <f>EXP(-LN(2)/25)*EB109+(1-EXP(-LN(2)/25))/(LN(2)/25)*Calculateur!DW110*Calculateur!DY110*VLOOKUP('Données projet'!$B$14,Paramètres!$A$1:$I$88,3,0)*0.475*44/12</f>
        <v>32.890329848894844</v>
      </c>
      <c r="EC110" s="23">
        <f>EXP(-LN(2)/2)*EC109+(1-EXP(-LN(2)/2))/(LN(2)/2)*DW110*DZ110*VLOOKUP('Données projet'!$B$14,Paramètres!$A$1:$I$88,3,0)*0.475*44/12</f>
        <v>0</v>
      </c>
      <c r="ED110" s="24">
        <f t="shared" si="72"/>
        <v>69.727738235324011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1099.9999999999998</v>
      </c>
      <c r="EK110" s="18">
        <f>EJ110*VLOOKUP('Données projet'!$B$15,Paramètres!$A$1:$I$88,3,0)*VLOOKUP('Données projet'!$B$15,Paramètres!$A$1:$I$88,5,0)</f>
        <v>486.19999999999993</v>
      </c>
      <c r="EL110" s="14">
        <f t="shared" si="99"/>
        <v>109.0490179035375</v>
      </c>
      <c r="EM110" s="22">
        <f t="shared" si="73"/>
        <v>1036.725372848661</v>
      </c>
      <c r="EN110" s="62">
        <f t="shared" si="74"/>
        <v>1315.9659797415347</v>
      </c>
      <c r="EO110" s="62">
        <f ca="1">AVERAGE(OFFSET($EN$3,0,0,'Données projet'!$E$15+1,1))-AVERAGE(OFFSET($H$3,0,0,'Données projet'!$E$15+1,1))</f>
        <v>582.26951914082088</v>
      </c>
      <c r="EP110" s="62">
        <f t="shared" si="100"/>
        <v>434.80429932654715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projet'!$B$15,Paramètres!$A$1:$I$88,3,0)*0.475*44/12</f>
        <v>37.118794793941213</v>
      </c>
      <c r="EW110" s="23">
        <f>EXP(-LN(2)/25)*EW109+(1-EXP(-LN(2)/25))/(LN(2)/25)*Calculateur!ER110*Calculateur!ET110*VLOOKUP('Données projet'!$B$15,Paramètres!$A$1:$I$88,3,0)*0.475*44/12</f>
        <v>29.554521505931682</v>
      </c>
      <c r="EX110" s="23">
        <f>EXP(-LN(2)/2)*EX109+(1-EXP(-LN(2)/2))/(LN(2)/2)*ER110*EU110*VLOOKUP('Données projet'!$B$15,Paramètres!$A$1:$I$88,3,0)*0.475*44/12</f>
        <v>0</v>
      </c>
      <c r="EY110" s="24">
        <f t="shared" si="75"/>
        <v>66.673316299872894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854.99999999999989</v>
      </c>
      <c r="FF110" s="18">
        <f>FE110*VLOOKUP('Données projet'!$B$16,Paramètres!$A$1:$I$88,3,0)*VLOOKUP('Données projet'!$B$16,Paramètres!$A$1:$I$88,5,0)</f>
        <v>400.13999999999993</v>
      </c>
      <c r="FG110" s="14">
        <f t="shared" si="101"/>
        <v>91.805047494648534</v>
      </c>
      <c r="FH110" s="22">
        <f t="shared" si="76"/>
        <v>856.80429105317944</v>
      </c>
      <c r="FI110" s="62">
        <f t="shared" si="77"/>
        <v>1136.044897946053</v>
      </c>
      <c r="FJ110" s="62">
        <f ca="1">AVERAGE(OFFSET($FI$3,0,0,'Données projet'!$E$16+1,1))-AVERAGE(OFFSET($H$3,0,0,'Données projet'!$E$16+1,1))</f>
        <v>429.87867712133851</v>
      </c>
      <c r="FK110" s="62">
        <f t="shared" si="102"/>
        <v>182.81277865988014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projet'!$B$16,Paramètres!$A$1:$I$88,3,0)*0.475*44/12</f>
        <v>44.26860467681508</v>
      </c>
      <c r="FR110" s="23">
        <f>EXP(-LN(2)/25)*FR109+(1-EXP(-LN(2)/25))/(LN(2)/25)*Calculateur!FM110*Calculateur!FO110*VLOOKUP('Données projet'!$B$16,Paramètres!$A$1:$I$88,3,0)*0.475*44/12</f>
        <v>37.465415816659466</v>
      </c>
      <c r="FS110" s="23">
        <f>EXP(-LN(2)/2)*FS109+(1-EXP(-LN(2)/2))/(LN(2)/2)*FM110*FP110*VLOOKUP('Données projet'!$B$16,Paramètres!$A$1:$I$88,3,0)*0.475*44/12</f>
        <v>0</v>
      </c>
      <c r="FT110" s="24">
        <f t="shared" si="78"/>
        <v>81.734020493474546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498.99999999999955</v>
      </c>
      <c r="GA110" s="18">
        <f>FZ110*VLOOKUP('Données projet'!$B$17,Paramètres!$A$1:$I$88,3,0)*VLOOKUP('Données projet'!$B$17,Paramètres!$A$1:$I$88,5,0)</f>
        <v>240.01899999999978</v>
      </c>
      <c r="GB110" s="14">
        <f t="shared" si="103"/>
        <v>58.443618405936313</v>
      </c>
      <c r="GC110" s="22">
        <f t="shared" si="79"/>
        <v>519.82239372367201</v>
      </c>
      <c r="GD110" s="62">
        <f t="shared" si="80"/>
        <v>799.06300061654565</v>
      </c>
      <c r="GE110" s="62">
        <f ca="1">AVERAGE(OFFSET($GD$3,0,0,'Données projet'!$E$17+1,1))-AVERAGE(OFFSET($H$3,0,0,'Données projet'!$E$17+1,1))</f>
        <v>273.24375559399846</v>
      </c>
      <c r="GF110" s="62">
        <f t="shared" si="104"/>
        <v>270.77718895097848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projet'!$B$17,Paramètres!$A$1:$I$88,3,0)*0.475*44/12</f>
        <v>18.95489059510205</v>
      </c>
      <c r="GM110" s="23">
        <f>EXP(-LN(2)/25)*GM109+(1-EXP(-LN(2)/25))/(LN(2)/25)*Calculateur!GH110*Calculateur!GJ110*VLOOKUP('Données projet'!$B$17,Paramètres!$A$1:$I$88,3,0)*0.475*44/12</f>
        <v>14.414725563098234</v>
      </c>
      <c r="GN110" s="23">
        <f>EXP(-LN(2)/2)*GN109+(1-EXP(-LN(2)/2))/(LN(2)/2)*GH110*GK110*VLOOKUP('Données projet'!$B$17,Paramètres!$A$1:$I$88,3,0)*0.475*44/12</f>
        <v>0</v>
      </c>
      <c r="GO110" s="23">
        <f t="shared" si="81"/>
        <v>33.369616158200287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550.99999999999966</v>
      </c>
      <c r="O111" s="14">
        <f>N111*VLOOKUP('Données projet'!$B$9,Paramètres!$A$1:$I$88,3,0)*VLOOKUP('Données projet'!$B$9,Paramètres!$A$1:$I$88,5,0)</f>
        <v>308.00899999999979</v>
      </c>
      <c r="P111" s="14">
        <f t="shared" si="87"/>
        <v>72.852874331417695</v>
      </c>
      <c r="Q111" s="22">
        <f t="shared" si="107"/>
        <v>663.33443112721886</v>
      </c>
      <c r="R111" s="62">
        <f t="shared" si="55"/>
        <v>942.81951531721825</v>
      </c>
      <c r="S111" s="62">
        <f ca="1">AVERAGE(OFFSET($R$3,0,0,'Données projet'!$E$9+1,1))-AVERAGE(OFFSET($H$3,0,0,'Données projet'!$E$9+1,1))</f>
        <v>289.94242154211224</v>
      </c>
      <c r="T111" s="62">
        <f t="shared" si="88"/>
        <v>369.12599166143661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28.513934477258669</v>
      </c>
      <c r="AA111" s="23">
        <f>EXP(-LN(2)/25)*AA110+(1-EXP(-LN(2)/25))/(LN(2)/25)*Calculateur!V111*Calculateur!X111*VLOOKUP('Données projet'!$B$9,Paramètres!$A$1:$I$88,3,0)*0.475*44/12</f>
        <v>17.657859317519556</v>
      </c>
      <c r="AB111" s="23">
        <f>EXP(-LN(2)/2)*AB110+(1-EXP(-LN(2)/2))/(LN(2)/2)*V111*Y111*VLOOKUP('Données projet'!$B$9,Paramètres!$A$1:$I$88,3,0)*0.475*44/12</f>
        <v>0</v>
      </c>
      <c r="AC111" s="24">
        <f t="shared" si="57"/>
        <v>46.171793794778225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6.8888888888888893</v>
      </c>
      <c r="AI111" s="14">
        <f>IF('Données projet'!$A$62&gt;35,AI110+AH111-AQ110,IF(A111&lt;'Données projet'!$A$62,$AF$205^A111,IF(A111='Données projet'!$A$62,'Données projet'!$B$62,AI110+AH111-AQ110)))</f>
        <v>312.2222222222224</v>
      </c>
      <c r="AJ111" s="14">
        <f>AI111*VLOOKUP('Données projet'!$B$10,Paramètres!$A$1:$I$88,3,0)*VLOOKUP('Données projet'!$B$10,Paramètres!$A$1:$I$88,5,0)</f>
        <v>282.49866666666685</v>
      </c>
      <c r="AK111" s="14">
        <f t="shared" si="89"/>
        <v>67.494775636471516</v>
      </c>
      <c r="AL111" s="22">
        <f t="shared" si="58"/>
        <v>609.57191201129922</v>
      </c>
      <c r="AM111" s="62">
        <f t="shared" si="59"/>
        <v>889.05699620129849</v>
      </c>
      <c r="AN111" s="62">
        <f ca="1">AVERAGE(OFFSET($AM$3,0,0,'Données projet'!$E$10+1,1))-AVERAGE(OFFSET($H$3,0,0,'Données projet'!$E$10+1,1))</f>
        <v>518.31628039365785</v>
      </c>
      <c r="AO111" s="62">
        <f t="shared" si="90"/>
        <v>66.435071953154761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21.798555729529554</v>
      </c>
      <c r="AV111" s="23">
        <f>EXP(-LN(2)/25)*AV110+(1-EXP(-LN(2)/25))/(LN(2)/25)*Calculateur!AQ111*Calculateur!AS111*VLOOKUP('Données projet'!$B$10,Paramètres!$A$1:$I$88,3,0)*0.475*44/12</f>
        <v>0</v>
      </c>
      <c r="AW111" s="23">
        <f>EXP(-LN(2)/2)*AW110+(1-EXP(-LN(2)/2))/(LN(2)/2)*AQ111*AT111*VLOOKUP('Données projet'!$B$10,Paramètres!$A$1:$I$88,3,0)*0.475*44/12</f>
        <v>0</v>
      </c>
      <c r="AX111" s="23">
        <f t="shared" si="60"/>
        <v>21.798555729529554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6.8888888888888893</v>
      </c>
      <c r="BD111" s="13">
        <f>IF('Données projet'!$A$88&gt;35,BD110+BC111-BL110,IF(A111&lt;'Données projet'!$A$88,$BA$205^A111,IF(A111='Données projet'!$A$88,'Données projet'!$B$88,BD110+BC111-BL110)))</f>
        <v>312.2222222222224</v>
      </c>
      <c r="BE111" s="14">
        <f>BD111*VLOOKUP('Données projet'!$B$11,Paramètres!$A$1:$I$88,3,0)*VLOOKUP('Données projet'!$B$11,Paramètres!$A$1:$I$88,5,0)</f>
        <v>316.59333333333353</v>
      </c>
      <c r="BF111" s="14">
        <f t="shared" si="91"/>
        <v>74.644089482881455</v>
      </c>
      <c r="BG111" s="22">
        <f t="shared" si="61"/>
        <v>681.40517807157437</v>
      </c>
      <c r="BH111" s="62">
        <f t="shared" si="62"/>
        <v>960.89026226157375</v>
      </c>
      <c r="BI111" s="62">
        <f ca="1">AVERAGE(OFFSET($BH$3,0,0,'Données projet'!$E$11+1,1))-AVERAGE(OFFSET($H$3,0,0,'Données projet'!$E$11+1,1))</f>
        <v>570.2785736203931</v>
      </c>
      <c r="BJ111" s="62">
        <f t="shared" si="92"/>
        <v>67.677759965081719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24.429415903783124</v>
      </c>
      <c r="BQ111" s="23">
        <f>EXP(-LN(2)/25)*BQ110+(1-EXP(-LN(2)/25))/(LN(2)/25)*Calculateur!BL111*Calculateur!BN111*VLOOKUP('Données projet'!$B$11,Paramètres!$A$1:$I$88,3,0)*0.475*44/12</f>
        <v>0</v>
      </c>
      <c r="BR111" s="23">
        <f>EXP(-LN(2)/2)*BR110+(1-EXP(-LN(2)/2))/(LN(2)/2)*BL111*BO111*VLOOKUP('Données projet'!$B$11,Paramètres!$A$1:$I$88,3,0)*0.475*44/12</f>
        <v>0</v>
      </c>
      <c r="BS111" s="24">
        <f t="shared" si="63"/>
        <v>24.429415903783124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544.19999999999982</v>
      </c>
      <c r="BZ111" s="14">
        <f>BY111*VLOOKUP('Données projet'!$B$12,Paramètres!$A$1:$I$88,3,0)*VLOOKUP('Données projet'!$B$12,Paramètres!$A$1:$I$88,5,0)</f>
        <v>325.43159999999995</v>
      </c>
      <c r="CA111" s="14">
        <f t="shared" si="93"/>
        <v>76.482394221016762</v>
      </c>
      <c r="CB111" s="22">
        <f t="shared" si="64"/>
        <v>700.00020660160408</v>
      </c>
      <c r="CC111" s="62">
        <f t="shared" si="65"/>
        <v>979.48529079160335</v>
      </c>
      <c r="CD111" s="62">
        <f ca="1">AVERAGE(OFFSET($CC$3,0,0,'Données projet'!$E$12+1,1))-AVERAGE(OFFSET($H$3,0,0,'Données projet'!$E$12+1,1))</f>
        <v>401.1031790385295</v>
      </c>
      <c r="CE111" s="62">
        <f t="shared" si="94"/>
        <v>402.09589424130615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projet'!$B$12,Paramètres!$A$1:$I$88,3,0)*0.475*44/12</f>
        <v>8.0172603765711354</v>
      </c>
      <c r="CL111" s="23">
        <f>EXP(-LN(2)/25)*CL110+(1-EXP(-LN(2)/25))/(LN(2)/25)*Calculateur!CG111*Calculateur!CI111*VLOOKUP('Données projet'!$B$12,Paramètres!$A$1:$I$88,3,0)*0.475*44/12</f>
        <v>0</v>
      </c>
      <c r="CM111" s="23">
        <f>EXP(-LN(2)/2)*CM110+(1-EXP(-LN(2)/2))/(LN(2)/2)*CG111*CJ111*VLOOKUP('Données projet'!$B$12,Paramètres!$A$1:$I$88,3,0)*0.475*44/12</f>
        <v>2.4744111483368759E-7</v>
      </c>
      <c r="CN111" s="24">
        <f t="shared" si="66"/>
        <v>8.0172606240122501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544.19999999999982</v>
      </c>
      <c r="CU111" s="18">
        <f>CT111*VLOOKUP('Données projet'!$B$13,Paramètres!$A$1:$I$88,3,0)*VLOOKUP('Données projet'!$B$13,Paramètres!$A$1:$I$88,5,0)</f>
        <v>325.43159999999995</v>
      </c>
      <c r="CV111" s="14">
        <f t="shared" si="95"/>
        <v>76.482394221016762</v>
      </c>
      <c r="CW111" s="22">
        <f t="shared" si="67"/>
        <v>700.00020660160408</v>
      </c>
      <c r="CX111" s="62">
        <f t="shared" si="68"/>
        <v>979.48529079160335</v>
      </c>
      <c r="CY111" s="62">
        <f ca="1">AVERAGE(OFFSET($CX$3,0,0,'Données projet'!$E$13+1,1))-AVERAGE(OFFSET($H$3,0,0,'Données projet'!$E$13+1,1))</f>
        <v>401.1031790385295</v>
      </c>
      <c r="CZ111" s="62">
        <f t="shared" si="96"/>
        <v>402.09589424130615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projet'!$B$13,Paramètres!$A$1:$I$88,3,0)*0.475*44/12</f>
        <v>8.0172603765711354</v>
      </c>
      <c r="DG111" s="23">
        <f>EXP(-LN(2)/25)*DG110+(1-EXP(-LN(2)/25))/(LN(2)/25)*Calculateur!DB111*Calculateur!DD111*VLOOKUP('Données projet'!$B$13,Paramètres!$A$1:$I$88,3,0)*0.475*44/12</f>
        <v>0</v>
      </c>
      <c r="DH111" s="23">
        <f>EXP(-LN(2)/2)*DH110+(1-EXP(-LN(2)/2))/(LN(2)/2)*DB111*DE111*VLOOKUP('Données projet'!$B$13,Paramètres!$A$1:$I$88,3,0)*0.475*44/12</f>
        <v>2.4744111483368759E-7</v>
      </c>
      <c r="DI111" s="24">
        <f t="shared" si="69"/>
        <v>8.0172606240122501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860.00000000000023</v>
      </c>
      <c r="DP111" s="18">
        <f>DO111*VLOOKUP('Données projet'!$B$14,Paramètres!$A$1:$I$88,3,0)*VLOOKUP('Données projet'!$B$14,Paramètres!$A$1:$I$88,5,0)</f>
        <v>346.5800000000001</v>
      </c>
      <c r="DQ111" s="14">
        <f t="shared" si="97"/>
        <v>80.857895771535127</v>
      </c>
      <c r="DR111" s="22">
        <f t="shared" si="70"/>
        <v>744.45433513542378</v>
      </c>
      <c r="DS111" s="62">
        <f t="shared" si="71"/>
        <v>1023.9394193254232</v>
      </c>
      <c r="DT111" s="62">
        <f ca="1">AVERAGE(OFFSET($DS$3,0,0,'Données projet'!$E$14+1,1))-AVERAGE(OFFSET($H$3,0,0,'Données projet'!$E$14+1,1))</f>
        <v>432.59662347701629</v>
      </c>
      <c r="DU111" s="62">
        <f t="shared" si="98"/>
        <v>348.67401091099748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projet'!$B$14,Paramètres!$A$1:$I$88,3,0)*0.475*44/12</f>
        <v>36.115049276571817</v>
      </c>
      <c r="EB111" s="23">
        <f>EXP(-LN(2)/25)*EB110+(1-EXP(-LN(2)/25))/(LN(2)/25)*Calculateur!DW111*Calculateur!DY111*VLOOKUP('Données projet'!$B$14,Paramètres!$A$1:$I$88,3,0)*0.475*44/12</f>
        <v>31.990942049549538</v>
      </c>
      <c r="EC111" s="23">
        <f>EXP(-LN(2)/2)*EC110+(1-EXP(-LN(2)/2))/(LN(2)/2)*DW111*DZ111*VLOOKUP('Données projet'!$B$14,Paramètres!$A$1:$I$88,3,0)*0.475*44/12</f>
        <v>0</v>
      </c>
      <c r="ED111" s="24">
        <f t="shared" si="72"/>
        <v>68.105991326121355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1099.9999999999998</v>
      </c>
      <c r="EK111" s="18">
        <f>EJ111*VLOOKUP('Données projet'!$B$15,Paramètres!$A$1:$I$88,3,0)*VLOOKUP('Données projet'!$B$15,Paramètres!$A$1:$I$88,5,0)</f>
        <v>486.19999999999993</v>
      </c>
      <c r="EL111" s="14">
        <f t="shared" si="99"/>
        <v>109.0490179035375</v>
      </c>
      <c r="EM111" s="22">
        <f t="shared" si="73"/>
        <v>1036.725372848661</v>
      </c>
      <c r="EN111" s="62">
        <f t="shared" si="74"/>
        <v>1316.2104570386603</v>
      </c>
      <c r="EO111" s="62">
        <f ca="1">AVERAGE(OFFSET($EN$3,0,0,'Données projet'!$E$15+1,1))-AVERAGE(OFFSET($H$3,0,0,'Données projet'!$E$15+1,1))</f>
        <v>582.26951914082088</v>
      </c>
      <c r="EP111" s="62">
        <f t="shared" si="100"/>
        <v>434.80429932654715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projet'!$B$15,Paramètres!$A$1:$I$88,3,0)*0.475*44/12</f>
        <v>36.390917868261312</v>
      </c>
      <c r="EW111" s="23">
        <f>EXP(-LN(2)/25)*EW110+(1-EXP(-LN(2)/25))/(LN(2)/25)*Calculateur!ER111*Calculateur!ET111*VLOOKUP('Données projet'!$B$15,Paramètres!$A$1:$I$88,3,0)*0.475*44/12</f>
        <v>28.746351561147243</v>
      </c>
      <c r="EX111" s="23">
        <f>EXP(-LN(2)/2)*EX110+(1-EXP(-LN(2)/2))/(LN(2)/2)*ER111*EU111*VLOOKUP('Données projet'!$B$15,Paramètres!$A$1:$I$88,3,0)*0.475*44/12</f>
        <v>0</v>
      </c>
      <c r="EY111" s="24">
        <f t="shared" si="75"/>
        <v>65.137269429408548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854.99999999999989</v>
      </c>
      <c r="FF111" s="18">
        <f>FE111*VLOOKUP('Données projet'!$B$16,Paramètres!$A$1:$I$88,3,0)*VLOOKUP('Données projet'!$B$16,Paramètres!$A$1:$I$88,5,0)</f>
        <v>400.13999999999993</v>
      </c>
      <c r="FG111" s="14">
        <f t="shared" si="101"/>
        <v>91.805047494648534</v>
      </c>
      <c r="FH111" s="22">
        <f t="shared" si="76"/>
        <v>856.80429105317944</v>
      </c>
      <c r="FI111" s="62">
        <f t="shared" si="77"/>
        <v>1136.2893752431787</v>
      </c>
      <c r="FJ111" s="62">
        <f ca="1">AVERAGE(OFFSET($FI$3,0,0,'Données projet'!$E$16+1,1))-AVERAGE(OFFSET($H$3,0,0,'Données projet'!$E$16+1,1))</f>
        <v>429.87867712133851</v>
      </c>
      <c r="FK111" s="62">
        <f t="shared" si="102"/>
        <v>182.81277865988014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projet'!$B$16,Paramètres!$A$1:$I$88,3,0)*0.475*44/12</f>
        <v>43.400524340285443</v>
      </c>
      <c r="FR111" s="23">
        <f>EXP(-LN(2)/25)*FR110+(1-EXP(-LN(2)/25))/(LN(2)/25)*Calculateur!FM111*Calculateur!FO111*VLOOKUP('Données projet'!$B$16,Paramètres!$A$1:$I$88,3,0)*0.475*44/12</f>
        <v>36.440922050932322</v>
      </c>
      <c r="FS111" s="23">
        <f>EXP(-LN(2)/2)*FS110+(1-EXP(-LN(2)/2))/(LN(2)/2)*FM111*FP111*VLOOKUP('Données projet'!$B$16,Paramètres!$A$1:$I$88,3,0)*0.475*44/12</f>
        <v>0</v>
      </c>
      <c r="FT111" s="24">
        <f t="shared" si="78"/>
        <v>79.841446391217772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498.99999999999955</v>
      </c>
      <c r="GA111" s="18">
        <f>FZ111*VLOOKUP('Données projet'!$B$17,Paramètres!$A$1:$I$88,3,0)*VLOOKUP('Données projet'!$B$17,Paramètres!$A$1:$I$88,5,0)</f>
        <v>240.01899999999978</v>
      </c>
      <c r="GB111" s="14">
        <f t="shared" si="103"/>
        <v>58.443618405936313</v>
      </c>
      <c r="GC111" s="22">
        <f t="shared" si="79"/>
        <v>519.82239372367201</v>
      </c>
      <c r="GD111" s="62">
        <f t="shared" si="80"/>
        <v>799.30747791367139</v>
      </c>
      <c r="GE111" s="62">
        <f ca="1">AVERAGE(OFFSET($GD$3,0,0,'Données projet'!$E$17+1,1))-AVERAGE(OFFSET($H$3,0,0,'Données projet'!$E$17+1,1))</f>
        <v>273.24375559399846</v>
      </c>
      <c r="GF111" s="62">
        <f t="shared" si="104"/>
        <v>270.77718895097848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projet'!$B$17,Paramètres!$A$1:$I$88,3,0)*0.475*44/12</f>
        <v>18.583196751873775</v>
      </c>
      <c r="GM111" s="23">
        <f>EXP(-LN(2)/25)*GM110+(1-EXP(-LN(2)/25))/(LN(2)/25)*Calculateur!GH111*Calculateur!GJ111*VLOOKUP('Données projet'!$B$17,Paramètres!$A$1:$I$88,3,0)*0.475*44/12</f>
        <v>14.020554134537841</v>
      </c>
      <c r="GN111" s="23">
        <f>EXP(-LN(2)/2)*GN110+(1-EXP(-LN(2)/2))/(LN(2)/2)*GH111*GK111*VLOOKUP('Données projet'!$B$17,Paramètres!$A$1:$I$88,3,0)*0.475*44/12</f>
        <v>0</v>
      </c>
      <c r="GO111" s="23">
        <f t="shared" si="81"/>
        <v>32.603750886411618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550.99999999999966</v>
      </c>
      <c r="O112" s="14">
        <f>N112*VLOOKUP('Données projet'!$B$9,Paramètres!$A$1:$I$88,3,0)*VLOOKUP('Données projet'!$B$9,Paramètres!$A$1:$I$88,5,0)</f>
        <v>308.00899999999979</v>
      </c>
      <c r="P112" s="14">
        <f t="shared" si="87"/>
        <v>72.852874331417695</v>
      </c>
      <c r="Q112" s="22">
        <f t="shared" si="107"/>
        <v>663.33443112721886</v>
      </c>
      <c r="R112" s="62">
        <f t="shared" si="55"/>
        <v>943.05975147980814</v>
      </c>
      <c r="S112" s="62">
        <f ca="1">AVERAGE(OFFSET($R$3,0,0,'Données projet'!$E$9+1,1))-AVERAGE(OFFSET($H$3,0,0,'Données projet'!$E$9+1,1))</f>
        <v>289.94242154211224</v>
      </c>
      <c r="T112" s="62">
        <f t="shared" si="88"/>
        <v>369.12599166143661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27.954793613942361</v>
      </c>
      <c r="AA112" s="23">
        <f>EXP(-LN(2)/25)*AA111+(1-EXP(-LN(2)/25))/(LN(2)/25)*Calculateur!V112*Calculateur!X112*VLOOKUP('Données projet'!$B$9,Paramètres!$A$1:$I$88,3,0)*0.475*44/12</f>
        <v>17.17500422589552</v>
      </c>
      <c r="AB112" s="23">
        <f>EXP(-LN(2)/2)*AB111+(1-EXP(-LN(2)/2))/(LN(2)/2)*V112*Y112*VLOOKUP('Données projet'!$B$9,Paramètres!$A$1:$I$88,3,0)*0.475*44/12</f>
        <v>0</v>
      </c>
      <c r="AC112" s="24">
        <f t="shared" si="57"/>
        <v>45.129797839837877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6.8888888888888893</v>
      </c>
      <c r="AI112" s="14">
        <f>IF('Données projet'!$A$62&gt;35,AI111+AH112-AQ111,IF(A112&lt;'Données projet'!$A$62,$AF$205^A112,IF(A112='Données projet'!$A$62,'Données projet'!$B$62,AI111+AH112-AQ111)))</f>
        <v>319.11111111111131</v>
      </c>
      <c r="AJ112" s="14">
        <f>AI112*VLOOKUP('Données projet'!$B$10,Paramètres!$A$1:$I$88,3,0)*VLOOKUP('Données projet'!$B$10,Paramètres!$A$1:$I$88,5,0)</f>
        <v>288.73173333333352</v>
      </c>
      <c r="AK112" s="14">
        <f t="shared" si="89"/>
        <v>68.808964306801215</v>
      </c>
      <c r="AL112" s="22">
        <f t="shared" si="58"/>
        <v>622.71671505656798</v>
      </c>
      <c r="AM112" s="62">
        <f t="shared" si="59"/>
        <v>902.44203540915726</v>
      </c>
      <c r="AN112" s="62">
        <f ca="1">AVERAGE(OFFSET($AM$3,0,0,'Données projet'!$E$10+1,1))-AVERAGE(OFFSET($H$3,0,0,'Données projet'!$E$10+1,1))</f>
        <v>518.31628039365785</v>
      </c>
      <c r="AO112" s="62">
        <f t="shared" si="90"/>
        <v>66.435071953154761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21.371099347479621</v>
      </c>
      <c r="AV112" s="23">
        <f>EXP(-LN(2)/25)*AV111+(1-EXP(-LN(2)/25))/(LN(2)/25)*Calculateur!AQ112*Calculateur!AS112*VLOOKUP('Données projet'!$B$10,Paramètres!$A$1:$I$88,3,0)*0.475*44/12</f>
        <v>0</v>
      </c>
      <c r="AW112" s="23">
        <f>EXP(-LN(2)/2)*AW111+(1-EXP(-LN(2)/2))/(LN(2)/2)*AQ112*AT112*VLOOKUP('Données projet'!$B$10,Paramètres!$A$1:$I$88,3,0)*0.475*44/12</f>
        <v>0</v>
      </c>
      <c r="AX112" s="23">
        <f t="shared" si="60"/>
        <v>21.371099347479621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6.8888888888888893</v>
      </c>
      <c r="BD112" s="13">
        <f>IF('Données projet'!$A$88&gt;35,BD111+BC112-BL111,IF(A112&lt;'Données projet'!$A$88,$BA$205^A112,IF(A112='Données projet'!$A$88,'Données projet'!$B$88,BD111+BC112-BL111)))</f>
        <v>319.11111111111131</v>
      </c>
      <c r="BE112" s="14">
        <f>BD112*VLOOKUP('Données projet'!$B$11,Paramètres!$A$1:$I$88,3,0)*VLOOKUP('Données projet'!$B$11,Paramètres!$A$1:$I$88,5,0)</f>
        <v>323.57866666666689</v>
      </c>
      <c r="BF112" s="14">
        <f t="shared" si="91"/>
        <v>76.097482220029434</v>
      </c>
      <c r="BG112" s="22">
        <f t="shared" si="61"/>
        <v>696.10262597766268</v>
      </c>
      <c r="BH112" s="62">
        <f t="shared" si="62"/>
        <v>975.82794633025196</v>
      </c>
      <c r="BI112" s="62">
        <f ca="1">AVERAGE(OFFSET($BH$3,0,0,'Données projet'!$E$11+1,1))-AVERAGE(OFFSET($H$3,0,0,'Données projet'!$E$11+1,1))</f>
        <v>570.2785736203931</v>
      </c>
      <c r="BJ112" s="62">
        <f t="shared" si="92"/>
        <v>67.677759965081719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23.950369958382339</v>
      </c>
      <c r="BQ112" s="23">
        <f>EXP(-LN(2)/25)*BQ111+(1-EXP(-LN(2)/25))/(LN(2)/25)*Calculateur!BL112*Calculateur!BN112*VLOOKUP('Données projet'!$B$11,Paramètres!$A$1:$I$88,3,0)*0.475*44/12</f>
        <v>0</v>
      </c>
      <c r="BR112" s="23">
        <f>EXP(-LN(2)/2)*BR111+(1-EXP(-LN(2)/2))/(LN(2)/2)*BL112*BO112*VLOOKUP('Données projet'!$B$11,Paramètres!$A$1:$I$88,3,0)*0.475*44/12</f>
        <v>0</v>
      </c>
      <c r="BS112" s="24">
        <f t="shared" si="63"/>
        <v>23.950369958382339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544.19999999999982</v>
      </c>
      <c r="BZ112" s="14">
        <f>BY112*VLOOKUP('Données projet'!$B$12,Paramètres!$A$1:$I$88,3,0)*VLOOKUP('Données projet'!$B$12,Paramètres!$A$1:$I$88,5,0)</f>
        <v>325.43159999999995</v>
      </c>
      <c r="CA112" s="14">
        <f t="shared" si="93"/>
        <v>76.482394221016762</v>
      </c>
      <c r="CB112" s="22">
        <f t="shared" si="64"/>
        <v>700.00020660160408</v>
      </c>
      <c r="CC112" s="62">
        <f t="shared" si="65"/>
        <v>979.72552695419336</v>
      </c>
      <c r="CD112" s="62">
        <f ca="1">AVERAGE(OFFSET($CC$3,0,0,'Données projet'!$E$12+1,1))-AVERAGE(OFFSET($H$3,0,0,'Données projet'!$E$12+1,1))</f>
        <v>401.1031790385295</v>
      </c>
      <c r="CE112" s="62">
        <f t="shared" si="94"/>
        <v>402.09589424130615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projet'!$B$12,Paramètres!$A$1:$I$88,3,0)*0.475*44/12</f>
        <v>7.8600467906325528</v>
      </c>
      <c r="CL112" s="23">
        <f>EXP(-LN(2)/25)*CL111+(1-EXP(-LN(2)/25))/(LN(2)/25)*Calculateur!CG112*Calculateur!CI112*VLOOKUP('Données projet'!$B$12,Paramètres!$A$1:$I$88,3,0)*0.475*44/12</f>
        <v>0</v>
      </c>
      <c r="CM112" s="23">
        <f>EXP(-LN(2)/2)*CM111+(1-EXP(-LN(2)/2))/(LN(2)/2)*CG112*CJ112*VLOOKUP('Données projet'!$B$12,Paramètres!$A$1:$I$88,3,0)*0.475*44/12</f>
        <v>1.7496729024325971E-7</v>
      </c>
      <c r="CN112" s="24">
        <f t="shared" si="66"/>
        <v>7.8600469655998433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544.19999999999982</v>
      </c>
      <c r="CU112" s="18">
        <f>CT112*VLOOKUP('Données projet'!$B$13,Paramètres!$A$1:$I$88,3,0)*VLOOKUP('Données projet'!$B$13,Paramètres!$A$1:$I$88,5,0)</f>
        <v>325.43159999999995</v>
      </c>
      <c r="CV112" s="14">
        <f t="shared" si="95"/>
        <v>76.482394221016762</v>
      </c>
      <c r="CW112" s="22">
        <f t="shared" si="67"/>
        <v>700.00020660160408</v>
      </c>
      <c r="CX112" s="62">
        <f t="shared" si="68"/>
        <v>979.72552695419336</v>
      </c>
      <c r="CY112" s="62">
        <f ca="1">AVERAGE(OFFSET($CX$3,0,0,'Données projet'!$E$13+1,1))-AVERAGE(OFFSET($H$3,0,0,'Données projet'!$E$13+1,1))</f>
        <v>401.1031790385295</v>
      </c>
      <c r="CZ112" s="62">
        <f t="shared" si="96"/>
        <v>402.09589424130615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projet'!$B$13,Paramètres!$A$1:$I$88,3,0)*0.475*44/12</f>
        <v>7.8600467906325528</v>
      </c>
      <c r="DG112" s="23">
        <f>EXP(-LN(2)/25)*DG111+(1-EXP(-LN(2)/25))/(LN(2)/25)*Calculateur!DB112*Calculateur!DD112*VLOOKUP('Données projet'!$B$13,Paramètres!$A$1:$I$88,3,0)*0.475*44/12</f>
        <v>0</v>
      </c>
      <c r="DH112" s="23">
        <f>EXP(-LN(2)/2)*DH111+(1-EXP(-LN(2)/2))/(LN(2)/2)*DB112*DE112*VLOOKUP('Données projet'!$B$13,Paramètres!$A$1:$I$88,3,0)*0.475*44/12</f>
        <v>1.7496729024325971E-7</v>
      </c>
      <c r="DI112" s="24">
        <f t="shared" si="69"/>
        <v>7.8600469655998433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860.00000000000023</v>
      </c>
      <c r="DP112" s="18">
        <f>DO112*VLOOKUP('Données projet'!$B$14,Paramètres!$A$1:$I$88,3,0)*VLOOKUP('Données projet'!$B$14,Paramètres!$A$1:$I$88,5,0)</f>
        <v>346.5800000000001</v>
      </c>
      <c r="DQ112" s="14">
        <f t="shared" si="97"/>
        <v>80.857895771535127</v>
      </c>
      <c r="DR112" s="22">
        <f t="shared" si="70"/>
        <v>744.45433513542378</v>
      </c>
      <c r="DS112" s="62">
        <f t="shared" si="71"/>
        <v>1024.1796554880129</v>
      </c>
      <c r="DT112" s="62">
        <f ca="1">AVERAGE(OFFSET($DS$3,0,0,'Données projet'!$E$14+1,1))-AVERAGE(OFFSET($H$3,0,0,'Données projet'!$E$14+1,1))</f>
        <v>432.59662347701629</v>
      </c>
      <c r="DU112" s="62">
        <f t="shared" si="98"/>
        <v>348.67401091099748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projet'!$B$14,Paramètres!$A$1:$I$88,3,0)*0.475*44/12</f>
        <v>35.406855188263215</v>
      </c>
      <c r="EB112" s="23">
        <f>EXP(-LN(2)/25)*EB111+(1-EXP(-LN(2)/25))/(LN(2)/25)*Calculateur!DW112*Calculateur!DY112*VLOOKUP('Données projet'!$B$14,Paramètres!$A$1:$I$88,3,0)*0.475*44/12</f>
        <v>31.116148056874081</v>
      </c>
      <c r="EC112" s="23">
        <f>EXP(-LN(2)/2)*EC111+(1-EXP(-LN(2)/2))/(LN(2)/2)*DW112*DZ112*VLOOKUP('Données projet'!$B$14,Paramètres!$A$1:$I$88,3,0)*0.475*44/12</f>
        <v>0</v>
      </c>
      <c r="ED112" s="24">
        <f t="shared" si="72"/>
        <v>66.523003245137289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1099.9999999999998</v>
      </c>
      <c r="EK112" s="18">
        <f>EJ112*VLOOKUP('Données projet'!$B$15,Paramètres!$A$1:$I$88,3,0)*VLOOKUP('Données projet'!$B$15,Paramètres!$A$1:$I$88,5,0)</f>
        <v>486.19999999999993</v>
      </c>
      <c r="EL112" s="14">
        <f t="shared" si="99"/>
        <v>109.0490179035375</v>
      </c>
      <c r="EM112" s="22">
        <f t="shared" si="73"/>
        <v>1036.725372848661</v>
      </c>
      <c r="EN112" s="62">
        <f t="shared" si="74"/>
        <v>1316.4506932012503</v>
      </c>
      <c r="EO112" s="62">
        <f ca="1">AVERAGE(OFFSET($EN$3,0,0,'Données projet'!$E$15+1,1))-AVERAGE(OFFSET($H$3,0,0,'Données projet'!$E$15+1,1))</f>
        <v>582.26951914082088</v>
      </c>
      <c r="EP112" s="62">
        <f t="shared" si="100"/>
        <v>434.80429932654715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projet'!$B$15,Paramètres!$A$1:$I$88,3,0)*0.475*44/12</f>
        <v>35.677314165132906</v>
      </c>
      <c r="EW112" s="23">
        <f>EXP(-LN(2)/25)*EW111+(1-EXP(-LN(2)/25))/(LN(2)/25)*Calculateur!ER112*Calculateur!ET112*VLOOKUP('Données projet'!$B$15,Paramètres!$A$1:$I$88,3,0)*0.475*44/12</f>
        <v>27.960281066002743</v>
      </c>
      <c r="EX112" s="23">
        <f>EXP(-LN(2)/2)*EX111+(1-EXP(-LN(2)/2))/(LN(2)/2)*ER112*EU112*VLOOKUP('Données projet'!$B$15,Paramètres!$A$1:$I$88,3,0)*0.475*44/12</f>
        <v>0</v>
      </c>
      <c r="EY112" s="24">
        <f t="shared" si="75"/>
        <v>63.637595231135649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854.99999999999989</v>
      </c>
      <c r="FF112" s="18">
        <f>FE112*VLOOKUP('Données projet'!$B$16,Paramètres!$A$1:$I$88,3,0)*VLOOKUP('Données projet'!$B$16,Paramètres!$A$1:$I$88,5,0)</f>
        <v>400.13999999999993</v>
      </c>
      <c r="FG112" s="14">
        <f t="shared" si="101"/>
        <v>91.805047494648534</v>
      </c>
      <c r="FH112" s="22">
        <f t="shared" si="76"/>
        <v>856.80429105317944</v>
      </c>
      <c r="FI112" s="62">
        <f t="shared" si="77"/>
        <v>1136.5296114057687</v>
      </c>
      <c r="FJ112" s="62">
        <f ca="1">AVERAGE(OFFSET($FI$3,0,0,'Données projet'!$E$16+1,1))-AVERAGE(OFFSET($H$3,0,0,'Données projet'!$E$16+1,1))</f>
        <v>429.87867712133851</v>
      </c>
      <c r="FK112" s="62">
        <f t="shared" si="102"/>
        <v>182.81277865988014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projet'!$B$16,Paramètres!$A$1:$I$88,3,0)*0.475*44/12</f>
        <v>42.549466529678426</v>
      </c>
      <c r="FR112" s="23">
        <f>EXP(-LN(2)/25)*FR111+(1-EXP(-LN(2)/25))/(LN(2)/25)*Calculateur!FM112*Calculateur!FO112*VLOOKUP('Données projet'!$B$16,Paramètres!$A$1:$I$88,3,0)*0.475*44/12</f>
        <v>35.444443121104776</v>
      </c>
      <c r="FS112" s="23">
        <f>EXP(-LN(2)/2)*FS111+(1-EXP(-LN(2)/2))/(LN(2)/2)*FM112*FP112*VLOOKUP('Données projet'!$B$16,Paramètres!$A$1:$I$88,3,0)*0.475*44/12</f>
        <v>0</v>
      </c>
      <c r="FT112" s="24">
        <f t="shared" si="78"/>
        <v>77.993909650783195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498.99999999999955</v>
      </c>
      <c r="GA112" s="18">
        <f>FZ112*VLOOKUP('Données projet'!$B$17,Paramètres!$A$1:$I$88,3,0)*VLOOKUP('Données projet'!$B$17,Paramètres!$A$1:$I$88,5,0)</f>
        <v>240.01899999999978</v>
      </c>
      <c r="GB112" s="14">
        <f t="shared" si="103"/>
        <v>58.443618405936313</v>
      </c>
      <c r="GC112" s="22">
        <f t="shared" si="79"/>
        <v>519.82239372367201</v>
      </c>
      <c r="GD112" s="62">
        <f t="shared" si="80"/>
        <v>799.54771407626129</v>
      </c>
      <c r="GE112" s="62">
        <f ca="1">AVERAGE(OFFSET($GD$3,0,0,'Données projet'!$E$17+1,1))-AVERAGE(OFFSET($H$3,0,0,'Données projet'!$E$17+1,1))</f>
        <v>273.24375559399846</v>
      </c>
      <c r="GF112" s="62">
        <f t="shared" si="104"/>
        <v>270.77718895097848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projet'!$B$17,Paramètres!$A$1:$I$88,3,0)*0.475*44/12</f>
        <v>18.218791598200347</v>
      </c>
      <c r="GM112" s="23">
        <f>EXP(-LN(2)/25)*GM111+(1-EXP(-LN(2)/25))/(LN(2)/25)*Calculateur!GH112*Calculateur!GJ112*VLOOKUP('Données projet'!$B$17,Paramètres!$A$1:$I$88,3,0)*0.475*44/12</f>
        <v>13.637161344420006</v>
      </c>
      <c r="GN112" s="23">
        <f>EXP(-LN(2)/2)*GN111+(1-EXP(-LN(2)/2))/(LN(2)/2)*GH112*GK112*VLOOKUP('Données projet'!$B$17,Paramètres!$A$1:$I$88,3,0)*0.475*44/12</f>
        <v>0</v>
      </c>
      <c r="GO112" s="23">
        <f t="shared" si="81"/>
        <v>31.855952942620355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550.99999999999966</v>
      </c>
      <c r="O113" s="14">
        <f>N113*VLOOKUP('Données projet'!$B$9,Paramètres!$A$1:$I$88,3,0)*VLOOKUP('Données projet'!$B$9,Paramètres!$A$1:$I$88,5,0)</f>
        <v>308.00899999999979</v>
      </c>
      <c r="P113" s="14">
        <f t="shared" si="87"/>
        <v>72.852874331417695</v>
      </c>
      <c r="Q113" s="22">
        <f t="shared" si="107"/>
        <v>663.33443112721886</v>
      </c>
      <c r="R113" s="62">
        <f t="shared" si="55"/>
        <v>943.29582008206467</v>
      </c>
      <c r="S113" s="62">
        <f ca="1">AVERAGE(OFFSET($R$3,0,0,'Données projet'!$E$9+1,1))-AVERAGE(OFFSET($H$3,0,0,'Données projet'!$E$9+1,1))</f>
        <v>289.94242154211224</v>
      </c>
      <c r="T113" s="62">
        <f t="shared" si="88"/>
        <v>369.12599166143661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27.406617161913434</v>
      </c>
      <c r="AA113" s="23">
        <f>EXP(-LN(2)/25)*AA112+(1-EXP(-LN(2)/25))/(LN(2)/25)*Calculateur!V113*Calculateur!X113*VLOOKUP('Données projet'!$B$9,Paramètres!$A$1:$I$88,3,0)*0.475*44/12</f>
        <v>16.70535283214419</v>
      </c>
      <c r="AB113" s="23">
        <f>EXP(-LN(2)/2)*AB112+(1-EXP(-LN(2)/2))/(LN(2)/2)*V113*Y113*VLOOKUP('Données projet'!$B$9,Paramètres!$A$1:$I$88,3,0)*0.475*44/12</f>
        <v>0</v>
      </c>
      <c r="AC113" s="24">
        <f t="shared" si="57"/>
        <v>44.111969994057624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326</v>
      </c>
      <c r="AG113" s="13">
        <f>VLOOKUP(A113,'Données projet'!$A$61:$I$81,9,0)</f>
        <v>6.8888888888888893</v>
      </c>
      <c r="AH113" s="13">
        <f t="array" ref="AH113">INDEX(AG:AG,MIN(IF(ISNUMBER(AG113:AG309),ROW(AG113:AG309),"")))</f>
        <v>6.8888888888888893</v>
      </c>
      <c r="AI113" s="14">
        <f>IF('Données projet'!$A$62&gt;35,AI112+AH113-AQ112,IF(A113&lt;'Données projet'!$A$62,$AF$205^A113,IF(A113='Données projet'!$A$62,'Données projet'!$B$62,AI112+AH113-AQ112)))</f>
        <v>326.00000000000023</v>
      </c>
      <c r="AJ113" s="14">
        <f>AI113*VLOOKUP('Données projet'!$B$10,Paramètres!$A$1:$I$88,3,0)*VLOOKUP('Données projet'!$B$10,Paramètres!$A$1:$I$88,5,0)</f>
        <v>294.9648000000002</v>
      </c>
      <c r="AK113" s="14">
        <f t="shared" si="89"/>
        <v>70.119854541045058</v>
      </c>
      <c r="AL113" s="22">
        <f t="shared" si="58"/>
        <v>635.85577332565379</v>
      </c>
      <c r="AM113" s="62">
        <f t="shared" si="59"/>
        <v>915.81716228049959</v>
      </c>
      <c r="AN113" s="62">
        <f ca="1">AVERAGE(OFFSET($AM$3,0,0,'Données projet'!$E$10+1,1))-AVERAGE(OFFSET($H$3,0,0,'Données projet'!$E$10+1,1))</f>
        <v>518.31628039365785</v>
      </c>
      <c r="AO113" s="62">
        <f t="shared" si="90"/>
        <v>66.435071953154761</v>
      </c>
      <c r="AP113" s="16">
        <f>IF(ISNA(VLOOKUP(A113,'Données projet'!$A$61:$I$81,3,0)),0,VLOOKUP(A113,'Données projet'!$A$61:$I$81,3,0))</f>
        <v>13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projet'!$B$10,Paramètres!$A$1:$I$88,7,0))</f>
        <v>0.23650000000000002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30.177642834437975</v>
      </c>
      <c r="AV113" s="23">
        <f>EXP(-LN(2)/25)*AV112+(1-EXP(-LN(2)/25))/(LN(2)/25)*Calculateur!AQ113*Calculateur!AS113*VLOOKUP('Données projet'!$B$10,Paramètres!$A$1:$I$88,3,0)*0.475*44/12</f>
        <v>0</v>
      </c>
      <c r="AW113" s="23">
        <f>EXP(-LN(2)/2)*AW112+(1-EXP(-LN(2)/2))/(LN(2)/2)*AQ113*AT113*VLOOKUP('Données projet'!$B$10,Paramètres!$A$1:$I$88,3,0)*0.475*44/12</f>
        <v>0</v>
      </c>
      <c r="AX113" s="23">
        <f t="shared" si="60"/>
        <v>30.177642834437975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326</v>
      </c>
      <c r="BB113" s="13">
        <f>VLOOKUP(A113,'Données projet'!$A$87:$I$107,9,0)</f>
        <v>6.8888888888888893</v>
      </c>
      <c r="BC113" s="13">
        <f t="array" ref="BC113">INDEX(BB:BB,MIN(IF(ISNUMBER(BB113:BB309),ROW(BB113:BB309),"")))</f>
        <v>6.8888888888888893</v>
      </c>
      <c r="BD113" s="13">
        <f>IF('Données projet'!$A$88&gt;35,BD112+BC113-BL112,IF(A113&lt;'Données projet'!$A$88,$BA$205^A113,IF(A113='Données projet'!$A$88,'Données projet'!$B$88,BD112+BC113-BL112)))</f>
        <v>326.00000000000023</v>
      </c>
      <c r="BE113" s="14">
        <f>BD113*VLOOKUP('Données projet'!$B$11,Paramètres!$A$1:$I$88,3,0)*VLOOKUP('Données projet'!$B$11,Paramètres!$A$1:$I$88,5,0)</f>
        <v>330.56400000000025</v>
      </c>
      <c r="BF113" s="14">
        <f t="shared" si="91"/>
        <v>77.547227137682924</v>
      </c>
      <c r="BG113" s="22">
        <f t="shared" si="61"/>
        <v>710.79372059813147</v>
      </c>
      <c r="BH113" s="62">
        <f t="shared" si="62"/>
        <v>990.75510955297727</v>
      </c>
      <c r="BI113" s="62">
        <f ca="1">AVERAGE(OFFSET($BH$3,0,0,'Données projet'!$E$11+1,1))-AVERAGE(OFFSET($H$3,0,0,'Données projet'!$E$11+1,1))</f>
        <v>570.2785736203931</v>
      </c>
      <c r="BJ113" s="62">
        <f t="shared" si="92"/>
        <v>67.677759965081719</v>
      </c>
      <c r="BK113" s="16">
        <f>IF(ISNA(VLOOKUP(A113,'Données projet'!$A$87:$I$107,3,0)),0,VLOOKUP(A113,'Données projet'!$A$87:$I$107,3,0))</f>
        <v>13</v>
      </c>
      <c r="BL113" s="16">
        <f>IF(ISNA(VLOOKUP(A113,'Données projet'!$A$87:$I$107,4,0)),0,VLOOKUP(A113,'Données projet'!$A$87:$I$107,4,0))</f>
        <v>39</v>
      </c>
      <c r="BM113" s="17">
        <f>IF(ISNA(VLOOKUP(A113,'Données projet'!$A$87:$I$107,5,0)),0%,VLOOKUP(A113,'Données projet'!$A$87:$I$107,5,0)*VLOOKUP('Données projet'!$B$11,Paramètres!$A$1:$I$88,7,0))</f>
        <v>0.23650000000000002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33.819772142042567</v>
      </c>
      <c r="BQ113" s="23">
        <f>EXP(-LN(2)/25)*BQ112+(1-EXP(-LN(2)/25))/(LN(2)/25)*Calculateur!BL113*Calculateur!BN113*VLOOKUP('Données projet'!$B$11,Paramètres!$A$1:$I$88,3,0)*0.475*44/12</f>
        <v>0</v>
      </c>
      <c r="BR113" s="23">
        <f>EXP(-LN(2)/2)*BR112+(1-EXP(-LN(2)/2))/(LN(2)/2)*BL113*BO113*VLOOKUP('Données projet'!$B$11,Paramètres!$A$1:$I$88,3,0)*0.475*44/12</f>
        <v>0</v>
      </c>
      <c r="BS113" s="24">
        <f t="shared" si="63"/>
        <v>33.819772142042567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544.19999999999982</v>
      </c>
      <c r="BZ113" s="14">
        <f>BY113*VLOOKUP('Données projet'!$B$12,Paramètres!$A$1:$I$88,3,0)*VLOOKUP('Données projet'!$B$12,Paramètres!$A$1:$I$88,5,0)</f>
        <v>325.43159999999995</v>
      </c>
      <c r="CA113" s="14">
        <f t="shared" si="93"/>
        <v>76.482394221016762</v>
      </c>
      <c r="CB113" s="22">
        <f t="shared" si="64"/>
        <v>700.00020660160408</v>
      </c>
      <c r="CC113" s="62">
        <f t="shared" si="65"/>
        <v>979.96159555644999</v>
      </c>
      <c r="CD113" s="62">
        <f ca="1">AVERAGE(OFFSET($CC$3,0,0,'Données projet'!$E$12+1,1))-AVERAGE(OFFSET($H$3,0,0,'Données projet'!$E$12+1,1))</f>
        <v>401.1031790385295</v>
      </c>
      <c r="CE113" s="62">
        <f t="shared" si="94"/>
        <v>402.09589424130615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projet'!$B$12,Paramètres!$A$1:$I$88,3,0)*0.475*44/12</f>
        <v>7.7059160672234075</v>
      </c>
      <c r="CL113" s="23">
        <f>EXP(-LN(2)/25)*CL112+(1-EXP(-LN(2)/25))/(LN(2)/25)*Calculateur!CG113*Calculateur!CI113*VLOOKUP('Données projet'!$B$12,Paramètres!$A$1:$I$88,3,0)*0.475*44/12</f>
        <v>0</v>
      </c>
      <c r="CM113" s="23">
        <f>EXP(-LN(2)/2)*CM112+(1-EXP(-LN(2)/2))/(LN(2)/2)*CG113*CJ113*VLOOKUP('Données projet'!$B$12,Paramètres!$A$1:$I$88,3,0)*0.475*44/12</f>
        <v>1.2372055741684379E-7</v>
      </c>
      <c r="CN113" s="24">
        <f t="shared" si="66"/>
        <v>7.7059161909439648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544.19999999999982</v>
      </c>
      <c r="CU113" s="18">
        <f>CT113*VLOOKUP('Données projet'!$B$13,Paramètres!$A$1:$I$88,3,0)*VLOOKUP('Données projet'!$B$13,Paramètres!$A$1:$I$88,5,0)</f>
        <v>325.43159999999995</v>
      </c>
      <c r="CV113" s="14">
        <f t="shared" si="95"/>
        <v>76.482394221016762</v>
      </c>
      <c r="CW113" s="22">
        <f t="shared" si="67"/>
        <v>700.00020660160408</v>
      </c>
      <c r="CX113" s="62">
        <f t="shared" si="68"/>
        <v>979.96159555644999</v>
      </c>
      <c r="CY113" s="62">
        <f ca="1">AVERAGE(OFFSET($CX$3,0,0,'Données projet'!$E$13+1,1))-AVERAGE(OFFSET($H$3,0,0,'Données projet'!$E$13+1,1))</f>
        <v>401.1031790385295</v>
      </c>
      <c r="CZ113" s="62">
        <f t="shared" si="96"/>
        <v>402.09589424130615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projet'!$B$13,Paramètres!$A$1:$I$88,3,0)*0.475*44/12</f>
        <v>7.7059160672234075</v>
      </c>
      <c r="DG113" s="23">
        <f>EXP(-LN(2)/25)*DG112+(1-EXP(-LN(2)/25))/(LN(2)/25)*Calculateur!DB113*Calculateur!DD113*VLOOKUP('Données projet'!$B$13,Paramètres!$A$1:$I$88,3,0)*0.475*44/12</f>
        <v>0</v>
      </c>
      <c r="DH113" s="23">
        <f>EXP(-LN(2)/2)*DH112+(1-EXP(-LN(2)/2))/(LN(2)/2)*DB113*DE113*VLOOKUP('Données projet'!$B$13,Paramètres!$A$1:$I$88,3,0)*0.475*44/12</f>
        <v>1.2372055741684379E-7</v>
      </c>
      <c r="DI113" s="24">
        <f t="shared" si="69"/>
        <v>7.7059161909439648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860.00000000000023</v>
      </c>
      <c r="DP113" s="18">
        <f>DO113*VLOOKUP('Données projet'!$B$14,Paramètres!$A$1:$I$88,3,0)*VLOOKUP('Données projet'!$B$14,Paramètres!$A$1:$I$88,5,0)</f>
        <v>346.5800000000001</v>
      </c>
      <c r="DQ113" s="14">
        <f t="shared" si="97"/>
        <v>80.857895771535127</v>
      </c>
      <c r="DR113" s="22">
        <f t="shared" si="70"/>
        <v>744.45433513542378</v>
      </c>
      <c r="DS113" s="62">
        <f t="shared" si="71"/>
        <v>1024.4157240902696</v>
      </c>
      <c r="DT113" s="62">
        <f ca="1">AVERAGE(OFFSET($DS$3,0,0,'Données projet'!$E$14+1,1))-AVERAGE(OFFSET($H$3,0,0,'Données projet'!$E$14+1,1))</f>
        <v>432.59662347701629</v>
      </c>
      <c r="DU113" s="62">
        <f t="shared" si="98"/>
        <v>348.67401091099748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projet'!$B$14,Paramètres!$A$1:$I$88,3,0)*0.475*44/12</f>
        <v>34.712548354070606</v>
      </c>
      <c r="EB113" s="23">
        <f>EXP(-LN(2)/25)*EB112+(1-EXP(-LN(2)/25))/(LN(2)/25)*Calculateur!DW113*Calculateur!DY113*VLOOKUP('Données projet'!$B$14,Paramètres!$A$1:$I$88,3,0)*0.475*44/12</f>
        <v>30.265275351931749</v>
      </c>
      <c r="EC113" s="23">
        <f>EXP(-LN(2)/2)*EC112+(1-EXP(-LN(2)/2))/(LN(2)/2)*DW113*DZ113*VLOOKUP('Données projet'!$B$14,Paramètres!$A$1:$I$88,3,0)*0.475*44/12</f>
        <v>0</v>
      </c>
      <c r="ED113" s="24">
        <f t="shared" si="72"/>
        <v>64.977823706002354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1099.9999999999998</v>
      </c>
      <c r="EK113" s="18">
        <f>EJ113*VLOOKUP('Données projet'!$B$15,Paramètres!$A$1:$I$88,3,0)*VLOOKUP('Données projet'!$B$15,Paramètres!$A$1:$I$88,5,0)</f>
        <v>486.19999999999993</v>
      </c>
      <c r="EL113" s="14">
        <f t="shared" si="99"/>
        <v>109.0490179035375</v>
      </c>
      <c r="EM113" s="22">
        <f t="shared" si="73"/>
        <v>1036.725372848661</v>
      </c>
      <c r="EN113" s="62">
        <f t="shared" si="74"/>
        <v>1316.6867618035069</v>
      </c>
      <c r="EO113" s="62">
        <f ca="1">AVERAGE(OFFSET($EN$3,0,0,'Données projet'!$E$15+1,1))-AVERAGE(OFFSET($H$3,0,0,'Données projet'!$E$15+1,1))</f>
        <v>582.26951914082088</v>
      </c>
      <c r="EP113" s="62">
        <f t="shared" si="100"/>
        <v>434.80429932654715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projet'!$B$15,Paramètres!$A$1:$I$88,3,0)*0.475*44/12</f>
        <v>34.977703795367567</v>
      </c>
      <c r="EW113" s="23">
        <f>EXP(-LN(2)/25)*EW112+(1-EXP(-LN(2)/25))/(LN(2)/25)*Calculateur!ER113*Calculateur!ET113*VLOOKUP('Données projet'!$B$15,Paramètres!$A$1:$I$88,3,0)*0.475*44/12</f>
        <v>27.195705709885623</v>
      </c>
      <c r="EX113" s="23">
        <f>EXP(-LN(2)/2)*EX112+(1-EXP(-LN(2)/2))/(LN(2)/2)*ER113*EU113*VLOOKUP('Données projet'!$B$15,Paramètres!$A$1:$I$88,3,0)*0.475*44/12</f>
        <v>0</v>
      </c>
      <c r="EY113" s="24">
        <f t="shared" si="75"/>
        <v>62.17340950525319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854.99999999999989</v>
      </c>
      <c r="FF113" s="18">
        <f>FE113*VLOOKUP('Données projet'!$B$16,Paramètres!$A$1:$I$88,3,0)*VLOOKUP('Données projet'!$B$16,Paramètres!$A$1:$I$88,5,0)</f>
        <v>400.13999999999993</v>
      </c>
      <c r="FG113" s="14">
        <f t="shared" si="101"/>
        <v>91.805047494648534</v>
      </c>
      <c r="FH113" s="22">
        <f t="shared" si="76"/>
        <v>856.80429105317944</v>
      </c>
      <c r="FI113" s="62">
        <f t="shared" si="77"/>
        <v>1136.7656800080254</v>
      </c>
      <c r="FJ113" s="62">
        <f ca="1">AVERAGE(OFFSET($FI$3,0,0,'Données projet'!$E$16+1,1))-AVERAGE(OFFSET($H$3,0,0,'Données projet'!$E$16+1,1))</f>
        <v>429.87867712133851</v>
      </c>
      <c r="FK113" s="62">
        <f t="shared" si="102"/>
        <v>182.81277865988014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projet'!$B$16,Paramètres!$A$1:$I$88,3,0)*0.475*44/12</f>
        <v>41.715097443643408</v>
      </c>
      <c r="FR113" s="23">
        <f>EXP(-LN(2)/25)*FR112+(1-EXP(-LN(2)/25))/(LN(2)/25)*Calculateur!FM113*Calculateur!FO113*VLOOKUP('Données projet'!$B$16,Paramètres!$A$1:$I$88,3,0)*0.475*44/12</f>
        <v>34.475212960015909</v>
      </c>
      <c r="FS113" s="23">
        <f>EXP(-LN(2)/2)*FS112+(1-EXP(-LN(2)/2))/(LN(2)/2)*FM113*FP113*VLOOKUP('Données projet'!$B$16,Paramètres!$A$1:$I$88,3,0)*0.475*44/12</f>
        <v>0</v>
      </c>
      <c r="FT113" s="24">
        <f t="shared" si="78"/>
        <v>76.190310403659311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498.99999999999955</v>
      </c>
      <c r="GA113" s="18">
        <f>FZ113*VLOOKUP('Données projet'!$B$17,Paramètres!$A$1:$I$88,3,0)*VLOOKUP('Données projet'!$B$17,Paramètres!$A$1:$I$88,5,0)</f>
        <v>240.01899999999978</v>
      </c>
      <c r="GB113" s="14">
        <f t="shared" si="103"/>
        <v>58.443618405936313</v>
      </c>
      <c r="GC113" s="22">
        <f t="shared" si="79"/>
        <v>519.82239372367201</v>
      </c>
      <c r="GD113" s="62">
        <f t="shared" si="80"/>
        <v>799.78378267851781</v>
      </c>
      <c r="GE113" s="62">
        <f ca="1">AVERAGE(OFFSET($GD$3,0,0,'Données projet'!$E$17+1,1))-AVERAGE(OFFSET($H$3,0,0,'Données projet'!$E$17+1,1))</f>
        <v>273.24375559399846</v>
      </c>
      <c r="GF113" s="62">
        <f t="shared" si="104"/>
        <v>270.77718895097848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projet'!$B$17,Paramètres!$A$1:$I$88,3,0)*0.475*44/12</f>
        <v>17.861532207325258</v>
      </c>
      <c r="GM113" s="23">
        <f>EXP(-LN(2)/25)*GM112+(1-EXP(-LN(2)/25))/(LN(2)/25)*Calculateur!GH113*Calculateur!GJ113*VLOOKUP('Données projet'!$B$17,Paramètres!$A$1:$I$88,3,0)*0.475*44/12</f>
        <v>13.264252450309694</v>
      </c>
      <c r="GN113" s="23">
        <f>EXP(-LN(2)/2)*GN112+(1-EXP(-LN(2)/2))/(LN(2)/2)*GH113*GK113*VLOOKUP('Données projet'!$B$17,Paramètres!$A$1:$I$88,3,0)*0.475*44/12</f>
        <v>0</v>
      </c>
      <c r="GO113" s="23">
        <f t="shared" si="81"/>
        <v>31.125784657634952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550.99999999999966</v>
      </c>
      <c r="O114" s="14">
        <f>N114*VLOOKUP('Données projet'!$B$9,Paramètres!$A$1:$I$88,3,0)*VLOOKUP('Données projet'!$B$9,Paramètres!$A$1:$I$88,5,0)</f>
        <v>308.00899999999979</v>
      </c>
      <c r="P114" s="14">
        <f t="shared" si="87"/>
        <v>72.852874331417695</v>
      </c>
      <c r="Q114" s="22">
        <f t="shared" si="107"/>
        <v>663.33443112721886</v>
      </c>
      <c r="R114" s="62">
        <f t="shared" si="55"/>
        <v>943.52779342184249</v>
      </c>
      <c r="S114" s="62">
        <f ca="1">AVERAGE(OFFSET($R$3,0,0,'Données projet'!$E$9+1,1))-AVERAGE(OFFSET($H$3,0,0,'Données projet'!$E$9+1,1))</f>
        <v>289.94242154211224</v>
      </c>
      <c r="T114" s="62">
        <f t="shared" si="88"/>
        <v>369.12599166143661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26.869190115754176</v>
      </c>
      <c r="AA114" s="23">
        <f>EXP(-LN(2)/25)*AA113+(1-EXP(-LN(2)/25))/(LN(2)/25)*Calculateur!V114*Calculateur!X114*VLOOKUP('Données projet'!$B$9,Paramètres!$A$1:$I$88,3,0)*0.475*44/12</f>
        <v>16.248544080452881</v>
      </c>
      <c r="AB114" s="23">
        <f>EXP(-LN(2)/2)*AB113+(1-EXP(-LN(2)/2))/(LN(2)/2)*V114*Y114*VLOOKUP('Données projet'!$B$9,Paramètres!$A$1:$I$88,3,0)*0.475*44/12</f>
        <v>0</v>
      </c>
      <c r="AC114" s="24">
        <f t="shared" si="57"/>
        <v>43.117734196207053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4.8</v>
      </c>
      <c r="AI114" s="14">
        <f>IF('Données projet'!$A$62&gt;35,AI113+AH114-AQ113,IF(A114&lt;'Données projet'!$A$62,$AF$205^A114,IF(A114='Données projet'!$A$62,'Données projet'!$B$62,AI113+AH114-AQ113)))</f>
        <v>291.80000000000024</v>
      </c>
      <c r="AJ114" s="14">
        <f>AI114*VLOOKUP('Données projet'!$B$10,Paramètres!$A$1:$I$88,3,0)*VLOOKUP('Données projet'!$B$10,Paramètres!$A$1:$I$88,5,0)</f>
        <v>264.02064000000018</v>
      </c>
      <c r="AK114" s="14">
        <f t="shared" si="89"/>
        <v>63.578648990959231</v>
      </c>
      <c r="AL114" s="22">
        <f t="shared" si="58"/>
        <v>570.56876165925428</v>
      </c>
      <c r="AM114" s="62">
        <f t="shared" si="59"/>
        <v>850.76212395387779</v>
      </c>
      <c r="AN114" s="62">
        <f ca="1">AVERAGE(OFFSET($AM$3,0,0,'Données projet'!$E$10+1,1))-AVERAGE(OFFSET($H$3,0,0,'Données projet'!$E$10+1,1))</f>
        <v>518.31628039365785</v>
      </c>
      <c r="AO114" s="62">
        <f t="shared" si="90"/>
        <v>66.435071953154761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29.585877664999281</v>
      </c>
      <c r="AV114" s="23">
        <f>EXP(-LN(2)/25)*AV113+(1-EXP(-LN(2)/25))/(LN(2)/25)*Calculateur!AQ114*Calculateur!AS114*VLOOKUP('Données projet'!$B$10,Paramètres!$A$1:$I$88,3,0)*0.475*44/12</f>
        <v>0</v>
      </c>
      <c r="AW114" s="23">
        <f>EXP(-LN(2)/2)*AW113+(1-EXP(-LN(2)/2))/(LN(2)/2)*AQ114*AT114*VLOOKUP('Données projet'!$B$10,Paramètres!$A$1:$I$88,3,0)*0.475*44/12</f>
        <v>0</v>
      </c>
      <c r="AX114" s="23">
        <f t="shared" si="60"/>
        <v>29.585877664999281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4.8</v>
      </c>
      <c r="BD114" s="13">
        <f>IF('Données projet'!$A$88&gt;35,BD113+BC114-BL113,IF(A114&lt;'Données projet'!$A$88,$BA$205^A114,IF(A114='Données projet'!$A$88,'Données projet'!$B$88,BD113+BC114-BL113)))</f>
        <v>291.80000000000024</v>
      </c>
      <c r="BE114" s="14">
        <f>BD114*VLOOKUP('Données projet'!$B$11,Paramètres!$A$1:$I$88,3,0)*VLOOKUP('Données projet'!$B$11,Paramètres!$A$1:$I$88,5,0)</f>
        <v>295.88520000000028</v>
      </c>
      <c r="BF114" s="14">
        <f t="shared" si="91"/>
        <v>70.313151199178805</v>
      </c>
      <c r="BG114" s="22">
        <f t="shared" si="61"/>
        <v>637.79546167190358</v>
      </c>
      <c r="BH114" s="62">
        <f t="shared" si="62"/>
        <v>917.98882396652721</v>
      </c>
      <c r="BI114" s="62">
        <f ca="1">AVERAGE(OFFSET($BH$3,0,0,'Données projet'!$E$11+1,1))-AVERAGE(OFFSET($H$3,0,0,'Données projet'!$E$11+1,1))</f>
        <v>570.2785736203931</v>
      </c>
      <c r="BJ114" s="62">
        <f t="shared" si="92"/>
        <v>67.677759965081719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33.156587038361273</v>
      </c>
      <c r="BQ114" s="23">
        <f>EXP(-LN(2)/25)*BQ113+(1-EXP(-LN(2)/25))/(LN(2)/25)*Calculateur!BL114*Calculateur!BN114*VLOOKUP('Données projet'!$B$11,Paramètres!$A$1:$I$88,3,0)*0.475*44/12</f>
        <v>0</v>
      </c>
      <c r="BR114" s="23">
        <f>EXP(-LN(2)/2)*BR113+(1-EXP(-LN(2)/2))/(LN(2)/2)*BL114*BO114*VLOOKUP('Données projet'!$B$11,Paramètres!$A$1:$I$88,3,0)*0.475*44/12</f>
        <v>0</v>
      </c>
      <c r="BS114" s="24">
        <f t="shared" si="63"/>
        <v>33.156587038361273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544.19999999999982</v>
      </c>
      <c r="BZ114" s="14">
        <f>BY114*VLOOKUP('Données projet'!$B$12,Paramètres!$A$1:$I$88,3,0)*VLOOKUP('Données projet'!$B$12,Paramètres!$A$1:$I$88,5,0)</f>
        <v>325.43159999999995</v>
      </c>
      <c r="CA114" s="14">
        <f t="shared" si="93"/>
        <v>76.482394221016762</v>
      </c>
      <c r="CB114" s="22">
        <f t="shared" si="64"/>
        <v>700.00020660160408</v>
      </c>
      <c r="CC114" s="62">
        <f t="shared" si="65"/>
        <v>980.19356889622759</v>
      </c>
      <c r="CD114" s="62">
        <f ca="1">AVERAGE(OFFSET($CC$3,0,0,'Données projet'!$E$12+1,1))-AVERAGE(OFFSET($H$3,0,0,'Données projet'!$E$12+1,1))</f>
        <v>401.1031790385295</v>
      </c>
      <c r="CE114" s="62">
        <f t="shared" si="94"/>
        <v>402.09589424130615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projet'!$B$12,Paramètres!$A$1:$I$88,3,0)*0.475*44/12</f>
        <v>7.5548077532898565</v>
      </c>
      <c r="CL114" s="23">
        <f>EXP(-LN(2)/25)*CL113+(1-EXP(-LN(2)/25))/(LN(2)/25)*Calculateur!CG114*Calculateur!CI114*VLOOKUP('Données projet'!$B$12,Paramètres!$A$1:$I$88,3,0)*0.475*44/12</f>
        <v>0</v>
      </c>
      <c r="CM114" s="23">
        <f>EXP(-LN(2)/2)*CM113+(1-EXP(-LN(2)/2))/(LN(2)/2)*CG114*CJ114*VLOOKUP('Données projet'!$B$12,Paramètres!$A$1:$I$88,3,0)*0.475*44/12</f>
        <v>8.7483645121629855E-8</v>
      </c>
      <c r="CN114" s="24">
        <f t="shared" si="66"/>
        <v>7.5548078407735018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544.19999999999982</v>
      </c>
      <c r="CU114" s="18">
        <f>CT114*VLOOKUP('Données projet'!$B$13,Paramètres!$A$1:$I$88,3,0)*VLOOKUP('Données projet'!$B$13,Paramètres!$A$1:$I$88,5,0)</f>
        <v>325.43159999999995</v>
      </c>
      <c r="CV114" s="14">
        <f t="shared" si="95"/>
        <v>76.482394221016762</v>
      </c>
      <c r="CW114" s="22">
        <f t="shared" si="67"/>
        <v>700.00020660160408</v>
      </c>
      <c r="CX114" s="62">
        <f t="shared" si="68"/>
        <v>980.19356889622759</v>
      </c>
      <c r="CY114" s="62">
        <f ca="1">AVERAGE(OFFSET($CX$3,0,0,'Données projet'!$E$13+1,1))-AVERAGE(OFFSET($H$3,0,0,'Données projet'!$E$13+1,1))</f>
        <v>401.1031790385295</v>
      </c>
      <c r="CZ114" s="62">
        <f t="shared" si="96"/>
        <v>402.09589424130615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projet'!$B$13,Paramètres!$A$1:$I$88,3,0)*0.475*44/12</f>
        <v>7.5548077532898565</v>
      </c>
      <c r="DG114" s="23">
        <f>EXP(-LN(2)/25)*DG113+(1-EXP(-LN(2)/25))/(LN(2)/25)*Calculateur!DB114*Calculateur!DD114*VLOOKUP('Données projet'!$B$13,Paramètres!$A$1:$I$88,3,0)*0.475*44/12</f>
        <v>0</v>
      </c>
      <c r="DH114" s="23">
        <f>EXP(-LN(2)/2)*DH113+(1-EXP(-LN(2)/2))/(LN(2)/2)*DB114*DE114*VLOOKUP('Données projet'!$B$13,Paramètres!$A$1:$I$88,3,0)*0.475*44/12</f>
        <v>8.7483645121629855E-8</v>
      </c>
      <c r="DI114" s="24">
        <f t="shared" si="69"/>
        <v>7.5548078407735018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860.00000000000023</v>
      </c>
      <c r="DP114" s="18">
        <f>DO114*VLOOKUP('Données projet'!$B$14,Paramètres!$A$1:$I$88,3,0)*VLOOKUP('Données projet'!$B$14,Paramètres!$A$1:$I$88,5,0)</f>
        <v>346.5800000000001</v>
      </c>
      <c r="DQ114" s="14">
        <f t="shared" si="97"/>
        <v>80.857895771535127</v>
      </c>
      <c r="DR114" s="22">
        <f t="shared" si="70"/>
        <v>744.45433513542378</v>
      </c>
      <c r="DS114" s="62">
        <f t="shared" si="71"/>
        <v>1024.6476974300474</v>
      </c>
      <c r="DT114" s="62">
        <f ca="1">AVERAGE(OFFSET($DS$3,0,0,'Données projet'!$E$14+1,1))-AVERAGE(OFFSET($H$3,0,0,'Données projet'!$E$14+1,1))</f>
        <v>432.59662347701629</v>
      </c>
      <c r="DU114" s="62">
        <f t="shared" si="98"/>
        <v>348.67401091099748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projet'!$B$14,Paramètres!$A$1:$I$88,3,0)*0.475*44/12</f>
        <v>34.031856453411159</v>
      </c>
      <c r="EB114" s="23">
        <f>EXP(-LN(2)/25)*EB113+(1-EXP(-LN(2)/25))/(LN(2)/25)*Calculateur!DW114*Calculateur!DY114*VLOOKUP('Données projet'!$B$14,Paramètres!$A$1:$I$88,3,0)*0.475*44/12</f>
        <v>29.437669805851517</v>
      </c>
      <c r="EC114" s="23">
        <f>EXP(-LN(2)/2)*EC113+(1-EXP(-LN(2)/2))/(LN(2)/2)*DW114*DZ114*VLOOKUP('Données projet'!$B$14,Paramètres!$A$1:$I$88,3,0)*0.475*44/12</f>
        <v>0</v>
      </c>
      <c r="ED114" s="24">
        <f t="shared" si="72"/>
        <v>63.469526259262679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1099.9999999999998</v>
      </c>
      <c r="EK114" s="18">
        <f>EJ114*VLOOKUP('Données projet'!$B$15,Paramètres!$A$1:$I$88,3,0)*VLOOKUP('Données projet'!$B$15,Paramètres!$A$1:$I$88,5,0)</f>
        <v>486.19999999999993</v>
      </c>
      <c r="EL114" s="14">
        <f t="shared" si="99"/>
        <v>109.0490179035375</v>
      </c>
      <c r="EM114" s="22">
        <f t="shared" si="73"/>
        <v>1036.725372848661</v>
      </c>
      <c r="EN114" s="62">
        <f t="shared" si="74"/>
        <v>1316.9187351432845</v>
      </c>
      <c r="EO114" s="62">
        <f ca="1">AVERAGE(OFFSET($EN$3,0,0,'Données projet'!$E$15+1,1))-AVERAGE(OFFSET($H$3,0,0,'Données projet'!$E$15+1,1))</f>
        <v>582.26951914082088</v>
      </c>
      <c r="EP114" s="62">
        <f t="shared" si="100"/>
        <v>434.80429932654715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projet'!$B$15,Paramètres!$A$1:$I$88,3,0)*0.475*44/12</f>
        <v>34.291812358233138</v>
      </c>
      <c r="EW114" s="23">
        <f>EXP(-LN(2)/25)*EW113+(1-EXP(-LN(2)/25))/(LN(2)/25)*Calculateur!ER114*Calculateur!ET114*VLOOKUP('Données projet'!$B$15,Paramètres!$A$1:$I$88,3,0)*0.475*44/12</f>
        <v>26.452037707088792</v>
      </c>
      <c r="EX114" s="23">
        <f>EXP(-LN(2)/2)*EX113+(1-EXP(-LN(2)/2))/(LN(2)/2)*ER114*EU114*VLOOKUP('Données projet'!$B$15,Paramètres!$A$1:$I$88,3,0)*0.475*44/12</f>
        <v>0</v>
      </c>
      <c r="EY114" s="24">
        <f t="shared" si="75"/>
        <v>60.743850065321929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854.99999999999989</v>
      </c>
      <c r="FF114" s="18">
        <f>FE114*VLOOKUP('Données projet'!$B$16,Paramètres!$A$1:$I$88,3,0)*VLOOKUP('Données projet'!$B$16,Paramètres!$A$1:$I$88,5,0)</f>
        <v>400.13999999999993</v>
      </c>
      <c r="FG114" s="14">
        <f t="shared" si="101"/>
        <v>91.805047494648534</v>
      </c>
      <c r="FH114" s="22">
        <f t="shared" si="76"/>
        <v>856.80429105317944</v>
      </c>
      <c r="FI114" s="62">
        <f t="shared" si="77"/>
        <v>1136.997653347803</v>
      </c>
      <c r="FJ114" s="62">
        <f ca="1">AVERAGE(OFFSET($FI$3,0,0,'Données projet'!$E$16+1,1))-AVERAGE(OFFSET($H$3,0,0,'Données projet'!$E$16+1,1))</f>
        <v>429.87867712133851</v>
      </c>
      <c r="FK114" s="62">
        <f t="shared" si="102"/>
        <v>182.81277865988014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projet'!$B$16,Paramètres!$A$1:$I$88,3,0)*0.475*44/12</f>
        <v>40.897089826470648</v>
      </c>
      <c r="FR114" s="23">
        <f>EXP(-LN(2)/25)*FR113+(1-EXP(-LN(2)/25))/(LN(2)/25)*Calculateur!FM114*Calculateur!FO114*VLOOKUP('Données projet'!$B$16,Paramètres!$A$1:$I$88,3,0)*0.475*44/12</f>
        <v>33.532486448651618</v>
      </c>
      <c r="FS114" s="23">
        <f>EXP(-LN(2)/2)*FS113+(1-EXP(-LN(2)/2))/(LN(2)/2)*FM114*FP114*VLOOKUP('Données projet'!$B$16,Paramètres!$A$1:$I$88,3,0)*0.475*44/12</f>
        <v>0</v>
      </c>
      <c r="FT114" s="24">
        <f t="shared" si="78"/>
        <v>74.429576275122258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498.99999999999955</v>
      </c>
      <c r="GA114" s="18">
        <f>FZ114*VLOOKUP('Données projet'!$B$17,Paramètres!$A$1:$I$88,3,0)*VLOOKUP('Données projet'!$B$17,Paramètres!$A$1:$I$88,5,0)</f>
        <v>240.01899999999978</v>
      </c>
      <c r="GB114" s="14">
        <f t="shared" si="103"/>
        <v>58.443618405936313</v>
      </c>
      <c r="GC114" s="22">
        <f t="shared" si="79"/>
        <v>519.82239372367201</v>
      </c>
      <c r="GD114" s="62">
        <f t="shared" si="80"/>
        <v>800.01575601829563</v>
      </c>
      <c r="GE114" s="62">
        <f ca="1">AVERAGE(OFFSET($GD$3,0,0,'Données projet'!$E$17+1,1))-AVERAGE(OFFSET($H$3,0,0,'Données projet'!$E$17+1,1))</f>
        <v>273.24375559399846</v>
      </c>
      <c r="GF114" s="62">
        <f t="shared" si="104"/>
        <v>270.77718895097848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projet'!$B$17,Paramètres!$A$1:$I$88,3,0)*0.475*44/12</f>
        <v>17.511278455198518</v>
      </c>
      <c r="GM114" s="23">
        <f>EXP(-LN(2)/25)*GM113+(1-EXP(-LN(2)/25))/(LN(2)/25)*Calculateur!GH114*Calculateur!GJ114*VLOOKUP('Données projet'!$B$17,Paramètres!$A$1:$I$88,3,0)*0.475*44/12</f>
        <v>12.901540769519256</v>
      </c>
      <c r="GN114" s="23">
        <f>EXP(-LN(2)/2)*GN113+(1-EXP(-LN(2)/2))/(LN(2)/2)*GH114*GK114*VLOOKUP('Données projet'!$B$17,Paramètres!$A$1:$I$88,3,0)*0.475*44/12</f>
        <v>0</v>
      </c>
      <c r="GO114" s="23">
        <f t="shared" si="81"/>
        <v>30.412819224717772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550.99999999999966</v>
      </c>
      <c r="O115" s="14">
        <f>N115*VLOOKUP('Données projet'!$B$9,Paramètres!$A$1:$I$88,3,0)*VLOOKUP('Données projet'!$B$9,Paramètres!$A$1:$I$88,5,0)</f>
        <v>308.00899999999979</v>
      </c>
      <c r="P115" s="14">
        <f t="shared" si="87"/>
        <v>72.852874331417695</v>
      </c>
      <c r="Q115" s="22">
        <f t="shared" si="107"/>
        <v>663.33443112721886</v>
      </c>
      <c r="R115" s="62">
        <f t="shared" si="55"/>
        <v>943.75574254278968</v>
      </c>
      <c r="S115" s="62">
        <f ca="1">AVERAGE(OFFSET($R$3,0,0,'Données projet'!$E$9+1,1))-AVERAGE(OFFSET($H$3,0,0,'Données projet'!$E$9+1,1))</f>
        <v>289.94242154211224</v>
      </c>
      <c r="T115" s="62">
        <f t="shared" si="88"/>
        <v>369.12599166143661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26.342301686171968</v>
      </c>
      <c r="AA115" s="23">
        <f>EXP(-LN(2)/25)*AA114+(1-EXP(-LN(2)/25))/(LN(2)/25)*Calculateur!V115*Calculateur!X115*VLOOKUP('Données projet'!$B$9,Paramètres!$A$1:$I$88,3,0)*0.475*44/12</f>
        <v>15.804226788099101</v>
      </c>
      <c r="AB115" s="23">
        <f>EXP(-LN(2)/2)*AB114+(1-EXP(-LN(2)/2))/(LN(2)/2)*V115*Y115*VLOOKUP('Données projet'!$B$9,Paramètres!$A$1:$I$88,3,0)*0.475*44/12</f>
        <v>0</v>
      </c>
      <c r="AC115" s="24">
        <f t="shared" si="57"/>
        <v>42.146528474271065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4.8</v>
      </c>
      <c r="AI115" s="14">
        <f>IF('Données projet'!$A$62&gt;35,AI114+AH115-AQ114,IF(A115&lt;'Données projet'!$A$62,$AF$205^A115,IF(A115='Données projet'!$A$62,'Données projet'!$B$62,AI114+AH115-AQ114)))</f>
        <v>296.60000000000025</v>
      </c>
      <c r="AJ115" s="14">
        <f>AI115*VLOOKUP('Données projet'!$B$10,Paramètres!$A$1:$I$88,3,0)*VLOOKUP('Données projet'!$B$10,Paramètres!$A$1:$I$88,5,0)</f>
        <v>268.36368000000022</v>
      </c>
      <c r="AK115" s="14">
        <f t="shared" si="89"/>
        <v>64.50187812098828</v>
      </c>
      <c r="AL115" s="22">
        <f t="shared" si="58"/>
        <v>579.74084706072165</v>
      </c>
      <c r="AM115" s="62">
        <f t="shared" si="59"/>
        <v>860.16215847629246</v>
      </c>
      <c r="AN115" s="62">
        <f ca="1">AVERAGE(OFFSET($AM$3,0,0,'Données projet'!$E$10+1,1))-AVERAGE(OFFSET($H$3,0,0,'Données projet'!$E$10+1,1))</f>
        <v>518.31628039365785</v>
      </c>
      <c r="AO115" s="62">
        <f t="shared" si="90"/>
        <v>66.435071953154761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29.005716649592166</v>
      </c>
      <c r="AV115" s="23">
        <f>EXP(-LN(2)/25)*AV114+(1-EXP(-LN(2)/25))/(LN(2)/25)*Calculateur!AQ115*Calculateur!AS115*VLOOKUP('Données projet'!$B$10,Paramètres!$A$1:$I$88,3,0)*0.475*44/12</f>
        <v>0</v>
      </c>
      <c r="AW115" s="23">
        <f>EXP(-LN(2)/2)*AW114+(1-EXP(-LN(2)/2))/(LN(2)/2)*AQ115*AT115*VLOOKUP('Données projet'!$B$10,Paramètres!$A$1:$I$88,3,0)*0.475*44/12</f>
        <v>0</v>
      </c>
      <c r="AX115" s="23">
        <f t="shared" si="60"/>
        <v>29.005716649592166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4.8</v>
      </c>
      <c r="BD115" s="13">
        <f>IF('Données projet'!$A$88&gt;35,BD114+BC115-BL114,IF(A115&lt;'Données projet'!$A$88,$BA$205^A115,IF(A115='Données projet'!$A$88,'Données projet'!$B$88,BD114+BC115-BL114)))</f>
        <v>296.60000000000025</v>
      </c>
      <c r="BE115" s="14">
        <f>BD115*VLOOKUP('Données projet'!$B$11,Paramètres!$A$1:$I$88,3,0)*VLOOKUP('Données projet'!$B$11,Paramètres!$A$1:$I$88,5,0)</f>
        <v>300.75240000000025</v>
      </c>
      <c r="BF115" s="14">
        <f t="shared" si="91"/>
        <v>71.334172413713432</v>
      </c>
      <c r="BG115" s="22">
        <f t="shared" si="61"/>
        <v>648.05078028721789</v>
      </c>
      <c r="BH115" s="62">
        <f t="shared" si="62"/>
        <v>928.4720917027887</v>
      </c>
      <c r="BI115" s="62">
        <f ca="1">AVERAGE(OFFSET($BH$3,0,0,'Données projet'!$E$11+1,1))-AVERAGE(OFFSET($H$3,0,0,'Données projet'!$E$11+1,1))</f>
        <v>570.2785736203931</v>
      </c>
      <c r="BJ115" s="62">
        <f t="shared" si="92"/>
        <v>67.677759965081719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32.506406590060195</v>
      </c>
      <c r="BQ115" s="23">
        <f>EXP(-LN(2)/25)*BQ114+(1-EXP(-LN(2)/25))/(LN(2)/25)*Calculateur!BL115*Calculateur!BN115*VLOOKUP('Données projet'!$B$11,Paramètres!$A$1:$I$88,3,0)*0.475*44/12</f>
        <v>0</v>
      </c>
      <c r="BR115" s="23">
        <f>EXP(-LN(2)/2)*BR114+(1-EXP(-LN(2)/2))/(LN(2)/2)*BL115*BO115*VLOOKUP('Données projet'!$B$11,Paramètres!$A$1:$I$88,3,0)*0.475*44/12</f>
        <v>0</v>
      </c>
      <c r="BS115" s="24">
        <f t="shared" si="63"/>
        <v>32.506406590060195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544.19999999999982</v>
      </c>
      <c r="BZ115" s="14">
        <f>BY115*VLOOKUP('Données projet'!$B$12,Paramètres!$A$1:$I$88,3,0)*VLOOKUP('Données projet'!$B$12,Paramètres!$A$1:$I$88,5,0)</f>
        <v>325.43159999999995</v>
      </c>
      <c r="CA115" s="14">
        <f t="shared" si="93"/>
        <v>76.482394221016762</v>
      </c>
      <c r="CB115" s="22">
        <f t="shared" si="64"/>
        <v>700.00020660160408</v>
      </c>
      <c r="CC115" s="62">
        <f t="shared" si="65"/>
        <v>980.421518017175</v>
      </c>
      <c r="CD115" s="62">
        <f ca="1">AVERAGE(OFFSET($CC$3,0,0,'Données projet'!$E$12+1,1))-AVERAGE(OFFSET($H$3,0,0,'Données projet'!$E$12+1,1))</f>
        <v>401.1031790385295</v>
      </c>
      <c r="CE115" s="62">
        <f t="shared" si="94"/>
        <v>402.09589424130615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projet'!$B$12,Paramètres!$A$1:$I$88,3,0)*0.475*44/12</f>
        <v>7.4066625812255715</v>
      </c>
      <c r="CL115" s="23">
        <f>EXP(-LN(2)/25)*CL114+(1-EXP(-LN(2)/25))/(LN(2)/25)*Calculateur!CG115*Calculateur!CI115*VLOOKUP('Données projet'!$B$12,Paramètres!$A$1:$I$88,3,0)*0.475*44/12</f>
        <v>0</v>
      </c>
      <c r="CM115" s="23">
        <f>EXP(-LN(2)/2)*CM114+(1-EXP(-LN(2)/2))/(LN(2)/2)*CG115*CJ115*VLOOKUP('Données projet'!$B$12,Paramètres!$A$1:$I$88,3,0)*0.475*44/12</f>
        <v>6.1860278708421897E-8</v>
      </c>
      <c r="CN115" s="24">
        <f t="shared" si="66"/>
        <v>7.4066626430858502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544.19999999999982</v>
      </c>
      <c r="CU115" s="18">
        <f>CT115*VLOOKUP('Données projet'!$B$13,Paramètres!$A$1:$I$88,3,0)*VLOOKUP('Données projet'!$B$13,Paramètres!$A$1:$I$88,5,0)</f>
        <v>325.43159999999995</v>
      </c>
      <c r="CV115" s="14">
        <f t="shared" si="95"/>
        <v>76.482394221016762</v>
      </c>
      <c r="CW115" s="22">
        <f t="shared" si="67"/>
        <v>700.00020660160408</v>
      </c>
      <c r="CX115" s="62">
        <f t="shared" si="68"/>
        <v>980.421518017175</v>
      </c>
      <c r="CY115" s="62">
        <f ca="1">AVERAGE(OFFSET($CX$3,0,0,'Données projet'!$E$13+1,1))-AVERAGE(OFFSET($H$3,0,0,'Données projet'!$E$13+1,1))</f>
        <v>401.1031790385295</v>
      </c>
      <c r="CZ115" s="62">
        <f t="shared" si="96"/>
        <v>402.09589424130615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projet'!$B$13,Paramètres!$A$1:$I$88,3,0)*0.475*44/12</f>
        <v>7.4066625812255715</v>
      </c>
      <c r="DG115" s="23">
        <f>EXP(-LN(2)/25)*DG114+(1-EXP(-LN(2)/25))/(LN(2)/25)*Calculateur!DB115*Calculateur!DD115*VLOOKUP('Données projet'!$B$13,Paramètres!$A$1:$I$88,3,0)*0.475*44/12</f>
        <v>0</v>
      </c>
      <c r="DH115" s="23">
        <f>EXP(-LN(2)/2)*DH114+(1-EXP(-LN(2)/2))/(LN(2)/2)*DB115*DE115*VLOOKUP('Données projet'!$B$13,Paramètres!$A$1:$I$88,3,0)*0.475*44/12</f>
        <v>6.1860278708421897E-8</v>
      </c>
      <c r="DI115" s="24">
        <f t="shared" si="69"/>
        <v>7.4066626430858502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860.00000000000023</v>
      </c>
      <c r="DP115" s="18">
        <f>DO115*VLOOKUP('Données projet'!$B$14,Paramètres!$A$1:$I$88,3,0)*VLOOKUP('Données projet'!$B$14,Paramètres!$A$1:$I$88,5,0)</f>
        <v>346.5800000000001</v>
      </c>
      <c r="DQ115" s="14">
        <f t="shared" si="97"/>
        <v>80.857895771535127</v>
      </c>
      <c r="DR115" s="22">
        <f t="shared" si="70"/>
        <v>744.45433513542378</v>
      </c>
      <c r="DS115" s="62">
        <f t="shared" si="71"/>
        <v>1024.8756465509946</v>
      </c>
      <c r="DT115" s="62">
        <f ca="1">AVERAGE(OFFSET($DS$3,0,0,'Données projet'!$E$14+1,1))-AVERAGE(OFFSET($H$3,0,0,'Données projet'!$E$14+1,1))</f>
        <v>432.59662347701629</v>
      </c>
      <c r="DU115" s="62">
        <f t="shared" si="98"/>
        <v>348.67401091099748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projet'!$B$14,Paramètres!$A$1:$I$88,3,0)*0.475*44/12</f>
        <v>33.364512505742582</v>
      </c>
      <c r="EB115" s="23">
        <f>EXP(-LN(2)/25)*EB114+(1-EXP(-LN(2)/25))/(LN(2)/25)*Calculateur!DW115*Calculateur!DY115*VLOOKUP('Données projet'!$B$14,Paramètres!$A$1:$I$88,3,0)*0.475*44/12</f>
        <v>28.632695176950733</v>
      </c>
      <c r="EC115" s="23">
        <f>EXP(-LN(2)/2)*EC114+(1-EXP(-LN(2)/2))/(LN(2)/2)*DW115*DZ115*VLOOKUP('Données projet'!$B$14,Paramètres!$A$1:$I$88,3,0)*0.475*44/12</f>
        <v>0</v>
      </c>
      <c r="ED115" s="24">
        <f t="shared" si="72"/>
        <v>61.997207682693315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1099.9999999999998</v>
      </c>
      <c r="EK115" s="18">
        <f>EJ115*VLOOKUP('Données projet'!$B$15,Paramètres!$A$1:$I$88,3,0)*VLOOKUP('Données projet'!$B$15,Paramètres!$A$1:$I$88,5,0)</f>
        <v>486.19999999999993</v>
      </c>
      <c r="EL115" s="14">
        <f t="shared" si="99"/>
        <v>109.0490179035375</v>
      </c>
      <c r="EM115" s="22">
        <f t="shared" si="73"/>
        <v>1036.725372848661</v>
      </c>
      <c r="EN115" s="62">
        <f t="shared" si="74"/>
        <v>1317.1466842642319</v>
      </c>
      <c r="EO115" s="62">
        <f ca="1">AVERAGE(OFFSET($EN$3,0,0,'Données projet'!$E$15+1,1))-AVERAGE(OFFSET($H$3,0,0,'Données projet'!$E$15+1,1))</f>
        <v>582.26951914082088</v>
      </c>
      <c r="EP115" s="62">
        <f t="shared" si="100"/>
        <v>434.80429932654715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projet'!$B$15,Paramètres!$A$1:$I$88,3,0)*0.475*44/12</f>
        <v>33.619370833828448</v>
      </c>
      <c r="EW115" s="23">
        <f>EXP(-LN(2)/25)*EW114+(1-EXP(-LN(2)/25))/(LN(2)/25)*Calculateur!ER115*Calculateur!ET115*VLOOKUP('Données projet'!$B$15,Paramètres!$A$1:$I$88,3,0)*0.475*44/12</f>
        <v>25.728705344936241</v>
      </c>
      <c r="EX115" s="23">
        <f>EXP(-LN(2)/2)*EX114+(1-EXP(-LN(2)/2))/(LN(2)/2)*ER115*EU115*VLOOKUP('Données projet'!$B$15,Paramètres!$A$1:$I$88,3,0)*0.475*44/12</f>
        <v>0</v>
      </c>
      <c r="EY115" s="24">
        <f t="shared" si="75"/>
        <v>59.348076178764686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854.99999999999989</v>
      </c>
      <c r="FF115" s="18">
        <f>FE115*VLOOKUP('Données projet'!$B$16,Paramètres!$A$1:$I$88,3,0)*VLOOKUP('Données projet'!$B$16,Paramètres!$A$1:$I$88,5,0)</f>
        <v>400.13999999999993</v>
      </c>
      <c r="FG115" s="14">
        <f t="shared" si="101"/>
        <v>91.805047494648534</v>
      </c>
      <c r="FH115" s="22">
        <f t="shared" si="76"/>
        <v>856.80429105317944</v>
      </c>
      <c r="FI115" s="62">
        <f t="shared" si="77"/>
        <v>1137.2256024687504</v>
      </c>
      <c r="FJ115" s="62">
        <f ca="1">AVERAGE(OFFSET($FI$3,0,0,'Données projet'!$E$16+1,1))-AVERAGE(OFFSET($H$3,0,0,'Données projet'!$E$16+1,1))</f>
        <v>429.87867712133851</v>
      </c>
      <c r="FK115" s="62">
        <f t="shared" si="102"/>
        <v>182.81277865988014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projet'!$B$16,Paramètres!$A$1:$I$88,3,0)*0.475*44/12</f>
        <v>40.095122839735261</v>
      </c>
      <c r="FR115" s="23">
        <f>EXP(-LN(2)/25)*FR114+(1-EXP(-LN(2)/25))/(LN(2)/25)*Calculateur!FM115*Calculateur!FO115*VLOOKUP('Données projet'!$B$16,Paramètres!$A$1:$I$88,3,0)*0.475*44/12</f>
        <v>32.615538843316415</v>
      </c>
      <c r="FS115" s="23">
        <f>EXP(-LN(2)/2)*FS114+(1-EXP(-LN(2)/2))/(LN(2)/2)*FM115*FP115*VLOOKUP('Données projet'!$B$16,Paramètres!$A$1:$I$88,3,0)*0.475*44/12</f>
        <v>0</v>
      </c>
      <c r="FT115" s="24">
        <f t="shared" si="78"/>
        <v>72.710661683051683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498.99999999999955</v>
      </c>
      <c r="GA115" s="18">
        <f>FZ115*VLOOKUP('Données projet'!$B$17,Paramètres!$A$1:$I$88,3,0)*VLOOKUP('Données projet'!$B$17,Paramètres!$A$1:$I$88,5,0)</f>
        <v>240.01899999999978</v>
      </c>
      <c r="GB115" s="14">
        <f t="shared" si="103"/>
        <v>58.443618405936313</v>
      </c>
      <c r="GC115" s="22">
        <f t="shared" si="79"/>
        <v>519.82239372367201</v>
      </c>
      <c r="GD115" s="62">
        <f t="shared" si="80"/>
        <v>800.24370513924282</v>
      </c>
      <c r="GE115" s="62">
        <f ca="1">AVERAGE(OFFSET($GD$3,0,0,'Données projet'!$E$17+1,1))-AVERAGE(OFFSET($H$3,0,0,'Données projet'!$E$17+1,1))</f>
        <v>273.24375559399846</v>
      </c>
      <c r="GF115" s="62">
        <f t="shared" si="104"/>
        <v>270.77718895097848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projet'!$B$17,Paramètres!$A$1:$I$88,3,0)*0.475*44/12</f>
        <v>17.167892965517289</v>
      </c>
      <c r="GM115" s="23">
        <f>EXP(-LN(2)/25)*GM114+(1-EXP(-LN(2)/25))/(LN(2)/25)*Calculateur!GH115*Calculateur!GJ115*VLOOKUP('Données projet'!$B$17,Paramètres!$A$1:$I$88,3,0)*0.475*44/12</f>
        <v>12.54874745871421</v>
      </c>
      <c r="GN115" s="23">
        <f>EXP(-LN(2)/2)*GN114+(1-EXP(-LN(2)/2))/(LN(2)/2)*GH115*GK115*VLOOKUP('Données projet'!$B$17,Paramètres!$A$1:$I$88,3,0)*0.475*44/12</f>
        <v>0</v>
      </c>
      <c r="GO115" s="23">
        <f t="shared" si="81"/>
        <v>29.7166404242315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550.99999999999966</v>
      </c>
      <c r="O116" s="14">
        <f>N116*VLOOKUP('Données projet'!$B$9,Paramètres!$A$1:$I$88,3,0)*VLOOKUP('Données projet'!$B$9,Paramètres!$A$1:$I$88,5,0)</f>
        <v>308.00899999999979</v>
      </c>
      <c r="P116" s="14">
        <f t="shared" si="87"/>
        <v>72.852874331417695</v>
      </c>
      <c r="Q116" s="22">
        <f t="shared" si="107"/>
        <v>663.33443112721886</v>
      </c>
      <c r="R116" s="62">
        <f t="shared" si="55"/>
        <v>943.97973725610655</v>
      </c>
      <c r="S116" s="62">
        <f ca="1">AVERAGE(OFFSET($R$3,0,0,'Données projet'!$E$9+1,1))-AVERAGE(OFFSET($H$3,0,0,'Données projet'!$E$9+1,1))</f>
        <v>289.94242154211224</v>
      </c>
      <c r="T116" s="62">
        <f t="shared" si="88"/>
        <v>369.12599166143661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25.825745217323657</v>
      </c>
      <c r="AA116" s="23">
        <f>EXP(-LN(2)/25)*AA115+(1-EXP(-LN(2)/25))/(LN(2)/25)*Calculateur!V116*Calculateur!X116*VLOOKUP('Données projet'!$B$9,Paramètres!$A$1:$I$88,3,0)*0.475*44/12</f>
        <v>15.372059375470364</v>
      </c>
      <c r="AB116" s="23">
        <f>EXP(-LN(2)/2)*AB115+(1-EXP(-LN(2)/2))/(LN(2)/2)*V116*Y116*VLOOKUP('Données projet'!$B$9,Paramètres!$A$1:$I$88,3,0)*0.475*44/12</f>
        <v>0</v>
      </c>
      <c r="AC116" s="24">
        <f t="shared" si="57"/>
        <v>41.197804592794022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4.8</v>
      </c>
      <c r="AI116" s="14">
        <f>IF('Données projet'!$A$62&gt;35,AI115+AH116-AQ115,IF(A116&lt;'Données projet'!$A$62,$AF$205^A116,IF(A116='Données projet'!$A$62,'Données projet'!$B$62,AI115+AH116-AQ115)))</f>
        <v>301.40000000000026</v>
      </c>
      <c r="AJ116" s="14">
        <f>AI116*VLOOKUP('Données projet'!$B$10,Paramètres!$A$1:$I$88,3,0)*VLOOKUP('Données projet'!$B$10,Paramètres!$A$1:$I$88,5,0)</f>
        <v>272.70672000000019</v>
      </c>
      <c r="AK116" s="14">
        <f t="shared" si="89"/>
        <v>65.423369675748305</v>
      </c>
      <c r="AL116" s="22">
        <f t="shared" si="58"/>
        <v>588.90990618526189</v>
      </c>
      <c r="AM116" s="62">
        <f t="shared" si="59"/>
        <v>869.55521231414946</v>
      </c>
      <c r="AN116" s="62">
        <f ca="1">AVERAGE(OFFSET($AM$3,0,0,'Données projet'!$E$10+1,1))-AVERAGE(OFFSET($H$3,0,0,'Données projet'!$E$10+1,1))</f>
        <v>518.31628039365785</v>
      </c>
      <c r="AO116" s="62">
        <f t="shared" si="90"/>
        <v>66.435071953154761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28.436932237833904</v>
      </c>
      <c r="AV116" s="23">
        <f>EXP(-LN(2)/25)*AV115+(1-EXP(-LN(2)/25))/(LN(2)/25)*Calculateur!AQ116*Calculateur!AS116*VLOOKUP('Données projet'!$B$10,Paramètres!$A$1:$I$88,3,0)*0.475*44/12</f>
        <v>0</v>
      </c>
      <c r="AW116" s="23">
        <f>EXP(-LN(2)/2)*AW115+(1-EXP(-LN(2)/2))/(LN(2)/2)*AQ116*AT116*VLOOKUP('Données projet'!$B$10,Paramètres!$A$1:$I$88,3,0)*0.475*44/12</f>
        <v>0</v>
      </c>
      <c r="AX116" s="23">
        <f t="shared" si="60"/>
        <v>28.436932237833904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4.8</v>
      </c>
      <c r="BD116" s="13">
        <f>IF('Données projet'!$A$88&gt;35,BD115+BC116-BL115,IF(A116&lt;'Données projet'!$A$88,$BA$205^A116,IF(A116='Données projet'!$A$88,'Données projet'!$B$88,BD115+BC116-BL115)))</f>
        <v>301.40000000000026</v>
      </c>
      <c r="BE116" s="14">
        <f>BD116*VLOOKUP('Données projet'!$B$11,Paramètres!$A$1:$I$88,3,0)*VLOOKUP('Données projet'!$B$11,Paramètres!$A$1:$I$88,5,0)</f>
        <v>305.61960000000028</v>
      </c>
      <c r="BF116" s="14">
        <f t="shared" si="91"/>
        <v>72.35327200212754</v>
      </c>
      <c r="BG116" s="22">
        <f t="shared" si="61"/>
        <v>658.30275207037255</v>
      </c>
      <c r="BH116" s="62">
        <f t="shared" si="62"/>
        <v>938.94805819926023</v>
      </c>
      <c r="BI116" s="62">
        <f ca="1">AVERAGE(OFFSET($BH$3,0,0,'Données projet'!$E$11+1,1))-AVERAGE(OFFSET($H$3,0,0,'Données projet'!$E$11+1,1))</f>
        <v>570.2785736203931</v>
      </c>
      <c r="BJ116" s="62">
        <f t="shared" si="92"/>
        <v>67.677759965081719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31.868975783779387</v>
      </c>
      <c r="BQ116" s="23">
        <f>EXP(-LN(2)/25)*BQ115+(1-EXP(-LN(2)/25))/(LN(2)/25)*Calculateur!BL116*Calculateur!BN116*VLOOKUP('Données projet'!$B$11,Paramètres!$A$1:$I$88,3,0)*0.475*44/12</f>
        <v>0</v>
      </c>
      <c r="BR116" s="23">
        <f>EXP(-LN(2)/2)*BR115+(1-EXP(-LN(2)/2))/(LN(2)/2)*BL116*BO116*VLOOKUP('Données projet'!$B$11,Paramètres!$A$1:$I$88,3,0)*0.475*44/12</f>
        <v>0</v>
      </c>
      <c r="BS116" s="24">
        <f t="shared" si="63"/>
        <v>31.868975783779387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544.19999999999982</v>
      </c>
      <c r="BZ116" s="14">
        <f>BY116*VLOOKUP('Données projet'!$B$12,Paramètres!$A$1:$I$88,3,0)*VLOOKUP('Données projet'!$B$12,Paramètres!$A$1:$I$88,5,0)</f>
        <v>325.43159999999995</v>
      </c>
      <c r="CA116" s="14">
        <f t="shared" si="93"/>
        <v>76.482394221016762</v>
      </c>
      <c r="CB116" s="22">
        <f t="shared" si="64"/>
        <v>700.00020660160408</v>
      </c>
      <c r="CC116" s="62">
        <f t="shared" si="65"/>
        <v>980.64551273049165</v>
      </c>
      <c r="CD116" s="62">
        <f ca="1">AVERAGE(OFFSET($CC$3,0,0,'Données projet'!$E$12+1,1))-AVERAGE(OFFSET($H$3,0,0,'Données projet'!$E$12+1,1))</f>
        <v>401.1031790385295</v>
      </c>
      <c r="CE116" s="62">
        <f t="shared" si="94"/>
        <v>402.09589424130615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projet'!$B$12,Paramètres!$A$1:$I$88,3,0)*0.475*44/12</f>
        <v>7.2614224456258345</v>
      </c>
      <c r="CL116" s="23">
        <f>EXP(-LN(2)/25)*CL115+(1-EXP(-LN(2)/25))/(LN(2)/25)*Calculateur!CG116*Calculateur!CI116*VLOOKUP('Données projet'!$B$12,Paramètres!$A$1:$I$88,3,0)*0.475*44/12</f>
        <v>0</v>
      </c>
      <c r="CM116" s="23">
        <f>EXP(-LN(2)/2)*CM115+(1-EXP(-LN(2)/2))/(LN(2)/2)*CG116*CJ116*VLOOKUP('Données projet'!$B$12,Paramètres!$A$1:$I$88,3,0)*0.475*44/12</f>
        <v>4.3741822560814928E-8</v>
      </c>
      <c r="CN116" s="24">
        <f t="shared" si="66"/>
        <v>7.2614224893676571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544.19999999999982</v>
      </c>
      <c r="CU116" s="18">
        <f>CT116*VLOOKUP('Données projet'!$B$13,Paramètres!$A$1:$I$88,3,0)*VLOOKUP('Données projet'!$B$13,Paramètres!$A$1:$I$88,5,0)</f>
        <v>325.43159999999995</v>
      </c>
      <c r="CV116" s="14">
        <f t="shared" si="95"/>
        <v>76.482394221016762</v>
      </c>
      <c r="CW116" s="22">
        <f t="shared" si="67"/>
        <v>700.00020660160408</v>
      </c>
      <c r="CX116" s="62">
        <f t="shared" si="68"/>
        <v>980.64551273049165</v>
      </c>
      <c r="CY116" s="62">
        <f ca="1">AVERAGE(OFFSET($CX$3,0,0,'Données projet'!$E$13+1,1))-AVERAGE(OFFSET($H$3,0,0,'Données projet'!$E$13+1,1))</f>
        <v>401.1031790385295</v>
      </c>
      <c r="CZ116" s="62">
        <f t="shared" si="96"/>
        <v>402.09589424130615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projet'!$B$13,Paramètres!$A$1:$I$88,3,0)*0.475*44/12</f>
        <v>7.2614224456258345</v>
      </c>
      <c r="DG116" s="23">
        <f>EXP(-LN(2)/25)*DG115+(1-EXP(-LN(2)/25))/(LN(2)/25)*Calculateur!DB116*Calculateur!DD116*VLOOKUP('Données projet'!$B$13,Paramètres!$A$1:$I$88,3,0)*0.475*44/12</f>
        <v>0</v>
      </c>
      <c r="DH116" s="23">
        <f>EXP(-LN(2)/2)*DH115+(1-EXP(-LN(2)/2))/(LN(2)/2)*DB116*DE116*VLOOKUP('Données projet'!$B$13,Paramètres!$A$1:$I$88,3,0)*0.475*44/12</f>
        <v>4.3741822560814928E-8</v>
      </c>
      <c r="DI116" s="24">
        <f t="shared" si="69"/>
        <v>7.2614224893676571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860.00000000000023</v>
      </c>
      <c r="DP116" s="18">
        <f>DO116*VLOOKUP('Données projet'!$B$14,Paramètres!$A$1:$I$88,3,0)*VLOOKUP('Données projet'!$B$14,Paramètres!$A$1:$I$88,5,0)</f>
        <v>346.5800000000001</v>
      </c>
      <c r="DQ116" s="14">
        <f t="shared" si="97"/>
        <v>80.857895771535127</v>
      </c>
      <c r="DR116" s="22">
        <f t="shared" si="70"/>
        <v>744.45433513542378</v>
      </c>
      <c r="DS116" s="62">
        <f t="shared" si="71"/>
        <v>1025.0996412643115</v>
      </c>
      <c r="DT116" s="62">
        <f ca="1">AVERAGE(OFFSET($DS$3,0,0,'Données projet'!$E$14+1,1))-AVERAGE(OFFSET($H$3,0,0,'Données projet'!$E$14+1,1))</f>
        <v>432.59662347701629</v>
      </c>
      <c r="DU116" s="62">
        <f t="shared" si="98"/>
        <v>348.67401091099748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projet'!$B$14,Paramètres!$A$1:$I$88,3,0)*0.475*44/12</f>
        <v>32.71025476584817</v>
      </c>
      <c r="EB116" s="23">
        <f>EXP(-LN(2)/25)*EB115+(1-EXP(-LN(2)/25))/(LN(2)/25)*Calculateur!DW116*Calculateur!DY116*VLOOKUP('Données projet'!$B$14,Paramètres!$A$1:$I$88,3,0)*0.475*44/12</f>
        <v>27.849732621609018</v>
      </c>
      <c r="EC116" s="23">
        <f>EXP(-LN(2)/2)*EC115+(1-EXP(-LN(2)/2))/(LN(2)/2)*DW116*DZ116*VLOOKUP('Données projet'!$B$14,Paramètres!$A$1:$I$88,3,0)*0.475*44/12</f>
        <v>0</v>
      </c>
      <c r="ED116" s="24">
        <f t="shared" si="72"/>
        <v>60.559987387457184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1099.9999999999998</v>
      </c>
      <c r="EK116" s="18">
        <f>EJ116*VLOOKUP('Données projet'!$B$15,Paramètres!$A$1:$I$88,3,0)*VLOOKUP('Données projet'!$B$15,Paramètres!$A$1:$I$88,5,0)</f>
        <v>486.19999999999993</v>
      </c>
      <c r="EL116" s="14">
        <f t="shared" si="99"/>
        <v>109.0490179035375</v>
      </c>
      <c r="EM116" s="22">
        <f t="shared" si="73"/>
        <v>1036.725372848661</v>
      </c>
      <c r="EN116" s="62">
        <f t="shared" si="74"/>
        <v>1317.3706789775486</v>
      </c>
      <c r="EO116" s="62">
        <f ca="1">AVERAGE(OFFSET($EN$3,0,0,'Données projet'!$E$15+1,1))-AVERAGE(OFFSET($H$3,0,0,'Données projet'!$E$15+1,1))</f>
        <v>582.26951914082088</v>
      </c>
      <c r="EP116" s="62">
        <f t="shared" si="100"/>
        <v>434.80429932654715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projet'!$B$15,Paramètres!$A$1:$I$88,3,0)*0.475*44/12</f>
        <v>32.9601154775685</v>
      </c>
      <c r="EW116" s="23">
        <f>EXP(-LN(2)/25)*EW115+(1-EXP(-LN(2)/25))/(LN(2)/25)*Calculateur!ER116*Calculateur!ET116*VLOOKUP('Données projet'!$B$15,Paramètres!$A$1:$I$88,3,0)*0.475*44/12</f>
        <v>25.025152544265151</v>
      </c>
      <c r="EX116" s="23">
        <f>EXP(-LN(2)/2)*EX115+(1-EXP(-LN(2)/2))/(LN(2)/2)*ER116*EU116*VLOOKUP('Données projet'!$B$15,Paramètres!$A$1:$I$88,3,0)*0.475*44/12</f>
        <v>0</v>
      </c>
      <c r="EY116" s="24">
        <f t="shared" si="75"/>
        <v>57.985268021833647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854.99999999999989</v>
      </c>
      <c r="FF116" s="18">
        <f>FE116*VLOOKUP('Données projet'!$B$16,Paramètres!$A$1:$I$88,3,0)*VLOOKUP('Données projet'!$B$16,Paramètres!$A$1:$I$88,5,0)</f>
        <v>400.13999999999993</v>
      </c>
      <c r="FG116" s="14">
        <f t="shared" si="101"/>
        <v>91.805047494648534</v>
      </c>
      <c r="FH116" s="22">
        <f t="shared" si="76"/>
        <v>856.80429105317944</v>
      </c>
      <c r="FI116" s="62">
        <f t="shared" si="77"/>
        <v>1137.449597182067</v>
      </c>
      <c r="FJ116" s="62">
        <f ca="1">AVERAGE(OFFSET($FI$3,0,0,'Données projet'!$E$16+1,1))-AVERAGE(OFFSET($H$3,0,0,'Données projet'!$E$16+1,1))</f>
        <v>429.87867712133851</v>
      </c>
      <c r="FK116" s="62">
        <f t="shared" si="102"/>
        <v>182.81277865988014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projet'!$B$16,Paramètres!$A$1:$I$88,3,0)*0.475*44/12</f>
        <v>39.308881936458192</v>
      </c>
      <c r="FR116" s="23">
        <f>EXP(-LN(2)/25)*FR115+(1-EXP(-LN(2)/25))/(LN(2)/25)*Calculateur!FM116*Calculateur!FO116*VLOOKUP('Données projet'!$B$16,Paramètres!$A$1:$I$88,3,0)*0.475*44/12</f>
        <v>31.723665218469282</v>
      </c>
      <c r="FS116" s="23">
        <f>EXP(-LN(2)/2)*FS115+(1-EXP(-LN(2)/2))/(LN(2)/2)*FM116*FP116*VLOOKUP('Données projet'!$B$16,Paramètres!$A$1:$I$88,3,0)*0.475*44/12</f>
        <v>0</v>
      </c>
      <c r="FT116" s="24">
        <f t="shared" si="78"/>
        <v>71.032547154927471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498.99999999999955</v>
      </c>
      <c r="GA116" s="18">
        <f>FZ116*VLOOKUP('Données projet'!$B$17,Paramètres!$A$1:$I$88,3,0)*VLOOKUP('Données projet'!$B$17,Paramètres!$A$1:$I$88,5,0)</f>
        <v>240.01899999999978</v>
      </c>
      <c r="GB116" s="14">
        <f t="shared" si="103"/>
        <v>58.443618405936313</v>
      </c>
      <c r="GC116" s="22">
        <f t="shared" si="79"/>
        <v>519.82239372367201</v>
      </c>
      <c r="GD116" s="62">
        <f t="shared" si="80"/>
        <v>800.46769985255969</v>
      </c>
      <c r="GE116" s="62">
        <f ca="1">AVERAGE(OFFSET($GD$3,0,0,'Données projet'!$E$17+1,1))-AVERAGE(OFFSET($H$3,0,0,'Données projet'!$E$17+1,1))</f>
        <v>273.24375559399846</v>
      </c>
      <c r="GF116" s="62">
        <f t="shared" si="104"/>
        <v>270.77718895097848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projet'!$B$17,Paramètres!$A$1:$I$88,3,0)*0.475*44/12</f>
        <v>16.831241055844242</v>
      </c>
      <c r="GM116" s="23">
        <f>EXP(-LN(2)/25)*GM115+(1-EXP(-LN(2)/25))/(LN(2)/25)*Calculateur!GH116*Calculateur!GJ116*VLOOKUP('Données projet'!$B$17,Paramètres!$A$1:$I$88,3,0)*0.475*44/12</f>
        <v>12.205601299545721</v>
      </c>
      <c r="GN116" s="23">
        <f>EXP(-LN(2)/2)*GN115+(1-EXP(-LN(2)/2))/(LN(2)/2)*GH116*GK116*VLOOKUP('Données projet'!$B$17,Paramètres!$A$1:$I$88,3,0)*0.475*44/12</f>
        <v>0</v>
      </c>
      <c r="GO116" s="23">
        <f t="shared" si="81"/>
        <v>29.036842355389965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550.99999999999966</v>
      </c>
      <c r="O117" s="14">
        <f>N117*VLOOKUP('Données projet'!$B$9,Paramètres!$A$1:$I$88,3,0)*VLOOKUP('Données projet'!$B$9,Paramètres!$A$1:$I$88,5,0)</f>
        <v>308.00899999999979</v>
      </c>
      <c r="P117" s="14">
        <f t="shared" si="87"/>
        <v>72.852874331417695</v>
      </c>
      <c r="Q117" s="22">
        <f t="shared" si="107"/>
        <v>663.33443112721886</v>
      </c>
      <c r="R117" s="62">
        <f t="shared" si="55"/>
        <v>944.19984616192437</v>
      </c>
      <c r="S117" s="62">
        <f ca="1">AVERAGE(OFFSET($R$3,0,0,'Données projet'!$E$9+1,1))-AVERAGE(OFFSET($H$3,0,0,'Données projet'!$E$9+1,1))</f>
        <v>289.94242154211224</v>
      </c>
      <c r="T117" s="62">
        <f t="shared" si="88"/>
        <v>369.12599166143661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25.319318105761127</v>
      </c>
      <c r="AA117" s="23">
        <f>EXP(-LN(2)/25)*AA116+(1-EXP(-LN(2)/25))/(LN(2)/25)*Calculateur!V117*Calculateur!X117*VLOOKUP('Données projet'!$B$9,Paramètres!$A$1:$I$88,3,0)*0.475*44/12</f>
        <v>14.951709603466657</v>
      </c>
      <c r="AB117" s="23">
        <f>EXP(-LN(2)/2)*AB116+(1-EXP(-LN(2)/2))/(LN(2)/2)*V117*Y117*VLOOKUP('Données projet'!$B$9,Paramètres!$A$1:$I$88,3,0)*0.475*44/12</f>
        <v>0</v>
      </c>
      <c r="AC117" s="24">
        <f t="shared" si="57"/>
        <v>40.271027709227781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4.8</v>
      </c>
      <c r="AI117" s="14">
        <f>IF('Données projet'!$A$62&gt;35,AI116+AH117-AQ116,IF(A117&lt;'Données projet'!$A$62,$AF$205^A117,IF(A117='Données projet'!$A$62,'Données projet'!$B$62,AI116+AH117-AQ116)))</f>
        <v>306.20000000000027</v>
      </c>
      <c r="AJ117" s="14">
        <f>AI117*VLOOKUP('Données projet'!$B$10,Paramètres!$A$1:$I$88,3,0)*VLOOKUP('Données projet'!$B$10,Paramètres!$A$1:$I$88,5,0)</f>
        <v>277.04976000000022</v>
      </c>
      <c r="AK117" s="14">
        <f t="shared" si="89"/>
        <v>66.343154522348115</v>
      </c>
      <c r="AL117" s="22">
        <f t="shared" si="58"/>
        <v>598.07599279308999</v>
      </c>
      <c r="AM117" s="62">
        <f t="shared" si="59"/>
        <v>878.9414078277955</v>
      </c>
      <c r="AN117" s="62">
        <f ca="1">AVERAGE(OFFSET($AM$3,0,0,'Données projet'!$E$10+1,1))-AVERAGE(OFFSET($H$3,0,0,'Données projet'!$E$10+1,1))</f>
        <v>518.31628039365785</v>
      </c>
      <c r="AO117" s="62">
        <f t="shared" si="90"/>
        <v>66.435071953154761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27.87930134146599</v>
      </c>
      <c r="AV117" s="23">
        <f>EXP(-LN(2)/25)*AV116+(1-EXP(-LN(2)/25))/(LN(2)/25)*Calculateur!AQ117*Calculateur!AS117*VLOOKUP('Données projet'!$B$10,Paramètres!$A$1:$I$88,3,0)*0.475*44/12</f>
        <v>0</v>
      </c>
      <c r="AW117" s="23">
        <f>EXP(-LN(2)/2)*AW116+(1-EXP(-LN(2)/2))/(LN(2)/2)*AQ117*AT117*VLOOKUP('Données projet'!$B$10,Paramètres!$A$1:$I$88,3,0)*0.475*44/12</f>
        <v>0</v>
      </c>
      <c r="AX117" s="23">
        <f t="shared" si="60"/>
        <v>27.87930134146599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4.8</v>
      </c>
      <c r="BD117" s="13">
        <f>IF('Données projet'!$A$88&gt;35,BD116+BC117-BL116,IF(A117&lt;'Données projet'!$A$88,$BA$205^A117,IF(A117='Données projet'!$A$88,'Données projet'!$B$88,BD116+BC117-BL116)))</f>
        <v>306.20000000000027</v>
      </c>
      <c r="BE117" s="14">
        <f>BD117*VLOOKUP('Données projet'!$B$11,Paramètres!$A$1:$I$88,3,0)*VLOOKUP('Données projet'!$B$11,Paramètres!$A$1:$I$88,5,0)</f>
        <v>310.4868000000003</v>
      </c>
      <c r="BF117" s="14">
        <f t="shared" si="91"/>
        <v>73.370484101096153</v>
      </c>
      <c r="BG117" s="22">
        <f t="shared" si="61"/>
        <v>668.55143647607633</v>
      </c>
      <c r="BH117" s="62">
        <f t="shared" si="62"/>
        <v>949.41685151078173</v>
      </c>
      <c r="BI117" s="62">
        <f ca="1">AVERAGE(OFFSET($BH$3,0,0,'Données projet'!$E$11+1,1))-AVERAGE(OFFSET($H$3,0,0,'Données projet'!$E$11+1,1))</f>
        <v>570.2785736203931</v>
      </c>
      <c r="BJ117" s="62">
        <f t="shared" si="92"/>
        <v>67.677759965081719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31.244044606815343</v>
      </c>
      <c r="BQ117" s="23">
        <f>EXP(-LN(2)/25)*BQ116+(1-EXP(-LN(2)/25))/(LN(2)/25)*Calculateur!BL117*Calculateur!BN117*VLOOKUP('Données projet'!$B$11,Paramètres!$A$1:$I$88,3,0)*0.475*44/12</f>
        <v>0</v>
      </c>
      <c r="BR117" s="23">
        <f>EXP(-LN(2)/2)*BR116+(1-EXP(-LN(2)/2))/(LN(2)/2)*BL117*BO117*VLOOKUP('Données projet'!$B$11,Paramètres!$A$1:$I$88,3,0)*0.475*44/12</f>
        <v>0</v>
      </c>
      <c r="BS117" s="24">
        <f t="shared" si="63"/>
        <v>31.244044606815343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544.19999999999982</v>
      </c>
      <c r="BZ117" s="14">
        <f>BY117*VLOOKUP('Données projet'!$B$12,Paramètres!$A$1:$I$88,3,0)*VLOOKUP('Données projet'!$B$12,Paramètres!$A$1:$I$88,5,0)</f>
        <v>325.43159999999995</v>
      </c>
      <c r="CA117" s="14">
        <f t="shared" si="93"/>
        <v>76.482394221016762</v>
      </c>
      <c r="CB117" s="22">
        <f t="shared" si="64"/>
        <v>700.00020660160408</v>
      </c>
      <c r="CC117" s="62">
        <f t="shared" si="65"/>
        <v>980.86562163630947</v>
      </c>
      <c r="CD117" s="62">
        <f ca="1">AVERAGE(OFFSET($CC$3,0,0,'Données projet'!$E$12+1,1))-AVERAGE(OFFSET($H$3,0,0,'Données projet'!$E$12+1,1))</f>
        <v>401.1031790385295</v>
      </c>
      <c r="CE117" s="62">
        <f t="shared" si="94"/>
        <v>402.09589424130615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projet'!$B$12,Paramètres!$A$1:$I$88,3,0)*0.475*44/12</f>
        <v>7.1190303804974731</v>
      </c>
      <c r="CL117" s="23">
        <f>EXP(-LN(2)/25)*CL116+(1-EXP(-LN(2)/25))/(LN(2)/25)*Calculateur!CG117*Calculateur!CI117*VLOOKUP('Données projet'!$B$12,Paramètres!$A$1:$I$88,3,0)*0.475*44/12</f>
        <v>0</v>
      </c>
      <c r="CM117" s="23">
        <f>EXP(-LN(2)/2)*CM116+(1-EXP(-LN(2)/2))/(LN(2)/2)*CG117*CJ117*VLOOKUP('Données projet'!$B$12,Paramètres!$A$1:$I$88,3,0)*0.475*44/12</f>
        <v>3.0930139354210948E-8</v>
      </c>
      <c r="CN117" s="24">
        <f t="shared" si="66"/>
        <v>7.1190304114276124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544.19999999999982</v>
      </c>
      <c r="CU117" s="18">
        <f>CT117*VLOOKUP('Données projet'!$B$13,Paramètres!$A$1:$I$88,3,0)*VLOOKUP('Données projet'!$B$13,Paramètres!$A$1:$I$88,5,0)</f>
        <v>325.43159999999995</v>
      </c>
      <c r="CV117" s="14">
        <f t="shared" si="95"/>
        <v>76.482394221016762</v>
      </c>
      <c r="CW117" s="22">
        <f t="shared" si="67"/>
        <v>700.00020660160408</v>
      </c>
      <c r="CX117" s="62">
        <f t="shared" si="68"/>
        <v>980.86562163630947</v>
      </c>
      <c r="CY117" s="62">
        <f ca="1">AVERAGE(OFFSET($CX$3,0,0,'Données projet'!$E$13+1,1))-AVERAGE(OFFSET($H$3,0,0,'Données projet'!$E$13+1,1))</f>
        <v>401.1031790385295</v>
      </c>
      <c r="CZ117" s="62">
        <f t="shared" si="96"/>
        <v>402.09589424130615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projet'!$B$13,Paramètres!$A$1:$I$88,3,0)*0.475*44/12</f>
        <v>7.1190303804974731</v>
      </c>
      <c r="DG117" s="23">
        <f>EXP(-LN(2)/25)*DG116+(1-EXP(-LN(2)/25))/(LN(2)/25)*Calculateur!DB117*Calculateur!DD117*VLOOKUP('Données projet'!$B$13,Paramètres!$A$1:$I$88,3,0)*0.475*44/12</f>
        <v>0</v>
      </c>
      <c r="DH117" s="23">
        <f>EXP(-LN(2)/2)*DH116+(1-EXP(-LN(2)/2))/(LN(2)/2)*DB117*DE117*VLOOKUP('Données projet'!$B$13,Paramètres!$A$1:$I$88,3,0)*0.475*44/12</f>
        <v>3.0930139354210948E-8</v>
      </c>
      <c r="DI117" s="24">
        <f t="shared" si="69"/>
        <v>7.1190304114276124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860.00000000000023</v>
      </c>
      <c r="DP117" s="18">
        <f>DO117*VLOOKUP('Données projet'!$B$14,Paramètres!$A$1:$I$88,3,0)*VLOOKUP('Données projet'!$B$14,Paramètres!$A$1:$I$88,5,0)</f>
        <v>346.5800000000001</v>
      </c>
      <c r="DQ117" s="14">
        <f t="shared" si="97"/>
        <v>80.857895771535127</v>
      </c>
      <c r="DR117" s="22">
        <f t="shared" si="70"/>
        <v>744.45433513542378</v>
      </c>
      <c r="DS117" s="62">
        <f t="shared" si="71"/>
        <v>1025.3197501701293</v>
      </c>
      <c r="DT117" s="62">
        <f ca="1">AVERAGE(OFFSET($DS$3,0,0,'Données projet'!$E$14+1,1))-AVERAGE(OFFSET($H$3,0,0,'Données projet'!$E$14+1,1))</f>
        <v>432.59662347701629</v>
      </c>
      <c r="DU117" s="62">
        <f t="shared" si="98"/>
        <v>348.67401091099748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projet'!$B$14,Paramètres!$A$1:$I$88,3,0)*0.475*44/12</f>
        <v>32.068826621175269</v>
      </c>
      <c r="EB117" s="23">
        <f>EXP(-LN(2)/25)*EB116+(1-EXP(-LN(2)/25))/(LN(2)/25)*Calculateur!DW117*Calculateur!DY117*VLOOKUP('Données projet'!$B$14,Paramètres!$A$1:$I$88,3,0)*0.475*44/12</f>
        <v>27.088180218517333</v>
      </c>
      <c r="EC117" s="23">
        <f>EXP(-LN(2)/2)*EC116+(1-EXP(-LN(2)/2))/(LN(2)/2)*DW117*DZ117*VLOOKUP('Données projet'!$B$14,Paramètres!$A$1:$I$88,3,0)*0.475*44/12</f>
        <v>0</v>
      </c>
      <c r="ED117" s="24">
        <f t="shared" si="72"/>
        <v>59.157006839692599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1099.9999999999998</v>
      </c>
      <c r="EK117" s="18">
        <f>EJ117*VLOOKUP('Données projet'!$B$15,Paramètres!$A$1:$I$88,3,0)*VLOOKUP('Données projet'!$B$15,Paramètres!$A$1:$I$88,5,0)</f>
        <v>486.19999999999993</v>
      </c>
      <c r="EL117" s="14">
        <f t="shared" si="99"/>
        <v>109.0490179035375</v>
      </c>
      <c r="EM117" s="22">
        <f t="shared" si="73"/>
        <v>1036.725372848661</v>
      </c>
      <c r="EN117" s="62">
        <f t="shared" si="74"/>
        <v>1317.5907878833664</v>
      </c>
      <c r="EO117" s="62">
        <f ca="1">AVERAGE(OFFSET($EN$3,0,0,'Données projet'!$E$15+1,1))-AVERAGE(OFFSET($H$3,0,0,'Données projet'!$E$15+1,1))</f>
        <v>582.26951914082088</v>
      </c>
      <c r="EP117" s="62">
        <f t="shared" si="100"/>
        <v>434.80429932654715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projet'!$B$15,Paramètres!$A$1:$I$88,3,0)*0.475*44/12</f>
        <v>32.313787716738751</v>
      </c>
      <c r="EW117" s="23">
        <f>EXP(-LN(2)/25)*EW116+(1-EXP(-LN(2)/25))/(LN(2)/25)*Calculateur!ER117*Calculateur!ET117*VLOOKUP('Données projet'!$B$15,Paramètres!$A$1:$I$88,3,0)*0.475*44/12</f>
        <v>24.340838431926642</v>
      </c>
      <c r="EX117" s="23">
        <f>EXP(-LN(2)/2)*EX116+(1-EXP(-LN(2)/2))/(LN(2)/2)*ER117*EU117*VLOOKUP('Données projet'!$B$15,Paramètres!$A$1:$I$88,3,0)*0.475*44/12</f>
        <v>0</v>
      </c>
      <c r="EY117" s="24">
        <f t="shared" si="75"/>
        <v>56.654626148665393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854.99999999999989</v>
      </c>
      <c r="FF117" s="18">
        <f>FE117*VLOOKUP('Données projet'!$B$16,Paramètres!$A$1:$I$88,3,0)*VLOOKUP('Données projet'!$B$16,Paramètres!$A$1:$I$88,5,0)</f>
        <v>400.13999999999993</v>
      </c>
      <c r="FG117" s="14">
        <f t="shared" si="101"/>
        <v>91.805047494648534</v>
      </c>
      <c r="FH117" s="22">
        <f t="shared" si="76"/>
        <v>856.80429105317944</v>
      </c>
      <c r="FI117" s="62">
        <f t="shared" si="77"/>
        <v>1137.6697060878848</v>
      </c>
      <c r="FJ117" s="62">
        <f ca="1">AVERAGE(OFFSET($FI$3,0,0,'Données projet'!$E$16+1,1))-AVERAGE(OFFSET($H$3,0,0,'Données projet'!$E$16+1,1))</f>
        <v>429.87867712133851</v>
      </c>
      <c r="FK117" s="62">
        <f t="shared" si="102"/>
        <v>182.81277865988014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projet'!$B$16,Paramètres!$A$1:$I$88,3,0)*0.475*44/12</f>
        <v>38.538058737734787</v>
      </c>
      <c r="FR117" s="23">
        <f>EXP(-LN(2)/25)*FR116+(1-EXP(-LN(2)/25))/(LN(2)/25)*Calculateur!FM117*Calculateur!FO117*VLOOKUP('Données projet'!$B$16,Paramètres!$A$1:$I$88,3,0)*0.475*44/12</f>
        <v>30.856179924795192</v>
      </c>
      <c r="FS117" s="23">
        <f>EXP(-LN(2)/2)*FS116+(1-EXP(-LN(2)/2))/(LN(2)/2)*FM117*FP117*VLOOKUP('Données projet'!$B$16,Paramètres!$A$1:$I$88,3,0)*0.475*44/12</f>
        <v>0</v>
      </c>
      <c r="FT117" s="24">
        <f t="shared" si="78"/>
        <v>69.394238662529972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498.99999999999955</v>
      </c>
      <c r="GA117" s="18">
        <f>FZ117*VLOOKUP('Données projet'!$B$17,Paramètres!$A$1:$I$88,3,0)*VLOOKUP('Données projet'!$B$17,Paramètres!$A$1:$I$88,5,0)</f>
        <v>240.01899999999978</v>
      </c>
      <c r="GB117" s="14">
        <f t="shared" si="103"/>
        <v>58.443618405936313</v>
      </c>
      <c r="GC117" s="22">
        <f t="shared" si="79"/>
        <v>519.82239372367201</v>
      </c>
      <c r="GD117" s="62">
        <f t="shared" si="80"/>
        <v>800.68780875837751</v>
      </c>
      <c r="GE117" s="62">
        <f ca="1">AVERAGE(OFFSET($GD$3,0,0,'Données projet'!$E$17+1,1))-AVERAGE(OFFSET($H$3,0,0,'Données projet'!$E$17+1,1))</f>
        <v>273.24375559399846</v>
      </c>
      <c r="GF117" s="62">
        <f t="shared" si="104"/>
        <v>270.77718895097848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projet'!$B$17,Paramètres!$A$1:$I$88,3,0)*0.475*44/12</f>
        <v>16.501190684782493</v>
      </c>
      <c r="GM117" s="23">
        <f>EXP(-LN(2)/25)*GM116+(1-EXP(-LN(2)/25))/(LN(2)/25)*Calculateur!GH117*Calculateur!GJ117*VLOOKUP('Données projet'!$B$17,Paramètres!$A$1:$I$88,3,0)*0.475*44/12</f>
        <v>11.871838490144967</v>
      </c>
      <c r="GN117" s="23">
        <f>EXP(-LN(2)/2)*GN116+(1-EXP(-LN(2)/2))/(LN(2)/2)*GH117*GK117*VLOOKUP('Données projet'!$B$17,Paramètres!$A$1:$I$88,3,0)*0.475*44/12</f>
        <v>0</v>
      </c>
      <c r="GO117" s="23">
        <f t="shared" si="81"/>
        <v>28.37302917492746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550.99999999999966</v>
      </c>
      <c r="O118" s="14">
        <f>N118*VLOOKUP('Données projet'!$B$9,Paramètres!$A$1:$I$88,3,0)*VLOOKUP('Données projet'!$B$9,Paramètres!$A$1:$I$88,5,0)</f>
        <v>308.00899999999979</v>
      </c>
      <c r="P118" s="14">
        <f t="shared" si="87"/>
        <v>72.852874331417695</v>
      </c>
      <c r="Q118" s="22">
        <f t="shared" si="107"/>
        <v>663.33443112721886</v>
      </c>
      <c r="R118" s="62">
        <f t="shared" si="55"/>
        <v>944.41613667031606</v>
      </c>
      <c r="S118" s="62">
        <f ca="1">AVERAGE(OFFSET($R$3,0,0,'Données projet'!$E$9+1,1))-AVERAGE(OFFSET($H$3,0,0,'Données projet'!$E$9+1,1))</f>
        <v>289.94242154211224</v>
      </c>
      <c r="T118" s="62">
        <f t="shared" si="88"/>
        <v>369.12599166143661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24.822821720966299</v>
      </c>
      <c r="AA118" s="23">
        <f>EXP(-LN(2)/25)*AA117+(1-EXP(-LN(2)/25))/(LN(2)/25)*Calculateur!V118*Calculateur!X118*VLOOKUP('Données projet'!$B$9,Paramètres!$A$1:$I$88,3,0)*0.475*44/12</f>
        <v>14.542854318083625</v>
      </c>
      <c r="AB118" s="23">
        <f>EXP(-LN(2)/2)*AB117+(1-EXP(-LN(2)/2))/(LN(2)/2)*V118*Y118*VLOOKUP('Données projet'!$B$9,Paramètres!$A$1:$I$88,3,0)*0.475*44/12</f>
        <v>0</v>
      </c>
      <c r="AC118" s="24">
        <f t="shared" si="57"/>
        <v>39.365676039049923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4.8</v>
      </c>
      <c r="AI118" s="14">
        <f>IF('Données projet'!$A$62&gt;35,AI117+AH118-AQ117,IF(A118&lt;'Données projet'!$A$62,$AF$205^A118,IF(A118='Données projet'!$A$62,'Données projet'!$B$62,AI117+AH118-AQ117)))</f>
        <v>311.00000000000028</v>
      </c>
      <c r="AJ118" s="14">
        <f>AI118*VLOOKUP('Données projet'!$B$10,Paramètres!$A$1:$I$88,3,0)*VLOOKUP('Données projet'!$B$10,Paramètres!$A$1:$I$88,5,0)</f>
        <v>281.39280000000025</v>
      </c>
      <c r="AK118" s="14">
        <f t="shared" si="89"/>
        <v>67.261262504634715</v>
      </c>
      <c r="AL118" s="22">
        <f t="shared" si="58"/>
        <v>607.23915886223926</v>
      </c>
      <c r="AM118" s="62">
        <f t="shared" si="59"/>
        <v>888.32086440533658</v>
      </c>
      <c r="AN118" s="62">
        <f ca="1">AVERAGE(OFFSET($AM$3,0,0,'Données projet'!$E$10+1,1))-AVERAGE(OFFSET($H$3,0,0,'Données projet'!$E$10+1,1))</f>
        <v>518.31628039365785</v>
      </c>
      <c r="AO118" s="62">
        <f t="shared" si="90"/>
        <v>66.435071953154761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27.332605246854584</v>
      </c>
      <c r="AV118" s="23">
        <f>EXP(-LN(2)/25)*AV117+(1-EXP(-LN(2)/25))/(LN(2)/25)*Calculateur!AQ118*Calculateur!AS118*VLOOKUP('Données projet'!$B$10,Paramètres!$A$1:$I$88,3,0)*0.475*44/12</f>
        <v>0</v>
      </c>
      <c r="AW118" s="23">
        <f>EXP(-LN(2)/2)*AW117+(1-EXP(-LN(2)/2))/(LN(2)/2)*AQ118*AT118*VLOOKUP('Données projet'!$B$10,Paramètres!$A$1:$I$88,3,0)*0.475*44/12</f>
        <v>0</v>
      </c>
      <c r="AX118" s="23">
        <f t="shared" si="60"/>
        <v>27.332605246854584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4.8</v>
      </c>
      <c r="BD118" s="13">
        <f>IF('Données projet'!$A$88&gt;35,BD117+BC118-BL117,IF(A118&lt;'Données projet'!$A$88,$BA$205^A118,IF(A118='Données projet'!$A$88,'Données projet'!$B$88,BD117+BC118-BL117)))</f>
        <v>311.00000000000028</v>
      </c>
      <c r="BE118" s="14">
        <f>BD118*VLOOKUP('Données projet'!$B$11,Paramètres!$A$1:$I$88,3,0)*VLOOKUP('Données projet'!$B$11,Paramètres!$A$1:$I$88,5,0)</f>
        <v>315.35400000000033</v>
      </c>
      <c r="BF118" s="14">
        <f t="shared" si="91"/>
        <v>74.385841715644929</v>
      </c>
      <c r="BG118" s="22">
        <f t="shared" si="61"/>
        <v>678.79689098808205</v>
      </c>
      <c r="BH118" s="62">
        <f t="shared" si="62"/>
        <v>959.87859653117926</v>
      </c>
      <c r="BI118" s="62">
        <f ca="1">AVERAGE(OFFSET($BH$3,0,0,'Données projet'!$E$11+1,1))-AVERAGE(OFFSET($H$3,0,0,'Données projet'!$E$11+1,1))</f>
        <v>570.2785736203931</v>
      </c>
      <c r="BJ118" s="62">
        <f t="shared" si="92"/>
        <v>67.677759965081719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30.631367949061183</v>
      </c>
      <c r="BQ118" s="23">
        <f>EXP(-LN(2)/25)*BQ117+(1-EXP(-LN(2)/25))/(LN(2)/25)*Calculateur!BL118*Calculateur!BN118*VLOOKUP('Données projet'!$B$11,Paramètres!$A$1:$I$88,3,0)*0.475*44/12</f>
        <v>0</v>
      </c>
      <c r="BR118" s="23">
        <f>EXP(-LN(2)/2)*BR117+(1-EXP(-LN(2)/2))/(LN(2)/2)*BL118*BO118*VLOOKUP('Données projet'!$B$11,Paramètres!$A$1:$I$88,3,0)*0.475*44/12</f>
        <v>0</v>
      </c>
      <c r="BS118" s="24">
        <f t="shared" si="63"/>
        <v>30.631367949061183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544.19999999999982</v>
      </c>
      <c r="BZ118" s="14">
        <f>BY118*VLOOKUP('Données projet'!$B$12,Paramètres!$A$1:$I$88,3,0)*VLOOKUP('Données projet'!$B$12,Paramètres!$A$1:$I$88,5,0)</f>
        <v>325.43159999999995</v>
      </c>
      <c r="CA118" s="14">
        <f t="shared" si="93"/>
        <v>76.482394221016762</v>
      </c>
      <c r="CB118" s="22">
        <f t="shared" si="64"/>
        <v>700.00020660160408</v>
      </c>
      <c r="CC118" s="62">
        <f t="shared" si="65"/>
        <v>981.08191214470139</v>
      </c>
      <c r="CD118" s="62">
        <f ca="1">AVERAGE(OFFSET($CC$3,0,0,'Données projet'!$E$12+1,1))-AVERAGE(OFFSET($H$3,0,0,'Données projet'!$E$12+1,1))</f>
        <v>401.1031790385295</v>
      </c>
      <c r="CE118" s="62">
        <f t="shared" si="94"/>
        <v>402.09589424130615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projet'!$B$12,Paramètres!$A$1:$I$88,3,0)*0.475*44/12</f>
        <v>6.9794305369156948</v>
      </c>
      <c r="CL118" s="23">
        <f>EXP(-LN(2)/25)*CL117+(1-EXP(-LN(2)/25))/(LN(2)/25)*Calculateur!CG118*Calculateur!CI118*VLOOKUP('Données projet'!$B$12,Paramètres!$A$1:$I$88,3,0)*0.475*44/12</f>
        <v>0</v>
      </c>
      <c r="CM118" s="23">
        <f>EXP(-LN(2)/2)*CM117+(1-EXP(-LN(2)/2))/(LN(2)/2)*CG118*CJ118*VLOOKUP('Données projet'!$B$12,Paramètres!$A$1:$I$88,3,0)*0.475*44/12</f>
        <v>2.1870911280407464E-8</v>
      </c>
      <c r="CN118" s="24">
        <f t="shared" si="66"/>
        <v>6.9794305587866061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544.19999999999982</v>
      </c>
      <c r="CU118" s="18">
        <f>CT118*VLOOKUP('Données projet'!$B$13,Paramètres!$A$1:$I$88,3,0)*VLOOKUP('Données projet'!$B$13,Paramètres!$A$1:$I$88,5,0)</f>
        <v>325.43159999999995</v>
      </c>
      <c r="CV118" s="14">
        <f t="shared" si="95"/>
        <v>76.482394221016762</v>
      </c>
      <c r="CW118" s="22">
        <f t="shared" si="67"/>
        <v>700.00020660160408</v>
      </c>
      <c r="CX118" s="62">
        <f t="shared" si="68"/>
        <v>981.08191214470139</v>
      </c>
      <c r="CY118" s="62">
        <f ca="1">AVERAGE(OFFSET($CX$3,0,0,'Données projet'!$E$13+1,1))-AVERAGE(OFFSET($H$3,0,0,'Données projet'!$E$13+1,1))</f>
        <v>401.1031790385295</v>
      </c>
      <c r="CZ118" s="62">
        <f t="shared" si="96"/>
        <v>402.09589424130615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projet'!$B$13,Paramètres!$A$1:$I$88,3,0)*0.475*44/12</f>
        <v>6.9794305369156948</v>
      </c>
      <c r="DG118" s="23">
        <f>EXP(-LN(2)/25)*DG117+(1-EXP(-LN(2)/25))/(LN(2)/25)*Calculateur!DB118*Calculateur!DD118*VLOOKUP('Données projet'!$B$13,Paramètres!$A$1:$I$88,3,0)*0.475*44/12</f>
        <v>0</v>
      </c>
      <c r="DH118" s="23">
        <f>EXP(-LN(2)/2)*DH117+(1-EXP(-LN(2)/2))/(LN(2)/2)*DB118*DE118*VLOOKUP('Données projet'!$B$13,Paramètres!$A$1:$I$88,3,0)*0.475*44/12</f>
        <v>2.1870911280407464E-8</v>
      </c>
      <c r="DI118" s="24">
        <f t="shared" si="69"/>
        <v>6.9794305587866061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860.00000000000023</v>
      </c>
      <c r="DP118" s="18">
        <f>DO118*VLOOKUP('Données projet'!$B$14,Paramètres!$A$1:$I$88,3,0)*VLOOKUP('Données projet'!$B$14,Paramètres!$A$1:$I$88,5,0)</f>
        <v>346.5800000000001</v>
      </c>
      <c r="DQ118" s="14">
        <f t="shared" si="97"/>
        <v>80.857895771535127</v>
      </c>
      <c r="DR118" s="22">
        <f t="shared" si="70"/>
        <v>744.45433513542378</v>
      </c>
      <c r="DS118" s="62">
        <f t="shared" si="71"/>
        <v>1025.536040678521</v>
      </c>
      <c r="DT118" s="62">
        <f ca="1">AVERAGE(OFFSET($DS$3,0,0,'Données projet'!$E$14+1,1))-AVERAGE(OFFSET($H$3,0,0,'Données projet'!$E$14+1,1))</f>
        <v>432.59662347701629</v>
      </c>
      <c r="DU118" s="62">
        <f t="shared" si="98"/>
        <v>348.67401091099748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projet'!$B$14,Paramètres!$A$1:$I$88,3,0)*0.475*44/12</f>
        <v>31.439976491186865</v>
      </c>
      <c r="EB118" s="23">
        <f>EXP(-LN(2)/25)*EB117+(1-EXP(-LN(2)/25))/(LN(2)/25)*Calculateur!DW118*Calculateur!DY118*VLOOKUP('Données projet'!$B$14,Paramètres!$A$1:$I$88,3,0)*0.475*44/12</f>
        <v>26.347452505936491</v>
      </c>
      <c r="EC118" s="23">
        <f>EXP(-LN(2)/2)*EC117+(1-EXP(-LN(2)/2))/(LN(2)/2)*DW118*DZ118*VLOOKUP('Données projet'!$B$14,Paramètres!$A$1:$I$88,3,0)*0.475*44/12</f>
        <v>0</v>
      </c>
      <c r="ED118" s="24">
        <f t="shared" si="72"/>
        <v>57.787428997123357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1099.9999999999998</v>
      </c>
      <c r="EK118" s="18">
        <f>EJ118*VLOOKUP('Données projet'!$B$15,Paramètres!$A$1:$I$88,3,0)*VLOOKUP('Données projet'!$B$15,Paramètres!$A$1:$I$88,5,0)</f>
        <v>486.19999999999993</v>
      </c>
      <c r="EL118" s="14">
        <f t="shared" si="99"/>
        <v>109.0490179035375</v>
      </c>
      <c r="EM118" s="22">
        <f t="shared" si="73"/>
        <v>1036.725372848661</v>
      </c>
      <c r="EN118" s="62">
        <f t="shared" si="74"/>
        <v>1317.8070783917583</v>
      </c>
      <c r="EO118" s="62">
        <f ca="1">AVERAGE(OFFSET($EN$3,0,0,'Données projet'!$E$15+1,1))-AVERAGE(OFFSET($H$3,0,0,'Données projet'!$E$15+1,1))</f>
        <v>582.26951914082088</v>
      </c>
      <c r="EP118" s="62">
        <f t="shared" si="100"/>
        <v>434.80429932654715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projet'!$B$15,Paramètres!$A$1:$I$88,3,0)*0.475*44/12</f>
        <v>31.680134049077864</v>
      </c>
      <c r="EW118" s="23">
        <f>EXP(-LN(2)/25)*EW117+(1-EXP(-LN(2)/25))/(LN(2)/25)*Calculateur!ER118*Calculateur!ET118*VLOOKUP('Données projet'!$B$15,Paramètres!$A$1:$I$88,3,0)*0.475*44/12</f>
        <v>23.675236924976545</v>
      </c>
      <c r="EX118" s="23">
        <f>EXP(-LN(2)/2)*EX117+(1-EXP(-LN(2)/2))/(LN(2)/2)*ER118*EU118*VLOOKUP('Données projet'!$B$15,Paramètres!$A$1:$I$88,3,0)*0.475*44/12</f>
        <v>0</v>
      </c>
      <c r="EY118" s="24">
        <f t="shared" si="75"/>
        <v>55.355370974054409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854.99999999999989</v>
      </c>
      <c r="FF118" s="18">
        <f>FE118*VLOOKUP('Données projet'!$B$16,Paramètres!$A$1:$I$88,3,0)*VLOOKUP('Données projet'!$B$16,Paramètres!$A$1:$I$88,5,0)</f>
        <v>400.13999999999993</v>
      </c>
      <c r="FG118" s="14">
        <f t="shared" si="101"/>
        <v>91.805047494648534</v>
      </c>
      <c r="FH118" s="22">
        <f t="shared" si="76"/>
        <v>856.80429105317944</v>
      </c>
      <c r="FI118" s="62">
        <f t="shared" si="77"/>
        <v>1137.8859965962768</v>
      </c>
      <c r="FJ118" s="62">
        <f ca="1">AVERAGE(OFFSET($FI$3,0,0,'Données projet'!$E$16+1,1))-AVERAGE(OFFSET($H$3,0,0,'Données projet'!$E$16+1,1))</f>
        <v>429.87867712133851</v>
      </c>
      <c r="FK118" s="62">
        <f t="shared" si="102"/>
        <v>182.81277865988014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projet'!$B$16,Paramètres!$A$1:$I$88,3,0)*0.475*44/12</f>
        <v>37.782350911782622</v>
      </c>
      <c r="FR118" s="23">
        <f>EXP(-LN(2)/25)*FR117+(1-EXP(-LN(2)/25))/(LN(2)/25)*Calculateur!FM118*Calculateur!FO118*VLOOKUP('Données projet'!$B$16,Paramètres!$A$1:$I$88,3,0)*0.475*44/12</f>
        <v>30.012416062095689</v>
      </c>
      <c r="FS118" s="23">
        <f>EXP(-LN(2)/2)*FS117+(1-EXP(-LN(2)/2))/(LN(2)/2)*FM118*FP118*VLOOKUP('Données projet'!$B$16,Paramètres!$A$1:$I$88,3,0)*0.475*44/12</f>
        <v>0</v>
      </c>
      <c r="FT118" s="24">
        <f t="shared" si="78"/>
        <v>67.794766973878311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498.99999999999955</v>
      </c>
      <c r="GA118" s="18">
        <f>FZ118*VLOOKUP('Données projet'!$B$17,Paramètres!$A$1:$I$88,3,0)*VLOOKUP('Données projet'!$B$17,Paramètres!$A$1:$I$88,5,0)</f>
        <v>240.01899999999978</v>
      </c>
      <c r="GB118" s="14">
        <f t="shared" si="103"/>
        <v>58.443618405936313</v>
      </c>
      <c r="GC118" s="22">
        <f t="shared" si="79"/>
        <v>519.82239372367201</v>
      </c>
      <c r="GD118" s="62">
        <f t="shared" si="80"/>
        <v>800.90409926676921</v>
      </c>
      <c r="GE118" s="62">
        <f ca="1">AVERAGE(OFFSET($GD$3,0,0,'Données projet'!$E$17+1,1))-AVERAGE(OFFSET($H$3,0,0,'Données projet'!$E$17+1,1))</f>
        <v>273.24375559399846</v>
      </c>
      <c r="GF118" s="62">
        <f t="shared" si="104"/>
        <v>270.77718895097848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projet'!$B$17,Paramètres!$A$1:$I$88,3,0)*0.475*44/12</f>
        <v>16.177612400186415</v>
      </c>
      <c r="GM118" s="23">
        <f>EXP(-LN(2)/25)*GM117+(1-EXP(-LN(2)/25))/(LN(2)/25)*Calculateur!GH118*Calculateur!GJ118*VLOOKUP('Données projet'!$B$17,Paramètres!$A$1:$I$88,3,0)*0.475*44/12</f>
        <v>11.547202442319099</v>
      </c>
      <c r="GN118" s="23">
        <f>EXP(-LN(2)/2)*GN117+(1-EXP(-LN(2)/2))/(LN(2)/2)*GH118*GK118*VLOOKUP('Données projet'!$B$17,Paramètres!$A$1:$I$88,3,0)*0.475*44/12</f>
        <v>0</v>
      </c>
      <c r="GO118" s="23">
        <f t="shared" si="81"/>
        <v>27.724814842505516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550.99999999999966</v>
      </c>
      <c r="O119" s="14">
        <f>N119*VLOOKUP('Données projet'!$B$9,Paramètres!$A$1:$I$88,3,0)*VLOOKUP('Données projet'!$B$9,Paramètres!$A$1:$I$88,5,0)</f>
        <v>308.00899999999979</v>
      </c>
      <c r="P119" s="14">
        <f t="shared" si="87"/>
        <v>72.852874331417695</v>
      </c>
      <c r="Q119" s="22">
        <f t="shared" si="107"/>
        <v>663.33443112721886</v>
      </c>
      <c r="R119" s="62">
        <f t="shared" si="55"/>
        <v>944.62867502194035</v>
      </c>
      <c r="S119" s="62">
        <f ca="1">AVERAGE(OFFSET($R$3,0,0,'Données projet'!$E$9+1,1))-AVERAGE(OFFSET($H$3,0,0,'Données projet'!$E$9+1,1))</f>
        <v>289.94242154211224</v>
      </c>
      <c r="T119" s="62">
        <f t="shared" si="88"/>
        <v>369.12599166143661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24.336061327444408</v>
      </c>
      <c r="AA119" s="23">
        <f>EXP(-LN(2)/25)*AA118+(1-EXP(-LN(2)/25))/(LN(2)/25)*Calculateur!V119*Calculateur!X119*VLOOKUP('Données projet'!$B$9,Paramètres!$A$1:$I$88,3,0)*0.475*44/12</f>
        <v>14.145179201980158</v>
      </c>
      <c r="AB119" s="23">
        <f>EXP(-LN(2)/2)*AB118+(1-EXP(-LN(2)/2))/(LN(2)/2)*V119*Y119*VLOOKUP('Données projet'!$B$9,Paramètres!$A$1:$I$88,3,0)*0.475*44/12</f>
        <v>0</v>
      </c>
      <c r="AC119" s="24">
        <f t="shared" si="57"/>
        <v>38.481240529424568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4.8</v>
      </c>
      <c r="AI119" s="14">
        <f>IF('Données projet'!$A$62&gt;35,AI118+AH119-AQ118,IF(A119&lt;'Données projet'!$A$62,$AF$205^A119,IF(A119='Données projet'!$A$62,'Données projet'!$B$62,AI118+AH119-AQ118)))</f>
        <v>315.8000000000003</v>
      </c>
      <c r="AJ119" s="14">
        <f>AI119*VLOOKUP('Données projet'!$B$10,Paramètres!$A$1:$I$88,3,0)*VLOOKUP('Données projet'!$B$10,Paramètres!$A$1:$I$88,5,0)</f>
        <v>285.73584000000028</v>
      </c>
      <c r="AK119" s="14">
        <f t="shared" si="89"/>
        <v>68.17772249237477</v>
      </c>
      <c r="AL119" s="22">
        <f t="shared" si="58"/>
        <v>616.39945467421978</v>
      </c>
      <c r="AM119" s="62">
        <f t="shared" si="59"/>
        <v>897.69369856894127</v>
      </c>
      <c r="AN119" s="62">
        <f ca="1">AVERAGE(OFFSET($AM$3,0,0,'Données projet'!$E$10+1,1))-AVERAGE(OFFSET($H$3,0,0,'Données projet'!$E$10+1,1))</f>
        <v>518.31628039365785</v>
      </c>
      <c r="AO119" s="62">
        <f t="shared" si="90"/>
        <v>66.435071953154761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26.796629529206818</v>
      </c>
      <c r="AV119" s="23">
        <f>EXP(-LN(2)/25)*AV118+(1-EXP(-LN(2)/25))/(LN(2)/25)*Calculateur!AQ119*Calculateur!AS119*VLOOKUP('Données projet'!$B$10,Paramètres!$A$1:$I$88,3,0)*0.475*44/12</f>
        <v>0</v>
      </c>
      <c r="AW119" s="23">
        <f>EXP(-LN(2)/2)*AW118+(1-EXP(-LN(2)/2))/(LN(2)/2)*AQ119*AT119*VLOOKUP('Données projet'!$B$10,Paramètres!$A$1:$I$88,3,0)*0.475*44/12</f>
        <v>0</v>
      </c>
      <c r="AX119" s="23">
        <f t="shared" si="60"/>
        <v>26.796629529206818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4.8</v>
      </c>
      <c r="BD119" s="13">
        <f>IF('Données projet'!$A$88&gt;35,BD118+BC119-BL118,IF(A119&lt;'Données projet'!$A$88,$BA$205^A119,IF(A119='Données projet'!$A$88,'Données projet'!$B$88,BD118+BC119-BL118)))</f>
        <v>315.8000000000003</v>
      </c>
      <c r="BE119" s="14">
        <f>BD119*VLOOKUP('Données projet'!$B$11,Paramètres!$A$1:$I$88,3,0)*VLOOKUP('Données projet'!$B$11,Paramètres!$A$1:$I$88,5,0)</f>
        <v>320.22120000000035</v>
      </c>
      <c r="BF119" s="14">
        <f t="shared" si="91"/>
        <v>75.399376773540283</v>
      </c>
      <c r="BG119" s="22">
        <f t="shared" si="61"/>
        <v>689.03917121391657</v>
      </c>
      <c r="BH119" s="62">
        <f t="shared" si="62"/>
        <v>970.33341510863806</v>
      </c>
      <c r="BI119" s="62">
        <f ca="1">AVERAGE(OFFSET($BH$3,0,0,'Données projet'!$E$11+1,1))-AVERAGE(OFFSET($H$3,0,0,'Données projet'!$E$11+1,1))</f>
        <v>570.2785736203931</v>
      </c>
      <c r="BJ119" s="62">
        <f t="shared" si="92"/>
        <v>67.677759965081719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30.030705506869719</v>
      </c>
      <c r="BQ119" s="23">
        <f>EXP(-LN(2)/25)*BQ118+(1-EXP(-LN(2)/25))/(LN(2)/25)*Calculateur!BL119*Calculateur!BN119*VLOOKUP('Données projet'!$B$11,Paramètres!$A$1:$I$88,3,0)*0.475*44/12</f>
        <v>0</v>
      </c>
      <c r="BR119" s="23">
        <f>EXP(-LN(2)/2)*BR118+(1-EXP(-LN(2)/2))/(LN(2)/2)*BL119*BO119*VLOOKUP('Données projet'!$B$11,Paramètres!$A$1:$I$88,3,0)*0.475*44/12</f>
        <v>0</v>
      </c>
      <c r="BS119" s="24">
        <f t="shared" si="63"/>
        <v>30.030705506869719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544.19999999999982</v>
      </c>
      <c r="BZ119" s="14">
        <f>BY119*VLOOKUP('Données projet'!$B$12,Paramètres!$A$1:$I$88,3,0)*VLOOKUP('Données projet'!$B$12,Paramètres!$A$1:$I$88,5,0)</f>
        <v>325.43159999999995</v>
      </c>
      <c r="CA119" s="14">
        <f t="shared" si="93"/>
        <v>76.482394221016762</v>
      </c>
      <c r="CB119" s="22">
        <f t="shared" si="64"/>
        <v>700.00020660160408</v>
      </c>
      <c r="CC119" s="62">
        <f t="shared" si="65"/>
        <v>981.29445049632557</v>
      </c>
      <c r="CD119" s="62">
        <f ca="1">AVERAGE(OFFSET($CC$3,0,0,'Données projet'!$E$12+1,1))-AVERAGE(OFFSET($H$3,0,0,'Données projet'!$E$12+1,1))</f>
        <v>401.1031790385295</v>
      </c>
      <c r="CE119" s="62">
        <f t="shared" si="94"/>
        <v>402.09589424130615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projet'!$B$12,Paramètres!$A$1:$I$88,3,0)*0.475*44/12</f>
        <v>6.8425681611190585</v>
      </c>
      <c r="CL119" s="23">
        <f>EXP(-LN(2)/25)*CL118+(1-EXP(-LN(2)/25))/(LN(2)/25)*Calculateur!CG119*Calculateur!CI119*VLOOKUP('Données projet'!$B$12,Paramètres!$A$1:$I$88,3,0)*0.475*44/12</f>
        <v>0</v>
      </c>
      <c r="CM119" s="23">
        <f>EXP(-LN(2)/2)*CM118+(1-EXP(-LN(2)/2))/(LN(2)/2)*CG119*CJ119*VLOOKUP('Données projet'!$B$12,Paramètres!$A$1:$I$88,3,0)*0.475*44/12</f>
        <v>1.5465069677105474E-8</v>
      </c>
      <c r="CN119" s="24">
        <f t="shared" si="66"/>
        <v>6.8425681765841286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544.19999999999982</v>
      </c>
      <c r="CU119" s="18">
        <f>CT119*VLOOKUP('Données projet'!$B$13,Paramètres!$A$1:$I$88,3,0)*VLOOKUP('Données projet'!$B$13,Paramètres!$A$1:$I$88,5,0)</f>
        <v>325.43159999999995</v>
      </c>
      <c r="CV119" s="14">
        <f t="shared" si="95"/>
        <v>76.482394221016762</v>
      </c>
      <c r="CW119" s="22">
        <f t="shared" si="67"/>
        <v>700.00020660160408</v>
      </c>
      <c r="CX119" s="62">
        <f t="shared" si="68"/>
        <v>981.29445049632557</v>
      </c>
      <c r="CY119" s="62">
        <f ca="1">AVERAGE(OFFSET($CX$3,0,0,'Données projet'!$E$13+1,1))-AVERAGE(OFFSET($H$3,0,0,'Données projet'!$E$13+1,1))</f>
        <v>401.1031790385295</v>
      </c>
      <c r="CZ119" s="62">
        <f t="shared" si="96"/>
        <v>402.09589424130615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projet'!$B$13,Paramètres!$A$1:$I$88,3,0)*0.475*44/12</f>
        <v>6.8425681611190585</v>
      </c>
      <c r="DG119" s="23">
        <f>EXP(-LN(2)/25)*DG118+(1-EXP(-LN(2)/25))/(LN(2)/25)*Calculateur!DB119*Calculateur!DD119*VLOOKUP('Données projet'!$B$13,Paramètres!$A$1:$I$88,3,0)*0.475*44/12</f>
        <v>0</v>
      </c>
      <c r="DH119" s="23">
        <f>EXP(-LN(2)/2)*DH118+(1-EXP(-LN(2)/2))/(LN(2)/2)*DB119*DE119*VLOOKUP('Données projet'!$B$13,Paramètres!$A$1:$I$88,3,0)*0.475*44/12</f>
        <v>1.5465069677105474E-8</v>
      </c>
      <c r="DI119" s="24">
        <f t="shared" si="69"/>
        <v>6.8425681765841286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860.00000000000023</v>
      </c>
      <c r="DP119" s="18">
        <f>DO119*VLOOKUP('Données projet'!$B$14,Paramètres!$A$1:$I$88,3,0)*VLOOKUP('Données projet'!$B$14,Paramètres!$A$1:$I$88,5,0)</f>
        <v>346.5800000000001</v>
      </c>
      <c r="DQ119" s="14">
        <f t="shared" si="97"/>
        <v>80.857895771535127</v>
      </c>
      <c r="DR119" s="22">
        <f t="shared" si="70"/>
        <v>744.45433513542378</v>
      </c>
      <c r="DS119" s="62">
        <f t="shared" si="71"/>
        <v>1025.7485790301453</v>
      </c>
      <c r="DT119" s="62">
        <f ca="1">AVERAGE(OFFSET($DS$3,0,0,'Données projet'!$E$14+1,1))-AVERAGE(OFFSET($H$3,0,0,'Données projet'!$E$14+1,1))</f>
        <v>432.59662347701629</v>
      </c>
      <c r="DU119" s="62">
        <f t="shared" si="98"/>
        <v>348.67401091099748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projet'!$B$14,Paramètres!$A$1:$I$88,3,0)*0.475*44/12</f>
        <v>30.823457728686829</v>
      </c>
      <c r="EB119" s="23">
        <f>EXP(-LN(2)/25)*EB118+(1-EXP(-LN(2)/25))/(LN(2)/25)*Calculateur!DW119*Calculateur!DY119*VLOOKUP('Données projet'!$B$14,Paramètres!$A$1:$I$88,3,0)*0.475*44/12</f>
        <v>25.626980031609349</v>
      </c>
      <c r="EC119" s="23">
        <f>EXP(-LN(2)/2)*EC118+(1-EXP(-LN(2)/2))/(LN(2)/2)*DW119*DZ119*VLOOKUP('Données projet'!$B$14,Paramètres!$A$1:$I$88,3,0)*0.475*44/12</f>
        <v>0</v>
      </c>
      <c r="ED119" s="24">
        <f t="shared" si="72"/>
        <v>56.450437760296182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1099.9999999999998</v>
      </c>
      <c r="EK119" s="18">
        <f>EJ119*VLOOKUP('Données projet'!$B$15,Paramètres!$A$1:$I$88,3,0)*VLOOKUP('Données projet'!$B$15,Paramètres!$A$1:$I$88,5,0)</f>
        <v>486.19999999999993</v>
      </c>
      <c r="EL119" s="14">
        <f t="shared" si="99"/>
        <v>109.0490179035375</v>
      </c>
      <c r="EM119" s="22">
        <f t="shared" si="73"/>
        <v>1036.725372848661</v>
      </c>
      <c r="EN119" s="62">
        <f t="shared" si="74"/>
        <v>1318.0196167433824</v>
      </c>
      <c r="EO119" s="62">
        <f ca="1">AVERAGE(OFFSET($EN$3,0,0,'Données projet'!$E$15+1,1))-AVERAGE(OFFSET($H$3,0,0,'Données projet'!$E$15+1,1))</f>
        <v>582.26951914082088</v>
      </c>
      <c r="EP119" s="62">
        <f t="shared" si="100"/>
        <v>434.80429932654715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projet'!$B$15,Paramètres!$A$1:$I$88,3,0)*0.475*44/12</f>
        <v>31.058905943349231</v>
      </c>
      <c r="EW119" s="23">
        <f>EXP(-LN(2)/25)*EW118+(1-EXP(-LN(2)/25))/(LN(2)/25)*Calculateur!ER119*Calculateur!ET119*VLOOKUP('Données projet'!$B$15,Paramètres!$A$1:$I$88,3,0)*0.475*44/12</f>
        <v>23.027836326236461</v>
      </c>
      <c r="EX119" s="23">
        <f>EXP(-LN(2)/2)*EX118+(1-EXP(-LN(2)/2))/(LN(2)/2)*ER119*EU119*VLOOKUP('Données projet'!$B$15,Paramètres!$A$1:$I$88,3,0)*0.475*44/12</f>
        <v>0</v>
      </c>
      <c r="EY119" s="24">
        <f t="shared" si="75"/>
        <v>54.086742269585692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854.99999999999989</v>
      </c>
      <c r="FF119" s="18">
        <f>FE119*VLOOKUP('Données projet'!$B$16,Paramètres!$A$1:$I$88,3,0)*VLOOKUP('Données projet'!$B$16,Paramètres!$A$1:$I$88,5,0)</f>
        <v>400.13999999999993</v>
      </c>
      <c r="FG119" s="14">
        <f t="shared" si="101"/>
        <v>91.805047494648534</v>
      </c>
      <c r="FH119" s="22">
        <f t="shared" si="76"/>
        <v>856.80429105317944</v>
      </c>
      <c r="FI119" s="62">
        <f t="shared" si="77"/>
        <v>1138.098534947901</v>
      </c>
      <c r="FJ119" s="62">
        <f ca="1">AVERAGE(OFFSET($FI$3,0,0,'Données projet'!$E$16+1,1))-AVERAGE(OFFSET($H$3,0,0,'Données projet'!$E$16+1,1))</f>
        <v>429.87867712133851</v>
      </c>
      <c r="FK119" s="62">
        <f t="shared" si="102"/>
        <v>182.81277865988014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projet'!$B$16,Paramètres!$A$1:$I$88,3,0)*0.475*44/12</f>
        <v>37.041462055361123</v>
      </c>
      <c r="FR119" s="23">
        <f>EXP(-LN(2)/25)*FR118+(1-EXP(-LN(2)/25))/(LN(2)/25)*Calculateur!FM119*Calculateur!FO119*VLOOKUP('Données projet'!$B$16,Paramètres!$A$1:$I$88,3,0)*0.475*44/12</f>
        <v>29.191724966593316</v>
      </c>
      <c r="FS119" s="23">
        <f>EXP(-LN(2)/2)*FS118+(1-EXP(-LN(2)/2))/(LN(2)/2)*FM119*FP119*VLOOKUP('Données projet'!$B$16,Paramètres!$A$1:$I$88,3,0)*0.475*44/12</f>
        <v>0</v>
      </c>
      <c r="FT119" s="24">
        <f t="shared" si="78"/>
        <v>66.233187021954436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498.99999999999955</v>
      </c>
      <c r="GA119" s="18">
        <f>FZ119*VLOOKUP('Données projet'!$B$17,Paramètres!$A$1:$I$88,3,0)*VLOOKUP('Données projet'!$B$17,Paramètres!$A$1:$I$88,5,0)</f>
        <v>240.01899999999978</v>
      </c>
      <c r="GB119" s="14">
        <f t="shared" si="103"/>
        <v>58.443618405936313</v>
      </c>
      <c r="GC119" s="22">
        <f t="shared" si="79"/>
        <v>519.82239372367201</v>
      </c>
      <c r="GD119" s="62">
        <f t="shared" si="80"/>
        <v>801.1166376183935</v>
      </c>
      <c r="GE119" s="62">
        <f ca="1">AVERAGE(OFFSET($GD$3,0,0,'Données projet'!$E$17+1,1))-AVERAGE(OFFSET($H$3,0,0,'Données projet'!$E$17+1,1))</f>
        <v>273.24375559399846</v>
      </c>
      <c r="GF119" s="62">
        <f t="shared" si="104"/>
        <v>270.77718895097848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projet'!$B$17,Paramètres!$A$1:$I$88,3,0)*0.475*44/12</f>
        <v>15.860379288388001</v>
      </c>
      <c r="GM119" s="23">
        <f>EXP(-LN(2)/25)*GM118+(1-EXP(-LN(2)/25))/(LN(2)/25)*Calculateur!GH119*Calculateur!GJ119*VLOOKUP('Données projet'!$B$17,Paramètres!$A$1:$I$88,3,0)*0.475*44/12</f>
        <v>11.231443584292899</v>
      </c>
      <c r="GN119" s="23">
        <f>EXP(-LN(2)/2)*GN118+(1-EXP(-LN(2)/2))/(LN(2)/2)*GH119*GK119*VLOOKUP('Données projet'!$B$17,Paramètres!$A$1:$I$88,3,0)*0.475*44/12</f>
        <v>0</v>
      </c>
      <c r="GO119" s="23">
        <f t="shared" si="81"/>
        <v>27.091822872680901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550.99999999999966</v>
      </c>
      <c r="O120" s="14">
        <f>N120*VLOOKUP('Données projet'!$B$9,Paramètres!$A$1:$I$88,3,0)*VLOOKUP('Données projet'!$B$9,Paramètres!$A$1:$I$88,5,0)</f>
        <v>308.00899999999979</v>
      </c>
      <c r="P120" s="14">
        <f t="shared" si="87"/>
        <v>72.852874331417695</v>
      </c>
      <c r="Q120" s="22">
        <f t="shared" si="107"/>
        <v>663.33443112721886</v>
      </c>
      <c r="R120" s="62">
        <f t="shared" si="55"/>
        <v>944.83752630832851</v>
      </c>
      <c r="S120" s="62">
        <f ca="1">AVERAGE(OFFSET($R$3,0,0,'Données projet'!$E$9+1,1))-AVERAGE(OFFSET($H$3,0,0,'Données projet'!$E$9+1,1))</f>
        <v>289.94242154211224</v>
      </c>
      <c r="T120" s="62">
        <f t="shared" si="88"/>
        <v>369.12599166143661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23.858846008344955</v>
      </c>
      <c r="AA120" s="23">
        <f>EXP(-LN(2)/25)*AA119+(1-EXP(-LN(2)/25))/(LN(2)/25)*Calculateur!V120*Calculateur!X120*VLOOKUP('Données projet'!$B$9,Paramètres!$A$1:$I$88,3,0)*0.475*44/12</f>
        <v>13.758378532839366</v>
      </c>
      <c r="AB120" s="23">
        <f>EXP(-LN(2)/2)*AB119+(1-EXP(-LN(2)/2))/(LN(2)/2)*V120*Y120*VLOOKUP('Données projet'!$B$9,Paramètres!$A$1:$I$88,3,0)*0.475*44/12</f>
        <v>0</v>
      </c>
      <c r="AC120" s="24">
        <f t="shared" si="57"/>
        <v>37.617224541184321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4.8</v>
      </c>
      <c r="AI120" s="14">
        <f>IF('Données projet'!$A$62&gt;35,AI119+AH120-AQ119,IF(A120&lt;'Données projet'!$A$62,$AF$205^A120,IF(A120='Données projet'!$A$62,'Données projet'!$B$62,AI119+AH120-AQ119)))</f>
        <v>320.60000000000031</v>
      </c>
      <c r="AJ120" s="14">
        <f>AI120*VLOOKUP('Données projet'!$B$10,Paramètres!$A$1:$I$88,3,0)*VLOOKUP('Données projet'!$B$10,Paramètres!$A$1:$I$88,5,0)</f>
        <v>290.07888000000031</v>
      </c>
      <c r="AK120" s="14">
        <f t="shared" si="89"/>
        <v>69.092562427360534</v>
      </c>
      <c r="AL120" s="22">
        <f t="shared" si="58"/>
        <v>625.55692889432009</v>
      </c>
      <c r="AM120" s="62">
        <f t="shared" si="59"/>
        <v>907.06002407542974</v>
      </c>
      <c r="AN120" s="62">
        <f ca="1">AVERAGE(OFFSET($AM$3,0,0,'Données projet'!$E$10+1,1))-AVERAGE(OFFSET($H$3,0,0,'Données projet'!$E$10+1,1))</f>
        <v>518.31628039365785</v>
      </c>
      <c r="AO120" s="62">
        <f t="shared" si="90"/>
        <v>66.435071953154761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26.271163968469217</v>
      </c>
      <c r="AV120" s="23">
        <f>EXP(-LN(2)/25)*AV119+(1-EXP(-LN(2)/25))/(LN(2)/25)*Calculateur!AQ120*Calculateur!AS120*VLOOKUP('Données projet'!$B$10,Paramètres!$A$1:$I$88,3,0)*0.475*44/12</f>
        <v>0</v>
      </c>
      <c r="AW120" s="23">
        <f>EXP(-LN(2)/2)*AW119+(1-EXP(-LN(2)/2))/(LN(2)/2)*AQ120*AT120*VLOOKUP('Données projet'!$B$10,Paramètres!$A$1:$I$88,3,0)*0.475*44/12</f>
        <v>0</v>
      </c>
      <c r="AX120" s="23">
        <f t="shared" si="60"/>
        <v>26.271163968469217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4.8</v>
      </c>
      <c r="BD120" s="13">
        <f>IF('Données projet'!$A$88&gt;35,BD119+BC120-BL119,IF(A120&lt;'Données projet'!$A$88,$BA$205^A120,IF(A120='Données projet'!$A$88,'Données projet'!$B$88,BD119+BC120-BL119)))</f>
        <v>320.60000000000031</v>
      </c>
      <c r="BE120" s="14">
        <f>BD120*VLOOKUP('Données projet'!$B$11,Paramètres!$A$1:$I$88,3,0)*VLOOKUP('Données projet'!$B$11,Paramètres!$A$1:$I$88,5,0)</f>
        <v>325.08840000000032</v>
      </c>
      <c r="BF120" s="14">
        <f t="shared" si="91"/>
        <v>76.411120176279894</v>
      </c>
      <c r="BG120" s="22">
        <f t="shared" si="61"/>
        <v>699.27833097368796</v>
      </c>
      <c r="BH120" s="62">
        <f t="shared" si="62"/>
        <v>980.7814261547976</v>
      </c>
      <c r="BI120" s="62">
        <f ca="1">AVERAGE(OFFSET($BH$3,0,0,'Données projet'!$E$11+1,1))-AVERAGE(OFFSET($H$3,0,0,'Données projet'!$E$11+1,1))</f>
        <v>570.2785736203931</v>
      </c>
      <c r="BJ120" s="62">
        <f t="shared" si="92"/>
        <v>67.677759965081719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29.441821688801717</v>
      </c>
      <c r="BQ120" s="23">
        <f>EXP(-LN(2)/25)*BQ119+(1-EXP(-LN(2)/25))/(LN(2)/25)*Calculateur!BL120*Calculateur!BN120*VLOOKUP('Données projet'!$B$11,Paramètres!$A$1:$I$88,3,0)*0.475*44/12</f>
        <v>0</v>
      </c>
      <c r="BR120" s="23">
        <f>EXP(-LN(2)/2)*BR119+(1-EXP(-LN(2)/2))/(LN(2)/2)*BL120*BO120*VLOOKUP('Données projet'!$B$11,Paramètres!$A$1:$I$88,3,0)*0.475*44/12</f>
        <v>0</v>
      </c>
      <c r="BS120" s="24">
        <f t="shared" si="63"/>
        <v>29.441821688801717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544.19999999999982</v>
      </c>
      <c r="BZ120" s="14">
        <f>BY120*VLOOKUP('Données projet'!$B$12,Paramètres!$A$1:$I$88,3,0)*VLOOKUP('Données projet'!$B$12,Paramètres!$A$1:$I$88,5,0)</f>
        <v>325.43159999999995</v>
      </c>
      <c r="CA120" s="14">
        <f t="shared" si="93"/>
        <v>76.482394221016762</v>
      </c>
      <c r="CB120" s="22">
        <f t="shared" si="64"/>
        <v>700.00020660160408</v>
      </c>
      <c r="CC120" s="62">
        <f t="shared" si="65"/>
        <v>981.50330178271372</v>
      </c>
      <c r="CD120" s="62">
        <f ca="1">AVERAGE(OFFSET($CC$3,0,0,'Données projet'!$E$12+1,1))-AVERAGE(OFFSET($H$3,0,0,'Données projet'!$E$12+1,1))</f>
        <v>401.1031790385295</v>
      </c>
      <c r="CE120" s="62">
        <f t="shared" si="94"/>
        <v>402.09589424130615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projet'!$B$12,Paramètres!$A$1:$I$88,3,0)*0.475*44/12</f>
        <v>6.7083895730339878</v>
      </c>
      <c r="CL120" s="23">
        <f>EXP(-LN(2)/25)*CL119+(1-EXP(-LN(2)/25))/(LN(2)/25)*Calculateur!CG120*Calculateur!CI120*VLOOKUP('Données projet'!$B$12,Paramètres!$A$1:$I$88,3,0)*0.475*44/12</f>
        <v>0</v>
      </c>
      <c r="CM120" s="23">
        <f>EXP(-LN(2)/2)*CM119+(1-EXP(-LN(2)/2))/(LN(2)/2)*CG120*CJ120*VLOOKUP('Données projet'!$B$12,Paramètres!$A$1:$I$88,3,0)*0.475*44/12</f>
        <v>1.0935455640203732E-8</v>
      </c>
      <c r="CN120" s="24">
        <f t="shared" si="66"/>
        <v>6.708389583969443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544.19999999999982</v>
      </c>
      <c r="CU120" s="18">
        <f>CT120*VLOOKUP('Données projet'!$B$13,Paramètres!$A$1:$I$88,3,0)*VLOOKUP('Données projet'!$B$13,Paramètres!$A$1:$I$88,5,0)</f>
        <v>325.43159999999995</v>
      </c>
      <c r="CV120" s="14">
        <f t="shared" si="95"/>
        <v>76.482394221016762</v>
      </c>
      <c r="CW120" s="22">
        <f t="shared" si="67"/>
        <v>700.00020660160408</v>
      </c>
      <c r="CX120" s="62">
        <f t="shared" si="68"/>
        <v>981.50330178271372</v>
      </c>
      <c r="CY120" s="62">
        <f ca="1">AVERAGE(OFFSET($CX$3,0,0,'Données projet'!$E$13+1,1))-AVERAGE(OFFSET($H$3,0,0,'Données projet'!$E$13+1,1))</f>
        <v>401.1031790385295</v>
      </c>
      <c r="CZ120" s="62">
        <f t="shared" si="96"/>
        <v>402.09589424130615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projet'!$B$13,Paramètres!$A$1:$I$88,3,0)*0.475*44/12</f>
        <v>6.7083895730339878</v>
      </c>
      <c r="DG120" s="23">
        <f>EXP(-LN(2)/25)*DG119+(1-EXP(-LN(2)/25))/(LN(2)/25)*Calculateur!DB120*Calculateur!DD120*VLOOKUP('Données projet'!$B$13,Paramètres!$A$1:$I$88,3,0)*0.475*44/12</f>
        <v>0</v>
      </c>
      <c r="DH120" s="23">
        <f>EXP(-LN(2)/2)*DH119+(1-EXP(-LN(2)/2))/(LN(2)/2)*DB120*DE120*VLOOKUP('Données projet'!$B$13,Paramètres!$A$1:$I$88,3,0)*0.475*44/12</f>
        <v>1.0935455640203732E-8</v>
      </c>
      <c r="DI120" s="24">
        <f t="shared" si="69"/>
        <v>6.708389583969443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860.00000000000023</v>
      </c>
      <c r="DP120" s="18">
        <f>DO120*VLOOKUP('Données projet'!$B$14,Paramètres!$A$1:$I$88,3,0)*VLOOKUP('Données projet'!$B$14,Paramètres!$A$1:$I$88,5,0)</f>
        <v>346.5800000000001</v>
      </c>
      <c r="DQ120" s="14">
        <f t="shared" si="97"/>
        <v>80.857895771535127</v>
      </c>
      <c r="DR120" s="22">
        <f t="shared" si="70"/>
        <v>744.45433513542378</v>
      </c>
      <c r="DS120" s="62">
        <f t="shared" si="71"/>
        <v>1025.9574303165334</v>
      </c>
      <c r="DT120" s="62">
        <f ca="1">AVERAGE(OFFSET($DS$3,0,0,'Données projet'!$E$14+1,1))-AVERAGE(OFFSET($H$3,0,0,'Données projet'!$E$14+1,1))</f>
        <v>432.59662347701629</v>
      </c>
      <c r="DU120" s="62">
        <f t="shared" si="98"/>
        <v>348.67401091099748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projet'!$B$14,Paramètres!$A$1:$I$88,3,0)*0.475*44/12</f>
        <v>30.219028523080105</v>
      </c>
      <c r="EB120" s="23">
        <f>EXP(-LN(2)/25)*EB119+(1-EXP(-LN(2)/25))/(LN(2)/25)*Calculateur!DW120*Calculateur!DY120*VLOOKUP('Données projet'!$B$14,Paramètres!$A$1:$I$88,3,0)*0.475*44/12</f>
        <v>24.926208914980684</v>
      </c>
      <c r="EC120" s="23">
        <f>EXP(-LN(2)/2)*EC119+(1-EXP(-LN(2)/2))/(LN(2)/2)*DW120*DZ120*VLOOKUP('Données projet'!$B$14,Paramètres!$A$1:$I$88,3,0)*0.475*44/12</f>
        <v>0</v>
      </c>
      <c r="ED120" s="24">
        <f t="shared" si="72"/>
        <v>55.145237438060789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1099.9999999999998</v>
      </c>
      <c r="EK120" s="18">
        <f>EJ120*VLOOKUP('Données projet'!$B$15,Paramètres!$A$1:$I$88,3,0)*VLOOKUP('Données projet'!$B$15,Paramètres!$A$1:$I$88,5,0)</f>
        <v>486.19999999999993</v>
      </c>
      <c r="EL120" s="14">
        <f t="shared" si="99"/>
        <v>109.0490179035375</v>
      </c>
      <c r="EM120" s="22">
        <f t="shared" si="73"/>
        <v>1036.725372848661</v>
      </c>
      <c r="EN120" s="62">
        <f t="shared" si="74"/>
        <v>1318.2284680297707</v>
      </c>
      <c r="EO120" s="62">
        <f ca="1">AVERAGE(OFFSET($EN$3,0,0,'Données projet'!$E$15+1,1))-AVERAGE(OFFSET($H$3,0,0,'Données projet'!$E$15+1,1))</f>
        <v>582.26951914082088</v>
      </c>
      <c r="EP120" s="62">
        <f t="shared" si="100"/>
        <v>434.80429932654715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projet'!$B$15,Paramètres!$A$1:$I$88,3,0)*0.475*44/12</f>
        <v>30.449859741862205</v>
      </c>
      <c r="EW120" s="23">
        <f>EXP(-LN(2)/25)*EW119+(1-EXP(-LN(2)/25))/(LN(2)/25)*Calculateur!ER120*Calculateur!ET120*VLOOKUP('Données projet'!$B$15,Paramètres!$A$1:$I$88,3,0)*0.475*44/12</f>
        <v>22.398138930914243</v>
      </c>
      <c r="EX120" s="23">
        <f>EXP(-LN(2)/2)*EX119+(1-EXP(-LN(2)/2))/(LN(2)/2)*ER120*EU120*VLOOKUP('Données projet'!$B$15,Paramètres!$A$1:$I$88,3,0)*0.475*44/12</f>
        <v>0</v>
      </c>
      <c r="EY120" s="24">
        <f t="shared" si="75"/>
        <v>52.847998672776448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854.99999999999989</v>
      </c>
      <c r="FF120" s="18">
        <f>FE120*VLOOKUP('Données projet'!$B$16,Paramètres!$A$1:$I$88,3,0)*VLOOKUP('Données projet'!$B$16,Paramètres!$A$1:$I$88,5,0)</f>
        <v>400.13999999999993</v>
      </c>
      <c r="FG120" s="14">
        <f t="shared" si="101"/>
        <v>91.805047494648534</v>
      </c>
      <c r="FH120" s="22">
        <f t="shared" si="76"/>
        <v>856.80429105317944</v>
      </c>
      <c r="FI120" s="62">
        <f t="shared" si="77"/>
        <v>1138.307386234289</v>
      </c>
      <c r="FJ120" s="62">
        <f ca="1">AVERAGE(OFFSET($FI$3,0,0,'Données projet'!$E$16+1,1))-AVERAGE(OFFSET($H$3,0,0,'Données projet'!$E$16+1,1))</f>
        <v>429.87867712133851</v>
      </c>
      <c r="FK120" s="62">
        <f t="shared" si="102"/>
        <v>182.81277865988014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projet'!$B$16,Paramètres!$A$1:$I$88,3,0)*0.475*44/12</f>
        <v>36.315101577516465</v>
      </c>
      <c r="FR120" s="23">
        <f>EXP(-LN(2)/25)*FR119+(1-EXP(-LN(2)/25))/(LN(2)/25)*Calculateur!FM120*Calculateur!FO120*VLOOKUP('Données projet'!$B$16,Paramètres!$A$1:$I$88,3,0)*0.475*44/12</f>
        <v>28.393475712255725</v>
      </c>
      <c r="FS120" s="23">
        <f>EXP(-LN(2)/2)*FS119+(1-EXP(-LN(2)/2))/(LN(2)/2)*FM120*FP120*VLOOKUP('Données projet'!$B$16,Paramètres!$A$1:$I$88,3,0)*0.475*44/12</f>
        <v>0</v>
      </c>
      <c r="FT120" s="24">
        <f t="shared" si="78"/>
        <v>64.708577289772194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498.99999999999955</v>
      </c>
      <c r="GA120" s="18">
        <f>FZ120*VLOOKUP('Données projet'!$B$17,Paramètres!$A$1:$I$88,3,0)*VLOOKUP('Données projet'!$B$17,Paramètres!$A$1:$I$88,5,0)</f>
        <v>240.01899999999978</v>
      </c>
      <c r="GB120" s="14">
        <f t="shared" si="103"/>
        <v>58.443618405936313</v>
      </c>
      <c r="GC120" s="22">
        <f t="shared" si="79"/>
        <v>519.82239372367201</v>
      </c>
      <c r="GD120" s="62">
        <f t="shared" si="80"/>
        <v>801.32548890478165</v>
      </c>
      <c r="GE120" s="62">
        <f ca="1">AVERAGE(OFFSET($GD$3,0,0,'Données projet'!$E$17+1,1))-AVERAGE(OFFSET($H$3,0,0,'Données projet'!$E$17+1,1))</f>
        <v>273.24375559399846</v>
      </c>
      <c r="GF120" s="62">
        <f t="shared" si="104"/>
        <v>270.77718895097848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projet'!$B$17,Paramètres!$A$1:$I$88,3,0)*0.475*44/12</f>
        <v>15.549366924418862</v>
      </c>
      <c r="GM120" s="23">
        <f>EXP(-LN(2)/25)*GM119+(1-EXP(-LN(2)/25))/(LN(2)/25)*Calculateur!GH120*Calculateur!GJ120*VLOOKUP('Données projet'!$B$17,Paramètres!$A$1:$I$88,3,0)*0.475*44/12</f>
        <v>10.924319168844461</v>
      </c>
      <c r="GN120" s="23">
        <f>EXP(-LN(2)/2)*GN119+(1-EXP(-LN(2)/2))/(LN(2)/2)*GH120*GK120*VLOOKUP('Données projet'!$B$17,Paramètres!$A$1:$I$88,3,0)*0.475*44/12</f>
        <v>0</v>
      </c>
      <c r="GO120" s="23">
        <f t="shared" si="81"/>
        <v>26.473686093263325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550.99999999999966</v>
      </c>
      <c r="O121" s="14">
        <f>N121*VLOOKUP('Données projet'!$B$9,Paramètres!$A$1:$I$88,3,0)*VLOOKUP('Données projet'!$B$9,Paramètres!$A$1:$I$88,5,0)</f>
        <v>308.00899999999979</v>
      </c>
      <c r="P121" s="14">
        <f t="shared" si="87"/>
        <v>72.852874331417695</v>
      </c>
      <c r="Q121" s="22">
        <f t="shared" si="107"/>
        <v>663.33443112721886</v>
      </c>
      <c r="R121" s="62">
        <f t="shared" si="55"/>
        <v>945.04275449181932</v>
      </c>
      <c r="S121" s="62">
        <f ca="1">AVERAGE(OFFSET($R$3,0,0,'Données projet'!$E$9+1,1))-AVERAGE(OFFSET($H$3,0,0,'Données projet'!$E$9+1,1))</f>
        <v>289.94242154211224</v>
      </c>
      <c r="T121" s="62">
        <f t="shared" si="88"/>
        <v>369.12599166143661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23.390988590580438</v>
      </c>
      <c r="AA121" s="23">
        <f>EXP(-LN(2)/25)*AA120+(1-EXP(-LN(2)/25))/(LN(2)/25)*Calculateur!V121*Calculateur!X121*VLOOKUP('Données projet'!$B$9,Paramètres!$A$1:$I$88,3,0)*0.475*44/12</f>
        <v>13.382154948337192</v>
      </c>
      <c r="AB121" s="23">
        <f>EXP(-LN(2)/2)*AB120+(1-EXP(-LN(2)/2))/(LN(2)/2)*V121*Y121*VLOOKUP('Données projet'!$B$9,Paramètres!$A$1:$I$88,3,0)*0.475*44/12</f>
        <v>0</v>
      </c>
      <c r="AC121" s="24">
        <f t="shared" si="57"/>
        <v>36.77314353891763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4.8</v>
      </c>
      <c r="AI121" s="14">
        <f>IF('Données projet'!$A$62&gt;35,AI120+AH121-AQ120,IF(A121&lt;'Données projet'!$A$62,$AF$205^A121,IF(A121='Données projet'!$A$62,'Données projet'!$B$62,AI120+AH121-AQ120)))</f>
        <v>325.40000000000032</v>
      </c>
      <c r="AJ121" s="14">
        <f>AI121*VLOOKUP('Données projet'!$B$10,Paramètres!$A$1:$I$88,3,0)*VLOOKUP('Données projet'!$B$10,Paramètres!$A$1:$I$88,5,0)</f>
        <v>294.42192000000028</v>
      </c>
      <c r="AK121" s="14">
        <f t="shared" si="89"/>
        <v>70.00580936667663</v>
      </c>
      <c r="AL121" s="22">
        <f t="shared" si="58"/>
        <v>634.71162864696225</v>
      </c>
      <c r="AM121" s="62">
        <f t="shared" si="59"/>
        <v>916.4199520115626</v>
      </c>
      <c r="AN121" s="62">
        <f ca="1">AVERAGE(OFFSET($AM$3,0,0,'Données projet'!$E$10+1,1))-AVERAGE(OFFSET($H$3,0,0,'Données projet'!$E$10+1,1))</f>
        <v>518.31628039365785</v>
      </c>
      <c r="AO121" s="62">
        <f t="shared" si="90"/>
        <v>66.435071953154761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25.756002466875334</v>
      </c>
      <c r="AV121" s="23">
        <f>EXP(-LN(2)/25)*AV120+(1-EXP(-LN(2)/25))/(LN(2)/25)*Calculateur!AQ121*Calculateur!AS121*VLOOKUP('Données projet'!$B$10,Paramètres!$A$1:$I$88,3,0)*0.475*44/12</f>
        <v>0</v>
      </c>
      <c r="AW121" s="23">
        <f>EXP(-LN(2)/2)*AW120+(1-EXP(-LN(2)/2))/(LN(2)/2)*AQ121*AT121*VLOOKUP('Données projet'!$B$10,Paramètres!$A$1:$I$88,3,0)*0.475*44/12</f>
        <v>0</v>
      </c>
      <c r="AX121" s="23">
        <f t="shared" si="60"/>
        <v>25.756002466875334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4.8</v>
      </c>
      <c r="BD121" s="13">
        <f>IF('Données projet'!$A$88&gt;35,BD120+BC121-BL120,IF(A121&lt;'Données projet'!$A$88,$BA$205^A121,IF(A121='Données projet'!$A$88,'Données projet'!$B$88,BD120+BC121-BL120)))</f>
        <v>325.40000000000032</v>
      </c>
      <c r="BE121" s="14">
        <f>BD121*VLOOKUP('Données projet'!$B$11,Paramètres!$A$1:$I$88,3,0)*VLOOKUP('Données projet'!$B$11,Paramètres!$A$1:$I$88,5,0)</f>
        <v>329.95560000000035</v>
      </c>
      <c r="BF121" s="14">
        <f t="shared" si="91"/>
        <v>77.421101846941937</v>
      </c>
      <c r="BG121" s="22">
        <f t="shared" si="61"/>
        <v>709.51442238342452</v>
      </c>
      <c r="BH121" s="62">
        <f t="shared" si="62"/>
        <v>991.22274574802486</v>
      </c>
      <c r="BI121" s="62">
        <f ca="1">AVERAGE(OFFSET($BH$3,0,0,'Données projet'!$E$11+1,1))-AVERAGE(OFFSET($H$3,0,0,'Données projet'!$E$11+1,1))</f>
        <v>570.2785736203931</v>
      </c>
      <c r="BJ121" s="62">
        <f t="shared" si="92"/>
        <v>67.677759965081719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28.864485523222367</v>
      </c>
      <c r="BQ121" s="23">
        <f>EXP(-LN(2)/25)*BQ120+(1-EXP(-LN(2)/25))/(LN(2)/25)*Calculateur!BL121*Calculateur!BN121*VLOOKUP('Données projet'!$B$11,Paramètres!$A$1:$I$88,3,0)*0.475*44/12</f>
        <v>0</v>
      </c>
      <c r="BR121" s="23">
        <f>EXP(-LN(2)/2)*BR120+(1-EXP(-LN(2)/2))/(LN(2)/2)*BL121*BO121*VLOOKUP('Données projet'!$B$11,Paramètres!$A$1:$I$88,3,0)*0.475*44/12</f>
        <v>0</v>
      </c>
      <c r="BS121" s="24">
        <f t="shared" si="63"/>
        <v>28.864485523222367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544.19999999999982</v>
      </c>
      <c r="BZ121" s="14">
        <f>BY121*VLOOKUP('Données projet'!$B$12,Paramètres!$A$1:$I$88,3,0)*VLOOKUP('Données projet'!$B$12,Paramètres!$A$1:$I$88,5,0)</f>
        <v>325.43159999999995</v>
      </c>
      <c r="CA121" s="14">
        <f t="shared" si="93"/>
        <v>76.482394221016762</v>
      </c>
      <c r="CB121" s="22">
        <f t="shared" si="64"/>
        <v>700.00020660160408</v>
      </c>
      <c r="CC121" s="62">
        <f t="shared" si="65"/>
        <v>981.70852996620442</v>
      </c>
      <c r="CD121" s="62">
        <f ca="1">AVERAGE(OFFSET($CC$3,0,0,'Données projet'!$E$12+1,1))-AVERAGE(OFFSET($H$3,0,0,'Données projet'!$E$12+1,1))</f>
        <v>401.1031790385295</v>
      </c>
      <c r="CE121" s="62">
        <f t="shared" si="94"/>
        <v>402.09589424130615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projet'!$B$12,Paramètres!$A$1:$I$88,3,0)*0.475*44/12</f>
        <v>6.5768421452204073</v>
      </c>
      <c r="CL121" s="23">
        <f>EXP(-LN(2)/25)*CL120+(1-EXP(-LN(2)/25))/(LN(2)/25)*Calculateur!CG121*Calculateur!CI121*VLOOKUP('Données projet'!$B$12,Paramètres!$A$1:$I$88,3,0)*0.475*44/12</f>
        <v>0</v>
      </c>
      <c r="CM121" s="23">
        <f>EXP(-LN(2)/2)*CM120+(1-EXP(-LN(2)/2))/(LN(2)/2)*CG121*CJ121*VLOOKUP('Données projet'!$B$12,Paramètres!$A$1:$I$88,3,0)*0.475*44/12</f>
        <v>7.7325348385527371E-9</v>
      </c>
      <c r="CN121" s="24">
        <f t="shared" si="66"/>
        <v>6.5768421529529419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544.19999999999982</v>
      </c>
      <c r="CU121" s="18">
        <f>CT121*VLOOKUP('Données projet'!$B$13,Paramètres!$A$1:$I$88,3,0)*VLOOKUP('Données projet'!$B$13,Paramètres!$A$1:$I$88,5,0)</f>
        <v>325.43159999999995</v>
      </c>
      <c r="CV121" s="14">
        <f t="shared" si="95"/>
        <v>76.482394221016762</v>
      </c>
      <c r="CW121" s="22">
        <f t="shared" si="67"/>
        <v>700.00020660160408</v>
      </c>
      <c r="CX121" s="62">
        <f t="shared" si="68"/>
        <v>981.70852996620442</v>
      </c>
      <c r="CY121" s="62">
        <f ca="1">AVERAGE(OFFSET($CX$3,0,0,'Données projet'!$E$13+1,1))-AVERAGE(OFFSET($H$3,0,0,'Données projet'!$E$13+1,1))</f>
        <v>401.1031790385295</v>
      </c>
      <c r="CZ121" s="62">
        <f t="shared" si="96"/>
        <v>402.09589424130615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projet'!$B$13,Paramètres!$A$1:$I$88,3,0)*0.475*44/12</f>
        <v>6.5768421452204073</v>
      </c>
      <c r="DG121" s="23">
        <f>EXP(-LN(2)/25)*DG120+(1-EXP(-LN(2)/25))/(LN(2)/25)*Calculateur!DB121*Calculateur!DD121*VLOOKUP('Données projet'!$B$13,Paramètres!$A$1:$I$88,3,0)*0.475*44/12</f>
        <v>0</v>
      </c>
      <c r="DH121" s="23">
        <f>EXP(-LN(2)/2)*DH120+(1-EXP(-LN(2)/2))/(LN(2)/2)*DB121*DE121*VLOOKUP('Données projet'!$B$13,Paramètres!$A$1:$I$88,3,0)*0.475*44/12</f>
        <v>7.7325348385527371E-9</v>
      </c>
      <c r="DI121" s="24">
        <f t="shared" si="69"/>
        <v>6.5768421529529419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860.00000000000023</v>
      </c>
      <c r="DP121" s="18">
        <f>DO121*VLOOKUP('Données projet'!$B$14,Paramètres!$A$1:$I$88,3,0)*VLOOKUP('Données projet'!$B$14,Paramètres!$A$1:$I$88,5,0)</f>
        <v>346.5800000000001</v>
      </c>
      <c r="DQ121" s="14">
        <f t="shared" si="97"/>
        <v>80.857895771535127</v>
      </c>
      <c r="DR121" s="22">
        <f t="shared" si="70"/>
        <v>744.45433513542378</v>
      </c>
      <c r="DS121" s="62">
        <f t="shared" si="71"/>
        <v>1026.1626585000242</v>
      </c>
      <c r="DT121" s="62">
        <f ca="1">AVERAGE(OFFSET($DS$3,0,0,'Données projet'!$E$14+1,1))-AVERAGE(OFFSET($H$3,0,0,'Données projet'!$E$14+1,1))</f>
        <v>432.59662347701629</v>
      </c>
      <c r="DU121" s="62">
        <f t="shared" si="98"/>
        <v>348.67401091099748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projet'!$B$14,Paramètres!$A$1:$I$88,3,0)*0.475*44/12</f>
        <v>29.626451805529914</v>
      </c>
      <c r="EB121" s="23">
        <f>EXP(-LN(2)/25)*EB120+(1-EXP(-LN(2)/25))/(LN(2)/25)*Calculateur!DW121*Calculateur!DY121*VLOOKUP('Données projet'!$B$14,Paramètres!$A$1:$I$88,3,0)*0.475*44/12</f>
        <v>24.244600421388181</v>
      </c>
      <c r="EC121" s="23">
        <f>EXP(-LN(2)/2)*EC120+(1-EXP(-LN(2)/2))/(LN(2)/2)*DW121*DZ121*VLOOKUP('Données projet'!$B$14,Paramètres!$A$1:$I$88,3,0)*0.475*44/12</f>
        <v>0</v>
      </c>
      <c r="ED121" s="24">
        <f t="shared" si="72"/>
        <v>53.871052226918096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1099.9999999999998</v>
      </c>
      <c r="EK121" s="18">
        <f>EJ121*VLOOKUP('Données projet'!$B$15,Paramètres!$A$1:$I$88,3,0)*VLOOKUP('Données projet'!$B$15,Paramètres!$A$1:$I$88,5,0)</f>
        <v>486.19999999999993</v>
      </c>
      <c r="EL121" s="14">
        <f t="shared" si="99"/>
        <v>109.0490179035375</v>
      </c>
      <c r="EM121" s="22">
        <f t="shared" si="73"/>
        <v>1036.725372848661</v>
      </c>
      <c r="EN121" s="62">
        <f t="shared" si="74"/>
        <v>1318.4336962132613</v>
      </c>
      <c r="EO121" s="62">
        <f ca="1">AVERAGE(OFFSET($EN$3,0,0,'Données projet'!$E$15+1,1))-AVERAGE(OFFSET($H$3,0,0,'Données projet'!$E$15+1,1))</f>
        <v>582.26951914082088</v>
      </c>
      <c r="EP121" s="62">
        <f t="shared" si="100"/>
        <v>434.80429932654715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projet'!$B$15,Paramètres!$A$1:$I$88,3,0)*0.475*44/12</f>
        <v>29.852756564904841</v>
      </c>
      <c r="EW121" s="23">
        <f>EXP(-LN(2)/25)*EW120+(1-EXP(-LN(2)/25))/(LN(2)/25)*Calculateur!ER121*Calculateur!ET121*VLOOKUP('Données projet'!$B$15,Paramètres!$A$1:$I$88,3,0)*0.475*44/12</f>
        <v>21.785660643981458</v>
      </c>
      <c r="EX121" s="23">
        <f>EXP(-LN(2)/2)*EX120+(1-EXP(-LN(2)/2))/(LN(2)/2)*ER121*EU121*VLOOKUP('Données projet'!$B$15,Paramètres!$A$1:$I$88,3,0)*0.475*44/12</f>
        <v>0</v>
      </c>
      <c r="EY121" s="24">
        <f t="shared" si="75"/>
        <v>51.638417208886295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854.99999999999989</v>
      </c>
      <c r="FF121" s="18">
        <f>FE121*VLOOKUP('Données projet'!$B$16,Paramètres!$A$1:$I$88,3,0)*VLOOKUP('Données projet'!$B$16,Paramètres!$A$1:$I$88,5,0)</f>
        <v>400.13999999999993</v>
      </c>
      <c r="FG121" s="14">
        <f t="shared" si="101"/>
        <v>91.805047494648534</v>
      </c>
      <c r="FH121" s="22">
        <f t="shared" si="76"/>
        <v>856.80429105317944</v>
      </c>
      <c r="FI121" s="62">
        <f t="shared" si="77"/>
        <v>1138.5126144177798</v>
      </c>
      <c r="FJ121" s="62">
        <f ca="1">AVERAGE(OFFSET($FI$3,0,0,'Données projet'!$E$16+1,1))-AVERAGE(OFFSET($H$3,0,0,'Données projet'!$E$16+1,1))</f>
        <v>429.87867712133851</v>
      </c>
      <c r="FK121" s="62">
        <f t="shared" si="102"/>
        <v>182.81277865988014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projet'!$B$16,Paramètres!$A$1:$I$88,3,0)*0.475*44/12</f>
        <v>35.602984585606194</v>
      </c>
      <c r="FR121" s="23">
        <f>EXP(-LN(2)/25)*FR120+(1-EXP(-LN(2)/25))/(LN(2)/25)*Calculateur!FM121*Calculateur!FO121*VLOOKUP('Données projet'!$B$16,Paramètres!$A$1:$I$88,3,0)*0.475*44/12</f>
        <v>27.617054625756097</v>
      </c>
      <c r="FS121" s="23">
        <f>EXP(-LN(2)/2)*FS120+(1-EXP(-LN(2)/2))/(LN(2)/2)*FM121*FP121*VLOOKUP('Données projet'!$B$16,Paramètres!$A$1:$I$88,3,0)*0.475*44/12</f>
        <v>0</v>
      </c>
      <c r="FT121" s="24">
        <f t="shared" si="78"/>
        <v>63.220039211362291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498.99999999999955</v>
      </c>
      <c r="GA121" s="18">
        <f>FZ121*VLOOKUP('Données projet'!$B$17,Paramètres!$A$1:$I$88,3,0)*VLOOKUP('Données projet'!$B$17,Paramètres!$A$1:$I$88,5,0)</f>
        <v>240.01899999999978</v>
      </c>
      <c r="GB121" s="14">
        <f t="shared" si="103"/>
        <v>58.443618405936313</v>
      </c>
      <c r="GC121" s="22">
        <f t="shared" si="79"/>
        <v>519.82239372367201</v>
      </c>
      <c r="GD121" s="62">
        <f t="shared" si="80"/>
        <v>801.53071708827247</v>
      </c>
      <c r="GE121" s="62">
        <f ca="1">AVERAGE(OFFSET($GD$3,0,0,'Données projet'!$E$17+1,1))-AVERAGE(OFFSET($H$3,0,0,'Données projet'!$E$17+1,1))</f>
        <v>273.24375559399846</v>
      </c>
      <c r="GF121" s="62">
        <f t="shared" si="104"/>
        <v>270.77718895097848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projet'!$B$17,Paramètres!$A$1:$I$88,3,0)*0.475*44/12</f>
        <v>15.244453323208347</v>
      </c>
      <c r="GM121" s="23">
        <f>EXP(-LN(2)/25)*GM120+(1-EXP(-LN(2)/25))/(LN(2)/25)*Calculateur!GH121*Calculateur!GJ121*VLOOKUP('Données projet'!$B$17,Paramètres!$A$1:$I$88,3,0)*0.475*44/12</f>
        <v>10.625593086687433</v>
      </c>
      <c r="GN121" s="23">
        <f>EXP(-LN(2)/2)*GN120+(1-EXP(-LN(2)/2))/(LN(2)/2)*GH121*GK121*VLOOKUP('Données projet'!$B$17,Paramètres!$A$1:$I$88,3,0)*0.475*44/12</f>
        <v>0</v>
      </c>
      <c r="GO121" s="23">
        <f t="shared" si="81"/>
        <v>25.870046409895778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550.99999999999966</v>
      </c>
      <c r="O122" s="14">
        <f>N122*VLOOKUP('Données projet'!$B$9,Paramètres!$A$1:$I$88,3,0)*VLOOKUP('Données projet'!$B$9,Paramètres!$A$1:$I$88,5,0)</f>
        <v>308.00899999999979</v>
      </c>
      <c r="P122" s="14">
        <f t="shared" si="87"/>
        <v>72.852874331417695</v>
      </c>
      <c r="Q122" s="22">
        <f t="shared" si="107"/>
        <v>663.33443112721886</v>
      </c>
      <c r="R122" s="62">
        <f t="shared" si="55"/>
        <v>945.24442242514806</v>
      </c>
      <c r="S122" s="62">
        <f ca="1">AVERAGE(OFFSET($R$3,0,0,'Données projet'!$E$9+1,1))-AVERAGE(OFFSET($H$3,0,0,'Données projet'!$E$9+1,1))</f>
        <v>289.94242154211224</v>
      </c>
      <c r="T122" s="62">
        <f t="shared" si="88"/>
        <v>369.12599166143661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22.932305571413437</v>
      </c>
      <c r="AA122" s="23">
        <f>EXP(-LN(2)/25)*AA121+(1-EXP(-LN(2)/25))/(LN(2)/25)*Calculateur!V122*Calculateur!X122*VLOOKUP('Données projet'!$B$9,Paramètres!$A$1:$I$88,3,0)*0.475*44/12</f>
        <v>13.016219217537968</v>
      </c>
      <c r="AB122" s="23">
        <f>EXP(-LN(2)/2)*AB121+(1-EXP(-LN(2)/2))/(LN(2)/2)*V122*Y122*VLOOKUP('Données projet'!$B$9,Paramètres!$A$1:$I$88,3,0)*0.475*44/12</f>
        <v>0</v>
      </c>
      <c r="AC122" s="24">
        <f t="shared" si="57"/>
        <v>35.948524788951403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4.8</v>
      </c>
      <c r="AI122" s="14">
        <f>IF('Données projet'!$A$62&gt;35,AI121+AH122-AQ121,IF(A122&lt;'Données projet'!$A$62,$AF$205^A122,IF(A122='Données projet'!$A$62,'Données projet'!$B$62,AI121+AH122-AQ121)))</f>
        <v>330.20000000000033</v>
      </c>
      <c r="AJ122" s="14">
        <f>AI122*VLOOKUP('Données projet'!$B$10,Paramètres!$A$1:$I$88,3,0)*VLOOKUP('Données projet'!$B$10,Paramètres!$A$1:$I$88,5,0)</f>
        <v>298.76496000000031</v>
      </c>
      <c r="AK122" s="14">
        <f t="shared" si="89"/>
        <v>70.917489523341317</v>
      </c>
      <c r="AL122" s="22">
        <f t="shared" si="58"/>
        <v>643.86359958648666</v>
      </c>
      <c r="AM122" s="62">
        <f t="shared" si="59"/>
        <v>925.77359088441585</v>
      </c>
      <c r="AN122" s="62">
        <f ca="1">AVERAGE(OFFSET($AM$3,0,0,'Données projet'!$E$10+1,1))-AVERAGE(OFFSET($H$3,0,0,'Données projet'!$E$10+1,1))</f>
        <v>518.31628039365785</v>
      </c>
      <c r="AO122" s="62">
        <f t="shared" si="90"/>
        <v>66.435071953154761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25.250942968110216</v>
      </c>
      <c r="AV122" s="23">
        <f>EXP(-LN(2)/25)*AV121+(1-EXP(-LN(2)/25))/(LN(2)/25)*Calculateur!AQ122*Calculateur!AS122*VLOOKUP('Données projet'!$B$10,Paramètres!$A$1:$I$88,3,0)*0.475*44/12</f>
        <v>0</v>
      </c>
      <c r="AW122" s="23">
        <f>EXP(-LN(2)/2)*AW121+(1-EXP(-LN(2)/2))/(LN(2)/2)*AQ122*AT122*VLOOKUP('Données projet'!$B$10,Paramètres!$A$1:$I$88,3,0)*0.475*44/12</f>
        <v>0</v>
      </c>
      <c r="AX122" s="23">
        <f t="shared" si="60"/>
        <v>25.250942968110216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4.8</v>
      </c>
      <c r="BD122" s="13">
        <f>IF('Données projet'!$A$88&gt;35,BD121+BC122-BL121,IF(A122&lt;'Données projet'!$A$88,$BA$205^A122,IF(A122='Données projet'!$A$88,'Données projet'!$B$88,BD121+BC122-BL121)))</f>
        <v>330.20000000000033</v>
      </c>
      <c r="BE122" s="14">
        <f>BD122*VLOOKUP('Données projet'!$B$11,Paramètres!$A$1:$I$88,3,0)*VLOOKUP('Données projet'!$B$11,Paramètres!$A$1:$I$88,5,0)</f>
        <v>334.82280000000037</v>
      </c>
      <c r="BF122" s="14">
        <f t="shared" si="91"/>
        <v>78.429350775131184</v>
      </c>
      <c r="BG122" s="22">
        <f t="shared" si="61"/>
        <v>719.747495933354</v>
      </c>
      <c r="BH122" s="62">
        <f t="shared" si="62"/>
        <v>1001.6574872312831</v>
      </c>
      <c r="BI122" s="62">
        <f ca="1">AVERAGE(OFFSET($BH$3,0,0,'Données projet'!$E$11+1,1))-AVERAGE(OFFSET($H$3,0,0,'Données projet'!$E$11+1,1))</f>
        <v>570.2785736203931</v>
      </c>
      <c r="BJ122" s="62">
        <f t="shared" si="92"/>
        <v>67.677759965081719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28.298470567709739</v>
      </c>
      <c r="BQ122" s="23">
        <f>EXP(-LN(2)/25)*BQ121+(1-EXP(-LN(2)/25))/(LN(2)/25)*Calculateur!BL122*Calculateur!BN122*VLOOKUP('Données projet'!$B$11,Paramètres!$A$1:$I$88,3,0)*0.475*44/12</f>
        <v>0</v>
      </c>
      <c r="BR122" s="23">
        <f>EXP(-LN(2)/2)*BR121+(1-EXP(-LN(2)/2))/(LN(2)/2)*BL122*BO122*VLOOKUP('Données projet'!$B$11,Paramètres!$A$1:$I$88,3,0)*0.475*44/12</f>
        <v>0</v>
      </c>
      <c r="BS122" s="24">
        <f t="shared" si="63"/>
        <v>28.298470567709739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544.19999999999982</v>
      </c>
      <c r="BZ122" s="14">
        <f>BY122*VLOOKUP('Données projet'!$B$12,Paramètres!$A$1:$I$88,3,0)*VLOOKUP('Données projet'!$B$12,Paramètres!$A$1:$I$88,5,0)</f>
        <v>325.43159999999995</v>
      </c>
      <c r="CA122" s="14">
        <f t="shared" si="93"/>
        <v>76.482394221016762</v>
      </c>
      <c r="CB122" s="22">
        <f t="shared" si="64"/>
        <v>700.00020660160408</v>
      </c>
      <c r="CC122" s="62">
        <f t="shared" si="65"/>
        <v>981.91019789953316</v>
      </c>
      <c r="CD122" s="62">
        <f ca="1">AVERAGE(OFFSET($CC$3,0,0,'Données projet'!$E$12+1,1))-AVERAGE(OFFSET($H$3,0,0,'Données projet'!$E$12+1,1))</f>
        <v>401.1031790385295</v>
      </c>
      <c r="CE122" s="62">
        <f t="shared" si="94"/>
        <v>402.09589424130615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projet'!$B$12,Paramètres!$A$1:$I$88,3,0)*0.475*44/12</f>
        <v>6.4478742822302433</v>
      </c>
      <c r="CL122" s="23">
        <f>EXP(-LN(2)/25)*CL121+(1-EXP(-LN(2)/25))/(LN(2)/25)*Calculateur!CG122*Calculateur!CI122*VLOOKUP('Données projet'!$B$12,Paramètres!$A$1:$I$88,3,0)*0.475*44/12</f>
        <v>0</v>
      </c>
      <c r="CM122" s="23">
        <f>EXP(-LN(2)/2)*CM121+(1-EXP(-LN(2)/2))/(LN(2)/2)*CG122*CJ122*VLOOKUP('Données projet'!$B$12,Paramètres!$A$1:$I$88,3,0)*0.475*44/12</f>
        <v>5.467727820101866E-9</v>
      </c>
      <c r="CN122" s="24">
        <f t="shared" si="66"/>
        <v>6.4478742876979709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544.19999999999982</v>
      </c>
      <c r="CU122" s="18">
        <f>CT122*VLOOKUP('Données projet'!$B$13,Paramètres!$A$1:$I$88,3,0)*VLOOKUP('Données projet'!$B$13,Paramètres!$A$1:$I$88,5,0)</f>
        <v>325.43159999999995</v>
      </c>
      <c r="CV122" s="14">
        <f t="shared" si="95"/>
        <v>76.482394221016762</v>
      </c>
      <c r="CW122" s="22">
        <f t="shared" si="67"/>
        <v>700.00020660160408</v>
      </c>
      <c r="CX122" s="62">
        <f t="shared" si="68"/>
        <v>981.91019789953316</v>
      </c>
      <c r="CY122" s="62">
        <f ca="1">AVERAGE(OFFSET($CX$3,0,0,'Données projet'!$E$13+1,1))-AVERAGE(OFFSET($H$3,0,0,'Données projet'!$E$13+1,1))</f>
        <v>401.1031790385295</v>
      </c>
      <c r="CZ122" s="62">
        <f t="shared" si="96"/>
        <v>402.09589424130615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projet'!$B$13,Paramètres!$A$1:$I$88,3,0)*0.475*44/12</f>
        <v>6.4478742822302433</v>
      </c>
      <c r="DG122" s="23">
        <f>EXP(-LN(2)/25)*DG121+(1-EXP(-LN(2)/25))/(LN(2)/25)*Calculateur!DB122*Calculateur!DD122*VLOOKUP('Données projet'!$B$13,Paramètres!$A$1:$I$88,3,0)*0.475*44/12</f>
        <v>0</v>
      </c>
      <c r="DH122" s="23">
        <f>EXP(-LN(2)/2)*DH121+(1-EXP(-LN(2)/2))/(LN(2)/2)*DB122*DE122*VLOOKUP('Données projet'!$B$13,Paramètres!$A$1:$I$88,3,0)*0.475*44/12</f>
        <v>5.467727820101866E-9</v>
      </c>
      <c r="DI122" s="24">
        <f t="shared" si="69"/>
        <v>6.4478742876979709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860.00000000000023</v>
      </c>
      <c r="DP122" s="18">
        <f>DO122*VLOOKUP('Données projet'!$B$14,Paramètres!$A$1:$I$88,3,0)*VLOOKUP('Données projet'!$B$14,Paramètres!$A$1:$I$88,5,0)</f>
        <v>346.5800000000001</v>
      </c>
      <c r="DQ122" s="14">
        <f t="shared" si="97"/>
        <v>80.857895771535127</v>
      </c>
      <c r="DR122" s="22">
        <f t="shared" si="70"/>
        <v>744.45433513542378</v>
      </c>
      <c r="DS122" s="62">
        <f t="shared" si="71"/>
        <v>1026.364326433353</v>
      </c>
      <c r="DT122" s="62">
        <f ca="1">AVERAGE(OFFSET($DS$3,0,0,'Données projet'!$E$14+1,1))-AVERAGE(OFFSET($H$3,0,0,'Données projet'!$E$14+1,1))</f>
        <v>432.59662347701629</v>
      </c>
      <c r="DU122" s="62">
        <f t="shared" si="98"/>
        <v>348.67401091099748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projet'!$B$14,Paramètres!$A$1:$I$88,3,0)*0.475*44/12</f>
        <v>29.045495155974773</v>
      </c>
      <c r="EB122" s="23">
        <f>EXP(-LN(2)/25)*EB121+(1-EXP(-LN(2)/25))/(LN(2)/25)*Calculateur!DW122*Calculateur!DY122*VLOOKUP('Données projet'!$B$14,Paramètres!$A$1:$I$88,3,0)*0.475*44/12</f>
        <v>23.581630547897198</v>
      </c>
      <c r="EC122" s="23">
        <f>EXP(-LN(2)/2)*EC121+(1-EXP(-LN(2)/2))/(LN(2)/2)*DW122*DZ122*VLOOKUP('Données projet'!$B$14,Paramètres!$A$1:$I$88,3,0)*0.475*44/12</f>
        <v>0</v>
      </c>
      <c r="ED122" s="24">
        <f t="shared" si="72"/>
        <v>52.627125703871968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1099.9999999999998</v>
      </c>
      <c r="EK122" s="18">
        <f>EJ122*VLOOKUP('Données projet'!$B$15,Paramètres!$A$1:$I$88,3,0)*VLOOKUP('Données projet'!$B$15,Paramètres!$A$1:$I$88,5,0)</f>
        <v>486.19999999999993</v>
      </c>
      <c r="EL122" s="14">
        <f t="shared" si="99"/>
        <v>109.0490179035375</v>
      </c>
      <c r="EM122" s="22">
        <f t="shared" si="73"/>
        <v>1036.725372848661</v>
      </c>
      <c r="EN122" s="62">
        <f t="shared" si="74"/>
        <v>1318.6353641465901</v>
      </c>
      <c r="EO122" s="62">
        <f ca="1">AVERAGE(OFFSET($EN$3,0,0,'Données projet'!$E$15+1,1))-AVERAGE(OFFSET($H$3,0,0,'Données projet'!$E$15+1,1))</f>
        <v>582.26951914082088</v>
      </c>
      <c r="EP122" s="62">
        <f t="shared" si="100"/>
        <v>434.80429932654715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projet'!$B$15,Paramètres!$A$1:$I$88,3,0)*0.475*44/12</f>
        <v>29.267362217050632</v>
      </c>
      <c r="EW122" s="23">
        <f>EXP(-LN(2)/25)*EW121+(1-EXP(-LN(2)/25))/(LN(2)/25)*Calculateur!ER122*Calculateur!ET122*VLOOKUP('Données projet'!$B$15,Paramètres!$A$1:$I$88,3,0)*0.475*44/12</f>
        <v>21.189930608013682</v>
      </c>
      <c r="EX122" s="23">
        <f>EXP(-LN(2)/2)*EX121+(1-EXP(-LN(2)/2))/(LN(2)/2)*ER122*EU122*VLOOKUP('Données projet'!$B$15,Paramètres!$A$1:$I$88,3,0)*0.475*44/12</f>
        <v>0</v>
      </c>
      <c r="EY122" s="24">
        <f t="shared" si="75"/>
        <v>50.457292825064314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854.99999999999989</v>
      </c>
      <c r="FF122" s="18">
        <f>FE122*VLOOKUP('Données projet'!$B$16,Paramètres!$A$1:$I$88,3,0)*VLOOKUP('Données projet'!$B$16,Paramètres!$A$1:$I$88,5,0)</f>
        <v>400.13999999999993</v>
      </c>
      <c r="FG122" s="14">
        <f t="shared" si="101"/>
        <v>91.805047494648534</v>
      </c>
      <c r="FH122" s="22">
        <f t="shared" si="76"/>
        <v>856.80429105317944</v>
      </c>
      <c r="FI122" s="62">
        <f t="shared" si="77"/>
        <v>1138.7142823511085</v>
      </c>
      <c r="FJ122" s="62">
        <f ca="1">AVERAGE(OFFSET($FI$3,0,0,'Données projet'!$E$16+1,1))-AVERAGE(OFFSET($H$3,0,0,'Données projet'!$E$16+1,1))</f>
        <v>429.87867712133851</v>
      </c>
      <c r="FK122" s="62">
        <f t="shared" si="102"/>
        <v>182.81277865988014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projet'!$B$16,Paramètres!$A$1:$I$88,3,0)*0.475*44/12</f>
        <v>34.904831773558811</v>
      </c>
      <c r="FR122" s="23">
        <f>EXP(-LN(2)/25)*FR121+(1-EXP(-LN(2)/25))/(LN(2)/25)*Calculateur!FM122*Calculateur!FO122*VLOOKUP('Données projet'!$B$16,Paramètres!$A$1:$I$88,3,0)*0.475*44/12</f>
        <v>26.861864814697014</v>
      </c>
      <c r="FS122" s="23">
        <f>EXP(-LN(2)/2)*FS121+(1-EXP(-LN(2)/2))/(LN(2)/2)*FM122*FP122*VLOOKUP('Données projet'!$B$16,Paramètres!$A$1:$I$88,3,0)*0.475*44/12</f>
        <v>0</v>
      </c>
      <c r="FT122" s="24">
        <f t="shared" si="78"/>
        <v>61.766696588255826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498.99999999999955</v>
      </c>
      <c r="GA122" s="18">
        <f>FZ122*VLOOKUP('Données projet'!$B$17,Paramètres!$A$1:$I$88,3,0)*VLOOKUP('Données projet'!$B$17,Paramètres!$A$1:$I$88,5,0)</f>
        <v>240.01899999999978</v>
      </c>
      <c r="GB122" s="14">
        <f t="shared" si="103"/>
        <v>58.443618405936313</v>
      </c>
      <c r="GC122" s="22">
        <f t="shared" si="79"/>
        <v>519.82239372367201</v>
      </c>
      <c r="GD122" s="62">
        <f t="shared" si="80"/>
        <v>801.7323850216012</v>
      </c>
      <c r="GE122" s="62">
        <f ca="1">AVERAGE(OFFSET($GD$3,0,0,'Données projet'!$E$17+1,1))-AVERAGE(OFFSET($H$3,0,0,'Données projet'!$E$17+1,1))</f>
        <v>273.24375559399846</v>
      </c>
      <c r="GF122" s="62">
        <f t="shared" si="104"/>
        <v>270.77718895097848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projet'!$B$17,Paramètres!$A$1:$I$88,3,0)*0.475*44/12</f>
        <v>14.945518891738638</v>
      </c>
      <c r="GM122" s="23">
        <f>EXP(-LN(2)/25)*GM121+(1-EXP(-LN(2)/25))/(LN(2)/25)*Calculateur!GH122*Calculateur!GJ122*VLOOKUP('Données projet'!$B$17,Paramètres!$A$1:$I$88,3,0)*0.475*44/12</f>
        <v>10.33503568495631</v>
      </c>
      <c r="GN122" s="23">
        <f>EXP(-LN(2)/2)*GN121+(1-EXP(-LN(2)/2))/(LN(2)/2)*GH122*GK122*VLOOKUP('Données projet'!$B$17,Paramètres!$A$1:$I$88,3,0)*0.475*44/12</f>
        <v>0</v>
      </c>
      <c r="GO122" s="23">
        <f t="shared" si="81"/>
        <v>25.280554576694946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550.99999999999966</v>
      </c>
      <c r="O123" s="14">
        <f>N123*VLOOKUP('Données projet'!$B$9,Paramètres!$A$1:$I$88,3,0)*VLOOKUP('Données projet'!$B$9,Paramètres!$A$1:$I$88,5,0)</f>
        <v>308.00899999999979</v>
      </c>
      <c r="P123" s="14">
        <f t="shared" si="87"/>
        <v>72.852874331417695</v>
      </c>
      <c r="Q123" s="22">
        <f t="shared" si="107"/>
        <v>663.33443112721886</v>
      </c>
      <c r="R123" s="62">
        <f t="shared" si="55"/>
        <v>945.44259187069542</v>
      </c>
      <c r="S123" s="62">
        <f ca="1">AVERAGE(OFFSET($R$3,0,0,'Données projet'!$E$9+1,1))-AVERAGE(OFFSET($H$3,0,0,'Données projet'!$E$9+1,1))</f>
        <v>289.94242154211224</v>
      </c>
      <c r="T123" s="62">
        <f t="shared" si="88"/>
        <v>369.12599166143661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22.482617046483284</v>
      </c>
      <c r="AA123" s="23">
        <f>EXP(-LN(2)/25)*AA122+(1-EXP(-LN(2)/25))/(LN(2)/25)*Calculateur!V123*Calculateur!X123*VLOOKUP('Données projet'!$B$9,Paramètres!$A$1:$I$88,3,0)*0.475*44/12</f>
        <v>12.660290018541172</v>
      </c>
      <c r="AB123" s="23">
        <f>EXP(-LN(2)/2)*AB122+(1-EXP(-LN(2)/2))/(LN(2)/2)*V123*Y123*VLOOKUP('Données projet'!$B$9,Paramètres!$A$1:$I$88,3,0)*0.475*44/12</f>
        <v>0</v>
      </c>
      <c r="AC123" s="24">
        <f t="shared" si="57"/>
        <v>35.14290706502446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335</v>
      </c>
      <c r="AG123" s="13">
        <f>VLOOKUP(A123,'Données projet'!$A$61:$I$81,9,0)</f>
        <v>4.8</v>
      </c>
      <c r="AH123" s="13">
        <f t="array" ref="AH123">INDEX(AG:AG,MIN(IF(ISNUMBER(AG123:AG319),ROW(AG123:AG319),"")))</f>
        <v>4.8</v>
      </c>
      <c r="AI123" s="14">
        <f>IF('Données projet'!$A$62&gt;35,AI122+AH123-AQ122,IF(A123&lt;'Données projet'!$A$62,$AF$205^A123,IF(A123='Données projet'!$A$62,'Données projet'!$B$62,AI122+AH123-AQ122)))</f>
        <v>335.00000000000034</v>
      </c>
      <c r="AJ123" s="14">
        <f>AI123*VLOOKUP('Données projet'!$B$10,Paramètres!$A$1:$I$88,3,0)*VLOOKUP('Données projet'!$B$10,Paramètres!$A$1:$I$88,5,0)</f>
        <v>303.10800000000029</v>
      </c>
      <c r="AK123" s="14">
        <f t="shared" si="89"/>
        <v>71.827628304517233</v>
      </c>
      <c r="AL123" s="22">
        <f t="shared" si="58"/>
        <v>653.01288596370136</v>
      </c>
      <c r="AM123" s="62">
        <f t="shared" si="59"/>
        <v>935.12104670717804</v>
      </c>
      <c r="AN123" s="62">
        <f ca="1">AVERAGE(OFFSET($AM$3,0,0,'Données projet'!$E$10+1,1))-AVERAGE(OFFSET($H$3,0,0,'Données projet'!$E$10+1,1))</f>
        <v>518.31628039365785</v>
      </c>
      <c r="AO123" s="62">
        <f t="shared" si="90"/>
        <v>66.435071953154761</v>
      </c>
      <c r="AP123" s="16">
        <f>IF(ISNA(VLOOKUP(A123,'Données projet'!$A$61:$I$81,3,0)),0,VLOOKUP(A123,'Données projet'!$A$61:$I$81,3,0))</f>
        <v>14</v>
      </c>
      <c r="AQ123" s="16">
        <f>IF(ISNA(VLOOKUP(A123,'Données projet'!$A$61:$I$81,4,0)),0,VLOOKUP(A123,'Données projet'!$A$61:$I$81,4,0))</f>
        <v>43</v>
      </c>
      <c r="AR123" s="17">
        <f>IF(ISNA(VLOOKUP(A123,'Données projet'!$A$61:$I$81,5,0)),0%,VLOOKUP(A123,'Données projet'!$A$61:$I$81,5,0)*VLOOKUP('Données projet'!$B$10,Paramètres!$A$1:$I$88,7,0))</f>
        <v>0.23650000000000002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34.927622289172682</v>
      </c>
      <c r="AV123" s="23">
        <f>EXP(-LN(2)/25)*AV122+(1-EXP(-LN(2)/25))/(LN(2)/25)*Calculateur!AQ123*Calculateur!AS123*VLOOKUP('Données projet'!$B$10,Paramètres!$A$1:$I$88,3,0)*0.475*44/12</f>
        <v>0</v>
      </c>
      <c r="AW123" s="23">
        <f>EXP(-LN(2)/2)*AW122+(1-EXP(-LN(2)/2))/(LN(2)/2)*AQ123*AT123*VLOOKUP('Données projet'!$B$10,Paramètres!$A$1:$I$88,3,0)*0.475*44/12</f>
        <v>0</v>
      </c>
      <c r="AX123" s="23">
        <f t="shared" si="60"/>
        <v>34.927622289172682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335</v>
      </c>
      <c r="BB123" s="13">
        <f>VLOOKUP(A123,'Données projet'!$A$87:$I$107,9,0)</f>
        <v>4.8</v>
      </c>
      <c r="BC123" s="13">
        <f t="array" ref="BC123">INDEX(BB:BB,MIN(IF(ISNUMBER(BB123:BB319),ROW(BB123:BB319),"")))</f>
        <v>4.8</v>
      </c>
      <c r="BD123" s="13">
        <f>IF('Données projet'!$A$88&gt;35,BD122+BC123-BL122,IF(A123&lt;'Données projet'!$A$88,$BA$205^A123,IF(A123='Données projet'!$A$88,'Données projet'!$B$88,BD122+BC123-BL122)))</f>
        <v>335.00000000000034</v>
      </c>
      <c r="BE123" s="14">
        <f>BD123*VLOOKUP('Données projet'!$B$11,Paramètres!$A$1:$I$88,3,0)*VLOOKUP('Données projet'!$B$11,Paramètres!$A$1:$I$88,5,0)</f>
        <v>339.69000000000034</v>
      </c>
      <c r="BF123" s="14">
        <f t="shared" si="91"/>
        <v>79.43589505923768</v>
      </c>
      <c r="BG123" s="22">
        <f t="shared" si="61"/>
        <v>729.97760056150616</v>
      </c>
      <c r="BH123" s="62">
        <f t="shared" si="62"/>
        <v>1012.0857613049827</v>
      </c>
      <c r="BI123" s="62">
        <f ca="1">AVERAGE(OFFSET($BH$3,0,0,'Données projet'!$E$11+1,1))-AVERAGE(OFFSET($H$3,0,0,'Données projet'!$E$11+1,1))</f>
        <v>570.2785736203931</v>
      </c>
      <c r="BJ123" s="62">
        <f t="shared" si="92"/>
        <v>67.677759965081719</v>
      </c>
      <c r="BK123" s="16">
        <f>IF(ISNA(VLOOKUP(A123,'Données projet'!$A$87:$I$107,3,0)),0,VLOOKUP(A123,'Données projet'!$A$87:$I$107,3,0))</f>
        <v>14</v>
      </c>
      <c r="BL123" s="16">
        <f>IF(ISNA(VLOOKUP(A123,'Données projet'!$A$87:$I$107,4,0)),0,VLOOKUP(A123,'Données projet'!$A$87:$I$107,4,0))</f>
        <v>43</v>
      </c>
      <c r="BM123" s="17">
        <f>IF(ISNA(VLOOKUP(A123,'Données projet'!$A$87:$I$107,5,0)),0%,VLOOKUP(A123,'Données projet'!$A$87:$I$107,5,0)*VLOOKUP('Données projet'!$B$11,Paramètres!$A$1:$I$88,7,0))</f>
        <v>0.23650000000000002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39.143024979245254</v>
      </c>
      <c r="BQ123" s="23">
        <f>EXP(-LN(2)/25)*BQ122+(1-EXP(-LN(2)/25))/(LN(2)/25)*Calculateur!BL123*Calculateur!BN123*VLOOKUP('Données projet'!$B$11,Paramètres!$A$1:$I$88,3,0)*0.475*44/12</f>
        <v>0</v>
      </c>
      <c r="BR123" s="23">
        <f>EXP(-LN(2)/2)*BR122+(1-EXP(-LN(2)/2))/(LN(2)/2)*BL123*BO123*VLOOKUP('Données projet'!$B$11,Paramètres!$A$1:$I$88,3,0)*0.475*44/12</f>
        <v>0</v>
      </c>
      <c r="BS123" s="24">
        <f t="shared" si="63"/>
        <v>39.143024979245254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544.19999999999982</v>
      </c>
      <c r="BZ123" s="14">
        <f>BY123*VLOOKUP('Données projet'!$B$12,Paramètres!$A$1:$I$88,3,0)*VLOOKUP('Données projet'!$B$12,Paramètres!$A$1:$I$88,5,0)</f>
        <v>325.43159999999995</v>
      </c>
      <c r="CA123" s="14">
        <f t="shared" si="93"/>
        <v>76.482394221016762</v>
      </c>
      <c r="CB123" s="22">
        <f t="shared" si="64"/>
        <v>700.00020660160408</v>
      </c>
      <c r="CC123" s="62">
        <f t="shared" si="65"/>
        <v>982.10836734508075</v>
      </c>
      <c r="CD123" s="62">
        <f ca="1">AVERAGE(OFFSET($CC$3,0,0,'Données projet'!$E$12+1,1))-AVERAGE(OFFSET($H$3,0,0,'Données projet'!$E$12+1,1))</f>
        <v>401.1031790385295</v>
      </c>
      <c r="CE123" s="62">
        <f t="shared" si="94"/>
        <v>402.09589424130615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projet'!$B$12,Paramètres!$A$1:$I$88,3,0)*0.475*44/12</f>
        <v>6.321435400370687</v>
      </c>
      <c r="CL123" s="23">
        <f>EXP(-LN(2)/25)*CL122+(1-EXP(-LN(2)/25))/(LN(2)/25)*Calculateur!CG123*Calculateur!CI123*VLOOKUP('Données projet'!$B$12,Paramètres!$A$1:$I$88,3,0)*0.475*44/12</f>
        <v>0</v>
      </c>
      <c r="CM123" s="23">
        <f>EXP(-LN(2)/2)*CM122+(1-EXP(-LN(2)/2))/(LN(2)/2)*CG123*CJ123*VLOOKUP('Données projet'!$B$12,Paramètres!$A$1:$I$88,3,0)*0.475*44/12</f>
        <v>3.8662674192763686E-9</v>
      </c>
      <c r="CN123" s="24">
        <f t="shared" si="66"/>
        <v>6.3214354042369543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544.19999999999982</v>
      </c>
      <c r="CU123" s="18">
        <f>CT123*VLOOKUP('Données projet'!$B$13,Paramètres!$A$1:$I$88,3,0)*VLOOKUP('Données projet'!$B$13,Paramètres!$A$1:$I$88,5,0)</f>
        <v>325.43159999999995</v>
      </c>
      <c r="CV123" s="14">
        <f t="shared" si="95"/>
        <v>76.482394221016762</v>
      </c>
      <c r="CW123" s="22">
        <f t="shared" si="67"/>
        <v>700.00020660160408</v>
      </c>
      <c r="CX123" s="62">
        <f t="shared" si="68"/>
        <v>982.10836734508075</v>
      </c>
      <c r="CY123" s="62">
        <f ca="1">AVERAGE(OFFSET($CX$3,0,0,'Données projet'!$E$13+1,1))-AVERAGE(OFFSET($H$3,0,0,'Données projet'!$E$13+1,1))</f>
        <v>401.1031790385295</v>
      </c>
      <c r="CZ123" s="62">
        <f t="shared" si="96"/>
        <v>402.09589424130615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projet'!$B$13,Paramètres!$A$1:$I$88,3,0)*0.475*44/12</f>
        <v>6.321435400370687</v>
      </c>
      <c r="DG123" s="23">
        <f>EXP(-LN(2)/25)*DG122+(1-EXP(-LN(2)/25))/(LN(2)/25)*Calculateur!DB123*Calculateur!DD123*VLOOKUP('Données projet'!$B$13,Paramètres!$A$1:$I$88,3,0)*0.475*44/12</f>
        <v>0</v>
      </c>
      <c r="DH123" s="23">
        <f>EXP(-LN(2)/2)*DH122+(1-EXP(-LN(2)/2))/(LN(2)/2)*DB123*DE123*VLOOKUP('Données projet'!$B$13,Paramètres!$A$1:$I$88,3,0)*0.475*44/12</f>
        <v>3.8662674192763686E-9</v>
      </c>
      <c r="DI123" s="24">
        <f t="shared" si="69"/>
        <v>6.3214354042369543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860.00000000000023</v>
      </c>
      <c r="DP123" s="18">
        <f>DO123*VLOOKUP('Données projet'!$B$14,Paramètres!$A$1:$I$88,3,0)*VLOOKUP('Données projet'!$B$14,Paramètres!$A$1:$I$88,5,0)</f>
        <v>346.5800000000001</v>
      </c>
      <c r="DQ123" s="14">
        <f t="shared" si="97"/>
        <v>80.857895771535127</v>
      </c>
      <c r="DR123" s="22">
        <f t="shared" si="70"/>
        <v>744.45433513542378</v>
      </c>
      <c r="DS123" s="62">
        <f t="shared" si="71"/>
        <v>1026.5624958789003</v>
      </c>
      <c r="DT123" s="62">
        <f ca="1">AVERAGE(OFFSET($DS$3,0,0,'Données projet'!$E$14+1,1))-AVERAGE(OFFSET($H$3,0,0,'Données projet'!$E$14+1,1))</f>
        <v>432.59662347701629</v>
      </c>
      <c r="DU123" s="62">
        <f t="shared" si="98"/>
        <v>348.67401091099748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projet'!$B$14,Paramètres!$A$1:$I$88,3,0)*0.475*44/12</f>
        <v>28.475930711968843</v>
      </c>
      <c r="EB123" s="23">
        <f>EXP(-LN(2)/25)*EB122+(1-EXP(-LN(2)/25))/(LN(2)/25)*Calculateur!DW123*Calculateur!DY123*VLOOKUP('Données projet'!$B$14,Paramètres!$A$1:$I$88,3,0)*0.475*44/12</f>
        <v>22.936789620460896</v>
      </c>
      <c r="EC123" s="23">
        <f>EXP(-LN(2)/2)*EC122+(1-EXP(-LN(2)/2))/(LN(2)/2)*DW123*DZ123*VLOOKUP('Données projet'!$B$14,Paramètres!$A$1:$I$88,3,0)*0.475*44/12</f>
        <v>0</v>
      </c>
      <c r="ED123" s="24">
        <f t="shared" si="72"/>
        <v>51.412720332429743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1099.9999999999998</v>
      </c>
      <c r="EK123" s="18">
        <f>EJ123*VLOOKUP('Données projet'!$B$15,Paramètres!$A$1:$I$88,3,0)*VLOOKUP('Données projet'!$B$15,Paramètres!$A$1:$I$88,5,0)</f>
        <v>486.19999999999993</v>
      </c>
      <c r="EL123" s="14">
        <f t="shared" si="99"/>
        <v>109.0490179035375</v>
      </c>
      <c r="EM123" s="22">
        <f t="shared" si="73"/>
        <v>1036.725372848661</v>
      </c>
      <c r="EN123" s="62">
        <f t="shared" si="74"/>
        <v>1318.8335335921377</v>
      </c>
      <c r="EO123" s="62">
        <f ca="1">AVERAGE(OFFSET($EN$3,0,0,'Données projet'!$E$15+1,1))-AVERAGE(OFFSET($H$3,0,0,'Données projet'!$E$15+1,1))</f>
        <v>582.26951914082088</v>
      </c>
      <c r="EP123" s="62">
        <f t="shared" si="100"/>
        <v>434.80429932654715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projet'!$B$15,Paramètres!$A$1:$I$88,3,0)*0.475*44/12</f>
        <v>28.693447095302549</v>
      </c>
      <c r="EW123" s="23">
        <f>EXP(-LN(2)/25)*EW122+(1-EXP(-LN(2)/25))/(LN(2)/25)*Calculateur!ER123*Calculateur!ET123*VLOOKUP('Données projet'!$B$15,Paramètres!$A$1:$I$88,3,0)*0.475*44/12</f>
        <v>20.610490841207529</v>
      </c>
      <c r="EX123" s="23">
        <f>EXP(-LN(2)/2)*EX122+(1-EXP(-LN(2)/2))/(LN(2)/2)*ER123*EU123*VLOOKUP('Données projet'!$B$15,Paramètres!$A$1:$I$88,3,0)*0.475*44/12</f>
        <v>0</v>
      </c>
      <c r="EY123" s="24">
        <f t="shared" si="75"/>
        <v>49.303937936510081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854.99999999999989</v>
      </c>
      <c r="FF123" s="18">
        <f>FE123*VLOOKUP('Données projet'!$B$16,Paramètres!$A$1:$I$88,3,0)*VLOOKUP('Données projet'!$B$16,Paramètres!$A$1:$I$88,5,0)</f>
        <v>400.13999999999993</v>
      </c>
      <c r="FG123" s="14">
        <f t="shared" si="101"/>
        <v>91.805047494648534</v>
      </c>
      <c r="FH123" s="22">
        <f t="shared" si="76"/>
        <v>856.80429105317944</v>
      </c>
      <c r="FI123" s="62">
        <f t="shared" si="77"/>
        <v>1138.9124517966561</v>
      </c>
      <c r="FJ123" s="62">
        <f ca="1">AVERAGE(OFFSET($FI$3,0,0,'Données projet'!$E$16+1,1))-AVERAGE(OFFSET($H$3,0,0,'Données projet'!$E$16+1,1))</f>
        <v>429.87867712133851</v>
      </c>
      <c r="FK123" s="62">
        <f t="shared" si="102"/>
        <v>182.81277865988014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projet'!$B$16,Paramètres!$A$1:$I$88,3,0)*0.475*44/12</f>
        <v>34.220369312324507</v>
      </c>
      <c r="FR123" s="23">
        <f>EXP(-LN(2)/25)*FR122+(1-EXP(-LN(2)/25))/(LN(2)/25)*Calculateur!FM123*Calculateur!FO123*VLOOKUP('Données projet'!$B$16,Paramètres!$A$1:$I$88,3,0)*0.475*44/12</f>
        <v>26.127325708735047</v>
      </c>
      <c r="FS123" s="23">
        <f>EXP(-LN(2)/2)*FS122+(1-EXP(-LN(2)/2))/(LN(2)/2)*FM123*FP123*VLOOKUP('Données projet'!$B$16,Paramètres!$A$1:$I$88,3,0)*0.475*44/12</f>
        <v>0</v>
      </c>
      <c r="FT123" s="24">
        <f t="shared" si="78"/>
        <v>60.34769502105955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498.99999999999955</v>
      </c>
      <c r="GA123" s="18">
        <f>FZ123*VLOOKUP('Données projet'!$B$17,Paramètres!$A$1:$I$88,3,0)*VLOOKUP('Données projet'!$B$17,Paramètres!$A$1:$I$88,5,0)</f>
        <v>240.01899999999978</v>
      </c>
      <c r="GB123" s="14">
        <f t="shared" si="103"/>
        <v>58.443618405936313</v>
      </c>
      <c r="GC123" s="22">
        <f t="shared" si="79"/>
        <v>519.82239372367201</v>
      </c>
      <c r="GD123" s="62">
        <f t="shared" si="80"/>
        <v>801.93055446714857</v>
      </c>
      <c r="GE123" s="62">
        <f ca="1">AVERAGE(OFFSET($GD$3,0,0,'Données projet'!$E$17+1,1))-AVERAGE(OFFSET($H$3,0,0,'Données projet'!$E$17+1,1))</f>
        <v>273.24375559399846</v>
      </c>
      <c r="GF123" s="62">
        <f t="shared" si="104"/>
        <v>270.77718895097848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projet'!$B$17,Paramètres!$A$1:$I$88,3,0)*0.475*44/12</f>
        <v>14.65244638213805</v>
      </c>
      <c r="GM123" s="23">
        <f>EXP(-LN(2)/25)*GM122+(1-EXP(-LN(2)/25))/(LN(2)/25)*Calculateur!GH123*Calculateur!GJ123*VLOOKUP('Données projet'!$B$17,Paramètres!$A$1:$I$88,3,0)*0.475*44/12</f>
        <v>10.052423590655273</v>
      </c>
      <c r="GN123" s="23">
        <f>EXP(-LN(2)/2)*GN122+(1-EXP(-LN(2)/2))/(LN(2)/2)*GH123*GK123*VLOOKUP('Données projet'!$B$17,Paramètres!$A$1:$I$88,3,0)*0.475*44/12</f>
        <v>0</v>
      </c>
      <c r="GO123" s="23">
        <f t="shared" si="81"/>
        <v>24.704869972793325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550.99999999999966</v>
      </c>
      <c r="O124" s="14">
        <f>N124*VLOOKUP('Données projet'!$B$9,Paramètres!$A$1:$I$88,3,0)*VLOOKUP('Données projet'!$B$9,Paramètres!$A$1:$I$88,5,0)</f>
        <v>308.00899999999979</v>
      </c>
      <c r="P124" s="14">
        <f t="shared" si="87"/>
        <v>72.852874331417695</v>
      </c>
      <c r="Q124" s="22">
        <f t="shared" si="107"/>
        <v>663.33443112721886</v>
      </c>
      <c r="R124" s="62">
        <f t="shared" si="55"/>
        <v>945.63732351940325</v>
      </c>
      <c r="S124" s="62">
        <f ca="1">AVERAGE(OFFSET($R$3,0,0,'Données projet'!$E$9+1,1))-AVERAGE(OFFSET($H$3,0,0,'Données projet'!$E$9+1,1))</f>
        <v>289.94242154211224</v>
      </c>
      <c r="T124" s="62">
        <f t="shared" si="88"/>
        <v>369.12599166143661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22.041746639244096</v>
      </c>
      <c r="AA124" s="23">
        <f>EXP(-LN(2)/25)*AA123+(1-EXP(-LN(2)/25))/(LN(2)/25)*Calculateur!V124*Calculateur!X124*VLOOKUP('Données projet'!$B$9,Paramètres!$A$1:$I$88,3,0)*0.475*44/12</f>
        <v>12.314093722208447</v>
      </c>
      <c r="AB124" s="23">
        <f>EXP(-LN(2)/2)*AB123+(1-EXP(-LN(2)/2))/(LN(2)/2)*V124*Y124*VLOOKUP('Données projet'!$B$9,Paramètres!$A$1:$I$88,3,0)*0.475*44/12</f>
        <v>0</v>
      </c>
      <c r="AC124" s="24">
        <f t="shared" si="57"/>
        <v>34.355840361452543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8.3000000000000007</v>
      </c>
      <c r="AI124" s="14">
        <f>IF('Données projet'!$A$62&gt;35,AI123+AH124-AQ123,IF(A124&lt;'Données projet'!$A$62,$AF$205^A124,IF(A124='Données projet'!$A$62,'Données projet'!$B$62,AI123+AH124-AQ123)))</f>
        <v>300.30000000000035</v>
      </c>
      <c r="AJ124" s="14">
        <f>AI124*VLOOKUP('Données projet'!$B$10,Paramètres!$A$1:$I$88,3,0)*VLOOKUP('Données projet'!$B$10,Paramètres!$A$1:$I$88,5,0)</f>
        <v>271.71144000000032</v>
      </c>
      <c r="AK124" s="14">
        <f t="shared" si="89"/>
        <v>65.212346372467437</v>
      </c>
      <c r="AL124" s="22">
        <f t="shared" si="58"/>
        <v>586.80892793204794</v>
      </c>
      <c r="AM124" s="62">
        <f t="shared" si="59"/>
        <v>869.11182032423233</v>
      </c>
      <c r="AN124" s="62">
        <f ca="1">AVERAGE(OFFSET($AM$3,0,0,'Données projet'!$E$10+1,1))-AVERAGE(OFFSET($H$3,0,0,'Données projet'!$E$10+1,1))</f>
        <v>518.31628039365785</v>
      </c>
      <c r="AO124" s="62">
        <f t="shared" si="90"/>
        <v>66.435071953154761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34.24271291982803</v>
      </c>
      <c r="AV124" s="23">
        <f>EXP(-LN(2)/25)*AV123+(1-EXP(-LN(2)/25))/(LN(2)/25)*Calculateur!AQ124*Calculateur!AS124*VLOOKUP('Données projet'!$B$10,Paramètres!$A$1:$I$88,3,0)*0.475*44/12</f>
        <v>0</v>
      </c>
      <c r="AW124" s="23">
        <f>EXP(-LN(2)/2)*AW123+(1-EXP(-LN(2)/2))/(LN(2)/2)*AQ124*AT124*VLOOKUP('Données projet'!$B$10,Paramètres!$A$1:$I$88,3,0)*0.475*44/12</f>
        <v>0</v>
      </c>
      <c r="AX124" s="23">
        <f t="shared" si="60"/>
        <v>34.24271291982803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8.3000000000000007</v>
      </c>
      <c r="BD124" s="13">
        <f>IF('Données projet'!$A$88&gt;35,BD123+BC124-BL123,IF(A124&lt;'Données projet'!$A$88,$BA$205^A124,IF(A124='Données projet'!$A$88,'Données projet'!$B$88,BD123+BC124-BL123)))</f>
        <v>300.30000000000035</v>
      </c>
      <c r="BE124" s="14">
        <f>BD124*VLOOKUP('Données projet'!$B$11,Paramètres!$A$1:$I$88,3,0)*VLOOKUP('Données projet'!$B$11,Paramètres!$A$1:$I$88,5,0)</f>
        <v>304.50420000000042</v>
      </c>
      <c r="BF124" s="14">
        <f t="shared" si="91"/>
        <v>72.119896275124418</v>
      </c>
      <c r="BG124" s="22">
        <f t="shared" si="61"/>
        <v>655.95363434584237</v>
      </c>
      <c r="BH124" s="62">
        <f t="shared" si="62"/>
        <v>938.25652673802676</v>
      </c>
      <c r="BI124" s="62">
        <f ca="1">AVERAGE(OFFSET($BH$3,0,0,'Données projet'!$E$11+1,1))-AVERAGE(OFFSET($H$3,0,0,'Données projet'!$E$11+1,1))</f>
        <v>570.2785736203931</v>
      </c>
      <c r="BJ124" s="62">
        <f t="shared" si="92"/>
        <v>67.677759965081719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38.375454134290045</v>
      </c>
      <c r="BQ124" s="23">
        <f>EXP(-LN(2)/25)*BQ123+(1-EXP(-LN(2)/25))/(LN(2)/25)*Calculateur!BL124*Calculateur!BN124*VLOOKUP('Données projet'!$B$11,Paramètres!$A$1:$I$88,3,0)*0.475*44/12</f>
        <v>0</v>
      </c>
      <c r="BR124" s="23">
        <f>EXP(-LN(2)/2)*BR123+(1-EXP(-LN(2)/2))/(LN(2)/2)*BL124*BO124*VLOOKUP('Données projet'!$B$11,Paramètres!$A$1:$I$88,3,0)*0.475*44/12</f>
        <v>0</v>
      </c>
      <c r="BS124" s="24">
        <f t="shared" si="63"/>
        <v>38.375454134290045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544.19999999999982</v>
      </c>
      <c r="BZ124" s="14">
        <f>BY124*VLOOKUP('Données projet'!$B$12,Paramètres!$A$1:$I$88,3,0)*VLOOKUP('Données projet'!$B$12,Paramètres!$A$1:$I$88,5,0)</f>
        <v>325.43159999999995</v>
      </c>
      <c r="CA124" s="14">
        <f t="shared" si="93"/>
        <v>76.482394221016762</v>
      </c>
      <c r="CB124" s="22">
        <f t="shared" si="64"/>
        <v>700.00020660160408</v>
      </c>
      <c r="CC124" s="62">
        <f t="shared" si="65"/>
        <v>982.30309899378847</v>
      </c>
      <c r="CD124" s="62">
        <f ca="1">AVERAGE(OFFSET($CC$3,0,0,'Données projet'!$E$12+1,1))-AVERAGE(OFFSET($H$3,0,0,'Données projet'!$E$12+1,1))</f>
        <v>401.1031790385295</v>
      </c>
      <c r="CE124" s="62">
        <f t="shared" si="94"/>
        <v>402.09589424130615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projet'!$B$12,Paramètres!$A$1:$I$88,3,0)*0.475*44/12</f>
        <v>6.1974759078642938</v>
      </c>
      <c r="CL124" s="23">
        <f>EXP(-LN(2)/25)*CL123+(1-EXP(-LN(2)/25))/(LN(2)/25)*Calculateur!CG124*Calculateur!CI124*VLOOKUP('Données projet'!$B$12,Paramètres!$A$1:$I$88,3,0)*0.475*44/12</f>
        <v>0</v>
      </c>
      <c r="CM124" s="23">
        <f>EXP(-LN(2)/2)*CM123+(1-EXP(-LN(2)/2))/(LN(2)/2)*CG124*CJ124*VLOOKUP('Données projet'!$B$12,Paramètres!$A$1:$I$88,3,0)*0.475*44/12</f>
        <v>2.733863910050933E-9</v>
      </c>
      <c r="CN124" s="24">
        <f t="shared" si="66"/>
        <v>6.1974759105981576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544.19999999999982</v>
      </c>
      <c r="CU124" s="18">
        <f>CT124*VLOOKUP('Données projet'!$B$13,Paramètres!$A$1:$I$88,3,0)*VLOOKUP('Données projet'!$B$13,Paramètres!$A$1:$I$88,5,0)</f>
        <v>325.43159999999995</v>
      </c>
      <c r="CV124" s="14">
        <f t="shared" si="95"/>
        <v>76.482394221016762</v>
      </c>
      <c r="CW124" s="22">
        <f t="shared" si="67"/>
        <v>700.00020660160408</v>
      </c>
      <c r="CX124" s="62">
        <f t="shared" si="68"/>
        <v>982.30309899378847</v>
      </c>
      <c r="CY124" s="62">
        <f ca="1">AVERAGE(OFFSET($CX$3,0,0,'Données projet'!$E$13+1,1))-AVERAGE(OFFSET($H$3,0,0,'Données projet'!$E$13+1,1))</f>
        <v>401.1031790385295</v>
      </c>
      <c r="CZ124" s="62">
        <f t="shared" si="96"/>
        <v>402.09589424130615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projet'!$B$13,Paramètres!$A$1:$I$88,3,0)*0.475*44/12</f>
        <v>6.1974759078642938</v>
      </c>
      <c r="DG124" s="23">
        <f>EXP(-LN(2)/25)*DG123+(1-EXP(-LN(2)/25))/(LN(2)/25)*Calculateur!DB124*Calculateur!DD124*VLOOKUP('Données projet'!$B$13,Paramètres!$A$1:$I$88,3,0)*0.475*44/12</f>
        <v>0</v>
      </c>
      <c r="DH124" s="23">
        <f>EXP(-LN(2)/2)*DH123+(1-EXP(-LN(2)/2))/(LN(2)/2)*DB124*DE124*VLOOKUP('Données projet'!$B$13,Paramètres!$A$1:$I$88,3,0)*0.475*44/12</f>
        <v>2.733863910050933E-9</v>
      </c>
      <c r="DI124" s="24">
        <f t="shared" si="69"/>
        <v>6.1974759105981576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860.00000000000023</v>
      </c>
      <c r="DP124" s="18">
        <f>DO124*VLOOKUP('Données projet'!$B$14,Paramètres!$A$1:$I$88,3,0)*VLOOKUP('Données projet'!$B$14,Paramètres!$A$1:$I$88,5,0)</f>
        <v>346.5800000000001</v>
      </c>
      <c r="DQ124" s="14">
        <f t="shared" si="97"/>
        <v>80.857895771535127</v>
      </c>
      <c r="DR124" s="22">
        <f t="shared" si="70"/>
        <v>744.45433513542378</v>
      </c>
      <c r="DS124" s="62">
        <f t="shared" si="71"/>
        <v>1026.7572275276082</v>
      </c>
      <c r="DT124" s="62">
        <f ca="1">AVERAGE(OFFSET($DS$3,0,0,'Données projet'!$E$14+1,1))-AVERAGE(OFFSET($H$3,0,0,'Données projet'!$E$14+1,1))</f>
        <v>432.59662347701629</v>
      </c>
      <c r="DU124" s="62">
        <f t="shared" si="98"/>
        <v>348.67401091099748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projet'!$B$14,Paramètres!$A$1:$I$88,3,0)*0.475*44/12</f>
        <v>27.917535079309861</v>
      </c>
      <c r="EB124" s="23">
        <f>EXP(-LN(2)/25)*EB123+(1-EXP(-LN(2)/25))/(LN(2)/25)*Calculateur!DW124*Calculateur!DY124*VLOOKUP('Données projet'!$B$14,Paramètres!$A$1:$I$88,3,0)*0.475*44/12</f>
        <v>22.309581902096049</v>
      </c>
      <c r="EC124" s="23">
        <f>EXP(-LN(2)/2)*EC123+(1-EXP(-LN(2)/2))/(LN(2)/2)*DW124*DZ124*VLOOKUP('Données projet'!$B$14,Paramètres!$A$1:$I$88,3,0)*0.475*44/12</f>
        <v>0</v>
      </c>
      <c r="ED124" s="24">
        <f t="shared" si="72"/>
        <v>50.227116981405914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1099.9999999999998</v>
      </c>
      <c r="EK124" s="18">
        <f>EJ124*VLOOKUP('Données projet'!$B$15,Paramètres!$A$1:$I$88,3,0)*VLOOKUP('Données projet'!$B$15,Paramètres!$A$1:$I$88,5,0)</f>
        <v>486.19999999999993</v>
      </c>
      <c r="EL124" s="14">
        <f t="shared" si="99"/>
        <v>109.0490179035375</v>
      </c>
      <c r="EM124" s="22">
        <f t="shared" si="73"/>
        <v>1036.725372848661</v>
      </c>
      <c r="EN124" s="62">
        <f t="shared" si="74"/>
        <v>1319.0282652408455</v>
      </c>
      <c r="EO124" s="62">
        <f ca="1">AVERAGE(OFFSET($EN$3,0,0,'Données projet'!$E$15+1,1))-AVERAGE(OFFSET($H$3,0,0,'Données projet'!$E$15+1,1))</f>
        <v>582.26951914082088</v>
      </c>
      <c r="EP124" s="62">
        <f t="shared" si="100"/>
        <v>434.80429932654715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projet'!$B$15,Paramètres!$A$1:$I$88,3,0)*0.475*44/12</f>
        <v>28.130786099038286</v>
      </c>
      <c r="EW124" s="23">
        <f>EXP(-LN(2)/25)*EW123+(1-EXP(-LN(2)/25))/(LN(2)/25)*Calculateur!ER124*Calculateur!ET124*VLOOKUP('Données projet'!$B$15,Paramètres!$A$1:$I$88,3,0)*0.475*44/12</f>
        <v>20.046895885296102</v>
      </c>
      <c r="EX124" s="23">
        <f>EXP(-LN(2)/2)*EX123+(1-EXP(-LN(2)/2))/(LN(2)/2)*ER124*EU124*VLOOKUP('Données projet'!$B$15,Paramètres!$A$1:$I$88,3,0)*0.475*44/12</f>
        <v>0</v>
      </c>
      <c r="EY124" s="24">
        <f t="shared" si="75"/>
        <v>48.177681984334384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854.99999999999989</v>
      </c>
      <c r="FF124" s="18">
        <f>FE124*VLOOKUP('Données projet'!$B$16,Paramètres!$A$1:$I$88,3,0)*VLOOKUP('Données projet'!$B$16,Paramètres!$A$1:$I$88,5,0)</f>
        <v>400.13999999999993</v>
      </c>
      <c r="FG124" s="14">
        <f t="shared" si="101"/>
        <v>91.805047494648534</v>
      </c>
      <c r="FH124" s="22">
        <f t="shared" si="76"/>
        <v>856.80429105317944</v>
      </c>
      <c r="FI124" s="62">
        <f t="shared" si="77"/>
        <v>1139.1071834453637</v>
      </c>
      <c r="FJ124" s="62">
        <f ca="1">AVERAGE(OFFSET($FI$3,0,0,'Données projet'!$E$16+1,1))-AVERAGE(OFFSET($H$3,0,0,'Données projet'!$E$16+1,1))</f>
        <v>429.87867712133851</v>
      </c>
      <c r="FK124" s="62">
        <f t="shared" si="102"/>
        <v>182.81277865988014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projet'!$B$16,Paramètres!$A$1:$I$88,3,0)*0.475*44/12</f>
        <v>33.549328742474131</v>
      </c>
      <c r="FR124" s="23">
        <f>EXP(-LN(2)/25)*FR123+(1-EXP(-LN(2)/25))/(LN(2)/25)*Calculateur!FM124*Calculateur!FO124*VLOOKUP('Données projet'!$B$16,Paramètres!$A$1:$I$88,3,0)*0.475*44/12</f>
        <v>25.412872613253342</v>
      </c>
      <c r="FS124" s="23">
        <f>EXP(-LN(2)/2)*FS123+(1-EXP(-LN(2)/2))/(LN(2)/2)*FM124*FP124*VLOOKUP('Données projet'!$B$16,Paramètres!$A$1:$I$88,3,0)*0.475*44/12</f>
        <v>0</v>
      </c>
      <c r="FT124" s="24">
        <f t="shared" si="78"/>
        <v>58.962201355727473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498.99999999999955</v>
      </c>
      <c r="GA124" s="18">
        <f>FZ124*VLOOKUP('Données projet'!$B$17,Paramètres!$A$1:$I$88,3,0)*VLOOKUP('Données projet'!$B$17,Paramètres!$A$1:$I$88,5,0)</f>
        <v>240.01899999999978</v>
      </c>
      <c r="GB124" s="14">
        <f t="shared" si="103"/>
        <v>58.443618405936313</v>
      </c>
      <c r="GC124" s="22">
        <f t="shared" si="79"/>
        <v>519.82239372367201</v>
      </c>
      <c r="GD124" s="62">
        <f t="shared" si="80"/>
        <v>802.1252861158564</v>
      </c>
      <c r="GE124" s="62">
        <f ca="1">AVERAGE(OFFSET($GD$3,0,0,'Données projet'!$E$17+1,1))-AVERAGE(OFFSET($H$3,0,0,'Données projet'!$E$17+1,1))</f>
        <v>273.24375559399846</v>
      </c>
      <c r="GF124" s="62">
        <f t="shared" si="104"/>
        <v>270.77718895097848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projet'!$B$17,Paramètres!$A$1:$I$88,3,0)*0.475*44/12</f>
        <v>14.36512084569415</v>
      </c>
      <c r="GM124" s="23">
        <f>EXP(-LN(2)/25)*GM123+(1-EXP(-LN(2)/25))/(LN(2)/25)*Calculateur!GH124*Calculateur!GJ124*VLOOKUP('Données projet'!$B$17,Paramètres!$A$1:$I$88,3,0)*0.475*44/12</f>
        <v>9.777539538934823</v>
      </c>
      <c r="GN124" s="23">
        <f>EXP(-LN(2)/2)*GN123+(1-EXP(-LN(2)/2))/(LN(2)/2)*GH124*GK124*VLOOKUP('Données projet'!$B$17,Paramètres!$A$1:$I$88,3,0)*0.475*44/12</f>
        <v>0</v>
      </c>
      <c r="GO124" s="23">
        <f t="shared" si="81"/>
        <v>24.142660384628975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550.99999999999966</v>
      </c>
      <c r="O125" s="14">
        <f>N125*VLOOKUP('Données projet'!$B$9,Paramètres!$A$1:$I$88,3,0)*VLOOKUP('Données projet'!$B$9,Paramètres!$A$1:$I$88,5,0)</f>
        <v>308.00899999999979</v>
      </c>
      <c r="P125" s="14">
        <f t="shared" si="87"/>
        <v>72.852874331417695</v>
      </c>
      <c r="Q125" s="22">
        <f t="shared" si="107"/>
        <v>663.33443112721886</v>
      </c>
      <c r="R125" s="62">
        <f t="shared" si="55"/>
        <v>945.82867700936072</v>
      </c>
      <c r="S125" s="62">
        <f ca="1">AVERAGE(OFFSET($R$3,0,0,'Données projet'!$E$9+1,1))-AVERAGE(OFFSET($H$3,0,0,'Données projet'!$E$9+1,1))</f>
        <v>289.94242154211224</v>
      </c>
      <c r="T125" s="62">
        <f t="shared" si="88"/>
        <v>369.12599166143661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21.609521431786472</v>
      </c>
      <c r="AA125" s="23">
        <f>EXP(-LN(2)/25)*AA124+(1-EXP(-LN(2)/25))/(LN(2)/25)*Calculateur!V125*Calculateur!X125*VLOOKUP('Données projet'!$B$9,Paramètres!$A$1:$I$88,3,0)*0.475*44/12</f>
        <v>11.977364181804614</v>
      </c>
      <c r="AB125" s="23">
        <f>EXP(-LN(2)/2)*AB124+(1-EXP(-LN(2)/2))/(LN(2)/2)*V125*Y125*VLOOKUP('Données projet'!$B$9,Paramètres!$A$1:$I$88,3,0)*0.475*44/12</f>
        <v>0</v>
      </c>
      <c r="AC125" s="24">
        <f t="shared" si="57"/>
        <v>33.586885613591086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8.3000000000000007</v>
      </c>
      <c r="AI125" s="14">
        <f>IF('Données projet'!$A$62&gt;35,AI124+AH125-AQ124,IF(A125&lt;'Données projet'!$A$62,$AF$205^A125,IF(A125='Données projet'!$A$62,'Données projet'!$B$62,AI124+AH125-AQ124)))</f>
        <v>308.60000000000036</v>
      </c>
      <c r="AJ125" s="14">
        <f>AI125*VLOOKUP('Données projet'!$B$10,Paramètres!$A$1:$I$88,3,0)*VLOOKUP('Données projet'!$B$10,Paramètres!$A$1:$I$88,5,0)</f>
        <v>279.22128000000032</v>
      </c>
      <c r="AK125" s="14">
        <f t="shared" si="89"/>
        <v>66.802416294894925</v>
      </c>
      <c r="AL125" s="22">
        <f t="shared" si="58"/>
        <v>602.65793771360916</v>
      </c>
      <c r="AM125" s="62">
        <f t="shared" si="59"/>
        <v>885.15218359575101</v>
      </c>
      <c r="AN125" s="62">
        <f ca="1">AVERAGE(OFFSET($AM$3,0,0,'Données projet'!$E$10+1,1))-AVERAGE(OFFSET($H$3,0,0,'Données projet'!$E$10+1,1))</f>
        <v>518.31628039365785</v>
      </c>
      <c r="AO125" s="62">
        <f t="shared" si="90"/>
        <v>66.435071953154761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33.571234205462765</v>
      </c>
      <c r="AV125" s="23">
        <f>EXP(-LN(2)/25)*AV124+(1-EXP(-LN(2)/25))/(LN(2)/25)*Calculateur!AQ125*Calculateur!AS125*VLOOKUP('Données projet'!$B$10,Paramètres!$A$1:$I$88,3,0)*0.475*44/12</f>
        <v>0</v>
      </c>
      <c r="AW125" s="23">
        <f>EXP(-LN(2)/2)*AW124+(1-EXP(-LN(2)/2))/(LN(2)/2)*AQ125*AT125*VLOOKUP('Données projet'!$B$10,Paramètres!$A$1:$I$88,3,0)*0.475*44/12</f>
        <v>0</v>
      </c>
      <c r="AX125" s="23">
        <f t="shared" si="60"/>
        <v>33.571234205462765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8.3000000000000007</v>
      </c>
      <c r="BD125" s="13">
        <f>IF('Données projet'!$A$88&gt;35,BD124+BC125-BL124,IF(A125&lt;'Données projet'!$A$88,$BA$205^A125,IF(A125='Données projet'!$A$88,'Données projet'!$B$88,BD124+BC125-BL124)))</f>
        <v>308.60000000000036</v>
      </c>
      <c r="BE125" s="14">
        <f>BD125*VLOOKUP('Données projet'!$B$11,Paramètres!$A$1:$I$88,3,0)*VLOOKUP('Données projet'!$B$11,Paramètres!$A$1:$I$88,5,0)</f>
        <v>312.92040000000037</v>
      </c>
      <c r="BF125" s="14">
        <f t="shared" si="91"/>
        <v>73.878392698802884</v>
      </c>
      <c r="BG125" s="22">
        <f t="shared" si="61"/>
        <v>673.67456395041552</v>
      </c>
      <c r="BH125" s="62">
        <f t="shared" si="62"/>
        <v>956.16880983255737</v>
      </c>
      <c r="BI125" s="62">
        <f ca="1">AVERAGE(OFFSET($BH$3,0,0,'Données projet'!$E$11+1,1))-AVERAGE(OFFSET($H$3,0,0,'Données projet'!$E$11+1,1))</f>
        <v>570.2785736203931</v>
      </c>
      <c r="BJ125" s="62">
        <f t="shared" si="92"/>
        <v>67.677759965081719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37.622934885432421</v>
      </c>
      <c r="BQ125" s="23">
        <f>EXP(-LN(2)/25)*BQ124+(1-EXP(-LN(2)/25))/(LN(2)/25)*Calculateur!BL125*Calculateur!BN125*VLOOKUP('Données projet'!$B$11,Paramètres!$A$1:$I$88,3,0)*0.475*44/12</f>
        <v>0</v>
      </c>
      <c r="BR125" s="23">
        <f>EXP(-LN(2)/2)*BR124+(1-EXP(-LN(2)/2))/(LN(2)/2)*BL125*BO125*VLOOKUP('Données projet'!$B$11,Paramètres!$A$1:$I$88,3,0)*0.475*44/12</f>
        <v>0</v>
      </c>
      <c r="BS125" s="24">
        <f t="shared" si="63"/>
        <v>37.622934885432421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544.19999999999982</v>
      </c>
      <c r="BZ125" s="14">
        <f>BY125*VLOOKUP('Données projet'!$B$12,Paramètres!$A$1:$I$88,3,0)*VLOOKUP('Données projet'!$B$12,Paramètres!$A$1:$I$88,5,0)</f>
        <v>325.43159999999995</v>
      </c>
      <c r="CA125" s="14">
        <f t="shared" si="93"/>
        <v>76.482394221016762</v>
      </c>
      <c r="CB125" s="22">
        <f t="shared" si="64"/>
        <v>700.00020660160408</v>
      </c>
      <c r="CC125" s="62">
        <f t="shared" si="65"/>
        <v>982.49445248374582</v>
      </c>
      <c r="CD125" s="62">
        <f ca="1">AVERAGE(OFFSET($CC$3,0,0,'Données projet'!$E$12+1,1))-AVERAGE(OFFSET($H$3,0,0,'Données projet'!$E$12+1,1))</f>
        <v>401.1031790385295</v>
      </c>
      <c r="CE125" s="62">
        <f t="shared" si="94"/>
        <v>402.09589424130615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projet'!$B$12,Paramètres!$A$1:$I$88,3,0)*0.475*44/12</f>
        <v>6.0759471853981264</v>
      </c>
      <c r="CL125" s="23">
        <f>EXP(-LN(2)/25)*CL124+(1-EXP(-LN(2)/25))/(LN(2)/25)*Calculateur!CG125*Calculateur!CI125*VLOOKUP('Données projet'!$B$12,Paramètres!$A$1:$I$88,3,0)*0.475*44/12</f>
        <v>0</v>
      </c>
      <c r="CM125" s="23">
        <f>EXP(-LN(2)/2)*CM124+(1-EXP(-LN(2)/2))/(LN(2)/2)*CG125*CJ125*VLOOKUP('Données projet'!$B$12,Paramètres!$A$1:$I$88,3,0)*0.475*44/12</f>
        <v>1.9331337096381843E-9</v>
      </c>
      <c r="CN125" s="24">
        <f t="shared" si="66"/>
        <v>6.07594718733126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544.19999999999982</v>
      </c>
      <c r="CU125" s="18">
        <f>CT125*VLOOKUP('Données projet'!$B$13,Paramètres!$A$1:$I$88,3,0)*VLOOKUP('Données projet'!$B$13,Paramètres!$A$1:$I$88,5,0)</f>
        <v>325.43159999999995</v>
      </c>
      <c r="CV125" s="14">
        <f t="shared" si="95"/>
        <v>76.482394221016762</v>
      </c>
      <c r="CW125" s="22">
        <f t="shared" si="67"/>
        <v>700.00020660160408</v>
      </c>
      <c r="CX125" s="62">
        <f t="shared" si="68"/>
        <v>982.49445248374582</v>
      </c>
      <c r="CY125" s="62">
        <f ca="1">AVERAGE(OFFSET($CX$3,0,0,'Données projet'!$E$13+1,1))-AVERAGE(OFFSET($H$3,0,0,'Données projet'!$E$13+1,1))</f>
        <v>401.1031790385295</v>
      </c>
      <c r="CZ125" s="62">
        <f t="shared" si="96"/>
        <v>402.09589424130615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projet'!$B$13,Paramètres!$A$1:$I$88,3,0)*0.475*44/12</f>
        <v>6.0759471853981264</v>
      </c>
      <c r="DG125" s="23">
        <f>EXP(-LN(2)/25)*DG124+(1-EXP(-LN(2)/25))/(LN(2)/25)*Calculateur!DB125*Calculateur!DD125*VLOOKUP('Données projet'!$B$13,Paramètres!$A$1:$I$88,3,0)*0.475*44/12</f>
        <v>0</v>
      </c>
      <c r="DH125" s="23">
        <f>EXP(-LN(2)/2)*DH124+(1-EXP(-LN(2)/2))/(LN(2)/2)*DB125*DE125*VLOOKUP('Données projet'!$B$13,Paramètres!$A$1:$I$88,3,0)*0.475*44/12</f>
        <v>1.9331337096381843E-9</v>
      </c>
      <c r="DI125" s="24">
        <f t="shared" si="69"/>
        <v>6.07594718733126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860.00000000000023</v>
      </c>
      <c r="DP125" s="18">
        <f>DO125*VLOOKUP('Données projet'!$B$14,Paramètres!$A$1:$I$88,3,0)*VLOOKUP('Données projet'!$B$14,Paramètres!$A$1:$I$88,5,0)</f>
        <v>346.5800000000001</v>
      </c>
      <c r="DQ125" s="14">
        <f t="shared" si="97"/>
        <v>80.857895771535127</v>
      </c>
      <c r="DR125" s="22">
        <f t="shared" si="70"/>
        <v>744.45433513542378</v>
      </c>
      <c r="DS125" s="62">
        <f t="shared" si="71"/>
        <v>1026.9485810175656</v>
      </c>
      <c r="DT125" s="62">
        <f ca="1">AVERAGE(OFFSET($DS$3,0,0,'Données projet'!$E$14+1,1))-AVERAGE(OFFSET($H$3,0,0,'Données projet'!$E$14+1,1))</f>
        <v>432.59662347701629</v>
      </c>
      <c r="DU125" s="62">
        <f t="shared" si="98"/>
        <v>348.67401091099748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projet'!$B$14,Paramètres!$A$1:$I$88,3,0)*0.475*44/12</f>
        <v>27.370089244419617</v>
      </c>
      <c r="EB125" s="23">
        <f>EXP(-LN(2)/25)*EB124+(1-EXP(-LN(2)/25))/(LN(2)/25)*Calculateur!DW125*Calculateur!DY125*VLOOKUP('Données projet'!$B$14,Paramètres!$A$1:$I$88,3,0)*0.475*44/12</f>
        <v>21.69952521177331</v>
      </c>
      <c r="EC125" s="23">
        <f>EXP(-LN(2)/2)*EC124+(1-EXP(-LN(2)/2))/(LN(2)/2)*DW125*DZ125*VLOOKUP('Données projet'!$B$14,Paramètres!$A$1:$I$88,3,0)*0.475*44/12</f>
        <v>0</v>
      </c>
      <c r="ED125" s="24">
        <f t="shared" si="72"/>
        <v>49.069614456192923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1099.9999999999998</v>
      </c>
      <c r="EK125" s="18">
        <f>EJ125*VLOOKUP('Données projet'!$B$15,Paramètres!$A$1:$I$88,3,0)*VLOOKUP('Données projet'!$B$15,Paramètres!$A$1:$I$88,5,0)</f>
        <v>486.19999999999993</v>
      </c>
      <c r="EL125" s="14">
        <f t="shared" si="99"/>
        <v>109.0490179035375</v>
      </c>
      <c r="EM125" s="22">
        <f t="shared" si="73"/>
        <v>1036.725372848661</v>
      </c>
      <c r="EN125" s="62">
        <f t="shared" si="74"/>
        <v>1319.2196187308027</v>
      </c>
      <c r="EO125" s="62">
        <f ca="1">AVERAGE(OFFSET($EN$3,0,0,'Données projet'!$E$15+1,1))-AVERAGE(OFFSET($H$3,0,0,'Données projet'!$E$15+1,1))</f>
        <v>582.26951914082088</v>
      </c>
      <c r="EP125" s="62">
        <f t="shared" si="100"/>
        <v>434.80429932654715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projet'!$B$15,Paramètres!$A$1:$I$88,3,0)*0.475*44/12</f>
        <v>27.579158541721444</v>
      </c>
      <c r="EW125" s="23">
        <f>EXP(-LN(2)/25)*EW124+(1-EXP(-LN(2)/25))/(LN(2)/25)*Calculateur!ER125*Calculateur!ET125*VLOOKUP('Données projet'!$B$15,Paramètres!$A$1:$I$88,3,0)*0.475*44/12</f>
        <v>19.498712463092243</v>
      </c>
      <c r="EX125" s="23">
        <f>EXP(-LN(2)/2)*EX124+(1-EXP(-LN(2)/2))/(LN(2)/2)*ER125*EU125*VLOOKUP('Données projet'!$B$15,Paramètres!$A$1:$I$88,3,0)*0.475*44/12</f>
        <v>0</v>
      </c>
      <c r="EY125" s="24">
        <f t="shared" si="75"/>
        <v>47.077871004813687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854.99999999999989</v>
      </c>
      <c r="FF125" s="18">
        <f>FE125*VLOOKUP('Données projet'!$B$16,Paramètres!$A$1:$I$88,3,0)*VLOOKUP('Données projet'!$B$16,Paramètres!$A$1:$I$88,5,0)</f>
        <v>400.13999999999993</v>
      </c>
      <c r="FG125" s="14">
        <f t="shared" si="101"/>
        <v>91.805047494648534</v>
      </c>
      <c r="FH125" s="22">
        <f t="shared" si="76"/>
        <v>856.80429105317944</v>
      </c>
      <c r="FI125" s="62">
        <f t="shared" si="77"/>
        <v>1139.2985369353212</v>
      </c>
      <c r="FJ125" s="62">
        <f ca="1">AVERAGE(OFFSET($FI$3,0,0,'Données projet'!$E$16+1,1))-AVERAGE(OFFSET($H$3,0,0,'Données projet'!$E$16+1,1))</f>
        <v>429.87867712133851</v>
      </c>
      <c r="FK125" s="62">
        <f t="shared" si="102"/>
        <v>182.81277865988014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projet'!$B$16,Paramètres!$A$1:$I$88,3,0)*0.475*44/12</f>
        <v>32.891446868904183</v>
      </c>
      <c r="FR125" s="23">
        <f>EXP(-LN(2)/25)*FR124+(1-EXP(-LN(2)/25))/(LN(2)/25)*Calculateur!FM125*Calculateur!FO125*VLOOKUP('Données projet'!$B$16,Paramètres!$A$1:$I$88,3,0)*0.475*44/12</f>
        <v>24.71795627523904</v>
      </c>
      <c r="FS125" s="23">
        <f>EXP(-LN(2)/2)*FS124+(1-EXP(-LN(2)/2))/(LN(2)/2)*FM125*FP125*VLOOKUP('Données projet'!$B$16,Paramètres!$A$1:$I$88,3,0)*0.475*44/12</f>
        <v>0</v>
      </c>
      <c r="FT125" s="24">
        <f t="shared" si="78"/>
        <v>57.609403144143222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498.99999999999955</v>
      </c>
      <c r="GA125" s="18">
        <f>FZ125*VLOOKUP('Données projet'!$B$17,Paramètres!$A$1:$I$88,3,0)*VLOOKUP('Données projet'!$B$17,Paramètres!$A$1:$I$88,5,0)</f>
        <v>240.01899999999978</v>
      </c>
      <c r="GB125" s="14">
        <f t="shared" si="103"/>
        <v>58.443618405936313</v>
      </c>
      <c r="GC125" s="22">
        <f t="shared" si="79"/>
        <v>519.82239372367201</v>
      </c>
      <c r="GD125" s="62">
        <f t="shared" si="80"/>
        <v>802.31663960581386</v>
      </c>
      <c r="GE125" s="62">
        <f ca="1">AVERAGE(OFFSET($GD$3,0,0,'Données projet'!$E$17+1,1))-AVERAGE(OFFSET($H$3,0,0,'Données projet'!$E$17+1,1))</f>
        <v>273.24375559399846</v>
      </c>
      <c r="GF125" s="62">
        <f t="shared" si="104"/>
        <v>270.77718895097848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projet'!$B$17,Paramètres!$A$1:$I$88,3,0)*0.475*44/12</f>
        <v>14.083429587768642</v>
      </c>
      <c r="GM125" s="23">
        <f>EXP(-LN(2)/25)*GM124+(1-EXP(-LN(2)/25))/(LN(2)/25)*Calculateur!GH125*Calculateur!GJ125*VLOOKUP('Données projet'!$B$17,Paramètres!$A$1:$I$88,3,0)*0.475*44/12</f>
        <v>9.5101722060641922</v>
      </c>
      <c r="GN125" s="23">
        <f>EXP(-LN(2)/2)*GN124+(1-EXP(-LN(2)/2))/(LN(2)/2)*GH125*GK125*VLOOKUP('Données projet'!$B$17,Paramètres!$A$1:$I$88,3,0)*0.475*44/12</f>
        <v>0</v>
      </c>
      <c r="GO125" s="23">
        <f t="shared" si="81"/>
        <v>23.593601793832832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550.99999999999966</v>
      </c>
      <c r="O126" s="14">
        <f>N126*VLOOKUP('Données projet'!$B$9,Paramètres!$A$1:$I$88,3,0)*VLOOKUP('Données projet'!$B$9,Paramètres!$A$1:$I$88,5,0)</f>
        <v>308.00899999999979</v>
      </c>
      <c r="P126" s="14">
        <f t="shared" si="87"/>
        <v>72.852874331417695</v>
      </c>
      <c r="Q126" s="22">
        <f t="shared" si="107"/>
        <v>663.33443112721886</v>
      </c>
      <c r="R126" s="62">
        <f t="shared" si="55"/>
        <v>946.01671094406947</v>
      </c>
      <c r="S126" s="62">
        <f ca="1">AVERAGE(OFFSET($R$3,0,0,'Données projet'!$E$9+1,1))-AVERAGE(OFFSET($H$3,0,0,'Données projet'!$E$9+1,1))</f>
        <v>289.94242154211224</v>
      </c>
      <c r="T126" s="62">
        <f t="shared" si="88"/>
        <v>369.12599166143661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21.185771897015748</v>
      </c>
      <c r="AA126" s="23">
        <f>EXP(-LN(2)/25)*AA125+(1-EXP(-LN(2)/25))/(LN(2)/25)*Calculateur!V126*Calculateur!X126*VLOOKUP('Données projet'!$B$9,Paramètres!$A$1:$I$88,3,0)*0.475*44/12</f>
        <v>11.649842528390959</v>
      </c>
      <c r="AB126" s="23">
        <f>EXP(-LN(2)/2)*AB125+(1-EXP(-LN(2)/2))/(LN(2)/2)*V126*Y126*VLOOKUP('Données projet'!$B$9,Paramètres!$A$1:$I$88,3,0)*0.475*44/12</f>
        <v>0</v>
      </c>
      <c r="AC126" s="24">
        <f t="shared" si="57"/>
        <v>32.835614425406703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8.3000000000000007</v>
      </c>
      <c r="AI126" s="14">
        <f>IF('Données projet'!$A$62&gt;35,AI125+AH126-AQ125,IF(A126&lt;'Données projet'!$A$62,$AF$205^A126,IF(A126='Données projet'!$A$62,'Données projet'!$B$62,AI125+AH126-AQ125)))</f>
        <v>316.90000000000038</v>
      </c>
      <c r="AJ126" s="14">
        <f>AI126*VLOOKUP('Données projet'!$B$10,Paramètres!$A$1:$I$88,3,0)*VLOOKUP('Données projet'!$B$10,Paramètres!$A$1:$I$88,5,0)</f>
        <v>286.73112000000032</v>
      </c>
      <c r="AK126" s="14">
        <f t="shared" si="89"/>
        <v>68.387515408373488</v>
      </c>
      <c r="AL126" s="22">
        <f t="shared" si="58"/>
        <v>618.49829000291766</v>
      </c>
      <c r="AM126" s="62">
        <f t="shared" si="59"/>
        <v>901.18056981976838</v>
      </c>
      <c r="AN126" s="62">
        <f ca="1">AVERAGE(OFFSET($AM$3,0,0,'Données projet'!$E$10+1,1))-AVERAGE(OFFSET($H$3,0,0,'Données projet'!$E$10+1,1))</f>
        <v>518.31628039365785</v>
      </c>
      <c r="AO126" s="62">
        <f t="shared" si="90"/>
        <v>66.435071953154761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32.912922779124628</v>
      </c>
      <c r="AV126" s="23">
        <f>EXP(-LN(2)/25)*AV125+(1-EXP(-LN(2)/25))/(LN(2)/25)*Calculateur!AQ126*Calculateur!AS126*VLOOKUP('Données projet'!$B$10,Paramètres!$A$1:$I$88,3,0)*0.475*44/12</f>
        <v>0</v>
      </c>
      <c r="AW126" s="23">
        <f>EXP(-LN(2)/2)*AW125+(1-EXP(-LN(2)/2))/(LN(2)/2)*AQ126*AT126*VLOOKUP('Données projet'!$B$10,Paramètres!$A$1:$I$88,3,0)*0.475*44/12</f>
        <v>0</v>
      </c>
      <c r="AX126" s="23">
        <f t="shared" si="60"/>
        <v>32.912922779124628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8.3000000000000007</v>
      </c>
      <c r="BD126" s="13">
        <f>IF('Données projet'!$A$88&gt;35,BD125+BC126-BL125,IF(A126&lt;'Données projet'!$A$88,$BA$205^A126,IF(A126='Données projet'!$A$88,'Données projet'!$B$88,BD125+BC126-BL125)))</f>
        <v>316.90000000000038</v>
      </c>
      <c r="BE126" s="14">
        <f>BD126*VLOOKUP('Données projet'!$B$11,Paramètres!$A$1:$I$88,3,0)*VLOOKUP('Données projet'!$B$11,Paramètres!$A$1:$I$88,5,0)</f>
        <v>321.33660000000037</v>
      </c>
      <c r="BF126" s="14">
        <f t="shared" si="91"/>
        <v>75.631391785769182</v>
      </c>
      <c r="BG126" s="22">
        <f t="shared" si="61"/>
        <v>691.38591902688188</v>
      </c>
      <c r="BH126" s="62">
        <f t="shared" si="62"/>
        <v>974.06819884373249</v>
      </c>
      <c r="BI126" s="62">
        <f ca="1">AVERAGE(OFFSET($BH$3,0,0,'Données projet'!$E$11+1,1))-AVERAGE(OFFSET($H$3,0,0,'Données projet'!$E$11+1,1))</f>
        <v>570.2785736203931</v>
      </c>
      <c r="BJ126" s="62">
        <f t="shared" si="92"/>
        <v>67.677759965081719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36.885172080053472</v>
      </c>
      <c r="BQ126" s="23">
        <f>EXP(-LN(2)/25)*BQ125+(1-EXP(-LN(2)/25))/(LN(2)/25)*Calculateur!BL126*Calculateur!BN126*VLOOKUP('Données projet'!$B$11,Paramètres!$A$1:$I$88,3,0)*0.475*44/12</f>
        <v>0</v>
      </c>
      <c r="BR126" s="23">
        <f>EXP(-LN(2)/2)*BR125+(1-EXP(-LN(2)/2))/(LN(2)/2)*BL126*BO126*VLOOKUP('Données projet'!$B$11,Paramètres!$A$1:$I$88,3,0)*0.475*44/12</f>
        <v>0</v>
      </c>
      <c r="BS126" s="24">
        <f t="shared" si="63"/>
        <v>36.885172080053472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544.19999999999982</v>
      </c>
      <c r="BZ126" s="14">
        <f>BY126*VLOOKUP('Données projet'!$B$12,Paramètres!$A$1:$I$88,3,0)*VLOOKUP('Données projet'!$B$12,Paramètres!$A$1:$I$88,5,0)</f>
        <v>325.43159999999995</v>
      </c>
      <c r="CA126" s="14">
        <f t="shared" si="93"/>
        <v>76.482394221016762</v>
      </c>
      <c r="CB126" s="22">
        <f t="shared" si="64"/>
        <v>700.00020660160408</v>
      </c>
      <c r="CC126" s="62">
        <f t="shared" si="65"/>
        <v>982.6824864184548</v>
      </c>
      <c r="CD126" s="62">
        <f ca="1">AVERAGE(OFFSET($CC$3,0,0,'Données projet'!$E$12+1,1))-AVERAGE(OFFSET($H$3,0,0,'Données projet'!$E$12+1,1))</f>
        <v>401.1031790385295</v>
      </c>
      <c r="CE126" s="62">
        <f t="shared" si="94"/>
        <v>402.09589424130615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projet'!$B$12,Paramètres!$A$1:$I$88,3,0)*0.475*44/12</f>
        <v>5.9568015670543186</v>
      </c>
      <c r="CL126" s="23">
        <f>EXP(-LN(2)/25)*CL125+(1-EXP(-LN(2)/25))/(LN(2)/25)*Calculateur!CG126*Calculateur!CI126*VLOOKUP('Données projet'!$B$12,Paramètres!$A$1:$I$88,3,0)*0.475*44/12</f>
        <v>0</v>
      </c>
      <c r="CM126" s="23">
        <f>EXP(-LN(2)/2)*CM125+(1-EXP(-LN(2)/2))/(LN(2)/2)*CG126*CJ126*VLOOKUP('Données projet'!$B$12,Paramètres!$A$1:$I$88,3,0)*0.475*44/12</f>
        <v>1.3669319550254665E-9</v>
      </c>
      <c r="CN126" s="24">
        <f t="shared" si="66"/>
        <v>5.956801568421251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544.19999999999982</v>
      </c>
      <c r="CU126" s="18">
        <f>CT126*VLOOKUP('Données projet'!$B$13,Paramètres!$A$1:$I$88,3,0)*VLOOKUP('Données projet'!$B$13,Paramètres!$A$1:$I$88,5,0)</f>
        <v>325.43159999999995</v>
      </c>
      <c r="CV126" s="14">
        <f t="shared" si="95"/>
        <v>76.482394221016762</v>
      </c>
      <c r="CW126" s="22">
        <f t="shared" si="67"/>
        <v>700.00020660160408</v>
      </c>
      <c r="CX126" s="62">
        <f t="shared" si="68"/>
        <v>982.6824864184548</v>
      </c>
      <c r="CY126" s="62">
        <f ca="1">AVERAGE(OFFSET($CX$3,0,0,'Données projet'!$E$13+1,1))-AVERAGE(OFFSET($H$3,0,0,'Données projet'!$E$13+1,1))</f>
        <v>401.1031790385295</v>
      </c>
      <c r="CZ126" s="62">
        <f t="shared" si="96"/>
        <v>402.09589424130615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projet'!$B$13,Paramètres!$A$1:$I$88,3,0)*0.475*44/12</f>
        <v>5.9568015670543186</v>
      </c>
      <c r="DG126" s="23">
        <f>EXP(-LN(2)/25)*DG125+(1-EXP(-LN(2)/25))/(LN(2)/25)*Calculateur!DB126*Calculateur!DD126*VLOOKUP('Données projet'!$B$13,Paramètres!$A$1:$I$88,3,0)*0.475*44/12</f>
        <v>0</v>
      </c>
      <c r="DH126" s="23">
        <f>EXP(-LN(2)/2)*DH125+(1-EXP(-LN(2)/2))/(LN(2)/2)*DB126*DE126*VLOOKUP('Données projet'!$B$13,Paramètres!$A$1:$I$88,3,0)*0.475*44/12</f>
        <v>1.3669319550254665E-9</v>
      </c>
      <c r="DI126" s="24">
        <f t="shared" si="69"/>
        <v>5.956801568421251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860.00000000000023</v>
      </c>
      <c r="DP126" s="18">
        <f>DO126*VLOOKUP('Données projet'!$B$14,Paramètres!$A$1:$I$88,3,0)*VLOOKUP('Données projet'!$B$14,Paramètres!$A$1:$I$88,5,0)</f>
        <v>346.5800000000001</v>
      </c>
      <c r="DQ126" s="14">
        <f t="shared" si="97"/>
        <v>80.857895771535127</v>
      </c>
      <c r="DR126" s="22">
        <f t="shared" si="70"/>
        <v>744.45433513542378</v>
      </c>
      <c r="DS126" s="62">
        <f t="shared" si="71"/>
        <v>1027.1366149522744</v>
      </c>
      <c r="DT126" s="62">
        <f ca="1">AVERAGE(OFFSET($DS$3,0,0,'Données projet'!$E$14+1,1))-AVERAGE(OFFSET($H$3,0,0,'Données projet'!$E$14+1,1))</f>
        <v>432.59662347701629</v>
      </c>
      <c r="DU126" s="62">
        <f t="shared" si="98"/>
        <v>348.67401091099748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projet'!$B$14,Paramètres!$A$1:$I$88,3,0)*0.475*44/12</f>
        <v>26.83337848844258</v>
      </c>
      <c r="EB126" s="23">
        <f>EXP(-LN(2)/25)*EB125+(1-EXP(-LN(2)/25))/(LN(2)/25)*Calculateur!DW126*Calculateur!DY126*VLOOKUP('Données projet'!$B$14,Paramètres!$A$1:$I$88,3,0)*0.475*44/12</f>
        <v>21.106150553728931</v>
      </c>
      <c r="EC126" s="23">
        <f>EXP(-LN(2)/2)*EC125+(1-EXP(-LN(2)/2))/(LN(2)/2)*DW126*DZ126*VLOOKUP('Données projet'!$B$14,Paramètres!$A$1:$I$88,3,0)*0.475*44/12</f>
        <v>0</v>
      </c>
      <c r="ED126" s="24">
        <f t="shared" si="72"/>
        <v>47.939529042171515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1099.9999999999998</v>
      </c>
      <c r="EK126" s="18">
        <f>EJ126*VLOOKUP('Données projet'!$B$15,Paramètres!$A$1:$I$88,3,0)*VLOOKUP('Données projet'!$B$15,Paramètres!$A$1:$I$88,5,0)</f>
        <v>486.19999999999993</v>
      </c>
      <c r="EL126" s="14">
        <f t="shared" si="99"/>
        <v>109.0490179035375</v>
      </c>
      <c r="EM126" s="22">
        <f t="shared" si="73"/>
        <v>1036.725372848661</v>
      </c>
      <c r="EN126" s="62">
        <f t="shared" si="74"/>
        <v>1319.4076526655117</v>
      </c>
      <c r="EO126" s="62">
        <f ca="1">AVERAGE(OFFSET($EN$3,0,0,'Données projet'!$E$15+1,1))-AVERAGE(OFFSET($H$3,0,0,'Données projet'!$E$15+1,1))</f>
        <v>582.26951914082088</v>
      </c>
      <c r="EP126" s="62">
        <f t="shared" si="100"/>
        <v>434.80429932654715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projet'!$B$15,Paramètres!$A$1:$I$88,3,0)*0.475*44/12</f>
        <v>27.038348064344</v>
      </c>
      <c r="EW126" s="23">
        <f>EXP(-LN(2)/25)*EW125+(1-EXP(-LN(2)/25))/(LN(2)/25)*Calculateur!ER126*Calculateur!ET126*VLOOKUP('Données projet'!$B$15,Paramètres!$A$1:$I$88,3,0)*0.475*44/12</f>
        <v>18.965519145396261</v>
      </c>
      <c r="EX126" s="23">
        <f>EXP(-LN(2)/2)*EX125+(1-EXP(-LN(2)/2))/(LN(2)/2)*ER126*EU126*VLOOKUP('Données projet'!$B$15,Paramètres!$A$1:$I$88,3,0)*0.475*44/12</f>
        <v>0</v>
      </c>
      <c r="EY126" s="24">
        <f t="shared" si="75"/>
        <v>46.003867209740264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854.99999999999989</v>
      </c>
      <c r="FF126" s="18">
        <f>FE126*VLOOKUP('Données projet'!$B$16,Paramètres!$A$1:$I$88,3,0)*VLOOKUP('Données projet'!$B$16,Paramètres!$A$1:$I$88,5,0)</f>
        <v>400.13999999999993</v>
      </c>
      <c r="FG126" s="14">
        <f t="shared" si="101"/>
        <v>91.805047494648534</v>
      </c>
      <c r="FH126" s="22">
        <f t="shared" si="76"/>
        <v>856.80429105317944</v>
      </c>
      <c r="FI126" s="62">
        <f t="shared" si="77"/>
        <v>1139.4865708700302</v>
      </c>
      <c r="FJ126" s="62">
        <f ca="1">AVERAGE(OFFSET($FI$3,0,0,'Données projet'!$E$16+1,1))-AVERAGE(OFFSET($H$3,0,0,'Données projet'!$E$16+1,1))</f>
        <v>429.87867712133851</v>
      </c>
      <c r="FK126" s="62">
        <f t="shared" si="102"/>
        <v>182.81277865988014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projet'!$B$16,Paramètres!$A$1:$I$88,3,0)*0.475*44/12</f>
        <v>32.24646565760662</v>
      </c>
      <c r="FR126" s="23">
        <f>EXP(-LN(2)/25)*FR125+(1-EXP(-LN(2)/25))/(LN(2)/25)*Calculateur!FM126*Calculateur!FO126*VLOOKUP('Données projet'!$B$16,Paramètres!$A$1:$I$88,3,0)*0.475*44/12</f>
        <v>24.042042461031802</v>
      </c>
      <c r="FS126" s="23">
        <f>EXP(-LN(2)/2)*FS125+(1-EXP(-LN(2)/2))/(LN(2)/2)*FM126*FP126*VLOOKUP('Données projet'!$B$16,Paramètres!$A$1:$I$88,3,0)*0.475*44/12</f>
        <v>0</v>
      </c>
      <c r="FT126" s="24">
        <f t="shared" si="78"/>
        <v>56.288508118638418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498.99999999999955</v>
      </c>
      <c r="GA126" s="18">
        <f>FZ126*VLOOKUP('Données projet'!$B$17,Paramètres!$A$1:$I$88,3,0)*VLOOKUP('Données projet'!$B$17,Paramètres!$A$1:$I$88,5,0)</f>
        <v>240.01899999999978</v>
      </c>
      <c r="GB126" s="14">
        <f t="shared" si="103"/>
        <v>58.443618405936313</v>
      </c>
      <c r="GC126" s="22">
        <f t="shared" si="79"/>
        <v>519.82239372367201</v>
      </c>
      <c r="GD126" s="62">
        <f t="shared" si="80"/>
        <v>802.50467354052262</v>
      </c>
      <c r="GE126" s="62">
        <f ca="1">AVERAGE(OFFSET($GD$3,0,0,'Données projet'!$E$17+1,1))-AVERAGE(OFFSET($H$3,0,0,'Données projet'!$E$17+1,1))</f>
        <v>273.24375559399846</v>
      </c>
      <c r="GF126" s="62">
        <f t="shared" si="104"/>
        <v>270.77718895097848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projet'!$B$17,Paramètres!$A$1:$I$88,3,0)*0.475*44/12</f>
        <v>13.807262123596351</v>
      </c>
      <c r="GM126" s="23">
        <f>EXP(-LN(2)/25)*GM125+(1-EXP(-LN(2)/25))/(LN(2)/25)*Calculateur!GH126*Calculateur!GJ126*VLOOKUP('Données projet'!$B$17,Paramètres!$A$1:$I$88,3,0)*0.475*44/12</f>
        <v>9.2501160469711472</v>
      </c>
      <c r="GN126" s="23">
        <f>EXP(-LN(2)/2)*GN125+(1-EXP(-LN(2)/2))/(LN(2)/2)*GH126*GK126*VLOOKUP('Données projet'!$B$17,Paramètres!$A$1:$I$88,3,0)*0.475*44/12</f>
        <v>0</v>
      </c>
      <c r="GO126" s="23">
        <f t="shared" si="81"/>
        <v>23.057378170567496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550.99999999999966</v>
      </c>
      <c r="O127" s="14">
        <f>N127*VLOOKUP('Données projet'!$B$9,Paramètres!$A$1:$I$88,3,0)*VLOOKUP('Données projet'!$B$9,Paramètres!$A$1:$I$88,5,0)</f>
        <v>308.00899999999979</v>
      </c>
      <c r="P127" s="14">
        <f t="shared" si="87"/>
        <v>72.852874331417695</v>
      </c>
      <c r="Q127" s="22">
        <f t="shared" si="107"/>
        <v>663.33443112721886</v>
      </c>
      <c r="R127" s="62">
        <f t="shared" si="55"/>
        <v>946.2014829103922</v>
      </c>
      <c r="S127" s="62">
        <f ca="1">AVERAGE(OFFSET($R$3,0,0,'Données projet'!$E$9+1,1))-AVERAGE(OFFSET($H$3,0,0,'Données projet'!$E$9+1,1))</f>
        <v>289.94242154211224</v>
      </c>
      <c r="T127" s="62">
        <f t="shared" si="88"/>
        <v>369.12599166143661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20.770331832160181</v>
      </c>
      <c r="AA127" s="23">
        <f>EXP(-LN(2)/25)*AA126+(1-EXP(-LN(2)/25))/(LN(2)/25)*Calculateur!V127*Calculateur!X127*VLOOKUP('Données projet'!$B$9,Paramètres!$A$1:$I$88,3,0)*0.475*44/12</f>
        <v>11.331276971813516</v>
      </c>
      <c r="AB127" s="23">
        <f>EXP(-LN(2)/2)*AB126+(1-EXP(-LN(2)/2))/(LN(2)/2)*V127*Y127*VLOOKUP('Données projet'!$B$9,Paramètres!$A$1:$I$88,3,0)*0.475*44/12</f>
        <v>0</v>
      </c>
      <c r="AC127" s="24">
        <f t="shared" si="57"/>
        <v>32.101608803973697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8.3000000000000007</v>
      </c>
      <c r="AI127" s="14">
        <f>IF('Données projet'!$A$62&gt;35,AI126+AH127-AQ126,IF(A127&lt;'Données projet'!$A$62,$AF$205^A127,IF(A127='Données projet'!$A$62,'Données projet'!$B$62,AI126+AH127-AQ126)))</f>
        <v>325.20000000000039</v>
      </c>
      <c r="AJ127" s="14">
        <f>AI127*VLOOKUP('Données projet'!$B$10,Paramètres!$A$1:$I$88,3,0)*VLOOKUP('Données projet'!$B$10,Paramètres!$A$1:$I$88,5,0)</f>
        <v>294.24096000000031</v>
      </c>
      <c r="AK127" s="14">
        <f t="shared" si="89"/>
        <v>69.967788871055049</v>
      </c>
      <c r="AL127" s="22">
        <f t="shared" si="58"/>
        <v>634.33023761708807</v>
      </c>
      <c r="AM127" s="62">
        <f t="shared" si="59"/>
        <v>917.19728940026141</v>
      </c>
      <c r="AN127" s="62">
        <f ca="1">AVERAGE(OFFSET($AM$3,0,0,'Données projet'!$E$10+1,1))-AVERAGE(OFFSET($H$3,0,0,'Données projet'!$E$10+1,1))</f>
        <v>518.31628039365785</v>
      </c>
      <c r="AO127" s="62">
        <f t="shared" si="90"/>
        <v>66.435071953154761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32.267520438326656</v>
      </c>
      <c r="AV127" s="23">
        <f>EXP(-LN(2)/25)*AV126+(1-EXP(-LN(2)/25))/(LN(2)/25)*Calculateur!AQ127*Calculateur!AS127*VLOOKUP('Données projet'!$B$10,Paramètres!$A$1:$I$88,3,0)*0.475*44/12</f>
        <v>0</v>
      </c>
      <c r="AW127" s="23">
        <f>EXP(-LN(2)/2)*AW126+(1-EXP(-LN(2)/2))/(LN(2)/2)*AQ127*AT127*VLOOKUP('Données projet'!$B$10,Paramètres!$A$1:$I$88,3,0)*0.475*44/12</f>
        <v>0</v>
      </c>
      <c r="AX127" s="23">
        <f t="shared" si="60"/>
        <v>32.267520438326656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8.3000000000000007</v>
      </c>
      <c r="BD127" s="13">
        <f>IF('Données projet'!$A$88&gt;35,BD126+BC127-BL126,IF(A127&lt;'Données projet'!$A$88,$BA$205^A127,IF(A127='Données projet'!$A$88,'Données projet'!$B$88,BD126+BC127-BL126)))</f>
        <v>325.20000000000039</v>
      </c>
      <c r="BE127" s="14">
        <f>BD127*VLOOKUP('Données projet'!$B$11,Paramètres!$A$1:$I$88,3,0)*VLOOKUP('Données projet'!$B$11,Paramètres!$A$1:$I$88,5,0)</f>
        <v>329.75280000000038</v>
      </c>
      <c r="BF127" s="14">
        <f t="shared" si="91"/>
        <v>77.379054069901372</v>
      </c>
      <c r="BG127" s="22">
        <f t="shared" si="61"/>
        <v>709.08797917174559</v>
      </c>
      <c r="BH127" s="62">
        <f t="shared" si="62"/>
        <v>991.95503095491893</v>
      </c>
      <c r="BI127" s="62">
        <f ca="1">AVERAGE(OFFSET($BH$3,0,0,'Données projet'!$E$11+1,1))-AVERAGE(OFFSET($H$3,0,0,'Données projet'!$E$11+1,1))</f>
        <v>570.2785736203931</v>
      </c>
      <c r="BJ127" s="62">
        <f t="shared" si="92"/>
        <v>67.677759965081719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36.161876353297124</v>
      </c>
      <c r="BQ127" s="23">
        <f>EXP(-LN(2)/25)*BQ126+(1-EXP(-LN(2)/25))/(LN(2)/25)*Calculateur!BL127*Calculateur!BN127*VLOOKUP('Données projet'!$B$11,Paramètres!$A$1:$I$88,3,0)*0.475*44/12</f>
        <v>0</v>
      </c>
      <c r="BR127" s="23">
        <f>EXP(-LN(2)/2)*BR126+(1-EXP(-LN(2)/2))/(LN(2)/2)*BL127*BO127*VLOOKUP('Données projet'!$B$11,Paramètres!$A$1:$I$88,3,0)*0.475*44/12</f>
        <v>0</v>
      </c>
      <c r="BS127" s="24">
        <f t="shared" si="63"/>
        <v>36.161876353297124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544.19999999999982</v>
      </c>
      <c r="BZ127" s="14">
        <f>BY127*VLOOKUP('Données projet'!$B$12,Paramètres!$A$1:$I$88,3,0)*VLOOKUP('Données projet'!$B$12,Paramètres!$A$1:$I$88,5,0)</f>
        <v>325.43159999999995</v>
      </c>
      <c r="CA127" s="14">
        <f t="shared" si="93"/>
        <v>76.482394221016762</v>
      </c>
      <c r="CB127" s="22">
        <f t="shared" si="64"/>
        <v>700.00020660160408</v>
      </c>
      <c r="CC127" s="62">
        <f t="shared" si="65"/>
        <v>982.86725838477741</v>
      </c>
      <c r="CD127" s="62">
        <f ca="1">AVERAGE(OFFSET($CC$3,0,0,'Données projet'!$E$12+1,1))-AVERAGE(OFFSET($H$3,0,0,'Données projet'!$E$12+1,1))</f>
        <v>401.1031790385295</v>
      </c>
      <c r="CE127" s="62">
        <f t="shared" si="94"/>
        <v>402.09589424130615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projet'!$B$12,Paramètres!$A$1:$I$88,3,0)*0.475*44/12</f>
        <v>5.8399923216145817</v>
      </c>
      <c r="CL127" s="23">
        <f>EXP(-LN(2)/25)*CL126+(1-EXP(-LN(2)/25))/(LN(2)/25)*Calculateur!CG127*Calculateur!CI127*VLOOKUP('Données projet'!$B$12,Paramètres!$A$1:$I$88,3,0)*0.475*44/12</f>
        <v>0</v>
      </c>
      <c r="CM127" s="23">
        <f>EXP(-LN(2)/2)*CM126+(1-EXP(-LN(2)/2))/(LN(2)/2)*CG127*CJ127*VLOOKUP('Données projet'!$B$12,Paramètres!$A$1:$I$88,3,0)*0.475*44/12</f>
        <v>9.6656685481909214E-10</v>
      </c>
      <c r="CN127" s="24">
        <f t="shared" si="66"/>
        <v>5.839992322581149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544.19999999999982</v>
      </c>
      <c r="CU127" s="18">
        <f>CT127*VLOOKUP('Données projet'!$B$13,Paramètres!$A$1:$I$88,3,0)*VLOOKUP('Données projet'!$B$13,Paramètres!$A$1:$I$88,5,0)</f>
        <v>325.43159999999995</v>
      </c>
      <c r="CV127" s="14">
        <f t="shared" si="95"/>
        <v>76.482394221016762</v>
      </c>
      <c r="CW127" s="22">
        <f t="shared" si="67"/>
        <v>700.00020660160408</v>
      </c>
      <c r="CX127" s="62">
        <f t="shared" si="68"/>
        <v>982.86725838477741</v>
      </c>
      <c r="CY127" s="62">
        <f ca="1">AVERAGE(OFFSET($CX$3,0,0,'Données projet'!$E$13+1,1))-AVERAGE(OFFSET($H$3,0,0,'Données projet'!$E$13+1,1))</f>
        <v>401.1031790385295</v>
      </c>
      <c r="CZ127" s="62">
        <f t="shared" si="96"/>
        <v>402.09589424130615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projet'!$B$13,Paramètres!$A$1:$I$88,3,0)*0.475*44/12</f>
        <v>5.8399923216145817</v>
      </c>
      <c r="DG127" s="23">
        <f>EXP(-LN(2)/25)*DG126+(1-EXP(-LN(2)/25))/(LN(2)/25)*Calculateur!DB127*Calculateur!DD127*VLOOKUP('Données projet'!$B$13,Paramètres!$A$1:$I$88,3,0)*0.475*44/12</f>
        <v>0</v>
      </c>
      <c r="DH127" s="23">
        <f>EXP(-LN(2)/2)*DH126+(1-EXP(-LN(2)/2))/(LN(2)/2)*DB127*DE127*VLOOKUP('Données projet'!$B$13,Paramètres!$A$1:$I$88,3,0)*0.475*44/12</f>
        <v>9.6656685481909214E-10</v>
      </c>
      <c r="DI127" s="24">
        <f t="shared" si="69"/>
        <v>5.839992322581149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860.00000000000023</v>
      </c>
      <c r="DP127" s="18">
        <f>DO127*VLOOKUP('Données projet'!$B$14,Paramètres!$A$1:$I$88,3,0)*VLOOKUP('Données projet'!$B$14,Paramètres!$A$1:$I$88,5,0)</f>
        <v>346.5800000000001</v>
      </c>
      <c r="DQ127" s="14">
        <f t="shared" si="97"/>
        <v>80.857895771535127</v>
      </c>
      <c r="DR127" s="22">
        <f t="shared" si="70"/>
        <v>744.45433513542378</v>
      </c>
      <c r="DS127" s="62">
        <f t="shared" si="71"/>
        <v>1027.321386918597</v>
      </c>
      <c r="DT127" s="62">
        <f ca="1">AVERAGE(OFFSET($DS$3,0,0,'Données projet'!$E$14+1,1))-AVERAGE(OFFSET($H$3,0,0,'Données projet'!$E$14+1,1))</f>
        <v>432.59662347701629</v>
      </c>
      <c r="DU127" s="62">
        <f t="shared" si="98"/>
        <v>348.67401091099748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projet'!$B$14,Paramètres!$A$1:$I$88,3,0)*0.475*44/12</f>
        <v>26.307192303029016</v>
      </c>
      <c r="EB127" s="23">
        <f>EXP(-LN(2)/25)*EB126+(1-EXP(-LN(2)/25))/(LN(2)/25)*Calculateur!DW127*Calculateur!DY127*VLOOKUP('Données projet'!$B$14,Paramètres!$A$1:$I$88,3,0)*0.475*44/12</f>
        <v>20.529001756912994</v>
      </c>
      <c r="EC127" s="23">
        <f>EXP(-LN(2)/2)*EC126+(1-EXP(-LN(2)/2))/(LN(2)/2)*DW127*DZ127*VLOOKUP('Données projet'!$B$14,Paramètres!$A$1:$I$88,3,0)*0.475*44/12</f>
        <v>0</v>
      </c>
      <c r="ED127" s="24">
        <f t="shared" si="72"/>
        <v>46.836194059942009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1099.9999999999998</v>
      </c>
      <c r="EK127" s="18">
        <f>EJ127*VLOOKUP('Données projet'!$B$15,Paramètres!$A$1:$I$88,3,0)*VLOOKUP('Données projet'!$B$15,Paramètres!$A$1:$I$88,5,0)</f>
        <v>486.19999999999993</v>
      </c>
      <c r="EL127" s="14">
        <f t="shared" si="99"/>
        <v>109.0490179035375</v>
      </c>
      <c r="EM127" s="22">
        <f t="shared" si="73"/>
        <v>1036.725372848661</v>
      </c>
      <c r="EN127" s="62">
        <f t="shared" si="74"/>
        <v>1319.5924246318343</v>
      </c>
      <c r="EO127" s="62">
        <f ca="1">AVERAGE(OFFSET($EN$3,0,0,'Données projet'!$E$15+1,1))-AVERAGE(OFFSET($H$3,0,0,'Données projet'!$E$15+1,1))</f>
        <v>582.26951914082088</v>
      </c>
      <c r="EP127" s="62">
        <f t="shared" si="100"/>
        <v>434.80429932654715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projet'!$B$15,Paramètres!$A$1:$I$88,3,0)*0.475*44/12</f>
        <v>26.508142550566106</v>
      </c>
      <c r="EW127" s="23">
        <f>EXP(-LN(2)/25)*EW126+(1-EXP(-LN(2)/25))/(LN(2)/25)*Calculateur!ER127*Calculateur!ET127*VLOOKUP('Données projet'!$B$15,Paramètres!$A$1:$I$88,3,0)*0.475*44/12</f>
        <v>18.446906027012094</v>
      </c>
      <c r="EX127" s="23">
        <f>EXP(-LN(2)/2)*EX126+(1-EXP(-LN(2)/2))/(LN(2)/2)*ER127*EU127*VLOOKUP('Données projet'!$B$15,Paramètres!$A$1:$I$88,3,0)*0.475*44/12</f>
        <v>0</v>
      </c>
      <c r="EY127" s="24">
        <f t="shared" si="75"/>
        <v>44.955048577578197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854.99999999999989</v>
      </c>
      <c r="FF127" s="18">
        <f>FE127*VLOOKUP('Données projet'!$B$16,Paramètres!$A$1:$I$88,3,0)*VLOOKUP('Données projet'!$B$16,Paramètres!$A$1:$I$88,5,0)</f>
        <v>400.13999999999993</v>
      </c>
      <c r="FG127" s="14">
        <f t="shared" si="101"/>
        <v>91.805047494648534</v>
      </c>
      <c r="FH127" s="22">
        <f t="shared" si="76"/>
        <v>856.80429105317944</v>
      </c>
      <c r="FI127" s="62">
        <f t="shared" si="77"/>
        <v>1139.6713428363528</v>
      </c>
      <c r="FJ127" s="62">
        <f ca="1">AVERAGE(OFFSET($FI$3,0,0,'Données projet'!$E$16+1,1))-AVERAGE(OFFSET($H$3,0,0,'Données projet'!$E$16+1,1))</f>
        <v>429.87867712133851</v>
      </c>
      <c r="FK127" s="62">
        <f t="shared" si="102"/>
        <v>182.81277865988014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projet'!$B$16,Paramètres!$A$1:$I$88,3,0)*0.475*44/12</f>
        <v>31.614132134462913</v>
      </c>
      <c r="FR127" s="23">
        <f>EXP(-LN(2)/25)*FR126+(1-EXP(-LN(2)/25))/(LN(2)/25)*Calculateur!FM127*Calculateur!FO127*VLOOKUP('Données projet'!$B$16,Paramètres!$A$1:$I$88,3,0)*0.475*44/12</f>
        <v>23.384611545618824</v>
      </c>
      <c r="FS127" s="23">
        <f>EXP(-LN(2)/2)*FS126+(1-EXP(-LN(2)/2))/(LN(2)/2)*FM127*FP127*VLOOKUP('Données projet'!$B$16,Paramètres!$A$1:$I$88,3,0)*0.475*44/12</f>
        <v>0</v>
      </c>
      <c r="FT127" s="24">
        <f t="shared" si="78"/>
        <v>54.998743680081738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498.99999999999955</v>
      </c>
      <c r="GA127" s="18">
        <f>FZ127*VLOOKUP('Données projet'!$B$17,Paramètres!$A$1:$I$88,3,0)*VLOOKUP('Données projet'!$B$17,Paramètres!$A$1:$I$88,5,0)</f>
        <v>240.01899999999978</v>
      </c>
      <c r="GB127" s="14">
        <f t="shared" si="103"/>
        <v>58.443618405936313</v>
      </c>
      <c r="GC127" s="22">
        <f t="shared" si="79"/>
        <v>519.82239372367201</v>
      </c>
      <c r="GD127" s="62">
        <f t="shared" si="80"/>
        <v>802.68944550684535</v>
      </c>
      <c r="GE127" s="62">
        <f ca="1">AVERAGE(OFFSET($GD$3,0,0,'Données projet'!$E$17+1,1))-AVERAGE(OFFSET($H$3,0,0,'Données projet'!$E$17+1,1))</f>
        <v>273.24375559399846</v>
      </c>
      <c r="GF127" s="62">
        <f t="shared" si="104"/>
        <v>270.77718895097848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projet'!$B$17,Paramètres!$A$1:$I$88,3,0)*0.475*44/12</f>
        <v>13.536510134950959</v>
      </c>
      <c r="GM127" s="23">
        <f>EXP(-LN(2)/25)*GM126+(1-EXP(-LN(2)/25))/(LN(2)/25)*Calculateur!GH127*Calculateur!GJ127*VLOOKUP('Données projet'!$B$17,Paramètres!$A$1:$I$88,3,0)*0.475*44/12</f>
        <v>8.9971711372242602</v>
      </c>
      <c r="GN127" s="23">
        <f>EXP(-LN(2)/2)*GN126+(1-EXP(-LN(2)/2))/(LN(2)/2)*GH127*GK127*VLOOKUP('Données projet'!$B$17,Paramètres!$A$1:$I$88,3,0)*0.475*44/12</f>
        <v>0</v>
      </c>
      <c r="GO127" s="23">
        <f t="shared" si="81"/>
        <v>22.533681272175219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550.99999999999966</v>
      </c>
      <c r="O128" s="14">
        <f>N128*VLOOKUP('Données projet'!$B$9,Paramètres!$A$1:$I$88,3,0)*VLOOKUP('Données projet'!$B$9,Paramètres!$A$1:$I$88,5,0)</f>
        <v>308.00899999999979</v>
      </c>
      <c r="P128" s="14">
        <f t="shared" si="87"/>
        <v>72.852874331417695</v>
      </c>
      <c r="Q128" s="22">
        <f t="shared" si="107"/>
        <v>663.33443112721886</v>
      </c>
      <c r="R128" s="62">
        <f t="shared" si="55"/>
        <v>946.38304949618737</v>
      </c>
      <c r="S128" s="62">
        <f ca="1">AVERAGE(OFFSET($R$3,0,0,'Données projet'!$E$9+1,1))-AVERAGE(OFFSET($H$3,0,0,'Données projet'!$E$9+1,1))</f>
        <v>289.94242154211224</v>
      </c>
      <c r="T128" s="62">
        <f t="shared" si="88"/>
        <v>369.12599166143661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20.363038293583013</v>
      </c>
      <c r="AA128" s="23">
        <f>EXP(-LN(2)/25)*AA127+(1-EXP(-LN(2)/25))/(LN(2)/25)*Calculateur!V128*Calculateur!X128*VLOOKUP('Données projet'!$B$9,Paramètres!$A$1:$I$88,3,0)*0.475*44/12</f>
        <v>11.021422607133317</v>
      </c>
      <c r="AB128" s="23">
        <f>EXP(-LN(2)/2)*AB127+(1-EXP(-LN(2)/2))/(LN(2)/2)*V128*Y128*VLOOKUP('Données projet'!$B$9,Paramètres!$A$1:$I$88,3,0)*0.475*44/12</f>
        <v>0</v>
      </c>
      <c r="AC128" s="24">
        <f t="shared" si="57"/>
        <v>31.384460900716331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8.3000000000000007</v>
      </c>
      <c r="AI128" s="14">
        <f>IF('Données projet'!$A$62&gt;35,AI127+AH128-AQ127,IF(A128&lt;'Données projet'!$A$62,$AF$205^A128,IF(A128='Données projet'!$A$62,'Données projet'!$B$62,AI127+AH128-AQ127)))</f>
        <v>333.5000000000004</v>
      </c>
      <c r="AJ128" s="14">
        <f>AI128*VLOOKUP('Données projet'!$B$10,Paramètres!$A$1:$I$88,3,0)*VLOOKUP('Données projet'!$B$10,Paramètres!$A$1:$I$88,5,0)</f>
        <v>301.75080000000031</v>
      </c>
      <c r="AK128" s="14">
        <f t="shared" si="89"/>
        <v>71.543374009247458</v>
      </c>
      <c r="AL128" s="22">
        <f t="shared" si="58"/>
        <v>650.15401973277301</v>
      </c>
      <c r="AM128" s="62">
        <f t="shared" si="59"/>
        <v>933.20263810174151</v>
      </c>
      <c r="AN128" s="62">
        <f ca="1">AVERAGE(OFFSET($AM$3,0,0,'Données projet'!$E$10+1,1))-AVERAGE(OFFSET($H$3,0,0,'Données projet'!$E$10+1,1))</f>
        <v>518.31628039365785</v>
      </c>
      <c r="AO128" s="62">
        <f t="shared" si="90"/>
        <v>66.435071953154761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31.634774043775177</v>
      </c>
      <c r="AV128" s="23">
        <f>EXP(-LN(2)/25)*AV127+(1-EXP(-LN(2)/25))/(LN(2)/25)*Calculateur!AQ128*Calculateur!AS128*VLOOKUP('Données projet'!$B$10,Paramètres!$A$1:$I$88,3,0)*0.475*44/12</f>
        <v>0</v>
      </c>
      <c r="AW128" s="23">
        <f>EXP(-LN(2)/2)*AW127+(1-EXP(-LN(2)/2))/(LN(2)/2)*AQ128*AT128*VLOOKUP('Données projet'!$B$10,Paramètres!$A$1:$I$88,3,0)*0.475*44/12</f>
        <v>0</v>
      </c>
      <c r="AX128" s="23">
        <f t="shared" si="60"/>
        <v>31.634774043775177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8.3000000000000007</v>
      </c>
      <c r="BD128" s="13">
        <f>IF('Données projet'!$A$88&gt;35,BD127+BC128-BL127,IF(A128&lt;'Données projet'!$A$88,$BA$205^A128,IF(A128='Données projet'!$A$88,'Données projet'!$B$88,BD127+BC128-BL127)))</f>
        <v>333.5000000000004</v>
      </c>
      <c r="BE128" s="14">
        <f>BD128*VLOOKUP('Données projet'!$B$11,Paramètres!$A$1:$I$88,3,0)*VLOOKUP('Données projet'!$B$11,Paramètres!$A$1:$I$88,5,0)</f>
        <v>338.16900000000044</v>
      </c>
      <c r="BF128" s="14">
        <f t="shared" si="91"/>
        <v>79.121531423653494</v>
      </c>
      <c r="BG128" s="22">
        <f t="shared" si="61"/>
        <v>726.78100889619725</v>
      </c>
      <c r="BH128" s="62">
        <f t="shared" si="62"/>
        <v>1009.8296272651658</v>
      </c>
      <c r="BI128" s="62">
        <f ca="1">AVERAGE(OFFSET($BH$3,0,0,'Données projet'!$E$11+1,1))-AVERAGE(OFFSET($H$3,0,0,'Données projet'!$E$11+1,1))</f>
        <v>570.2785736203931</v>
      </c>
      <c r="BJ128" s="62">
        <f t="shared" si="92"/>
        <v>67.677759965081719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35.452764014575635</v>
      </c>
      <c r="BQ128" s="23">
        <f>EXP(-LN(2)/25)*BQ127+(1-EXP(-LN(2)/25))/(LN(2)/25)*Calculateur!BL128*Calculateur!BN128*VLOOKUP('Données projet'!$B$11,Paramètres!$A$1:$I$88,3,0)*0.475*44/12</f>
        <v>0</v>
      </c>
      <c r="BR128" s="23">
        <f>EXP(-LN(2)/2)*BR127+(1-EXP(-LN(2)/2))/(LN(2)/2)*BL128*BO128*VLOOKUP('Données projet'!$B$11,Paramètres!$A$1:$I$88,3,0)*0.475*44/12</f>
        <v>0</v>
      </c>
      <c r="BS128" s="24">
        <f t="shared" si="63"/>
        <v>35.452764014575635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544.19999999999982</v>
      </c>
      <c r="BZ128" s="14">
        <f>BY128*VLOOKUP('Données projet'!$B$12,Paramètres!$A$1:$I$88,3,0)*VLOOKUP('Données projet'!$B$12,Paramètres!$A$1:$I$88,5,0)</f>
        <v>325.43159999999995</v>
      </c>
      <c r="CA128" s="14">
        <f t="shared" si="93"/>
        <v>76.482394221016762</v>
      </c>
      <c r="CB128" s="22">
        <f t="shared" si="64"/>
        <v>700.00020660160408</v>
      </c>
      <c r="CC128" s="62">
        <f t="shared" si="65"/>
        <v>983.04882497057258</v>
      </c>
      <c r="CD128" s="62">
        <f ca="1">AVERAGE(OFFSET($CC$3,0,0,'Données projet'!$E$12+1,1))-AVERAGE(OFFSET($H$3,0,0,'Données projet'!$E$12+1,1))</f>
        <v>401.1031790385295</v>
      </c>
      <c r="CE128" s="62">
        <f t="shared" si="94"/>
        <v>402.09589424130615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projet'!$B$12,Paramètres!$A$1:$I$88,3,0)*0.475*44/12</f>
        <v>5.7254736342313137</v>
      </c>
      <c r="CL128" s="23">
        <f>EXP(-LN(2)/25)*CL127+(1-EXP(-LN(2)/25))/(LN(2)/25)*Calculateur!CG128*Calculateur!CI128*VLOOKUP('Données projet'!$B$12,Paramètres!$A$1:$I$88,3,0)*0.475*44/12</f>
        <v>0</v>
      </c>
      <c r="CM128" s="23">
        <f>EXP(-LN(2)/2)*CM127+(1-EXP(-LN(2)/2))/(LN(2)/2)*CG128*CJ128*VLOOKUP('Données projet'!$B$12,Paramètres!$A$1:$I$88,3,0)*0.475*44/12</f>
        <v>6.8346597751273324E-10</v>
      </c>
      <c r="CN128" s="24">
        <f t="shared" si="66"/>
        <v>5.7254736349147795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544.19999999999982</v>
      </c>
      <c r="CU128" s="18">
        <f>CT128*VLOOKUP('Données projet'!$B$13,Paramètres!$A$1:$I$88,3,0)*VLOOKUP('Données projet'!$B$13,Paramètres!$A$1:$I$88,5,0)</f>
        <v>325.43159999999995</v>
      </c>
      <c r="CV128" s="14">
        <f t="shared" si="95"/>
        <v>76.482394221016762</v>
      </c>
      <c r="CW128" s="22">
        <f t="shared" si="67"/>
        <v>700.00020660160408</v>
      </c>
      <c r="CX128" s="62">
        <f t="shared" si="68"/>
        <v>983.04882497057258</v>
      </c>
      <c r="CY128" s="62">
        <f ca="1">AVERAGE(OFFSET($CX$3,0,0,'Données projet'!$E$13+1,1))-AVERAGE(OFFSET($H$3,0,0,'Données projet'!$E$13+1,1))</f>
        <v>401.1031790385295</v>
      </c>
      <c r="CZ128" s="62">
        <f t="shared" si="96"/>
        <v>402.09589424130615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projet'!$B$13,Paramètres!$A$1:$I$88,3,0)*0.475*44/12</f>
        <v>5.7254736342313137</v>
      </c>
      <c r="DG128" s="23">
        <f>EXP(-LN(2)/25)*DG127+(1-EXP(-LN(2)/25))/(LN(2)/25)*Calculateur!DB128*Calculateur!DD128*VLOOKUP('Données projet'!$B$13,Paramètres!$A$1:$I$88,3,0)*0.475*44/12</f>
        <v>0</v>
      </c>
      <c r="DH128" s="23">
        <f>EXP(-LN(2)/2)*DH127+(1-EXP(-LN(2)/2))/(LN(2)/2)*DB128*DE128*VLOOKUP('Données projet'!$B$13,Paramètres!$A$1:$I$88,3,0)*0.475*44/12</f>
        <v>6.8346597751273324E-10</v>
      </c>
      <c r="DI128" s="24">
        <f t="shared" si="69"/>
        <v>5.7254736349147795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860.00000000000023</v>
      </c>
      <c r="DP128" s="18">
        <f>DO128*VLOOKUP('Données projet'!$B$14,Paramètres!$A$1:$I$88,3,0)*VLOOKUP('Données projet'!$B$14,Paramètres!$A$1:$I$88,5,0)</f>
        <v>346.5800000000001</v>
      </c>
      <c r="DQ128" s="14">
        <f t="shared" si="97"/>
        <v>80.857895771535127</v>
      </c>
      <c r="DR128" s="22">
        <f t="shared" si="70"/>
        <v>744.45433513542378</v>
      </c>
      <c r="DS128" s="62">
        <f t="shared" si="71"/>
        <v>1027.5029535043923</v>
      </c>
      <c r="DT128" s="62">
        <f ca="1">AVERAGE(OFFSET($DS$3,0,0,'Données projet'!$E$14+1,1))-AVERAGE(OFFSET($H$3,0,0,'Données projet'!$E$14+1,1))</f>
        <v>432.59662347701629</v>
      </c>
      <c r="DU128" s="62">
        <f t="shared" si="98"/>
        <v>348.67401091099748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projet'!$B$14,Paramètres!$A$1:$I$88,3,0)*0.475*44/12</f>
        <v>25.791324307769528</v>
      </c>
      <c r="EB128" s="23">
        <f>EXP(-LN(2)/25)*EB127+(1-EXP(-LN(2)/25))/(LN(2)/25)*Calculateur!DW128*Calculateur!DY128*VLOOKUP('Données projet'!$B$14,Paramètres!$A$1:$I$88,3,0)*0.475*44/12</f>
        <v>19.967635124296926</v>
      </c>
      <c r="EC128" s="23">
        <f>EXP(-LN(2)/2)*EC127+(1-EXP(-LN(2)/2))/(LN(2)/2)*DW128*DZ128*VLOOKUP('Données projet'!$B$14,Paramètres!$A$1:$I$88,3,0)*0.475*44/12</f>
        <v>0</v>
      </c>
      <c r="ED128" s="24">
        <f t="shared" si="72"/>
        <v>45.758959432066455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1099.9999999999998</v>
      </c>
      <c r="EK128" s="18">
        <f>EJ128*VLOOKUP('Données projet'!$B$15,Paramètres!$A$1:$I$88,3,0)*VLOOKUP('Données projet'!$B$15,Paramètres!$A$1:$I$88,5,0)</f>
        <v>486.19999999999993</v>
      </c>
      <c r="EL128" s="14">
        <f t="shared" si="99"/>
        <v>109.0490179035375</v>
      </c>
      <c r="EM128" s="22">
        <f t="shared" si="73"/>
        <v>1036.725372848661</v>
      </c>
      <c r="EN128" s="62">
        <f t="shared" si="74"/>
        <v>1319.7739912176294</v>
      </c>
      <c r="EO128" s="62">
        <f ca="1">AVERAGE(OFFSET($EN$3,0,0,'Données projet'!$E$15+1,1))-AVERAGE(OFFSET($H$3,0,0,'Données projet'!$E$15+1,1))</f>
        <v>582.26951914082088</v>
      </c>
      <c r="EP128" s="62">
        <f t="shared" si="100"/>
        <v>434.80429932654715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projet'!$B$15,Paramètres!$A$1:$I$88,3,0)*0.475*44/12</f>
        <v>25.988334043519966</v>
      </c>
      <c r="EW128" s="23">
        <f>EXP(-LN(2)/25)*EW127+(1-EXP(-LN(2)/25))/(LN(2)/25)*Calculateur!ER128*Calculateur!ET128*VLOOKUP('Données projet'!$B$15,Paramètres!$A$1:$I$88,3,0)*0.475*44/12</f>
        <v>17.942474411622822</v>
      </c>
      <c r="EX128" s="23">
        <f>EXP(-LN(2)/2)*EX127+(1-EXP(-LN(2)/2))/(LN(2)/2)*ER128*EU128*VLOOKUP('Données projet'!$B$15,Paramètres!$A$1:$I$88,3,0)*0.475*44/12</f>
        <v>0</v>
      </c>
      <c r="EY128" s="24">
        <f t="shared" si="75"/>
        <v>43.930808455142788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854.99999999999989</v>
      </c>
      <c r="FF128" s="18">
        <f>FE128*VLOOKUP('Données projet'!$B$16,Paramètres!$A$1:$I$88,3,0)*VLOOKUP('Données projet'!$B$16,Paramètres!$A$1:$I$88,5,0)</f>
        <v>400.13999999999993</v>
      </c>
      <c r="FG128" s="14">
        <f t="shared" si="101"/>
        <v>91.805047494648534</v>
      </c>
      <c r="FH128" s="22">
        <f t="shared" si="76"/>
        <v>856.80429105317944</v>
      </c>
      <c r="FI128" s="62">
        <f t="shared" si="77"/>
        <v>1139.8529094221481</v>
      </c>
      <c r="FJ128" s="62">
        <f ca="1">AVERAGE(OFFSET($FI$3,0,0,'Données projet'!$E$16+1,1))-AVERAGE(OFFSET($H$3,0,0,'Données projet'!$E$16+1,1))</f>
        <v>429.87867712133851</v>
      </c>
      <c r="FK128" s="62">
        <f t="shared" si="102"/>
        <v>182.81277865988014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projet'!$B$16,Paramètres!$A$1:$I$88,3,0)*0.475*44/12</f>
        <v>30.994198286022687</v>
      </c>
      <c r="FR128" s="23">
        <f>EXP(-LN(2)/25)*FR127+(1-EXP(-LN(2)/25))/(LN(2)/25)*Calculateur!FM128*Calculateur!FO128*VLOOKUP('Données projet'!$B$16,Paramètres!$A$1:$I$88,3,0)*0.475*44/12</f>
        <v>22.745158113160603</v>
      </c>
      <c r="FS128" s="23">
        <f>EXP(-LN(2)/2)*FS127+(1-EXP(-LN(2)/2))/(LN(2)/2)*FM128*FP128*VLOOKUP('Données projet'!$B$16,Paramètres!$A$1:$I$88,3,0)*0.475*44/12</f>
        <v>0</v>
      </c>
      <c r="FT128" s="24">
        <f t="shared" si="78"/>
        <v>53.739356399183293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498.99999999999955</v>
      </c>
      <c r="GA128" s="18">
        <f>FZ128*VLOOKUP('Données projet'!$B$17,Paramètres!$A$1:$I$88,3,0)*VLOOKUP('Données projet'!$B$17,Paramètres!$A$1:$I$88,5,0)</f>
        <v>240.01899999999978</v>
      </c>
      <c r="GB128" s="14">
        <f t="shared" si="103"/>
        <v>58.443618405936313</v>
      </c>
      <c r="GC128" s="22">
        <f t="shared" si="79"/>
        <v>519.82239372367201</v>
      </c>
      <c r="GD128" s="62">
        <f t="shared" si="80"/>
        <v>802.87101209264051</v>
      </c>
      <c r="GE128" s="62">
        <f ca="1">AVERAGE(OFFSET($GD$3,0,0,'Données projet'!$E$17+1,1))-AVERAGE(OFFSET($H$3,0,0,'Données projet'!$E$17+1,1))</f>
        <v>273.24375559399846</v>
      </c>
      <c r="GF128" s="62">
        <f t="shared" si="104"/>
        <v>270.77718895097848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projet'!$B$17,Paramètres!$A$1:$I$88,3,0)*0.475*44/12</f>
        <v>13.271067427660496</v>
      </c>
      <c r="GM128" s="23">
        <f>EXP(-LN(2)/25)*GM127+(1-EXP(-LN(2)/25))/(LN(2)/25)*Calculateur!GH128*Calculateur!GJ128*VLOOKUP('Données projet'!$B$17,Paramètres!$A$1:$I$88,3,0)*0.475*44/12</f>
        <v>8.7511430193361956</v>
      </c>
      <c r="GN128" s="23">
        <f>EXP(-LN(2)/2)*GN127+(1-EXP(-LN(2)/2))/(LN(2)/2)*GH128*GK128*VLOOKUP('Données projet'!$B$17,Paramètres!$A$1:$I$88,3,0)*0.475*44/12</f>
        <v>0</v>
      </c>
      <c r="GO128" s="23">
        <f t="shared" si="81"/>
        <v>22.022210446996692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550.99999999999966</v>
      </c>
      <c r="O129" s="14">
        <f>N129*VLOOKUP('Données projet'!$B$9,Paramètres!$A$1:$I$88,3,0)*VLOOKUP('Données projet'!$B$9,Paramètres!$A$1:$I$88,5,0)</f>
        <v>308.00899999999979</v>
      </c>
      <c r="P129" s="14">
        <f t="shared" si="87"/>
        <v>72.852874331417695</v>
      </c>
      <c r="Q129" s="22">
        <f t="shared" si="107"/>
        <v>663.33443112721886</v>
      </c>
      <c r="R129" s="62">
        <f t="shared" si="55"/>
        <v>946.56146630764101</v>
      </c>
      <c r="S129" s="62">
        <f ca="1">AVERAGE(OFFSET($R$3,0,0,'Données projet'!$E$9+1,1))-AVERAGE(OFFSET($H$3,0,0,'Données projet'!$E$9+1,1))</f>
        <v>289.94242154211224</v>
      </c>
      <c r="T129" s="62">
        <f t="shared" si="88"/>
        <v>369.12599166143661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19.963731532872814</v>
      </c>
      <c r="AA129" s="23">
        <f>EXP(-LN(2)/25)*AA128+(1-EXP(-LN(2)/25))/(LN(2)/25)*Calculateur!V129*Calculateur!X129*VLOOKUP('Données projet'!$B$9,Paramètres!$A$1:$I$88,3,0)*0.475*44/12</f>
        <v>10.720041226349831</v>
      </c>
      <c r="AB129" s="23">
        <f>EXP(-LN(2)/2)*AB128+(1-EXP(-LN(2)/2))/(LN(2)/2)*V129*Y129*VLOOKUP('Données projet'!$B$9,Paramètres!$A$1:$I$88,3,0)*0.475*44/12</f>
        <v>0</v>
      </c>
      <c r="AC129" s="24">
        <f t="shared" si="57"/>
        <v>30.683772759222645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8.3000000000000007</v>
      </c>
      <c r="AI129" s="14">
        <f>IF('Données projet'!$A$62&gt;35,AI128+AH129-AQ128,IF(A129&lt;'Données projet'!$A$62,$AF$205^A129,IF(A129='Données projet'!$A$62,'Données projet'!$B$62,AI128+AH129-AQ128)))</f>
        <v>341.80000000000041</v>
      </c>
      <c r="AJ129" s="14">
        <f>AI129*VLOOKUP('Données projet'!$B$10,Paramètres!$A$1:$I$88,3,0)*VLOOKUP('Données projet'!$B$10,Paramètres!$A$1:$I$88,5,0)</f>
        <v>309.26064000000036</v>
      </c>
      <c r="AK129" s="14">
        <f t="shared" si="89"/>
        <v>73.11440092422265</v>
      </c>
      <c r="AL129" s="22">
        <f t="shared" si="58"/>
        <v>665.96986294302167</v>
      </c>
      <c r="AM129" s="62">
        <f t="shared" si="59"/>
        <v>949.19689812344382</v>
      </c>
      <c r="AN129" s="62">
        <f ca="1">AVERAGE(OFFSET($AM$3,0,0,'Données projet'!$E$10+1,1))-AVERAGE(OFFSET($H$3,0,0,'Données projet'!$E$10+1,1))</f>
        <v>518.31628039365785</v>
      </c>
      <c r="AO129" s="62">
        <f t="shared" si="90"/>
        <v>66.435071953154761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31.014435420083661</v>
      </c>
      <c r="AV129" s="23">
        <f>EXP(-LN(2)/25)*AV128+(1-EXP(-LN(2)/25))/(LN(2)/25)*Calculateur!AQ129*Calculateur!AS129*VLOOKUP('Données projet'!$B$10,Paramètres!$A$1:$I$88,3,0)*0.475*44/12</f>
        <v>0</v>
      </c>
      <c r="AW129" s="23">
        <f>EXP(-LN(2)/2)*AW128+(1-EXP(-LN(2)/2))/(LN(2)/2)*AQ129*AT129*VLOOKUP('Données projet'!$B$10,Paramètres!$A$1:$I$88,3,0)*0.475*44/12</f>
        <v>0</v>
      </c>
      <c r="AX129" s="23">
        <f t="shared" si="60"/>
        <v>31.014435420083661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8.3000000000000007</v>
      </c>
      <c r="BD129" s="13">
        <f>IF('Données projet'!$A$88&gt;35,BD128+BC129-BL128,IF(A129&lt;'Données projet'!$A$88,$BA$205^A129,IF(A129='Données projet'!$A$88,'Données projet'!$B$88,BD128+BC129-BL128)))</f>
        <v>341.80000000000041</v>
      </c>
      <c r="BE129" s="14">
        <f>BD129*VLOOKUP('Données projet'!$B$11,Paramètres!$A$1:$I$88,3,0)*VLOOKUP('Données projet'!$B$11,Paramètres!$A$1:$I$88,5,0)</f>
        <v>346.58520000000044</v>
      </c>
      <c r="BF129" s="14">
        <f t="shared" si="91"/>
        <v>80.858967729139295</v>
      </c>
      <c r="BG129" s="22">
        <f t="shared" si="61"/>
        <v>744.46525879491821</v>
      </c>
      <c r="BH129" s="62">
        <f t="shared" si="62"/>
        <v>1027.6922939753404</v>
      </c>
      <c r="BI129" s="62">
        <f ca="1">AVERAGE(OFFSET($BH$3,0,0,'Données projet'!$E$11+1,1))-AVERAGE(OFFSET($H$3,0,0,'Données projet'!$E$11+1,1))</f>
        <v>570.2785736203931</v>
      </c>
      <c r="BJ129" s="62">
        <f t="shared" si="92"/>
        <v>67.677759965081719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34.757556936300659</v>
      </c>
      <c r="BQ129" s="23">
        <f>EXP(-LN(2)/25)*BQ128+(1-EXP(-LN(2)/25))/(LN(2)/25)*Calculateur!BL129*Calculateur!BN129*VLOOKUP('Données projet'!$B$11,Paramètres!$A$1:$I$88,3,0)*0.475*44/12</f>
        <v>0</v>
      </c>
      <c r="BR129" s="23">
        <f>EXP(-LN(2)/2)*BR128+(1-EXP(-LN(2)/2))/(LN(2)/2)*BL129*BO129*VLOOKUP('Données projet'!$B$11,Paramètres!$A$1:$I$88,3,0)*0.475*44/12</f>
        <v>0</v>
      </c>
      <c r="BS129" s="24">
        <f t="shared" si="63"/>
        <v>34.757556936300659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544.19999999999982</v>
      </c>
      <c r="BZ129" s="14">
        <f>BY129*VLOOKUP('Données projet'!$B$12,Paramètres!$A$1:$I$88,3,0)*VLOOKUP('Données projet'!$B$12,Paramètres!$A$1:$I$88,5,0)</f>
        <v>325.43159999999995</v>
      </c>
      <c r="CA129" s="14">
        <f t="shared" si="93"/>
        <v>76.482394221016762</v>
      </c>
      <c r="CB129" s="22">
        <f t="shared" si="64"/>
        <v>700.00020660160408</v>
      </c>
      <c r="CC129" s="62">
        <f t="shared" si="65"/>
        <v>983.22724178202634</v>
      </c>
      <c r="CD129" s="62">
        <f ca="1">AVERAGE(OFFSET($CC$3,0,0,'Données projet'!$E$12+1,1))-AVERAGE(OFFSET($H$3,0,0,'Données projet'!$E$12+1,1))</f>
        <v>401.1031790385295</v>
      </c>
      <c r="CE129" s="62">
        <f t="shared" si="94"/>
        <v>402.09589424130615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projet'!$B$12,Paramètres!$A$1:$I$88,3,0)*0.475*44/12</f>
        <v>5.6132005884581293</v>
      </c>
      <c r="CL129" s="23">
        <f>EXP(-LN(2)/25)*CL128+(1-EXP(-LN(2)/25))/(LN(2)/25)*Calculateur!CG129*Calculateur!CI129*VLOOKUP('Données projet'!$B$12,Paramètres!$A$1:$I$88,3,0)*0.475*44/12</f>
        <v>0</v>
      </c>
      <c r="CM129" s="23">
        <f>EXP(-LN(2)/2)*CM128+(1-EXP(-LN(2)/2))/(LN(2)/2)*CG129*CJ129*VLOOKUP('Données projet'!$B$12,Paramètres!$A$1:$I$88,3,0)*0.475*44/12</f>
        <v>4.8328342740954607E-10</v>
      </c>
      <c r="CN129" s="24">
        <f t="shared" si="66"/>
        <v>5.6132005889414129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544.19999999999982</v>
      </c>
      <c r="CU129" s="18">
        <f>CT129*VLOOKUP('Données projet'!$B$13,Paramètres!$A$1:$I$88,3,0)*VLOOKUP('Données projet'!$B$13,Paramètres!$A$1:$I$88,5,0)</f>
        <v>325.43159999999995</v>
      </c>
      <c r="CV129" s="14">
        <f t="shared" si="95"/>
        <v>76.482394221016762</v>
      </c>
      <c r="CW129" s="22">
        <f t="shared" si="67"/>
        <v>700.00020660160408</v>
      </c>
      <c r="CX129" s="62">
        <f t="shared" si="68"/>
        <v>983.22724178202634</v>
      </c>
      <c r="CY129" s="62">
        <f ca="1">AVERAGE(OFFSET($CX$3,0,0,'Données projet'!$E$13+1,1))-AVERAGE(OFFSET($H$3,0,0,'Données projet'!$E$13+1,1))</f>
        <v>401.1031790385295</v>
      </c>
      <c r="CZ129" s="62">
        <f t="shared" si="96"/>
        <v>402.09589424130615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projet'!$B$13,Paramètres!$A$1:$I$88,3,0)*0.475*44/12</f>
        <v>5.6132005884581293</v>
      </c>
      <c r="DG129" s="23">
        <f>EXP(-LN(2)/25)*DG128+(1-EXP(-LN(2)/25))/(LN(2)/25)*Calculateur!DB129*Calculateur!DD129*VLOOKUP('Données projet'!$B$13,Paramètres!$A$1:$I$88,3,0)*0.475*44/12</f>
        <v>0</v>
      </c>
      <c r="DH129" s="23">
        <f>EXP(-LN(2)/2)*DH128+(1-EXP(-LN(2)/2))/(LN(2)/2)*DB129*DE129*VLOOKUP('Données projet'!$B$13,Paramètres!$A$1:$I$88,3,0)*0.475*44/12</f>
        <v>4.8328342740954607E-10</v>
      </c>
      <c r="DI129" s="24">
        <f t="shared" si="69"/>
        <v>5.6132005889414129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860.00000000000023</v>
      </c>
      <c r="DP129" s="18">
        <f>DO129*VLOOKUP('Données projet'!$B$14,Paramètres!$A$1:$I$88,3,0)*VLOOKUP('Données projet'!$B$14,Paramètres!$A$1:$I$88,5,0)</f>
        <v>346.5800000000001</v>
      </c>
      <c r="DQ129" s="14">
        <f t="shared" si="97"/>
        <v>80.857895771535127</v>
      </c>
      <c r="DR129" s="22">
        <f t="shared" si="70"/>
        <v>744.45433513542378</v>
      </c>
      <c r="DS129" s="62">
        <f t="shared" si="71"/>
        <v>1027.6813703158459</v>
      </c>
      <c r="DT129" s="62">
        <f ca="1">AVERAGE(OFFSET($DS$3,0,0,'Données projet'!$E$14+1,1))-AVERAGE(OFFSET($H$3,0,0,'Données projet'!$E$14+1,1))</f>
        <v>432.59662347701629</v>
      </c>
      <c r="DU129" s="62">
        <f t="shared" si="98"/>
        <v>348.67401091099748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projet'!$B$14,Paramètres!$A$1:$I$88,3,0)*0.475*44/12</f>
        <v>25.285572169248674</v>
      </c>
      <c r="EB129" s="23">
        <f>EXP(-LN(2)/25)*EB128+(1-EXP(-LN(2)/25))/(LN(2)/25)*Calculateur!DW129*Calculateur!DY129*VLOOKUP('Données projet'!$B$14,Paramètres!$A$1:$I$88,3,0)*0.475*44/12</f>
        <v>19.421619091770733</v>
      </c>
      <c r="EC129" s="23">
        <f>EXP(-LN(2)/2)*EC128+(1-EXP(-LN(2)/2))/(LN(2)/2)*DW129*DZ129*VLOOKUP('Données projet'!$B$14,Paramètres!$A$1:$I$88,3,0)*0.475*44/12</f>
        <v>0</v>
      </c>
      <c r="ED129" s="24">
        <f t="shared" si="72"/>
        <v>44.707191261019403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1099.9999999999998</v>
      </c>
      <c r="EK129" s="18">
        <f>EJ129*VLOOKUP('Données projet'!$B$15,Paramètres!$A$1:$I$88,3,0)*VLOOKUP('Données projet'!$B$15,Paramètres!$A$1:$I$88,5,0)</f>
        <v>486.19999999999993</v>
      </c>
      <c r="EL129" s="14">
        <f t="shared" si="99"/>
        <v>109.0490179035375</v>
      </c>
      <c r="EM129" s="22">
        <f t="shared" si="73"/>
        <v>1036.725372848661</v>
      </c>
      <c r="EN129" s="62">
        <f t="shared" si="74"/>
        <v>1319.9524080290832</v>
      </c>
      <c r="EO129" s="62">
        <f ca="1">AVERAGE(OFFSET($EN$3,0,0,'Données projet'!$E$15+1,1))-AVERAGE(OFFSET($H$3,0,0,'Données projet'!$E$15+1,1))</f>
        <v>582.26951914082088</v>
      </c>
      <c r="EP129" s="62">
        <f t="shared" si="100"/>
        <v>434.80429932654715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projet'!$B$15,Paramètres!$A$1:$I$88,3,0)*0.475*44/12</f>
        <v>25.478718664245118</v>
      </c>
      <c r="EW129" s="23">
        <f>EXP(-LN(2)/25)*EW128+(1-EXP(-LN(2)/25))/(LN(2)/25)*Calculateur!ER129*Calculateur!ET129*VLOOKUP('Données projet'!$B$15,Paramètres!$A$1:$I$88,3,0)*0.475*44/12</f>
        <v>17.451836505283275</v>
      </c>
      <c r="EX129" s="23">
        <f>EXP(-LN(2)/2)*EX128+(1-EXP(-LN(2)/2))/(LN(2)/2)*ER129*EU129*VLOOKUP('Données projet'!$B$15,Paramètres!$A$1:$I$88,3,0)*0.475*44/12</f>
        <v>0</v>
      </c>
      <c r="EY129" s="24">
        <f t="shared" si="75"/>
        <v>42.93055516952839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854.99999999999989</v>
      </c>
      <c r="FF129" s="18">
        <f>FE129*VLOOKUP('Données projet'!$B$16,Paramètres!$A$1:$I$88,3,0)*VLOOKUP('Données projet'!$B$16,Paramètres!$A$1:$I$88,5,0)</f>
        <v>400.13999999999993</v>
      </c>
      <c r="FG129" s="14">
        <f t="shared" si="101"/>
        <v>91.805047494648534</v>
      </c>
      <c r="FH129" s="22">
        <f t="shared" si="76"/>
        <v>856.80429105317944</v>
      </c>
      <c r="FI129" s="62">
        <f t="shared" si="77"/>
        <v>1140.0313262336017</v>
      </c>
      <c r="FJ129" s="62">
        <f ca="1">AVERAGE(OFFSET($FI$3,0,0,'Données projet'!$E$16+1,1))-AVERAGE(OFFSET($H$3,0,0,'Données projet'!$E$16+1,1))</f>
        <v>429.87867712133851</v>
      </c>
      <c r="FK129" s="62">
        <f t="shared" si="102"/>
        <v>182.81277865988014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projet'!$B$16,Paramètres!$A$1:$I$88,3,0)*0.475*44/12</f>
        <v>30.386420962228062</v>
      </c>
      <c r="FR129" s="23">
        <f>EXP(-LN(2)/25)*FR128+(1-EXP(-LN(2)/25))/(LN(2)/25)*Calculateur!FM129*Calculateur!FO129*VLOOKUP('Données projet'!$B$16,Paramètres!$A$1:$I$88,3,0)*0.475*44/12</f>
        <v>22.123190568440346</v>
      </c>
      <c r="FS129" s="23">
        <f>EXP(-LN(2)/2)*FS128+(1-EXP(-LN(2)/2))/(LN(2)/2)*FM129*FP129*VLOOKUP('Données projet'!$B$16,Paramètres!$A$1:$I$88,3,0)*0.475*44/12</f>
        <v>0</v>
      </c>
      <c r="FT129" s="24">
        <f t="shared" si="78"/>
        <v>52.509611530668408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498.99999999999955</v>
      </c>
      <c r="GA129" s="18">
        <f>FZ129*VLOOKUP('Données projet'!$B$17,Paramètres!$A$1:$I$88,3,0)*VLOOKUP('Données projet'!$B$17,Paramètres!$A$1:$I$88,5,0)</f>
        <v>240.01899999999978</v>
      </c>
      <c r="GB129" s="14">
        <f t="shared" si="103"/>
        <v>58.443618405936313</v>
      </c>
      <c r="GC129" s="22">
        <f t="shared" si="79"/>
        <v>519.82239372367201</v>
      </c>
      <c r="GD129" s="62">
        <f t="shared" si="80"/>
        <v>803.04942890409416</v>
      </c>
      <c r="GE129" s="62">
        <f ca="1">AVERAGE(OFFSET($GD$3,0,0,'Données projet'!$E$17+1,1))-AVERAGE(OFFSET($H$3,0,0,'Données projet'!$E$17+1,1))</f>
        <v>273.24375559399846</v>
      </c>
      <c r="GF129" s="62">
        <f t="shared" si="104"/>
        <v>270.77718895097848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projet'!$B$17,Paramètres!$A$1:$I$88,3,0)*0.475*44/12</f>
        <v>13.010829889955934</v>
      </c>
      <c r="GM129" s="23">
        <f>EXP(-LN(2)/25)*GM128+(1-EXP(-LN(2)/25))/(LN(2)/25)*Calculateur!GH129*Calculateur!GJ129*VLOOKUP('Données projet'!$B$17,Paramètres!$A$1:$I$88,3,0)*0.475*44/12</f>
        <v>8.5118425532698367</v>
      </c>
      <c r="GN129" s="23">
        <f>EXP(-LN(2)/2)*GN128+(1-EXP(-LN(2)/2))/(LN(2)/2)*GH129*GK129*VLOOKUP('Données projet'!$B$17,Paramètres!$A$1:$I$88,3,0)*0.475*44/12</f>
        <v>0</v>
      </c>
      <c r="GO129" s="23">
        <f t="shared" si="81"/>
        <v>21.522672443225773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550.99999999999966</v>
      </c>
      <c r="O130" s="14">
        <f>N130*VLOOKUP('Données projet'!$B$9,Paramètres!$A$1:$I$88,3,0)*VLOOKUP('Données projet'!$B$9,Paramètres!$A$1:$I$88,5,0)</f>
        <v>308.00899999999979</v>
      </c>
      <c r="P130" s="14">
        <f t="shared" si="87"/>
        <v>72.852874331417695</v>
      </c>
      <c r="Q130" s="22">
        <f t="shared" si="107"/>
        <v>663.33443112721886</v>
      </c>
      <c r="R130" s="62">
        <f t="shared" si="55"/>
        <v>946.73678798629635</v>
      </c>
      <c r="S130" s="62">
        <f ca="1">AVERAGE(OFFSET($R$3,0,0,'Données projet'!$E$9+1,1))-AVERAGE(OFFSET($H$3,0,0,'Données projet'!$E$9+1,1))</f>
        <v>289.94242154211224</v>
      </c>
      <c r="T130" s="62">
        <f t="shared" si="88"/>
        <v>369.12599166143661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19.572254934187065</v>
      </c>
      <c r="AA130" s="23">
        <f>EXP(-LN(2)/25)*AA129+(1-EXP(-LN(2)/25))/(LN(2)/25)*Calculateur!V130*Calculateur!X130*VLOOKUP('Données projet'!$B$9,Paramètres!$A$1:$I$88,3,0)*0.475*44/12</f>
        <v>10.426901135272828</v>
      </c>
      <c r="AB130" s="23">
        <f>EXP(-LN(2)/2)*AB129+(1-EXP(-LN(2)/2))/(LN(2)/2)*V130*Y130*VLOOKUP('Données projet'!$B$9,Paramètres!$A$1:$I$88,3,0)*0.475*44/12</f>
        <v>0</v>
      </c>
      <c r="AC130" s="24">
        <f t="shared" si="57"/>
        <v>29.999156069459893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8.3000000000000007</v>
      </c>
      <c r="AI130" s="14">
        <f>IF('Données projet'!$A$62&gt;35,AI129+AH130-AQ129,IF(A130&lt;'Données projet'!$A$62,$AF$205^A130,IF(A130='Données projet'!$A$62,'Données projet'!$B$62,AI129+AH130-AQ129)))</f>
        <v>350.10000000000042</v>
      </c>
      <c r="AJ130" s="14">
        <f>AI130*VLOOKUP('Données projet'!$B$10,Paramètres!$A$1:$I$88,3,0)*VLOOKUP('Données projet'!$B$10,Paramètres!$A$1:$I$88,5,0)</f>
        <v>316.77048000000036</v>
      </c>
      <c r="AK130" s="14">
        <f t="shared" si="89"/>
        <v>74.680993038424063</v>
      </c>
      <c r="AL130" s="22">
        <f t="shared" si="58"/>
        <v>681.77798220858915</v>
      </c>
      <c r="AM130" s="62">
        <f t="shared" si="59"/>
        <v>965.18033906766664</v>
      </c>
      <c r="AN130" s="62">
        <f ca="1">AVERAGE(OFFSET($AM$3,0,0,'Données projet'!$E$10+1,1))-AVERAGE(OFFSET($H$3,0,0,'Données projet'!$E$10+1,1))</f>
        <v>518.31628039365785</v>
      </c>
      <c r="AO130" s="62">
        <f t="shared" si="90"/>
        <v>66.435071953154761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30.406261258433535</v>
      </c>
      <c r="AV130" s="23">
        <f>EXP(-LN(2)/25)*AV129+(1-EXP(-LN(2)/25))/(LN(2)/25)*Calculateur!AQ130*Calculateur!AS130*VLOOKUP('Données projet'!$B$10,Paramètres!$A$1:$I$88,3,0)*0.475*44/12</f>
        <v>0</v>
      </c>
      <c r="AW130" s="23">
        <f>EXP(-LN(2)/2)*AW129+(1-EXP(-LN(2)/2))/(LN(2)/2)*AQ130*AT130*VLOOKUP('Données projet'!$B$10,Paramètres!$A$1:$I$88,3,0)*0.475*44/12</f>
        <v>0</v>
      </c>
      <c r="AX130" s="23">
        <f t="shared" si="60"/>
        <v>30.406261258433535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8.3000000000000007</v>
      </c>
      <c r="BD130" s="13">
        <f>IF('Données projet'!$A$88&gt;35,BD129+BC130-BL129,IF(A130&lt;'Données projet'!$A$88,$BA$205^A130,IF(A130='Données projet'!$A$88,'Données projet'!$B$88,BD129+BC130-BL129)))</f>
        <v>350.10000000000042</v>
      </c>
      <c r="BE130" s="14">
        <f>BD130*VLOOKUP('Données projet'!$B$11,Paramètres!$A$1:$I$88,3,0)*VLOOKUP('Données projet'!$B$11,Paramètres!$A$1:$I$88,5,0)</f>
        <v>355.00140000000044</v>
      </c>
      <c r="BF130" s="14">
        <f t="shared" si="91"/>
        <v>82.591499482196099</v>
      </c>
      <c r="BG130" s="22">
        <f t="shared" si="61"/>
        <v>762.14096659815903</v>
      </c>
      <c r="BH130" s="62">
        <f t="shared" si="62"/>
        <v>1045.5433234572365</v>
      </c>
      <c r="BI130" s="62">
        <f ca="1">AVERAGE(OFFSET($BH$3,0,0,'Données projet'!$E$11+1,1))-AVERAGE(OFFSET($H$3,0,0,'Données projet'!$E$11+1,1))</f>
        <v>570.2785736203931</v>
      </c>
      <c r="BJ130" s="62">
        <f t="shared" si="92"/>
        <v>67.677759965081719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34.07598244479621</v>
      </c>
      <c r="BQ130" s="23">
        <f>EXP(-LN(2)/25)*BQ129+(1-EXP(-LN(2)/25))/(LN(2)/25)*Calculateur!BL130*Calculateur!BN130*VLOOKUP('Données projet'!$B$11,Paramètres!$A$1:$I$88,3,0)*0.475*44/12</f>
        <v>0</v>
      </c>
      <c r="BR130" s="23">
        <f>EXP(-LN(2)/2)*BR129+(1-EXP(-LN(2)/2))/(LN(2)/2)*BL130*BO130*VLOOKUP('Données projet'!$B$11,Paramètres!$A$1:$I$88,3,0)*0.475*44/12</f>
        <v>0</v>
      </c>
      <c r="BS130" s="24">
        <f t="shared" si="63"/>
        <v>34.07598244479621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544.19999999999982</v>
      </c>
      <c r="BZ130" s="14">
        <f>BY130*VLOOKUP('Données projet'!$B$12,Paramètres!$A$1:$I$88,3,0)*VLOOKUP('Données projet'!$B$12,Paramètres!$A$1:$I$88,5,0)</f>
        <v>325.43159999999995</v>
      </c>
      <c r="CA130" s="14">
        <f t="shared" si="93"/>
        <v>76.482394221016762</v>
      </c>
      <c r="CB130" s="22">
        <f t="shared" si="64"/>
        <v>700.00020660160408</v>
      </c>
      <c r="CC130" s="62">
        <f t="shared" si="65"/>
        <v>983.40256346068145</v>
      </c>
      <c r="CD130" s="62">
        <f ca="1">AVERAGE(OFFSET($CC$3,0,0,'Données projet'!$E$12+1,1))-AVERAGE(OFFSET($H$3,0,0,'Données projet'!$E$12+1,1))</f>
        <v>401.1031790385295</v>
      </c>
      <c r="CE130" s="62">
        <f t="shared" si="94"/>
        <v>402.09589424130615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projet'!$B$12,Paramètres!$A$1:$I$88,3,0)*0.475*44/12</f>
        <v>5.5031291486327607</v>
      </c>
      <c r="CL130" s="23">
        <f>EXP(-LN(2)/25)*CL129+(1-EXP(-LN(2)/25))/(LN(2)/25)*Calculateur!CG130*Calculateur!CI130*VLOOKUP('Données projet'!$B$12,Paramètres!$A$1:$I$88,3,0)*0.475*44/12</f>
        <v>0</v>
      </c>
      <c r="CM130" s="23">
        <f>EXP(-LN(2)/2)*CM129+(1-EXP(-LN(2)/2))/(LN(2)/2)*CG130*CJ130*VLOOKUP('Données projet'!$B$12,Paramètres!$A$1:$I$88,3,0)*0.475*44/12</f>
        <v>3.4173298875636662E-10</v>
      </c>
      <c r="CN130" s="24">
        <f t="shared" si="66"/>
        <v>5.5031291489744936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544.19999999999982</v>
      </c>
      <c r="CU130" s="18">
        <f>CT130*VLOOKUP('Données projet'!$B$13,Paramètres!$A$1:$I$88,3,0)*VLOOKUP('Données projet'!$B$13,Paramètres!$A$1:$I$88,5,0)</f>
        <v>325.43159999999995</v>
      </c>
      <c r="CV130" s="14">
        <f t="shared" si="95"/>
        <v>76.482394221016762</v>
      </c>
      <c r="CW130" s="22">
        <f t="shared" si="67"/>
        <v>700.00020660160408</v>
      </c>
      <c r="CX130" s="62">
        <f t="shared" si="68"/>
        <v>983.40256346068145</v>
      </c>
      <c r="CY130" s="62">
        <f ca="1">AVERAGE(OFFSET($CX$3,0,0,'Données projet'!$E$13+1,1))-AVERAGE(OFFSET($H$3,0,0,'Données projet'!$E$13+1,1))</f>
        <v>401.1031790385295</v>
      </c>
      <c r="CZ130" s="62">
        <f t="shared" si="96"/>
        <v>402.09589424130615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projet'!$B$13,Paramètres!$A$1:$I$88,3,0)*0.475*44/12</f>
        <v>5.5031291486327607</v>
      </c>
      <c r="DG130" s="23">
        <f>EXP(-LN(2)/25)*DG129+(1-EXP(-LN(2)/25))/(LN(2)/25)*Calculateur!DB130*Calculateur!DD130*VLOOKUP('Données projet'!$B$13,Paramètres!$A$1:$I$88,3,0)*0.475*44/12</f>
        <v>0</v>
      </c>
      <c r="DH130" s="23">
        <f>EXP(-LN(2)/2)*DH129+(1-EXP(-LN(2)/2))/(LN(2)/2)*DB130*DE130*VLOOKUP('Données projet'!$B$13,Paramètres!$A$1:$I$88,3,0)*0.475*44/12</f>
        <v>3.4173298875636662E-10</v>
      </c>
      <c r="DI130" s="24">
        <f t="shared" si="69"/>
        <v>5.5031291489744936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860.00000000000023</v>
      </c>
      <c r="DP130" s="18">
        <f>DO130*VLOOKUP('Données projet'!$B$14,Paramètres!$A$1:$I$88,3,0)*VLOOKUP('Données projet'!$B$14,Paramètres!$A$1:$I$88,5,0)</f>
        <v>346.5800000000001</v>
      </c>
      <c r="DQ130" s="14">
        <f t="shared" si="97"/>
        <v>80.857895771535127</v>
      </c>
      <c r="DR130" s="22">
        <f t="shared" si="70"/>
        <v>744.45433513542378</v>
      </c>
      <c r="DS130" s="62">
        <f t="shared" si="71"/>
        <v>1027.8566919945013</v>
      </c>
      <c r="DT130" s="62">
        <f ca="1">AVERAGE(OFFSET($DS$3,0,0,'Données projet'!$E$14+1,1))-AVERAGE(OFFSET($H$3,0,0,'Données projet'!$E$14+1,1))</f>
        <v>432.59662347701629</v>
      </c>
      <c r="DU130" s="62">
        <f t="shared" si="98"/>
        <v>348.67401091099748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projet'!$B$14,Paramètres!$A$1:$I$88,3,0)*0.475*44/12</f>
        <v>24.789737521685868</v>
      </c>
      <c r="EB130" s="23">
        <f>EXP(-LN(2)/25)*EB129+(1-EXP(-LN(2)/25))/(LN(2)/25)*Calculateur!DW130*Calculateur!DY130*VLOOKUP('Données projet'!$B$14,Paramètres!$A$1:$I$88,3,0)*0.475*44/12</f>
        <v>18.890533896367703</v>
      </c>
      <c r="EC130" s="23">
        <f>EXP(-LN(2)/2)*EC129+(1-EXP(-LN(2)/2))/(LN(2)/2)*DW130*DZ130*VLOOKUP('Données projet'!$B$14,Paramètres!$A$1:$I$88,3,0)*0.475*44/12</f>
        <v>0</v>
      </c>
      <c r="ED130" s="24">
        <f t="shared" si="72"/>
        <v>43.680271418053572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1099.9999999999998</v>
      </c>
      <c r="EK130" s="18">
        <f>EJ130*VLOOKUP('Données projet'!$B$15,Paramètres!$A$1:$I$88,3,0)*VLOOKUP('Données projet'!$B$15,Paramètres!$A$1:$I$88,5,0)</f>
        <v>486.19999999999993</v>
      </c>
      <c r="EL130" s="14">
        <f t="shared" si="99"/>
        <v>109.0490179035375</v>
      </c>
      <c r="EM130" s="22">
        <f t="shared" si="73"/>
        <v>1036.725372848661</v>
      </c>
      <c r="EN130" s="62">
        <f t="shared" si="74"/>
        <v>1320.1277297077384</v>
      </c>
      <c r="EO130" s="62">
        <f ca="1">AVERAGE(OFFSET($EN$3,0,0,'Données projet'!$E$15+1,1))-AVERAGE(OFFSET($H$3,0,0,'Données projet'!$E$15+1,1))</f>
        <v>582.26951914082088</v>
      </c>
      <c r="EP130" s="62">
        <f t="shared" si="100"/>
        <v>434.80429932654715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projet'!$B$15,Paramètres!$A$1:$I$88,3,0)*0.475*44/12</f>
        <v>24.979096531723162</v>
      </c>
      <c r="EW130" s="23">
        <f>EXP(-LN(2)/25)*EW129+(1-EXP(-LN(2)/25))/(LN(2)/25)*Calculateur!ER130*Calculateur!ET130*VLOOKUP('Données projet'!$B$15,Paramètres!$A$1:$I$88,3,0)*0.475*44/12</f>
        <v>16.974615118294107</v>
      </c>
      <c r="EX130" s="23">
        <f>EXP(-LN(2)/2)*EX129+(1-EXP(-LN(2)/2))/(LN(2)/2)*ER130*EU130*VLOOKUP('Données projet'!$B$15,Paramètres!$A$1:$I$88,3,0)*0.475*44/12</f>
        <v>0</v>
      </c>
      <c r="EY130" s="24">
        <f t="shared" si="75"/>
        <v>41.953711650017269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854.99999999999989</v>
      </c>
      <c r="FF130" s="18">
        <f>FE130*VLOOKUP('Données projet'!$B$16,Paramètres!$A$1:$I$88,3,0)*VLOOKUP('Données projet'!$B$16,Paramètres!$A$1:$I$88,5,0)</f>
        <v>400.13999999999993</v>
      </c>
      <c r="FG130" s="14">
        <f t="shared" si="101"/>
        <v>91.805047494648534</v>
      </c>
      <c r="FH130" s="22">
        <f t="shared" si="76"/>
        <v>856.80429105317944</v>
      </c>
      <c r="FI130" s="62">
        <f t="shared" si="77"/>
        <v>1140.2066479122568</v>
      </c>
      <c r="FJ130" s="62">
        <f ca="1">AVERAGE(OFFSET($FI$3,0,0,'Données projet'!$E$16+1,1))-AVERAGE(OFFSET($H$3,0,0,'Données projet'!$E$16+1,1))</f>
        <v>429.87867712133851</v>
      </c>
      <c r="FK130" s="62">
        <f t="shared" si="102"/>
        <v>182.81277865988014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projet'!$B$16,Paramètres!$A$1:$I$88,3,0)*0.475*44/12</f>
        <v>29.790561781045486</v>
      </c>
      <c r="FR130" s="23">
        <f>EXP(-LN(2)/25)*FR129+(1-EXP(-LN(2)/25))/(LN(2)/25)*Calculateur!FM130*Calculateur!FO130*VLOOKUP('Données projet'!$B$16,Paramètres!$A$1:$I$88,3,0)*0.475*44/12</f>
        <v>21.518230758938316</v>
      </c>
      <c r="FS130" s="23">
        <f>EXP(-LN(2)/2)*FS129+(1-EXP(-LN(2)/2))/(LN(2)/2)*FM130*FP130*VLOOKUP('Données projet'!$B$16,Paramètres!$A$1:$I$88,3,0)*0.475*44/12</f>
        <v>0</v>
      </c>
      <c r="FT130" s="24">
        <f t="shared" si="78"/>
        <v>51.308792539983799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498.99999999999955</v>
      </c>
      <c r="GA130" s="18">
        <f>FZ130*VLOOKUP('Données projet'!$B$17,Paramètres!$A$1:$I$88,3,0)*VLOOKUP('Données projet'!$B$17,Paramètres!$A$1:$I$88,5,0)</f>
        <v>240.01899999999978</v>
      </c>
      <c r="GB130" s="14">
        <f t="shared" si="103"/>
        <v>58.443618405936313</v>
      </c>
      <c r="GC130" s="22">
        <f t="shared" si="79"/>
        <v>519.82239372367201</v>
      </c>
      <c r="GD130" s="62">
        <f t="shared" si="80"/>
        <v>803.22475058274949</v>
      </c>
      <c r="GE130" s="62">
        <f ca="1">AVERAGE(OFFSET($GD$3,0,0,'Données projet'!$E$17+1,1))-AVERAGE(OFFSET($H$3,0,0,'Données projet'!$E$17+1,1))</f>
        <v>273.24375559399846</v>
      </c>
      <c r="GF130" s="62">
        <f t="shared" si="104"/>
        <v>270.77718895097848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projet'!$B$17,Paramètres!$A$1:$I$88,3,0)*0.475*44/12</f>
        <v>12.755695451636534</v>
      </c>
      <c r="GM130" s="23">
        <f>EXP(-LN(2)/25)*GM129+(1-EXP(-LN(2)/25))/(LN(2)/25)*Calculateur!GH130*Calculateur!GJ130*VLOOKUP('Données projet'!$B$17,Paramètres!$A$1:$I$88,3,0)*0.475*44/12</f>
        <v>8.279085771032328</v>
      </c>
      <c r="GN130" s="23">
        <f>EXP(-LN(2)/2)*GN129+(1-EXP(-LN(2)/2))/(LN(2)/2)*GH130*GK130*VLOOKUP('Données projet'!$B$17,Paramètres!$A$1:$I$88,3,0)*0.475*44/12</f>
        <v>0</v>
      </c>
      <c r="GO130" s="23">
        <f t="shared" si="81"/>
        <v>21.034781222668862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550.99999999999966</v>
      </c>
      <c r="O131" s="14">
        <f>N131*VLOOKUP('Données projet'!$B$9,Paramètres!$A$1:$I$88,3,0)*VLOOKUP('Données projet'!$B$9,Paramètres!$A$1:$I$88,5,0)</f>
        <v>308.00899999999979</v>
      </c>
      <c r="P131" s="14">
        <f t="shared" si="87"/>
        <v>72.852874331417695</v>
      </c>
      <c r="Q131" s="22">
        <f t="shared" ref="Q131:Q153" si="108">(O131+P131)*0.475*44/12</f>
        <v>663.33443112721886</v>
      </c>
      <c r="R131" s="62">
        <f t="shared" ref="R131:R194" si="109">Q131+(I131+J131)*44/12</f>
        <v>946.90906822578745</v>
      </c>
      <c r="S131" s="62">
        <f ca="1">AVERAGE(OFFSET($R$3,0,0,'Données projet'!$E$9+1,1))-AVERAGE(OFFSET($H$3,0,0,'Données projet'!$E$9+1,1))</f>
        <v>289.94242154211224</v>
      </c>
      <c r="T131" s="62">
        <f t="shared" si="88"/>
        <v>369.12599166143661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19.188454952824397</v>
      </c>
      <c r="AA131" s="23">
        <f>EXP(-LN(2)/25)*AA130+(1-EXP(-LN(2)/25))/(LN(2)/25)*Calculateur!V131*Calculateur!X131*VLOOKUP('Données projet'!$B$9,Paramètres!$A$1:$I$88,3,0)*0.475*44/12</f>
        <v>10.141776975401893</v>
      </c>
      <c r="AB131" s="23">
        <f>EXP(-LN(2)/2)*AB130+(1-EXP(-LN(2)/2))/(LN(2)/2)*V131*Y131*VLOOKUP('Données projet'!$B$9,Paramètres!$A$1:$I$88,3,0)*0.475*44/12</f>
        <v>0</v>
      </c>
      <c r="AC131" s="24">
        <f t="shared" si="57"/>
        <v>29.33023192822629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8.3000000000000007</v>
      </c>
      <c r="AI131" s="14">
        <f>IF('Données projet'!$A$62&gt;35,AI130+AH131-AQ130,IF(A131&lt;'Données projet'!$A$62,$AF$205^A131,IF(A131='Données projet'!$A$62,'Données projet'!$B$62,AI130+AH131-AQ130)))</f>
        <v>358.40000000000043</v>
      </c>
      <c r="AJ131" s="14">
        <f>AI131*VLOOKUP('Données projet'!$B$10,Paramètres!$A$1:$I$88,3,0)*VLOOKUP('Données projet'!$B$10,Paramètres!$A$1:$I$88,5,0)</f>
        <v>324.28032000000042</v>
      </c>
      <c r="AK131" s="14">
        <f t="shared" si="89"/>
        <v>76.243267588418149</v>
      </c>
      <c r="AL131" s="22">
        <f t="shared" si="58"/>
        <v>697.57858171649559</v>
      </c>
      <c r="AM131" s="62">
        <f t="shared" si="59"/>
        <v>981.15321881506406</v>
      </c>
      <c r="AN131" s="62">
        <f ca="1">AVERAGE(OFFSET($AM$3,0,0,'Données projet'!$E$10+1,1))-AVERAGE(OFFSET($H$3,0,0,'Données projet'!$E$10+1,1))</f>
        <v>518.31628039365785</v>
      </c>
      <c r="AO131" s="62">
        <f t="shared" si="90"/>
        <v>66.435071953154761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29.810013021143757</v>
      </c>
      <c r="AV131" s="23">
        <f>EXP(-LN(2)/25)*AV130+(1-EXP(-LN(2)/25))/(LN(2)/25)*Calculateur!AQ131*Calculateur!AS131*VLOOKUP('Données projet'!$B$10,Paramètres!$A$1:$I$88,3,0)*0.475*44/12</f>
        <v>0</v>
      </c>
      <c r="AW131" s="23">
        <f>EXP(-LN(2)/2)*AW130+(1-EXP(-LN(2)/2))/(LN(2)/2)*AQ131*AT131*VLOOKUP('Données projet'!$B$10,Paramètres!$A$1:$I$88,3,0)*0.475*44/12</f>
        <v>0</v>
      </c>
      <c r="AX131" s="23">
        <f t="shared" si="60"/>
        <v>29.810013021143757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8.3000000000000007</v>
      </c>
      <c r="BD131" s="13">
        <f>IF('Données projet'!$A$88&gt;35,BD130+BC131-BL130,IF(A131&lt;'Données projet'!$A$88,$BA$205^A131,IF(A131='Données projet'!$A$88,'Données projet'!$B$88,BD130+BC131-BL130)))</f>
        <v>358.40000000000043</v>
      </c>
      <c r="BE131" s="14">
        <f>BD131*VLOOKUP('Données projet'!$B$11,Paramètres!$A$1:$I$88,3,0)*VLOOKUP('Données projet'!$B$11,Paramètres!$A$1:$I$88,5,0)</f>
        <v>363.41760000000045</v>
      </c>
      <c r="BF131" s="14">
        <f t="shared" si="91"/>
        <v>84.319256337551479</v>
      </c>
      <c r="BG131" s="22">
        <f t="shared" si="61"/>
        <v>779.80835812123621</v>
      </c>
      <c r="BH131" s="62">
        <f t="shared" si="62"/>
        <v>1063.3829952198048</v>
      </c>
      <c r="BI131" s="62">
        <f ca="1">AVERAGE(OFFSET($BH$3,0,0,'Données projet'!$E$11+1,1))-AVERAGE(OFFSET($H$3,0,0,'Données projet'!$E$11+1,1))</f>
        <v>570.2785736203931</v>
      </c>
      <c r="BJ131" s="62">
        <f t="shared" si="92"/>
        <v>67.677759965081719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33.407773213350772</v>
      </c>
      <c r="BQ131" s="23">
        <f>EXP(-LN(2)/25)*BQ130+(1-EXP(-LN(2)/25))/(LN(2)/25)*Calculateur!BL131*Calculateur!BN131*VLOOKUP('Données projet'!$B$11,Paramètres!$A$1:$I$88,3,0)*0.475*44/12</f>
        <v>0</v>
      </c>
      <c r="BR131" s="23">
        <f>EXP(-LN(2)/2)*BR130+(1-EXP(-LN(2)/2))/(LN(2)/2)*BL131*BO131*VLOOKUP('Données projet'!$B$11,Paramètres!$A$1:$I$88,3,0)*0.475*44/12</f>
        <v>0</v>
      </c>
      <c r="BS131" s="24">
        <f t="shared" si="63"/>
        <v>33.407773213350772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544.19999999999982</v>
      </c>
      <c r="BZ131" s="14">
        <f>BY131*VLOOKUP('Données projet'!$B$12,Paramètres!$A$1:$I$88,3,0)*VLOOKUP('Données projet'!$B$12,Paramètres!$A$1:$I$88,5,0)</f>
        <v>325.43159999999995</v>
      </c>
      <c r="CA131" s="14">
        <f t="shared" si="93"/>
        <v>76.482394221016762</v>
      </c>
      <c r="CB131" s="22">
        <f t="shared" si="64"/>
        <v>700.00020660160408</v>
      </c>
      <c r="CC131" s="62">
        <f t="shared" si="65"/>
        <v>983.57484370017255</v>
      </c>
      <c r="CD131" s="62">
        <f ca="1">AVERAGE(OFFSET($CC$3,0,0,'Données projet'!$E$12+1,1))-AVERAGE(OFFSET($H$3,0,0,'Données projet'!$E$12+1,1))</f>
        <v>401.1031790385295</v>
      </c>
      <c r="CE131" s="62">
        <f t="shared" si="94"/>
        <v>402.09589424130615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projet'!$B$12,Paramètres!$A$1:$I$88,3,0)*0.475*44/12</f>
        <v>5.3952161426054186</v>
      </c>
      <c r="CL131" s="23">
        <f>EXP(-LN(2)/25)*CL130+(1-EXP(-LN(2)/25))/(LN(2)/25)*Calculateur!CG131*Calculateur!CI131*VLOOKUP('Données projet'!$B$12,Paramètres!$A$1:$I$88,3,0)*0.475*44/12</f>
        <v>0</v>
      </c>
      <c r="CM131" s="23">
        <f>EXP(-LN(2)/2)*CM130+(1-EXP(-LN(2)/2))/(LN(2)/2)*CG131*CJ131*VLOOKUP('Données projet'!$B$12,Paramètres!$A$1:$I$88,3,0)*0.475*44/12</f>
        <v>2.4164171370477303E-10</v>
      </c>
      <c r="CN131" s="24">
        <f t="shared" si="66"/>
        <v>5.39521614284706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544.19999999999982</v>
      </c>
      <c r="CU131" s="18">
        <f>CT131*VLOOKUP('Données projet'!$B$13,Paramètres!$A$1:$I$88,3,0)*VLOOKUP('Données projet'!$B$13,Paramètres!$A$1:$I$88,5,0)</f>
        <v>325.43159999999995</v>
      </c>
      <c r="CV131" s="14">
        <f t="shared" si="95"/>
        <v>76.482394221016762</v>
      </c>
      <c r="CW131" s="22">
        <f t="shared" si="67"/>
        <v>700.00020660160408</v>
      </c>
      <c r="CX131" s="62">
        <f t="shared" si="68"/>
        <v>983.57484370017255</v>
      </c>
      <c r="CY131" s="62">
        <f ca="1">AVERAGE(OFFSET($CX$3,0,0,'Données projet'!$E$13+1,1))-AVERAGE(OFFSET($H$3,0,0,'Données projet'!$E$13+1,1))</f>
        <v>401.1031790385295</v>
      </c>
      <c r="CZ131" s="62">
        <f t="shared" si="96"/>
        <v>402.09589424130615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projet'!$B$13,Paramètres!$A$1:$I$88,3,0)*0.475*44/12</f>
        <v>5.3952161426054186</v>
      </c>
      <c r="DG131" s="23">
        <f>EXP(-LN(2)/25)*DG130+(1-EXP(-LN(2)/25))/(LN(2)/25)*Calculateur!DB131*Calculateur!DD131*VLOOKUP('Données projet'!$B$13,Paramètres!$A$1:$I$88,3,0)*0.475*44/12</f>
        <v>0</v>
      </c>
      <c r="DH131" s="23">
        <f>EXP(-LN(2)/2)*DH130+(1-EXP(-LN(2)/2))/(LN(2)/2)*DB131*DE131*VLOOKUP('Données projet'!$B$13,Paramètres!$A$1:$I$88,3,0)*0.475*44/12</f>
        <v>2.4164171370477303E-10</v>
      </c>
      <c r="DI131" s="24">
        <f t="shared" si="69"/>
        <v>5.39521614284706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860.00000000000023</v>
      </c>
      <c r="DP131" s="18">
        <f>DO131*VLOOKUP('Données projet'!$B$14,Paramètres!$A$1:$I$88,3,0)*VLOOKUP('Données projet'!$B$14,Paramètres!$A$1:$I$88,5,0)</f>
        <v>346.5800000000001</v>
      </c>
      <c r="DQ131" s="14">
        <f t="shared" si="97"/>
        <v>80.857895771535127</v>
      </c>
      <c r="DR131" s="22">
        <f t="shared" si="70"/>
        <v>744.45433513542378</v>
      </c>
      <c r="DS131" s="62">
        <f t="shared" si="71"/>
        <v>1028.0289722339924</v>
      </c>
      <c r="DT131" s="62">
        <f ca="1">AVERAGE(OFFSET($DS$3,0,0,'Données projet'!$E$14+1,1))-AVERAGE(OFFSET($H$3,0,0,'Données projet'!$E$14+1,1))</f>
        <v>432.59662347701629</v>
      </c>
      <c r="DU131" s="62">
        <f t="shared" si="98"/>
        <v>348.67401091099748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projet'!$B$14,Paramètres!$A$1:$I$88,3,0)*0.475*44/12</f>
        <v>24.303625889132498</v>
      </c>
      <c r="EB131" s="23">
        <f>EXP(-LN(2)/25)*EB130+(1-EXP(-LN(2)/25))/(LN(2)/25)*Calculateur!DW131*Calculateur!DY131*VLOOKUP('Données projet'!$B$14,Paramètres!$A$1:$I$88,3,0)*0.475*44/12</f>
        <v>18.373971253561525</v>
      </c>
      <c r="EC131" s="23">
        <f>EXP(-LN(2)/2)*EC130+(1-EXP(-LN(2)/2))/(LN(2)/2)*DW131*DZ131*VLOOKUP('Données projet'!$B$14,Paramètres!$A$1:$I$88,3,0)*0.475*44/12</f>
        <v>0</v>
      </c>
      <c r="ED131" s="24">
        <f t="shared" si="72"/>
        <v>42.677597142694026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1099.9999999999998</v>
      </c>
      <c r="EK131" s="18">
        <f>EJ131*VLOOKUP('Données projet'!$B$15,Paramètres!$A$1:$I$88,3,0)*VLOOKUP('Données projet'!$B$15,Paramètres!$A$1:$I$88,5,0)</f>
        <v>486.19999999999993</v>
      </c>
      <c r="EL131" s="14">
        <f t="shared" si="99"/>
        <v>109.0490179035375</v>
      </c>
      <c r="EM131" s="22">
        <f t="shared" si="73"/>
        <v>1036.725372848661</v>
      </c>
      <c r="EN131" s="62">
        <f t="shared" si="74"/>
        <v>1320.3000099472295</v>
      </c>
      <c r="EO131" s="62">
        <f ca="1">AVERAGE(OFFSET($EN$3,0,0,'Données projet'!$E$15+1,1))-AVERAGE(OFFSET($H$3,0,0,'Données projet'!$E$15+1,1))</f>
        <v>582.26951914082088</v>
      </c>
      <c r="EP131" s="62">
        <f t="shared" si="100"/>
        <v>434.80429932654715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projet'!$B$15,Paramètres!$A$1:$I$88,3,0)*0.475*44/12</f>
        <v>24.489271684480549</v>
      </c>
      <c r="EW131" s="23">
        <f>EXP(-LN(2)/25)*EW130+(1-EXP(-LN(2)/25))/(LN(2)/25)*Calculateur!ER131*Calculateur!ET131*VLOOKUP('Données projet'!$B$15,Paramètres!$A$1:$I$88,3,0)*0.475*44/12</f>
        <v>16.510443375228142</v>
      </c>
      <c r="EX131" s="23">
        <f>EXP(-LN(2)/2)*EX130+(1-EXP(-LN(2)/2))/(LN(2)/2)*ER131*EU131*VLOOKUP('Données projet'!$B$15,Paramètres!$A$1:$I$88,3,0)*0.475*44/12</f>
        <v>0</v>
      </c>
      <c r="EY131" s="24">
        <f t="shared" si="75"/>
        <v>40.999715059708691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854.99999999999989</v>
      </c>
      <c r="FF131" s="18">
        <f>FE131*VLOOKUP('Données projet'!$B$16,Paramètres!$A$1:$I$88,3,0)*VLOOKUP('Données projet'!$B$16,Paramètres!$A$1:$I$88,5,0)</f>
        <v>400.13999999999993</v>
      </c>
      <c r="FG131" s="14">
        <f t="shared" si="101"/>
        <v>91.805047494648534</v>
      </c>
      <c r="FH131" s="22">
        <f t="shared" si="76"/>
        <v>856.80429105317944</v>
      </c>
      <c r="FI131" s="62">
        <f t="shared" si="77"/>
        <v>1140.3789281517479</v>
      </c>
      <c r="FJ131" s="62">
        <f ca="1">AVERAGE(OFFSET($FI$3,0,0,'Données projet'!$E$16+1,1))-AVERAGE(OFFSET($H$3,0,0,'Données projet'!$E$16+1,1))</f>
        <v>429.87867712133851</v>
      </c>
      <c r="FK131" s="62">
        <f t="shared" si="102"/>
        <v>182.81277865988014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projet'!$B$16,Paramètres!$A$1:$I$88,3,0)*0.475*44/12</f>
        <v>29.206387034967687</v>
      </c>
      <c r="FR131" s="23">
        <f>EXP(-LN(2)/25)*FR130+(1-EXP(-LN(2)/25))/(LN(2)/25)*Calculateur!FM131*Calculateur!FO131*VLOOKUP('Données projet'!$B$16,Paramètres!$A$1:$I$88,3,0)*0.475*44/12</f>
        <v>20.929813607240572</v>
      </c>
      <c r="FS131" s="23">
        <f>EXP(-LN(2)/2)*FS130+(1-EXP(-LN(2)/2))/(LN(2)/2)*FM131*FP131*VLOOKUP('Données projet'!$B$16,Paramètres!$A$1:$I$88,3,0)*0.475*44/12</f>
        <v>0</v>
      </c>
      <c r="FT131" s="24">
        <f t="shared" si="78"/>
        <v>50.136200642208259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498.99999999999955</v>
      </c>
      <c r="GA131" s="18">
        <f>FZ131*VLOOKUP('Données projet'!$B$17,Paramètres!$A$1:$I$88,3,0)*VLOOKUP('Données projet'!$B$17,Paramètres!$A$1:$I$88,5,0)</f>
        <v>240.01899999999978</v>
      </c>
      <c r="GB131" s="14">
        <f t="shared" si="103"/>
        <v>58.443618405936313</v>
      </c>
      <c r="GC131" s="22">
        <f t="shared" si="79"/>
        <v>519.82239372367201</v>
      </c>
      <c r="GD131" s="62">
        <f t="shared" si="80"/>
        <v>803.39703082224059</v>
      </c>
      <c r="GE131" s="62">
        <f ca="1">AVERAGE(OFFSET($GD$3,0,0,'Données projet'!$E$17+1,1))-AVERAGE(OFFSET($H$3,0,0,'Données projet'!$E$17+1,1))</f>
        <v>273.24375559399846</v>
      </c>
      <c r="GF131" s="62">
        <f t="shared" si="104"/>
        <v>270.77718895097848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projet'!$B$17,Paramètres!$A$1:$I$88,3,0)*0.475*44/12</f>
        <v>12.505564044035935</v>
      </c>
      <c r="GM131" s="23">
        <f>EXP(-LN(2)/25)*GM130+(1-EXP(-LN(2)/25))/(LN(2)/25)*Calculateur!GH131*Calculateur!GJ131*VLOOKUP('Données projet'!$B$17,Paramètres!$A$1:$I$88,3,0)*0.475*44/12</f>
        <v>8.052693735245251</v>
      </c>
      <c r="GN131" s="23">
        <f>EXP(-LN(2)/2)*GN130+(1-EXP(-LN(2)/2))/(LN(2)/2)*GH131*GK131*VLOOKUP('Données projet'!$B$17,Paramètres!$A$1:$I$88,3,0)*0.475*44/12</f>
        <v>0</v>
      </c>
      <c r="GO131" s="23">
        <f t="shared" si="81"/>
        <v>20.558257779281185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550.99999999999966</v>
      </c>
      <c r="O132" s="14">
        <f>N132*VLOOKUP('Données projet'!$B$9,Paramètres!$A$1:$I$88,3,0)*VLOOKUP('Données projet'!$B$9,Paramètres!$A$1:$I$88,5,0)</f>
        <v>308.00899999999979</v>
      </c>
      <c r="P132" s="14">
        <f t="shared" si="87"/>
        <v>72.852874331417695</v>
      </c>
      <c r="Q132" s="22">
        <f t="shared" si="108"/>
        <v>663.33443112721886</v>
      </c>
      <c r="R132" s="62">
        <f t="shared" si="109"/>
        <v>947.07835978828416</v>
      </c>
      <c r="S132" s="62">
        <f ca="1">AVERAGE(OFFSET($R$3,0,0,'Données projet'!$E$9+1,1))-AVERAGE(OFFSET($H$3,0,0,'Données projet'!$E$9+1,1))</f>
        <v>289.94242154211224</v>
      </c>
      <c r="T132" s="62">
        <f t="shared" si="88"/>
        <v>369.12599166143661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18.812181055001378</v>
      </c>
      <c r="AA132" s="23">
        <f>EXP(-LN(2)/25)*AA131+(1-EXP(-LN(2)/25))/(LN(2)/25)*Calculateur!V132*Calculateur!X132*VLOOKUP('Données projet'!$B$9,Paramètres!$A$1:$I$88,3,0)*0.475*44/12</f>
        <v>9.8644495506766567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1">SUM(Z132:AB132)</f>
        <v>28.676630605678035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8.3000000000000007</v>
      </c>
      <c r="AI132" s="14">
        <f>IF('Données projet'!$A$62&gt;35,AI131+AH132-AQ131,IF(A132&lt;'Données projet'!$A$62,$AF$205^A132,IF(A132='Données projet'!$A$62,'Données projet'!$B$62,AI131+AH132-AQ131)))</f>
        <v>366.70000000000044</v>
      </c>
      <c r="AJ132" s="14">
        <f>AI132*VLOOKUP('Données projet'!$B$10,Paramètres!$A$1:$I$88,3,0)*VLOOKUP('Données projet'!$B$10,Paramètres!$A$1:$I$88,5,0)</f>
        <v>331.79016000000036</v>
      </c>
      <c r="AK132" s="14">
        <f t="shared" si="89"/>
        <v>77.801336070894891</v>
      </c>
      <c r="AL132" s="22">
        <f t="shared" ref="AL132:AL153" si="112">(AJ132+AK132)*0.475*44/12</f>
        <v>713.3718556568092</v>
      </c>
      <c r="AM132" s="62">
        <f t="shared" ref="AM132:AM195" si="113">AL132+(AD132+AE132)*44/12</f>
        <v>997.11578431787461</v>
      </c>
      <c r="AN132" s="62">
        <f ca="1">AVERAGE(OFFSET($AM$3,0,0,'Données projet'!$E$10+1,1))-AVERAGE(OFFSET($H$3,0,0,'Données projet'!$E$10+1,1))</f>
        <v>518.31628039365785</v>
      </c>
      <c r="AO132" s="62">
        <f t="shared" si="90"/>
        <v>66.435071953154761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29.225456848111715</v>
      </c>
      <c r="AV132" s="23">
        <f>EXP(-LN(2)/25)*AV131+(1-EXP(-LN(2)/25))/(LN(2)/25)*Calculateur!AQ132*Calculateur!AS132*VLOOKUP('Données projet'!$B$10,Paramètres!$A$1:$I$88,3,0)*0.475*44/12</f>
        <v>0</v>
      </c>
      <c r="AW132" s="23">
        <f>EXP(-LN(2)/2)*AW131+(1-EXP(-LN(2)/2))/(LN(2)/2)*AQ132*AT132*VLOOKUP('Données projet'!$B$10,Paramètres!$A$1:$I$88,3,0)*0.475*44/12</f>
        <v>0</v>
      </c>
      <c r="AX132" s="23">
        <f t="shared" ref="AX132:AX153" si="114">SUM(AU132:AW132)</f>
        <v>29.225456848111715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8.3000000000000007</v>
      </c>
      <c r="BD132" s="13">
        <f>IF('Données projet'!$A$88&gt;35,BD131+BC132-BL131,IF(A132&lt;'Données projet'!$A$88,$BA$205^A132,IF(A132='Données projet'!$A$88,'Données projet'!$B$88,BD131+BC132-BL131)))</f>
        <v>366.70000000000044</v>
      </c>
      <c r="BE132" s="14">
        <f>BD132*VLOOKUP('Données projet'!$B$11,Paramètres!$A$1:$I$88,3,0)*VLOOKUP('Données projet'!$B$11,Paramètres!$A$1:$I$88,5,0)</f>
        <v>371.83380000000051</v>
      </c>
      <c r="BF132" s="14">
        <f t="shared" si="91"/>
        <v>86.042361602066222</v>
      </c>
      <c r="BG132" s="22">
        <f t="shared" ref="BG132:BG153" si="115">(BE132+BF132)*0.475*44/12</f>
        <v>797.46764812359959</v>
      </c>
      <c r="BH132" s="62">
        <f t="shared" ref="BH132:BH195" si="116">BG132+(AY132+AZ132)*44/12</f>
        <v>1081.2115767846649</v>
      </c>
      <c r="BI132" s="62">
        <f ca="1">AVERAGE(OFFSET($BH$3,0,0,'Données projet'!$E$11+1,1))-AVERAGE(OFFSET($H$3,0,0,'Données projet'!$E$11+1,1))</f>
        <v>570.2785736203931</v>
      </c>
      <c r="BJ132" s="62">
        <f t="shared" si="92"/>
        <v>67.677759965081719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32.752667157366588</v>
      </c>
      <c r="BQ132" s="23">
        <f>EXP(-LN(2)/25)*BQ131+(1-EXP(-LN(2)/25))/(LN(2)/25)*Calculateur!BL132*Calculateur!BN132*VLOOKUP('Données projet'!$B$11,Paramètres!$A$1:$I$88,3,0)*0.475*44/12</f>
        <v>0</v>
      </c>
      <c r="BR132" s="23">
        <f>EXP(-LN(2)/2)*BR131+(1-EXP(-LN(2)/2))/(LN(2)/2)*BL132*BO132*VLOOKUP('Données projet'!$B$11,Paramètres!$A$1:$I$88,3,0)*0.475*44/12</f>
        <v>0</v>
      </c>
      <c r="BS132" s="24">
        <f t="shared" ref="BS132:BS153" si="117">SUM(BP132:BR132)</f>
        <v>32.752667157366588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544.19999999999982</v>
      </c>
      <c r="BZ132" s="14">
        <f>BY132*VLOOKUP('Données projet'!$B$12,Paramètres!$A$1:$I$88,3,0)*VLOOKUP('Données projet'!$B$12,Paramètres!$A$1:$I$88,5,0)</f>
        <v>325.43159999999995</v>
      </c>
      <c r="CA132" s="14">
        <f t="shared" si="93"/>
        <v>76.482394221016762</v>
      </c>
      <c r="CB132" s="22">
        <f t="shared" ref="CB132:CB153" si="118">(BZ132+CA132)*0.475*44/12</f>
        <v>700.00020660160408</v>
      </c>
      <c r="CC132" s="62">
        <f t="shared" ref="CC132:CC195" si="119">CB132+(BT132+BU132)*44/12</f>
        <v>983.74413526266949</v>
      </c>
      <c r="CD132" s="62">
        <f ca="1">AVERAGE(OFFSET($CC$3,0,0,'Données projet'!$E$12+1,1))-AVERAGE(OFFSET($H$3,0,0,'Données projet'!$E$12+1,1))</f>
        <v>401.1031790385295</v>
      </c>
      <c r="CE132" s="62">
        <f t="shared" si="94"/>
        <v>402.09589424130615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projet'!$B$12,Paramètres!$A$1:$I$88,3,0)*0.475*44/12</f>
        <v>5.2894192448058384</v>
      </c>
      <c r="CL132" s="23">
        <f>EXP(-LN(2)/25)*CL131+(1-EXP(-LN(2)/25))/(LN(2)/25)*Calculateur!CG132*Calculateur!CI132*VLOOKUP('Données projet'!$B$12,Paramètres!$A$1:$I$88,3,0)*0.475*44/12</f>
        <v>0</v>
      </c>
      <c r="CM132" s="23">
        <f>EXP(-LN(2)/2)*CM131+(1-EXP(-LN(2)/2))/(LN(2)/2)*CG132*CJ132*VLOOKUP('Données projet'!$B$12,Paramètres!$A$1:$I$88,3,0)*0.475*44/12</f>
        <v>1.7086649437818331E-10</v>
      </c>
      <c r="CN132" s="24">
        <f t="shared" ref="CN132:CN153" si="120">SUM(CK132:CM132)</f>
        <v>5.2894192449767052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544.19999999999982</v>
      </c>
      <c r="CU132" s="18">
        <f>CT132*VLOOKUP('Données projet'!$B$13,Paramètres!$A$1:$I$88,3,0)*VLOOKUP('Données projet'!$B$13,Paramètres!$A$1:$I$88,5,0)</f>
        <v>325.43159999999995</v>
      </c>
      <c r="CV132" s="14">
        <f t="shared" si="95"/>
        <v>76.482394221016762</v>
      </c>
      <c r="CW132" s="22">
        <f t="shared" ref="CW132:CW153" si="121">(CU132+CV132)*0.475*44/12</f>
        <v>700.00020660160408</v>
      </c>
      <c r="CX132" s="62">
        <f t="shared" ref="CX132:CX195" si="122">CW132+(CO132+CP132)*44/12</f>
        <v>983.74413526266949</v>
      </c>
      <c r="CY132" s="62">
        <f ca="1">AVERAGE(OFFSET($CX$3,0,0,'Données projet'!$E$13+1,1))-AVERAGE(OFFSET($H$3,0,0,'Données projet'!$E$13+1,1))</f>
        <v>401.1031790385295</v>
      </c>
      <c r="CZ132" s="62">
        <f t="shared" si="96"/>
        <v>402.09589424130615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projet'!$B$13,Paramètres!$A$1:$I$88,3,0)*0.475*44/12</f>
        <v>5.2894192448058384</v>
      </c>
      <c r="DG132" s="23">
        <f>EXP(-LN(2)/25)*DG131+(1-EXP(-LN(2)/25))/(LN(2)/25)*Calculateur!DB132*Calculateur!DD132*VLOOKUP('Données projet'!$B$13,Paramètres!$A$1:$I$88,3,0)*0.475*44/12</f>
        <v>0</v>
      </c>
      <c r="DH132" s="23">
        <f>EXP(-LN(2)/2)*DH131+(1-EXP(-LN(2)/2))/(LN(2)/2)*DB132*DE132*VLOOKUP('Données projet'!$B$13,Paramètres!$A$1:$I$88,3,0)*0.475*44/12</f>
        <v>1.7086649437818331E-10</v>
      </c>
      <c r="DI132" s="24">
        <f t="shared" ref="DI132:DI153" si="123">SUM(DF132:DH132)</f>
        <v>5.2894192449767052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860.00000000000023</v>
      </c>
      <c r="DP132" s="18">
        <f>DO132*VLOOKUP('Données projet'!$B$14,Paramètres!$A$1:$I$88,3,0)*VLOOKUP('Données projet'!$B$14,Paramètres!$A$1:$I$88,5,0)</f>
        <v>346.5800000000001</v>
      </c>
      <c r="DQ132" s="14">
        <f t="shared" si="97"/>
        <v>80.857895771535127</v>
      </c>
      <c r="DR132" s="22">
        <f t="shared" ref="DR132:DR153" si="124">(DP132+DQ132)*0.475*44/12</f>
        <v>744.45433513542378</v>
      </c>
      <c r="DS132" s="62">
        <f t="shared" ref="DS132:DS195" si="125">DR132+(DJ132+DK132)*44/12</f>
        <v>1028.1982637964891</v>
      </c>
      <c r="DT132" s="62">
        <f ca="1">AVERAGE(OFFSET($DS$3,0,0,'Données projet'!$E$14+1,1))-AVERAGE(OFFSET($H$3,0,0,'Données projet'!$E$14+1,1))</f>
        <v>432.59662347701629</v>
      </c>
      <c r="DU132" s="62">
        <f t="shared" si="98"/>
        <v>348.67401091099748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projet'!$B$14,Paramètres!$A$1:$I$88,3,0)*0.475*44/12</f>
        <v>23.827046609194678</v>
      </c>
      <c r="EB132" s="23">
        <f>EXP(-LN(2)/25)*EB131+(1-EXP(-LN(2)/25))/(LN(2)/25)*Calculateur!DW132*Calculateur!DY132*VLOOKUP('Données projet'!$B$14,Paramètres!$A$1:$I$88,3,0)*0.475*44/12</f>
        <v>17.871534043387729</v>
      </c>
      <c r="EC132" s="23">
        <f>EXP(-LN(2)/2)*EC131+(1-EXP(-LN(2)/2))/(LN(2)/2)*DW132*DZ132*VLOOKUP('Données projet'!$B$14,Paramètres!$A$1:$I$88,3,0)*0.475*44/12</f>
        <v>0</v>
      </c>
      <c r="ED132" s="24">
        <f t="shared" ref="ED132:ED153" si="126">SUM(EA132:EC132)</f>
        <v>41.698580652582407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1099.9999999999998</v>
      </c>
      <c r="EK132" s="18">
        <f>EJ132*VLOOKUP('Données projet'!$B$15,Paramètres!$A$1:$I$88,3,0)*VLOOKUP('Données projet'!$B$15,Paramètres!$A$1:$I$88,5,0)</f>
        <v>486.19999999999993</v>
      </c>
      <c r="EL132" s="14">
        <f t="shared" si="99"/>
        <v>109.0490179035375</v>
      </c>
      <c r="EM132" s="22">
        <f t="shared" ref="EM132:EM153" si="127">(EK132+EL132)*0.475*44/12</f>
        <v>1036.725372848661</v>
      </c>
      <c r="EN132" s="62">
        <f t="shared" ref="EN132:EN195" si="128">EM132+(EE132+EF132)*44/12</f>
        <v>1320.4693015097264</v>
      </c>
      <c r="EO132" s="62">
        <f ca="1">AVERAGE(OFFSET($EN$3,0,0,'Données projet'!$E$15+1,1))-AVERAGE(OFFSET($H$3,0,0,'Données projet'!$E$15+1,1))</f>
        <v>582.26951914082088</v>
      </c>
      <c r="EP132" s="62">
        <f t="shared" si="100"/>
        <v>434.80429932654715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projet'!$B$15,Paramètres!$A$1:$I$88,3,0)*0.475*44/12</f>
        <v>24.009052003728709</v>
      </c>
      <c r="EW132" s="23">
        <f>EXP(-LN(2)/25)*EW131+(1-EXP(-LN(2)/25))/(LN(2)/25)*Calculateur!ER132*Calculateur!ET132*VLOOKUP('Données projet'!$B$15,Paramètres!$A$1:$I$88,3,0)*0.475*44/12</f>
        <v>16.058964432886047</v>
      </c>
      <c r="EX132" s="23">
        <f>EXP(-LN(2)/2)*EX131+(1-EXP(-LN(2)/2))/(LN(2)/2)*ER132*EU132*VLOOKUP('Données projet'!$B$15,Paramètres!$A$1:$I$88,3,0)*0.475*44/12</f>
        <v>0</v>
      </c>
      <c r="EY132" s="24">
        <f t="shared" ref="EY132:EY153" si="129">SUM(EV132:EX132)</f>
        <v>40.068016436614755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854.99999999999989</v>
      </c>
      <c r="FF132" s="18">
        <f>FE132*VLOOKUP('Données projet'!$B$16,Paramètres!$A$1:$I$88,3,0)*VLOOKUP('Données projet'!$B$16,Paramètres!$A$1:$I$88,5,0)</f>
        <v>400.13999999999993</v>
      </c>
      <c r="FG132" s="14">
        <f t="shared" si="101"/>
        <v>91.805047494648534</v>
      </c>
      <c r="FH132" s="22">
        <f t="shared" ref="FH132:FH153" si="130">(FF132+FG132)*0.475*44/12</f>
        <v>856.80429105317944</v>
      </c>
      <c r="FI132" s="62">
        <f t="shared" ref="FI132:FI195" si="131">FH132+(EZ132+FA132)*44/12</f>
        <v>1140.5482197142449</v>
      </c>
      <c r="FJ132" s="62">
        <f ca="1">AVERAGE(OFFSET($FI$3,0,0,'Données projet'!$E$16+1,1))-AVERAGE(OFFSET($H$3,0,0,'Données projet'!$E$16+1,1))</f>
        <v>429.87867712133851</v>
      </c>
      <c r="FK132" s="62">
        <f t="shared" si="102"/>
        <v>182.81277865988014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projet'!$B$16,Paramètres!$A$1:$I$88,3,0)*0.475*44/12</f>
        <v>28.63366759934906</v>
      </c>
      <c r="FR132" s="23">
        <f>EXP(-LN(2)/25)*FR131+(1-EXP(-LN(2)/25))/(LN(2)/25)*Calculateur!FM132*Calculateur!FO132*VLOOKUP('Données projet'!$B$16,Paramètres!$A$1:$I$88,3,0)*0.475*44/12</f>
        <v>20.357486753499515</v>
      </c>
      <c r="FS132" s="23">
        <f>EXP(-LN(2)/2)*FS131+(1-EXP(-LN(2)/2))/(LN(2)/2)*FM132*FP132*VLOOKUP('Données projet'!$B$16,Paramètres!$A$1:$I$88,3,0)*0.475*44/12</f>
        <v>0</v>
      </c>
      <c r="FT132" s="24">
        <f t="shared" ref="FT132:FT153" si="132">SUM(FQ132:FS132)</f>
        <v>48.991154352848575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498.99999999999955</v>
      </c>
      <c r="GA132" s="18">
        <f>FZ132*VLOOKUP('Données projet'!$B$17,Paramètres!$A$1:$I$88,3,0)*VLOOKUP('Données projet'!$B$17,Paramètres!$A$1:$I$88,5,0)</f>
        <v>240.01899999999978</v>
      </c>
      <c r="GB132" s="14">
        <f t="shared" si="103"/>
        <v>58.443618405936313</v>
      </c>
      <c r="GC132" s="22">
        <f t="shared" ref="GC132:GC153" si="133">(GA132+GB132)*0.475*44/12</f>
        <v>519.82239372367201</v>
      </c>
      <c r="GD132" s="62">
        <f t="shared" ref="GD132:GD195" si="134">GC132+(FU132+FV132)*44/12</f>
        <v>803.5663223847373</v>
      </c>
      <c r="GE132" s="62">
        <f ca="1">AVERAGE(OFFSET($GD$3,0,0,'Données projet'!$E$17+1,1))-AVERAGE(OFFSET($H$3,0,0,'Données projet'!$E$17+1,1))</f>
        <v>273.24375559399846</v>
      </c>
      <c r="GF132" s="62">
        <f t="shared" si="104"/>
        <v>270.77718895097848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projet'!$B$17,Paramètres!$A$1:$I$88,3,0)*0.475*44/12</f>
        <v>12.260337560773291</v>
      </c>
      <c r="GM132" s="23">
        <f>EXP(-LN(2)/25)*GM131+(1-EXP(-LN(2)/25))/(LN(2)/25)*Calculateur!GH132*Calculateur!GJ132*VLOOKUP('Données projet'!$B$17,Paramètres!$A$1:$I$88,3,0)*0.475*44/12</f>
        <v>7.8324924015822104</v>
      </c>
      <c r="GN132" s="23">
        <f>EXP(-LN(2)/2)*GN131+(1-EXP(-LN(2)/2))/(LN(2)/2)*GH132*GK132*VLOOKUP('Données projet'!$B$17,Paramètres!$A$1:$I$88,3,0)*0.475*44/12</f>
        <v>0</v>
      </c>
      <c r="GO132" s="23">
        <f t="shared" ref="GO132:GO153" si="135">SUM(GL132:GN132)</f>
        <v>20.092829962355502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550.99999999999966</v>
      </c>
      <c r="O133" s="14">
        <f>N133*VLOOKUP('Données projet'!$B$9,Paramètres!$A$1:$I$88,3,0)*VLOOKUP('Données projet'!$B$9,Paramètres!$A$1:$I$88,5,0)</f>
        <v>308.00899999999979</v>
      </c>
      <c r="P133" s="14">
        <f t="shared" ref="P133:P196" si="141">EXP(-1.0587+0.8836*LN(O133)+0.284)</f>
        <v>72.852874331417695</v>
      </c>
      <c r="Q133" s="22">
        <f t="shared" si="108"/>
        <v>663.33443112721886</v>
      </c>
      <c r="R133" s="62">
        <f t="shared" si="109"/>
        <v>947.24471452065097</v>
      </c>
      <c r="S133" s="62">
        <f ca="1">AVERAGE(OFFSET($R$3,0,0,'Données projet'!$E$9+1,1))-AVERAGE(OFFSET($H$3,0,0,'Données projet'!$E$9+1,1))</f>
        <v>289.94242154211224</v>
      </c>
      <c r="T133" s="62">
        <f t="shared" ref="T133:T196" si="142">$T$3</f>
        <v>369.12599166143661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18.443285658810254</v>
      </c>
      <c r="AA133" s="23">
        <f>EXP(-LN(2)/25)*AA132+(1-EXP(-LN(2)/25))/(LN(2)/25)*Calculateur!V133*Calculateur!X133*VLOOKUP('Données projet'!$B$9,Paramètres!$A$1:$I$88,3,0)*0.475*44/12</f>
        <v>9.5947056589645481</v>
      </c>
      <c r="AB133" s="23">
        <f>EXP(-LN(2)/2)*AB132+(1-EXP(-LN(2)/2))/(LN(2)/2)*V133*Y133*VLOOKUP('Données projet'!$B$9,Paramètres!$A$1:$I$88,3,0)*0.475*44/12</f>
        <v>0</v>
      </c>
      <c r="AC133" s="24">
        <f t="shared" si="111"/>
        <v>28.037991317774804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375</v>
      </c>
      <c r="AG133" s="13">
        <f>VLOOKUP(A133,'Données projet'!$A$61:$I$81,9,0)</f>
        <v>8.3000000000000007</v>
      </c>
      <c r="AH133" s="13">
        <f t="array" ref="AH133">INDEX(AG:AG,MIN(IF(ISNUMBER(AG133:AG329),ROW(AG133:AG329),"")))</f>
        <v>8.3000000000000007</v>
      </c>
      <c r="AI133" s="14">
        <f>IF('Données projet'!$A$62&gt;35,AI132+AH133-AQ132,IF(A133&lt;'Données projet'!$A$62,$AF$205^A133,IF(A133='Données projet'!$A$62,'Données projet'!$B$62,AI132+AH133-AQ132)))</f>
        <v>375.00000000000045</v>
      </c>
      <c r="AJ133" s="14">
        <f>AI133*VLOOKUP('Données projet'!$B$10,Paramètres!$A$1:$I$88,3,0)*VLOOKUP('Données projet'!$B$10,Paramètres!$A$1:$I$88,5,0)</f>
        <v>339.30000000000041</v>
      </c>
      <c r="AK133" s="14">
        <f t="shared" ref="AK133:AK153" si="143">EXP(-1.0587+0.8836*LN(AJ133)+0.284)</f>
        <v>79.355304647150589</v>
      </c>
      <c r="AL133" s="22">
        <f t="shared" si="112"/>
        <v>729.15798892712144</v>
      </c>
      <c r="AM133" s="62">
        <f t="shared" si="113"/>
        <v>1013.0682723205535</v>
      </c>
      <c r="AN133" s="62">
        <f ca="1">AVERAGE(OFFSET($AM$3,0,0,'Données projet'!$E$10+1,1))-AVERAGE(OFFSET($H$3,0,0,'Données projet'!$E$10+1,1))</f>
        <v>518.31628039365785</v>
      </c>
      <c r="AO133" s="62">
        <f t="shared" ref="AO133:AO196" si="144">$AO$3</f>
        <v>66.435071953154761</v>
      </c>
      <c r="AP133" s="16">
        <f>IF(ISNA(VLOOKUP(A133,'Données projet'!$A$61:$I$81,3,0)),0,VLOOKUP(A133,'Données projet'!$A$61:$I$81,3,0))</f>
        <v>15</v>
      </c>
      <c r="AQ133" s="16">
        <f>IF(ISNA(VLOOKUP(A133,'Données projet'!$A$61:$I$81,4,0)),0,VLOOKUP(A133,'Données projet'!$A$61:$I$81,4,0))</f>
        <v>46</v>
      </c>
      <c r="AR133" s="17">
        <f>IF(ISNA(VLOOKUP(A133,'Données projet'!$A$61:$I$81,5,0)),0%,VLOOKUP(A133,'Données projet'!$A$61:$I$81,5,0)*VLOOKUP('Données projet'!$B$10,Paramètres!$A$1:$I$88,7,0))</f>
        <v>0.25800000000000001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40.523088350784747</v>
      </c>
      <c r="AV133" s="23">
        <f>EXP(-LN(2)/25)*AV132+(1-EXP(-LN(2)/25))/(LN(2)/25)*Calculateur!AQ133*Calculateur!AS133*VLOOKUP('Données projet'!$B$10,Paramètres!$A$1:$I$88,3,0)*0.475*44/12</f>
        <v>0</v>
      </c>
      <c r="AW133" s="23">
        <f>EXP(-LN(2)/2)*AW132+(1-EXP(-LN(2)/2))/(LN(2)/2)*AQ133*AT133*VLOOKUP('Données projet'!$B$10,Paramètres!$A$1:$I$88,3,0)*0.475*44/12</f>
        <v>0</v>
      </c>
      <c r="AX133" s="23">
        <f t="shared" si="114"/>
        <v>40.523088350784747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375</v>
      </c>
      <c r="BB133" s="13">
        <f>VLOOKUP(A133,'Données projet'!$A$87:$I$107,9,0)</f>
        <v>8.3000000000000007</v>
      </c>
      <c r="BC133" s="13">
        <f t="array" ref="BC133">INDEX(BB:BB,MIN(IF(ISNUMBER(BB133:BB329),ROW(BB133:BB329),"")))</f>
        <v>8.3000000000000007</v>
      </c>
      <c r="BD133" s="13">
        <f>IF('Données projet'!$A$88&gt;35,BD132+BC133-BL132,IF(A133&lt;'Données projet'!$A$88,$BA$205^A133,IF(A133='Données projet'!$A$88,'Données projet'!$B$88,BD132+BC133-BL132)))</f>
        <v>375.00000000000045</v>
      </c>
      <c r="BE133" s="14">
        <f>BD133*VLOOKUP('Données projet'!$B$11,Paramètres!$A$1:$I$88,3,0)*VLOOKUP('Données projet'!$B$11,Paramètres!$A$1:$I$88,5,0)</f>
        <v>380.25000000000051</v>
      </c>
      <c r="BF133" s="14">
        <f t="shared" ref="BF133:BF153" si="145">EXP(-1.0587+0.8836*LN(BE133)+0.284)</f>
        <v>87.760932682061593</v>
      </c>
      <c r="BG133" s="22">
        <f t="shared" si="115"/>
        <v>815.11904108792476</v>
      </c>
      <c r="BH133" s="62">
        <f t="shared" si="116"/>
        <v>1099.029324481357</v>
      </c>
      <c r="BI133" s="62">
        <f ca="1">AVERAGE(OFFSET($BH$3,0,0,'Données projet'!$E$11+1,1))-AVERAGE(OFFSET($H$3,0,0,'Données projet'!$E$11+1,1))</f>
        <v>570.2785736203931</v>
      </c>
      <c r="BJ133" s="62">
        <f t="shared" ref="BJ133:BJ196" si="146">$BJ$3</f>
        <v>67.677759965081719</v>
      </c>
      <c r="BK133" s="16">
        <f>IF(ISNA(VLOOKUP(A133,'Données projet'!$A$87:$I$107,3,0)),0,VLOOKUP(A133,'Données projet'!$A$87:$I$107,3,0))</f>
        <v>15</v>
      </c>
      <c r="BL133" s="16">
        <f>IF(ISNA(VLOOKUP(A133,'Données projet'!$A$87:$I$107,4,0)),0,VLOOKUP(A133,'Données projet'!$A$87:$I$107,4,0))</f>
        <v>46</v>
      </c>
      <c r="BM133" s="17">
        <f>IF(ISNA(VLOOKUP(A133,'Données projet'!$A$87:$I$107,5,0)),0%,VLOOKUP(A133,'Données projet'!$A$87:$I$107,5,0)*VLOOKUP('Données projet'!$B$11,Paramètres!$A$1:$I$88,7,0))</f>
        <v>0.25800000000000001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45.413805910362228</v>
      </c>
      <c r="BQ133" s="23">
        <f>EXP(-LN(2)/25)*BQ132+(1-EXP(-LN(2)/25))/(LN(2)/25)*Calculateur!BL133*Calculateur!BN133*VLOOKUP('Données projet'!$B$11,Paramètres!$A$1:$I$88,3,0)*0.475*44/12</f>
        <v>0</v>
      </c>
      <c r="BR133" s="23">
        <f>EXP(-LN(2)/2)*BR132+(1-EXP(-LN(2)/2))/(LN(2)/2)*BL133*BO133*VLOOKUP('Données projet'!$B$11,Paramètres!$A$1:$I$88,3,0)*0.475*44/12</f>
        <v>0</v>
      </c>
      <c r="BS133" s="24">
        <f t="shared" si="117"/>
        <v>45.413805910362228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544.19999999999982</v>
      </c>
      <c r="BZ133" s="14">
        <f>BY133*VLOOKUP('Données projet'!$B$12,Paramètres!$A$1:$I$88,3,0)*VLOOKUP('Données projet'!$B$12,Paramètres!$A$1:$I$88,5,0)</f>
        <v>325.43159999999995</v>
      </c>
      <c r="CA133" s="14">
        <f t="shared" ref="CA133:CA153" si="147">EXP(-1.0587+0.8836*LN(BZ133)+0.284)</f>
        <v>76.482394221016762</v>
      </c>
      <c r="CB133" s="22">
        <f t="shared" si="118"/>
        <v>700.00020660160408</v>
      </c>
      <c r="CC133" s="62">
        <f t="shared" si="119"/>
        <v>983.91048999503619</v>
      </c>
      <c r="CD133" s="62">
        <f ca="1">AVERAGE(OFFSET($CC$3,0,0,'Données projet'!$E$12+1,1))-AVERAGE(OFFSET($H$3,0,0,'Données projet'!$E$12+1,1))</f>
        <v>401.1031790385295</v>
      </c>
      <c r="CE133" s="62">
        <f t="shared" ref="CE133:CE196" si="148">$CE$3</f>
        <v>402.09589424130615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projet'!$B$12,Paramètres!$A$1:$I$88,3,0)*0.475*44/12</f>
        <v>5.1856969596423719</v>
      </c>
      <c r="CL133" s="23">
        <f>EXP(-LN(2)/25)*CL132+(1-EXP(-LN(2)/25))/(LN(2)/25)*Calculateur!CG133*Calculateur!CI133*VLOOKUP('Données projet'!$B$12,Paramètres!$A$1:$I$88,3,0)*0.475*44/12</f>
        <v>0</v>
      </c>
      <c r="CM133" s="23">
        <f>EXP(-LN(2)/2)*CM132+(1-EXP(-LN(2)/2))/(LN(2)/2)*CG133*CJ133*VLOOKUP('Données projet'!$B$12,Paramètres!$A$1:$I$88,3,0)*0.475*44/12</f>
        <v>1.2082085685238652E-10</v>
      </c>
      <c r="CN133" s="24">
        <f t="shared" si="120"/>
        <v>5.1856969597631926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544.19999999999982</v>
      </c>
      <c r="CU133" s="18">
        <f>CT133*VLOOKUP('Données projet'!$B$13,Paramètres!$A$1:$I$88,3,0)*VLOOKUP('Données projet'!$B$13,Paramètres!$A$1:$I$88,5,0)</f>
        <v>325.43159999999995</v>
      </c>
      <c r="CV133" s="14">
        <f t="shared" ref="CV133:CV153" si="149">EXP(-1.0587+0.8836*LN(CU133)+0.284)</f>
        <v>76.482394221016762</v>
      </c>
      <c r="CW133" s="22">
        <f t="shared" si="121"/>
        <v>700.00020660160408</v>
      </c>
      <c r="CX133" s="62">
        <f t="shared" si="122"/>
        <v>983.91048999503619</v>
      </c>
      <c r="CY133" s="62">
        <f ca="1">AVERAGE(OFFSET($CX$3,0,0,'Données projet'!$E$13+1,1))-AVERAGE(OFFSET($H$3,0,0,'Données projet'!$E$13+1,1))</f>
        <v>401.1031790385295</v>
      </c>
      <c r="CZ133" s="62">
        <f t="shared" ref="CZ133:CZ196" si="150">$CZ$3</f>
        <v>402.09589424130615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projet'!$B$13,Paramètres!$A$1:$I$88,3,0)*0.475*44/12</f>
        <v>5.1856969596423719</v>
      </c>
      <c r="DG133" s="23">
        <f>EXP(-LN(2)/25)*DG132+(1-EXP(-LN(2)/25))/(LN(2)/25)*Calculateur!DB133*Calculateur!DD133*VLOOKUP('Données projet'!$B$13,Paramètres!$A$1:$I$88,3,0)*0.475*44/12</f>
        <v>0</v>
      </c>
      <c r="DH133" s="23">
        <f>EXP(-LN(2)/2)*DH132+(1-EXP(-LN(2)/2))/(LN(2)/2)*DB133*DE133*VLOOKUP('Données projet'!$B$13,Paramètres!$A$1:$I$88,3,0)*0.475*44/12</f>
        <v>1.2082085685238652E-10</v>
      </c>
      <c r="DI133" s="24">
        <f t="shared" si="123"/>
        <v>5.1856969597631926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860.00000000000023</v>
      </c>
      <c r="DP133" s="18">
        <f>DO133*VLOOKUP('Données projet'!$B$14,Paramètres!$A$1:$I$88,3,0)*VLOOKUP('Données projet'!$B$14,Paramètres!$A$1:$I$88,5,0)</f>
        <v>346.5800000000001</v>
      </c>
      <c r="DQ133" s="14">
        <f t="shared" ref="DQ133:DQ153" si="151">EXP(-1.0587+0.8836*LN(DP133)+0.284)</f>
        <v>80.857895771535127</v>
      </c>
      <c r="DR133" s="22">
        <f t="shared" si="124"/>
        <v>744.45433513542378</v>
      </c>
      <c r="DS133" s="62">
        <f t="shared" si="125"/>
        <v>1028.3646185288558</v>
      </c>
      <c r="DT133" s="62">
        <f ca="1">AVERAGE(OFFSET($DS$3,0,0,'Données projet'!$E$14+1,1))-AVERAGE(OFFSET($H$3,0,0,'Données projet'!$E$14+1,1))</f>
        <v>432.59662347701629</v>
      </c>
      <c r="DU133" s="62">
        <f t="shared" ref="DU133:DU196" si="152">$DU$3</f>
        <v>348.67401091099748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projet'!$B$14,Paramètres!$A$1:$I$88,3,0)*0.475*44/12</f>
        <v>23.359812758251781</v>
      </c>
      <c r="EB133" s="23">
        <f>EXP(-LN(2)/25)*EB132+(1-EXP(-LN(2)/25))/(LN(2)/25)*Calculateur!DW133*Calculateur!DY133*VLOOKUP('Données projet'!$B$14,Paramètres!$A$1:$I$88,3,0)*0.475*44/12</f>
        <v>17.382836005148164</v>
      </c>
      <c r="EC133" s="23">
        <f>EXP(-LN(2)/2)*EC132+(1-EXP(-LN(2)/2))/(LN(2)/2)*DW133*DZ133*VLOOKUP('Données projet'!$B$14,Paramètres!$A$1:$I$88,3,0)*0.475*44/12</f>
        <v>0</v>
      </c>
      <c r="ED133" s="24">
        <f t="shared" si="126"/>
        <v>40.742648763399941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1099.9999999999998</v>
      </c>
      <c r="EK133" s="18">
        <f>EJ133*VLOOKUP('Données projet'!$B$15,Paramètres!$A$1:$I$88,3,0)*VLOOKUP('Données projet'!$B$15,Paramètres!$A$1:$I$88,5,0)</f>
        <v>486.19999999999993</v>
      </c>
      <c r="EL133" s="14">
        <f t="shared" ref="EL133:EL153" si="153">EXP(-1.0587+0.8836*LN(EK133)+0.284)</f>
        <v>109.0490179035375</v>
      </c>
      <c r="EM133" s="22">
        <f t="shared" si="127"/>
        <v>1036.725372848661</v>
      </c>
      <c r="EN133" s="62">
        <f t="shared" si="128"/>
        <v>1320.6356562420931</v>
      </c>
      <c r="EO133" s="62">
        <f ca="1">AVERAGE(OFFSET($EN$3,0,0,'Données projet'!$E$15+1,1))-AVERAGE(OFFSET($H$3,0,0,'Données projet'!$E$15+1,1))</f>
        <v>582.26951914082088</v>
      </c>
      <c r="EP133" s="62">
        <f t="shared" ref="EP133:EP196" si="154">$EP$3</f>
        <v>434.80429932654715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projet'!$B$15,Paramètres!$A$1:$I$88,3,0)*0.475*44/12</f>
        <v>23.538249138011327</v>
      </c>
      <c r="EW133" s="23">
        <f>EXP(-LN(2)/25)*EW132+(1-EXP(-LN(2)/25))/(LN(2)/25)*Calculateur!ER133*Calculateur!ET133*VLOOKUP('Données projet'!$B$15,Paramètres!$A$1:$I$88,3,0)*0.475*44/12</f>
        <v>15.619831205964541</v>
      </c>
      <c r="EX133" s="23">
        <f>EXP(-LN(2)/2)*EX132+(1-EXP(-LN(2)/2))/(LN(2)/2)*ER133*EU133*VLOOKUP('Données projet'!$B$15,Paramètres!$A$1:$I$88,3,0)*0.475*44/12</f>
        <v>0</v>
      </c>
      <c r="EY133" s="24">
        <f t="shared" si="129"/>
        <v>39.158080343975868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854.99999999999989</v>
      </c>
      <c r="FF133" s="18">
        <f>FE133*VLOOKUP('Données projet'!$B$16,Paramètres!$A$1:$I$88,3,0)*VLOOKUP('Données projet'!$B$16,Paramètres!$A$1:$I$88,5,0)</f>
        <v>400.13999999999993</v>
      </c>
      <c r="FG133" s="14">
        <f t="shared" ref="FG133:FG153" si="155">EXP(-1.0587+0.8836*LN(FF133)+0.284)</f>
        <v>91.805047494648534</v>
      </c>
      <c r="FH133" s="22">
        <f t="shared" si="130"/>
        <v>856.80429105317944</v>
      </c>
      <c r="FI133" s="62">
        <f t="shared" si="131"/>
        <v>1140.7145744466116</v>
      </c>
      <c r="FJ133" s="62">
        <f ca="1">AVERAGE(OFFSET($FI$3,0,0,'Données projet'!$E$16+1,1))-AVERAGE(OFFSET($H$3,0,0,'Données projet'!$E$16+1,1))</f>
        <v>429.87867712133851</v>
      </c>
      <c r="FK133" s="62">
        <f t="shared" ref="FK133:FK196" si="156">$FK$3</f>
        <v>182.81277865988014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projet'!$B$16,Paramètres!$A$1:$I$88,3,0)*0.475*44/12</f>
        <v>28.072178842538552</v>
      </c>
      <c r="FR133" s="23">
        <f>EXP(-LN(2)/25)*FR132+(1-EXP(-LN(2)/25))/(LN(2)/25)*Calculateur!FM133*Calculateur!FO133*VLOOKUP('Données projet'!$B$16,Paramètres!$A$1:$I$88,3,0)*0.475*44/12</f>
        <v>19.800810207671368</v>
      </c>
      <c r="FS133" s="23">
        <f>EXP(-LN(2)/2)*FS132+(1-EXP(-LN(2)/2))/(LN(2)/2)*FM133*FP133*VLOOKUP('Données projet'!$B$16,Paramètres!$A$1:$I$88,3,0)*0.475*44/12</f>
        <v>0</v>
      </c>
      <c r="FT133" s="24">
        <f t="shared" si="132"/>
        <v>47.872989050209924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498.99999999999955</v>
      </c>
      <c r="GA133" s="18">
        <f>FZ133*VLOOKUP('Données projet'!$B$17,Paramètres!$A$1:$I$88,3,0)*VLOOKUP('Données projet'!$B$17,Paramètres!$A$1:$I$88,5,0)</f>
        <v>240.01899999999978</v>
      </c>
      <c r="GB133" s="14">
        <f t="shared" ref="GB133:GB153" si="157">EXP(-1.0587+0.8836*LN(GA133)+0.284)</f>
        <v>58.443618405936313</v>
      </c>
      <c r="GC133" s="22">
        <f t="shared" si="133"/>
        <v>519.82239372367201</v>
      </c>
      <c r="GD133" s="62">
        <f t="shared" si="134"/>
        <v>803.73267711710412</v>
      </c>
      <c r="GE133" s="62">
        <f ca="1">AVERAGE(OFFSET($GD$3,0,0,'Données projet'!$E$17+1,1))-AVERAGE(OFFSET($H$3,0,0,'Données projet'!$E$17+1,1))</f>
        <v>273.24375559399846</v>
      </c>
      <c r="GF133" s="62">
        <f t="shared" ref="GF133:GF196" si="158">$GF$3</f>
        <v>270.77718895097848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projet'!$B$17,Paramètres!$A$1:$I$88,3,0)*0.475*44/12</f>
        <v>12.01991981927404</v>
      </c>
      <c r="GM133" s="23">
        <f>EXP(-LN(2)/25)*GM132+(1-EXP(-LN(2)/25))/(LN(2)/25)*Calculateur!GH133*Calculateur!GJ133*VLOOKUP('Données projet'!$B$17,Paramètres!$A$1:$I$88,3,0)*0.475*44/12</f>
        <v>7.6183124849680706</v>
      </c>
      <c r="GN133" s="23">
        <f>EXP(-LN(2)/2)*GN132+(1-EXP(-LN(2)/2))/(LN(2)/2)*GH133*GK133*VLOOKUP('Données projet'!$B$17,Paramètres!$A$1:$I$88,3,0)*0.475*44/12</f>
        <v>0</v>
      </c>
      <c r="GO133" s="23">
        <f t="shared" si="135"/>
        <v>19.638232304242109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550.99999999999966</v>
      </c>
      <c r="O134" s="14">
        <f>N134*VLOOKUP('Données projet'!$B$9,Paramètres!$A$1:$I$88,3,0)*VLOOKUP('Données projet'!$B$9,Paramètres!$A$1:$I$88,5,0)</f>
        <v>308.00899999999979</v>
      </c>
      <c r="P134" s="14">
        <f t="shared" si="141"/>
        <v>72.852874331417695</v>
      </c>
      <c r="Q134" s="22">
        <f t="shared" si="108"/>
        <v>663.33443112721886</v>
      </c>
      <c r="R134" s="62">
        <f t="shared" si="109"/>
        <v>947.40818337032465</v>
      </c>
      <c r="S134" s="62">
        <f ca="1">AVERAGE(OFFSET($R$3,0,0,'Données projet'!$E$9+1,1))-AVERAGE(OFFSET($H$3,0,0,'Données projet'!$E$9+1,1))</f>
        <v>289.94242154211224</v>
      </c>
      <c r="T134" s="62">
        <f t="shared" si="142"/>
        <v>369.12599166143661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18.08162407633446</v>
      </c>
      <c r="AA134" s="23">
        <f>EXP(-LN(2)/25)*AA133+(1-EXP(-LN(2)/25))/(LN(2)/25)*Calculateur!V134*Calculateur!X134*VLOOKUP('Données projet'!$B$9,Paramètres!$A$1:$I$88,3,0)*0.475*44/12</f>
        <v>9.3323379281565213</v>
      </c>
      <c r="AB134" s="23">
        <f>EXP(-LN(2)/2)*AB133+(1-EXP(-LN(2)/2))/(LN(2)/2)*V134*Y134*VLOOKUP('Données projet'!$B$9,Paramètres!$A$1:$I$88,3,0)*0.475*44/12</f>
        <v>0</v>
      </c>
      <c r="AC134" s="24">
        <f t="shared" si="111"/>
        <v>27.413962004490983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6.7</v>
      </c>
      <c r="AI134" s="14">
        <f>IF('Données projet'!$A$62&gt;35,AI133+AH134-AQ133,IF(A134&lt;'Données projet'!$A$62,$AF$205^A134,IF(A134='Données projet'!$A$62,'Données projet'!$B$62,AI133+AH134-AQ133)))</f>
        <v>335.70000000000044</v>
      </c>
      <c r="AJ134" s="14">
        <f>AI134*VLOOKUP('Données projet'!$B$10,Paramètres!$A$1:$I$88,3,0)*VLOOKUP('Données projet'!$B$10,Paramètres!$A$1:$I$88,5,0)</f>
        <v>303.74136000000038</v>
      </c>
      <c r="AK134" s="14">
        <f t="shared" si="143"/>
        <v>71.960229576228116</v>
      </c>
      <c r="AL134" s="22">
        <f t="shared" si="112"/>
        <v>654.34693517859796</v>
      </c>
      <c r="AM134" s="62">
        <f t="shared" si="113"/>
        <v>938.42068742170363</v>
      </c>
      <c r="AN134" s="62">
        <f ca="1">AVERAGE(OFFSET($AM$3,0,0,'Données projet'!$E$10+1,1))-AVERAGE(OFFSET($H$3,0,0,'Données projet'!$E$10+1,1))</f>
        <v>518.31628039365785</v>
      </c>
      <c r="AO134" s="62">
        <f t="shared" si="144"/>
        <v>66.435071953154761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39.728455304869186</v>
      </c>
      <c r="AV134" s="23">
        <f>EXP(-LN(2)/25)*AV133+(1-EXP(-LN(2)/25))/(LN(2)/25)*Calculateur!AQ134*Calculateur!AS134*VLOOKUP('Données projet'!$B$10,Paramètres!$A$1:$I$88,3,0)*0.475*44/12</f>
        <v>0</v>
      </c>
      <c r="AW134" s="23">
        <f>EXP(-LN(2)/2)*AW133+(1-EXP(-LN(2)/2))/(LN(2)/2)*AQ134*AT134*VLOOKUP('Données projet'!$B$10,Paramètres!$A$1:$I$88,3,0)*0.475*44/12</f>
        <v>0</v>
      </c>
      <c r="AX134" s="23">
        <f t="shared" si="114"/>
        <v>39.728455304869186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6.7</v>
      </c>
      <c r="BD134" s="13">
        <f>IF('Données projet'!$A$88&gt;35,BD133+BC134-BL133,IF(A134&lt;'Données projet'!$A$88,$BA$205^A134,IF(A134='Données projet'!$A$88,'Données projet'!$B$88,BD133+BC134-BL133)))</f>
        <v>335.70000000000044</v>
      </c>
      <c r="BE134" s="14">
        <f>BD134*VLOOKUP('Données projet'!$B$11,Paramètres!$A$1:$I$88,3,0)*VLOOKUP('Données projet'!$B$11,Paramètres!$A$1:$I$88,5,0)</f>
        <v>340.39980000000048</v>
      </c>
      <c r="BF134" s="14">
        <f t="shared" si="145"/>
        <v>79.582541982614927</v>
      </c>
      <c r="BG134" s="22">
        <f t="shared" si="115"/>
        <v>731.46924561972185</v>
      </c>
      <c r="BH134" s="62">
        <f t="shared" si="116"/>
        <v>1015.5429978628276</v>
      </c>
      <c r="BI134" s="62">
        <f ca="1">AVERAGE(OFFSET($BH$3,0,0,'Données projet'!$E$11+1,1))-AVERAGE(OFFSET($H$3,0,0,'Données projet'!$E$11+1,1))</f>
        <v>570.2785736203931</v>
      </c>
      <c r="BJ134" s="62">
        <f t="shared" si="146"/>
        <v>67.677759965081719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44.52326887614651</v>
      </c>
      <c r="BQ134" s="23">
        <f>EXP(-LN(2)/25)*BQ133+(1-EXP(-LN(2)/25))/(LN(2)/25)*Calculateur!BL134*Calculateur!BN134*VLOOKUP('Données projet'!$B$11,Paramètres!$A$1:$I$88,3,0)*0.475*44/12</f>
        <v>0</v>
      </c>
      <c r="BR134" s="23">
        <f>EXP(-LN(2)/2)*BR133+(1-EXP(-LN(2)/2))/(LN(2)/2)*BL134*BO134*VLOOKUP('Données projet'!$B$11,Paramètres!$A$1:$I$88,3,0)*0.475*44/12</f>
        <v>0</v>
      </c>
      <c r="BS134" s="24">
        <f t="shared" si="117"/>
        <v>44.52326887614651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544.19999999999982</v>
      </c>
      <c r="BZ134" s="14">
        <f>BY134*VLOOKUP('Données projet'!$B$12,Paramètres!$A$1:$I$88,3,0)*VLOOKUP('Données projet'!$B$12,Paramètres!$A$1:$I$88,5,0)</f>
        <v>325.43159999999995</v>
      </c>
      <c r="CA134" s="14">
        <f t="shared" si="147"/>
        <v>76.482394221016762</v>
      </c>
      <c r="CB134" s="22">
        <f t="shared" si="118"/>
        <v>700.00020660160408</v>
      </c>
      <c r="CC134" s="62">
        <f t="shared" si="119"/>
        <v>984.07395884470975</v>
      </c>
      <c r="CD134" s="62">
        <f ca="1">AVERAGE(OFFSET($CC$3,0,0,'Données projet'!$E$12+1,1))-AVERAGE(OFFSET($H$3,0,0,'Données projet'!$E$12+1,1))</f>
        <v>401.1031790385295</v>
      </c>
      <c r="CE134" s="62">
        <f t="shared" si="148"/>
        <v>402.09589424130615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projet'!$B$12,Paramètres!$A$1:$I$88,3,0)*0.475*44/12</f>
        <v>5.0840086052266136</v>
      </c>
      <c r="CL134" s="23">
        <f>EXP(-LN(2)/25)*CL133+(1-EXP(-LN(2)/25))/(LN(2)/25)*Calculateur!CG134*Calculateur!CI134*VLOOKUP('Données projet'!$B$12,Paramètres!$A$1:$I$88,3,0)*0.475*44/12</f>
        <v>0</v>
      </c>
      <c r="CM134" s="23">
        <f>EXP(-LN(2)/2)*CM133+(1-EXP(-LN(2)/2))/(LN(2)/2)*CG134*CJ134*VLOOKUP('Données projet'!$B$12,Paramètres!$A$1:$I$88,3,0)*0.475*44/12</f>
        <v>8.5433247189091656E-11</v>
      </c>
      <c r="CN134" s="24">
        <f t="shared" si="120"/>
        <v>5.0840086053120466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544.19999999999982</v>
      </c>
      <c r="CU134" s="18">
        <f>CT134*VLOOKUP('Données projet'!$B$13,Paramètres!$A$1:$I$88,3,0)*VLOOKUP('Données projet'!$B$13,Paramètres!$A$1:$I$88,5,0)</f>
        <v>325.43159999999995</v>
      </c>
      <c r="CV134" s="14">
        <f t="shared" si="149"/>
        <v>76.482394221016762</v>
      </c>
      <c r="CW134" s="22">
        <f t="shared" si="121"/>
        <v>700.00020660160408</v>
      </c>
      <c r="CX134" s="62">
        <f t="shared" si="122"/>
        <v>984.07395884470975</v>
      </c>
      <c r="CY134" s="62">
        <f ca="1">AVERAGE(OFFSET($CX$3,0,0,'Données projet'!$E$13+1,1))-AVERAGE(OFFSET($H$3,0,0,'Données projet'!$E$13+1,1))</f>
        <v>401.1031790385295</v>
      </c>
      <c r="CZ134" s="62">
        <f t="shared" si="150"/>
        <v>402.09589424130615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projet'!$B$13,Paramètres!$A$1:$I$88,3,0)*0.475*44/12</f>
        <v>5.0840086052266136</v>
      </c>
      <c r="DG134" s="23">
        <f>EXP(-LN(2)/25)*DG133+(1-EXP(-LN(2)/25))/(LN(2)/25)*Calculateur!DB134*Calculateur!DD134*VLOOKUP('Données projet'!$B$13,Paramètres!$A$1:$I$88,3,0)*0.475*44/12</f>
        <v>0</v>
      </c>
      <c r="DH134" s="23">
        <f>EXP(-LN(2)/2)*DH133+(1-EXP(-LN(2)/2))/(LN(2)/2)*DB134*DE134*VLOOKUP('Données projet'!$B$13,Paramètres!$A$1:$I$88,3,0)*0.475*44/12</f>
        <v>8.5433247189091656E-11</v>
      </c>
      <c r="DI134" s="24">
        <f t="shared" si="123"/>
        <v>5.0840086053120466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860.00000000000023</v>
      </c>
      <c r="DP134" s="18">
        <f>DO134*VLOOKUP('Données projet'!$B$14,Paramètres!$A$1:$I$88,3,0)*VLOOKUP('Données projet'!$B$14,Paramètres!$A$1:$I$88,5,0)</f>
        <v>346.5800000000001</v>
      </c>
      <c r="DQ134" s="14">
        <f t="shared" si="151"/>
        <v>80.857895771535127</v>
      </c>
      <c r="DR134" s="22">
        <f t="shared" si="124"/>
        <v>744.45433513542378</v>
      </c>
      <c r="DS134" s="62">
        <f t="shared" si="125"/>
        <v>1028.5280873785296</v>
      </c>
      <c r="DT134" s="62">
        <f ca="1">AVERAGE(OFFSET($DS$3,0,0,'Données projet'!$E$14+1,1))-AVERAGE(OFFSET($H$3,0,0,'Données projet'!$E$14+1,1))</f>
        <v>432.59662347701629</v>
      </c>
      <c r="DU134" s="62">
        <f t="shared" si="152"/>
        <v>348.67401091099748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projet'!$B$14,Paramètres!$A$1:$I$88,3,0)*0.475*44/12</f>
        <v>22.901741078141367</v>
      </c>
      <c r="EB134" s="23">
        <f>EXP(-LN(2)/25)*EB133+(1-EXP(-LN(2)/25))/(LN(2)/25)*Calculateur!DW134*Calculateur!DY134*VLOOKUP('Données projet'!$B$14,Paramètres!$A$1:$I$88,3,0)*0.475*44/12</f>
        <v>16.907501440463772</v>
      </c>
      <c r="EC134" s="23">
        <f>EXP(-LN(2)/2)*EC133+(1-EXP(-LN(2)/2))/(LN(2)/2)*DW134*DZ134*VLOOKUP('Données projet'!$B$14,Paramètres!$A$1:$I$88,3,0)*0.475*44/12</f>
        <v>0</v>
      </c>
      <c r="ED134" s="24">
        <f t="shared" si="126"/>
        <v>39.809242518605139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1099.9999999999998</v>
      </c>
      <c r="EK134" s="18">
        <f>EJ134*VLOOKUP('Données projet'!$B$15,Paramètres!$A$1:$I$88,3,0)*VLOOKUP('Données projet'!$B$15,Paramètres!$A$1:$I$88,5,0)</f>
        <v>486.19999999999993</v>
      </c>
      <c r="EL134" s="14">
        <f t="shared" si="153"/>
        <v>109.0490179035375</v>
      </c>
      <c r="EM134" s="22">
        <f t="shared" si="127"/>
        <v>1036.725372848661</v>
      </c>
      <c r="EN134" s="62">
        <f t="shared" si="128"/>
        <v>1320.7991250917667</v>
      </c>
      <c r="EO134" s="62">
        <f ca="1">AVERAGE(OFFSET($EN$3,0,0,'Données projet'!$E$15+1,1))-AVERAGE(OFFSET($H$3,0,0,'Données projet'!$E$15+1,1))</f>
        <v>582.26951914082088</v>
      </c>
      <c r="EP134" s="62">
        <f t="shared" si="154"/>
        <v>434.80429932654715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projet'!$B$15,Paramètres!$A$1:$I$88,3,0)*0.475*44/12</f>
        <v>23.07667842932927</v>
      </c>
      <c r="EW134" s="23">
        <f>EXP(-LN(2)/25)*EW133+(1-EXP(-LN(2)/25))/(LN(2)/25)*Calculateur!ER134*Calculateur!ET134*VLOOKUP('Données projet'!$B$15,Paramètres!$A$1:$I$88,3,0)*0.475*44/12</f>
        <v>15.192706100226218</v>
      </c>
      <c r="EX134" s="23">
        <f>EXP(-LN(2)/2)*EX133+(1-EXP(-LN(2)/2))/(LN(2)/2)*ER134*EU134*VLOOKUP('Données projet'!$B$15,Paramètres!$A$1:$I$88,3,0)*0.475*44/12</f>
        <v>0</v>
      </c>
      <c r="EY134" s="24">
        <f t="shared" si="129"/>
        <v>38.269384529555488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854.99999999999989</v>
      </c>
      <c r="FF134" s="18">
        <f>FE134*VLOOKUP('Données projet'!$B$16,Paramètres!$A$1:$I$88,3,0)*VLOOKUP('Données projet'!$B$16,Paramètres!$A$1:$I$88,5,0)</f>
        <v>400.13999999999993</v>
      </c>
      <c r="FG134" s="14">
        <f t="shared" si="155"/>
        <v>91.805047494648534</v>
      </c>
      <c r="FH134" s="22">
        <f t="shared" si="130"/>
        <v>856.80429105317944</v>
      </c>
      <c r="FI134" s="62">
        <f t="shared" si="131"/>
        <v>1140.8780432962851</v>
      </c>
      <c r="FJ134" s="62">
        <f ca="1">AVERAGE(OFFSET($FI$3,0,0,'Données projet'!$E$16+1,1))-AVERAGE(OFFSET($H$3,0,0,'Données projet'!$E$16+1,1))</f>
        <v>429.87867712133851</v>
      </c>
      <c r="FK134" s="62">
        <f t="shared" si="156"/>
        <v>182.81277865988014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projet'!$B$16,Paramètres!$A$1:$I$88,3,0)*0.475*44/12</f>
        <v>27.521700537774773</v>
      </c>
      <c r="FR134" s="23">
        <f>EXP(-LN(2)/25)*FR133+(1-EXP(-LN(2)/25))/(LN(2)/25)*Calculateur!FM134*Calculateur!FO134*VLOOKUP('Données projet'!$B$16,Paramètres!$A$1:$I$88,3,0)*0.475*44/12</f>
        <v>19.25935601126324</v>
      </c>
      <c r="FS134" s="23">
        <f>EXP(-LN(2)/2)*FS133+(1-EXP(-LN(2)/2))/(LN(2)/2)*FM134*FP134*VLOOKUP('Données projet'!$B$16,Paramètres!$A$1:$I$88,3,0)*0.475*44/12</f>
        <v>0</v>
      </c>
      <c r="FT134" s="24">
        <f t="shared" si="132"/>
        <v>46.781056549038013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498.99999999999955</v>
      </c>
      <c r="GA134" s="18">
        <f>FZ134*VLOOKUP('Données projet'!$B$17,Paramètres!$A$1:$I$88,3,0)*VLOOKUP('Données projet'!$B$17,Paramètres!$A$1:$I$88,5,0)</f>
        <v>240.01899999999978</v>
      </c>
      <c r="GB134" s="14">
        <f t="shared" si="157"/>
        <v>58.443618405936313</v>
      </c>
      <c r="GC134" s="22">
        <f t="shared" si="133"/>
        <v>519.82239372367201</v>
      </c>
      <c r="GD134" s="62">
        <f t="shared" si="134"/>
        <v>803.89614596677779</v>
      </c>
      <c r="GE134" s="62">
        <f ca="1">AVERAGE(OFFSET($GD$3,0,0,'Données projet'!$E$17+1,1))-AVERAGE(OFFSET($H$3,0,0,'Données projet'!$E$17+1,1))</f>
        <v>273.24375559399846</v>
      </c>
      <c r="GF134" s="62">
        <f t="shared" si="158"/>
        <v>270.77718895097848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projet'!$B$17,Paramètres!$A$1:$I$88,3,0)*0.475*44/12</f>
        <v>11.784216523045249</v>
      </c>
      <c r="GM134" s="23">
        <f>EXP(-LN(2)/25)*GM133+(1-EXP(-LN(2)/25))/(LN(2)/25)*Calculateur!GH134*Calculateur!GJ134*VLOOKUP('Données projet'!$B$17,Paramètres!$A$1:$I$88,3,0)*0.475*44/12</f>
        <v>7.4099893294369767</v>
      </c>
      <c r="GN134" s="23">
        <f>EXP(-LN(2)/2)*GN133+(1-EXP(-LN(2)/2))/(LN(2)/2)*GH134*GK134*VLOOKUP('Données projet'!$B$17,Paramètres!$A$1:$I$88,3,0)*0.475*44/12</f>
        <v>0</v>
      </c>
      <c r="GO134" s="23">
        <f t="shared" si="135"/>
        <v>19.194205852482227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550.99999999999966</v>
      </c>
      <c r="O135" s="14">
        <f>N135*VLOOKUP('Données projet'!$B$9,Paramètres!$A$1:$I$88,3,0)*VLOOKUP('Données projet'!$B$9,Paramètres!$A$1:$I$88,5,0)</f>
        <v>308.00899999999979</v>
      </c>
      <c r="P135" s="14">
        <f t="shared" si="141"/>
        <v>72.852874331417695</v>
      </c>
      <c r="Q135" s="22">
        <f t="shared" si="108"/>
        <v>663.33443112721886</v>
      </c>
      <c r="R135" s="62">
        <f t="shared" si="109"/>
        <v>947.56881640091797</v>
      </c>
      <c r="S135" s="62">
        <f ca="1">AVERAGE(OFFSET($R$3,0,0,'Données projet'!$E$9+1,1))-AVERAGE(OFFSET($H$3,0,0,'Données projet'!$E$9+1,1))</f>
        <v>289.94242154211224</v>
      </c>
      <c r="T135" s="62">
        <f t="shared" si="142"/>
        <v>369.12599166143661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17.727054456899236</v>
      </c>
      <c r="AA135" s="23">
        <f>EXP(-LN(2)/25)*AA134+(1-EXP(-LN(2)/25))/(LN(2)/25)*Calculateur!V135*Calculateur!X135*VLOOKUP('Données projet'!$B$9,Paramètres!$A$1:$I$88,3,0)*0.475*44/12</f>
        <v>9.0771446567447587</v>
      </c>
      <c r="AB135" s="23">
        <f>EXP(-LN(2)/2)*AB134+(1-EXP(-LN(2)/2))/(LN(2)/2)*V135*Y135*VLOOKUP('Données projet'!$B$9,Paramètres!$A$1:$I$88,3,0)*0.475*44/12</f>
        <v>0</v>
      </c>
      <c r="AC135" s="24">
        <f t="shared" si="111"/>
        <v>26.804199113643996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6.7</v>
      </c>
      <c r="AI135" s="14">
        <f>IF('Données projet'!$A$62&gt;35,AI134+AH135-AQ134,IF(A135&lt;'Données projet'!$A$62,$AF$205^A135,IF(A135='Données projet'!$A$62,'Données projet'!$B$62,AI134+AH135-AQ134)))</f>
        <v>342.40000000000043</v>
      </c>
      <c r="AJ135" s="14">
        <f>AI135*VLOOKUP('Données projet'!$B$10,Paramètres!$A$1:$I$88,3,0)*VLOOKUP('Données projet'!$B$10,Paramètres!$A$1:$I$88,5,0)</f>
        <v>309.80352000000039</v>
      </c>
      <c r="AK135" s="14">
        <f t="shared" si="143"/>
        <v>73.227795813703892</v>
      </c>
      <c r="AL135" s="22">
        <f t="shared" si="112"/>
        <v>667.11287504220161</v>
      </c>
      <c r="AM135" s="62">
        <f t="shared" si="113"/>
        <v>951.34726031590071</v>
      </c>
      <c r="AN135" s="62">
        <f ca="1">AVERAGE(OFFSET($AM$3,0,0,'Données projet'!$E$10+1,1))-AVERAGE(OFFSET($H$3,0,0,'Données projet'!$E$10+1,1))</f>
        <v>518.31628039365785</v>
      </c>
      <c r="AO135" s="62">
        <f t="shared" si="144"/>
        <v>66.435071953154761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38.949404528305728</v>
      </c>
      <c r="AV135" s="23">
        <f>EXP(-LN(2)/25)*AV134+(1-EXP(-LN(2)/25))/(LN(2)/25)*Calculateur!AQ135*Calculateur!AS135*VLOOKUP('Données projet'!$B$10,Paramètres!$A$1:$I$88,3,0)*0.475*44/12</f>
        <v>0</v>
      </c>
      <c r="AW135" s="23">
        <f>EXP(-LN(2)/2)*AW134+(1-EXP(-LN(2)/2))/(LN(2)/2)*AQ135*AT135*VLOOKUP('Données projet'!$B$10,Paramètres!$A$1:$I$88,3,0)*0.475*44/12</f>
        <v>0</v>
      </c>
      <c r="AX135" s="23">
        <f t="shared" si="114"/>
        <v>38.949404528305728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6.7</v>
      </c>
      <c r="BD135" s="13">
        <f>IF('Données projet'!$A$88&gt;35,BD134+BC135-BL134,IF(A135&lt;'Données projet'!$A$88,$BA$205^A135,IF(A135='Données projet'!$A$88,'Données projet'!$B$88,BD134+BC135-BL134)))</f>
        <v>342.40000000000043</v>
      </c>
      <c r="BE135" s="14">
        <f>BD135*VLOOKUP('Données projet'!$B$11,Paramètres!$A$1:$I$88,3,0)*VLOOKUP('Données projet'!$B$11,Paramètres!$A$1:$I$88,5,0)</f>
        <v>347.19360000000046</v>
      </c>
      <c r="BF135" s="14">
        <f t="shared" si="145"/>
        <v>80.984373854243373</v>
      </c>
      <c r="BG135" s="22">
        <f t="shared" si="115"/>
        <v>745.74330446280794</v>
      </c>
      <c r="BH135" s="62">
        <f t="shared" si="116"/>
        <v>1029.977689736507</v>
      </c>
      <c r="BI135" s="62">
        <f ca="1">AVERAGE(OFFSET($BH$3,0,0,'Données projet'!$E$11+1,1))-AVERAGE(OFFSET($H$3,0,0,'Données projet'!$E$11+1,1))</f>
        <v>570.2785736203931</v>
      </c>
      <c r="BJ135" s="62">
        <f t="shared" si="146"/>
        <v>67.677759965081719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43.650194729997807</v>
      </c>
      <c r="BQ135" s="23">
        <f>EXP(-LN(2)/25)*BQ134+(1-EXP(-LN(2)/25))/(LN(2)/25)*Calculateur!BL135*Calculateur!BN135*VLOOKUP('Données projet'!$B$11,Paramètres!$A$1:$I$88,3,0)*0.475*44/12</f>
        <v>0</v>
      </c>
      <c r="BR135" s="23">
        <f>EXP(-LN(2)/2)*BR134+(1-EXP(-LN(2)/2))/(LN(2)/2)*BL135*BO135*VLOOKUP('Données projet'!$B$11,Paramètres!$A$1:$I$88,3,0)*0.475*44/12</f>
        <v>0</v>
      </c>
      <c r="BS135" s="24">
        <f t="shared" si="117"/>
        <v>43.650194729997807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544.19999999999982</v>
      </c>
      <c r="BZ135" s="14">
        <f>BY135*VLOOKUP('Données projet'!$B$12,Paramètres!$A$1:$I$88,3,0)*VLOOKUP('Données projet'!$B$12,Paramètres!$A$1:$I$88,5,0)</f>
        <v>325.43159999999995</v>
      </c>
      <c r="CA135" s="14">
        <f t="shared" si="147"/>
        <v>76.482394221016762</v>
      </c>
      <c r="CB135" s="22">
        <f t="shared" si="118"/>
        <v>700.00020660160408</v>
      </c>
      <c r="CC135" s="62">
        <f t="shared" si="119"/>
        <v>984.23459187530329</v>
      </c>
      <c r="CD135" s="62">
        <f ca="1">AVERAGE(OFFSET($CC$3,0,0,'Données projet'!$E$12+1,1))-AVERAGE(OFFSET($H$3,0,0,'Données projet'!$E$12+1,1))</f>
        <v>401.1031790385295</v>
      </c>
      <c r="CE135" s="62">
        <f t="shared" si="148"/>
        <v>402.09589424130615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projet'!$B$12,Paramètres!$A$1:$I$88,3,0)*0.475*44/12</f>
        <v>4.9843142974171766</v>
      </c>
      <c r="CL135" s="23">
        <f>EXP(-LN(2)/25)*CL134+(1-EXP(-LN(2)/25))/(LN(2)/25)*Calculateur!CG135*Calculateur!CI135*VLOOKUP('Données projet'!$B$12,Paramètres!$A$1:$I$88,3,0)*0.475*44/12</f>
        <v>0</v>
      </c>
      <c r="CM135" s="23">
        <f>EXP(-LN(2)/2)*CM134+(1-EXP(-LN(2)/2))/(LN(2)/2)*CG135*CJ135*VLOOKUP('Données projet'!$B$12,Paramètres!$A$1:$I$88,3,0)*0.475*44/12</f>
        <v>6.0410428426193259E-11</v>
      </c>
      <c r="CN135" s="24">
        <f t="shared" si="120"/>
        <v>4.9843142974775869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544.19999999999982</v>
      </c>
      <c r="CU135" s="18">
        <f>CT135*VLOOKUP('Données projet'!$B$13,Paramètres!$A$1:$I$88,3,0)*VLOOKUP('Données projet'!$B$13,Paramètres!$A$1:$I$88,5,0)</f>
        <v>325.43159999999995</v>
      </c>
      <c r="CV135" s="14">
        <f t="shared" si="149"/>
        <v>76.482394221016762</v>
      </c>
      <c r="CW135" s="22">
        <f t="shared" si="121"/>
        <v>700.00020660160408</v>
      </c>
      <c r="CX135" s="62">
        <f t="shared" si="122"/>
        <v>984.23459187530329</v>
      </c>
      <c r="CY135" s="62">
        <f ca="1">AVERAGE(OFFSET($CX$3,0,0,'Données projet'!$E$13+1,1))-AVERAGE(OFFSET($H$3,0,0,'Données projet'!$E$13+1,1))</f>
        <v>401.1031790385295</v>
      </c>
      <c r="CZ135" s="62">
        <f t="shared" si="150"/>
        <v>402.09589424130615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projet'!$B$13,Paramètres!$A$1:$I$88,3,0)*0.475*44/12</f>
        <v>4.9843142974171766</v>
      </c>
      <c r="DG135" s="23">
        <f>EXP(-LN(2)/25)*DG134+(1-EXP(-LN(2)/25))/(LN(2)/25)*Calculateur!DB135*Calculateur!DD135*VLOOKUP('Données projet'!$B$13,Paramètres!$A$1:$I$88,3,0)*0.475*44/12</f>
        <v>0</v>
      </c>
      <c r="DH135" s="23">
        <f>EXP(-LN(2)/2)*DH134+(1-EXP(-LN(2)/2))/(LN(2)/2)*DB135*DE135*VLOOKUP('Données projet'!$B$13,Paramètres!$A$1:$I$88,3,0)*0.475*44/12</f>
        <v>6.0410428426193259E-11</v>
      </c>
      <c r="DI135" s="24">
        <f t="shared" si="123"/>
        <v>4.9843142974775869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860.00000000000023</v>
      </c>
      <c r="DP135" s="18">
        <f>DO135*VLOOKUP('Données projet'!$B$14,Paramètres!$A$1:$I$88,3,0)*VLOOKUP('Données projet'!$B$14,Paramètres!$A$1:$I$88,5,0)</f>
        <v>346.5800000000001</v>
      </c>
      <c r="DQ135" s="14">
        <f t="shared" si="151"/>
        <v>80.857895771535127</v>
      </c>
      <c r="DR135" s="22">
        <f t="shared" si="124"/>
        <v>744.45433513542378</v>
      </c>
      <c r="DS135" s="62">
        <f t="shared" si="125"/>
        <v>1028.6887204091229</v>
      </c>
      <c r="DT135" s="62">
        <f ca="1">AVERAGE(OFFSET($DS$3,0,0,'Données projet'!$E$14+1,1))-AVERAGE(OFFSET($H$3,0,0,'Données projet'!$E$14+1,1))</f>
        <v>432.59662347701629</v>
      </c>
      <c r="DU135" s="62">
        <f t="shared" si="152"/>
        <v>348.67401091099748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projet'!$B$14,Paramètres!$A$1:$I$88,3,0)*0.475*44/12</f>
        <v>22.45265190428178</v>
      </c>
      <c r="EB135" s="23">
        <f>EXP(-LN(2)/25)*EB134+(1-EXP(-LN(2)/25))/(LN(2)/25)*Calculateur!DW135*Calculateur!DY135*VLOOKUP('Données projet'!$B$14,Paramètres!$A$1:$I$88,3,0)*0.475*44/12</f>
        <v>16.445164924447432</v>
      </c>
      <c r="EC135" s="23">
        <f>EXP(-LN(2)/2)*EC134+(1-EXP(-LN(2)/2))/(LN(2)/2)*DW135*DZ135*VLOOKUP('Données projet'!$B$14,Paramètres!$A$1:$I$88,3,0)*0.475*44/12</f>
        <v>0</v>
      </c>
      <c r="ED135" s="24">
        <f t="shared" si="126"/>
        <v>38.897816828729212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1099.9999999999998</v>
      </c>
      <c r="EK135" s="18">
        <f>EJ135*VLOOKUP('Données projet'!$B$15,Paramètres!$A$1:$I$88,3,0)*VLOOKUP('Données projet'!$B$15,Paramètres!$A$1:$I$88,5,0)</f>
        <v>486.19999999999993</v>
      </c>
      <c r="EL135" s="14">
        <f t="shared" si="153"/>
        <v>109.0490179035375</v>
      </c>
      <c r="EM135" s="22">
        <f t="shared" si="127"/>
        <v>1036.725372848661</v>
      </c>
      <c r="EN135" s="62">
        <f t="shared" si="128"/>
        <v>1320.9597581223602</v>
      </c>
      <c r="EO135" s="62">
        <f ca="1">AVERAGE(OFFSET($EN$3,0,0,'Données projet'!$E$15+1,1))-AVERAGE(OFFSET($H$3,0,0,'Données projet'!$E$15+1,1))</f>
        <v>582.26951914082088</v>
      </c>
      <c r="EP135" s="62">
        <f t="shared" si="154"/>
        <v>434.80429932654715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projet'!$B$15,Paramètres!$A$1:$I$88,3,0)*0.475*44/12</f>
        <v>22.624158840714138</v>
      </c>
      <c r="EW135" s="23">
        <f>EXP(-LN(2)/25)*EW134+(1-EXP(-LN(2)/25))/(LN(2)/25)*Calculateur!ER135*Calculateur!ET135*VLOOKUP('Données projet'!$B$15,Paramètres!$A$1:$I$88,3,0)*0.475*44/12</f>
        <v>14.777260752965841</v>
      </c>
      <c r="EX135" s="23">
        <f>EXP(-LN(2)/2)*EX134+(1-EXP(-LN(2)/2))/(LN(2)/2)*ER135*EU135*VLOOKUP('Données projet'!$B$15,Paramètres!$A$1:$I$88,3,0)*0.475*44/12</f>
        <v>0</v>
      </c>
      <c r="EY135" s="24">
        <f t="shared" si="129"/>
        <v>37.401419593679975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854.99999999999989</v>
      </c>
      <c r="FF135" s="18">
        <f>FE135*VLOOKUP('Données projet'!$B$16,Paramètres!$A$1:$I$88,3,0)*VLOOKUP('Données projet'!$B$16,Paramètres!$A$1:$I$88,5,0)</f>
        <v>400.13999999999993</v>
      </c>
      <c r="FG135" s="14">
        <f t="shared" si="155"/>
        <v>91.805047494648534</v>
      </c>
      <c r="FH135" s="22">
        <f t="shared" si="130"/>
        <v>856.80429105317944</v>
      </c>
      <c r="FI135" s="62">
        <f t="shared" si="131"/>
        <v>1141.0386763268787</v>
      </c>
      <c r="FJ135" s="62">
        <f ca="1">AVERAGE(OFFSET($FI$3,0,0,'Données projet'!$E$16+1,1))-AVERAGE(OFFSET($H$3,0,0,'Données projet'!$E$16+1,1))</f>
        <v>429.87867712133851</v>
      </c>
      <c r="FK135" s="62">
        <f t="shared" si="156"/>
        <v>182.81277865988014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projet'!$B$16,Paramètres!$A$1:$I$88,3,0)*0.475*44/12</f>
        <v>26.982016776808802</v>
      </c>
      <c r="FR135" s="23">
        <f>EXP(-LN(2)/25)*FR134+(1-EXP(-LN(2)/25))/(LN(2)/25)*Calculateur!FM135*Calculateur!FO135*VLOOKUP('Données projet'!$B$16,Paramètres!$A$1:$I$88,3,0)*0.475*44/12</f>
        <v>18.732707908329733</v>
      </c>
      <c r="FS135" s="23">
        <f>EXP(-LN(2)/2)*FS134+(1-EXP(-LN(2)/2))/(LN(2)/2)*FM135*FP135*VLOOKUP('Données projet'!$B$16,Paramètres!$A$1:$I$88,3,0)*0.475*44/12</f>
        <v>0</v>
      </c>
      <c r="FT135" s="24">
        <f t="shared" si="132"/>
        <v>45.714724685138535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498.99999999999955</v>
      </c>
      <c r="GA135" s="18">
        <f>FZ135*VLOOKUP('Données projet'!$B$17,Paramètres!$A$1:$I$88,3,0)*VLOOKUP('Données projet'!$B$17,Paramètres!$A$1:$I$88,5,0)</f>
        <v>240.01899999999978</v>
      </c>
      <c r="GB135" s="14">
        <f t="shared" si="157"/>
        <v>58.443618405936313</v>
      </c>
      <c r="GC135" s="22">
        <f t="shared" si="133"/>
        <v>519.82239372367201</v>
      </c>
      <c r="GD135" s="62">
        <f t="shared" si="134"/>
        <v>804.05677899737111</v>
      </c>
      <c r="GE135" s="62">
        <f ca="1">AVERAGE(OFFSET($GD$3,0,0,'Données projet'!$E$17+1,1))-AVERAGE(OFFSET($H$3,0,0,'Données projet'!$E$17+1,1))</f>
        <v>273.24375559399846</v>
      </c>
      <c r="GF135" s="62">
        <f t="shared" si="158"/>
        <v>270.77718895097848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projet'!$B$17,Paramètres!$A$1:$I$88,3,0)*0.475*44/12</f>
        <v>11.553135224690688</v>
      </c>
      <c r="GM135" s="23">
        <f>EXP(-LN(2)/25)*GM134+(1-EXP(-LN(2)/25))/(LN(2)/25)*Calculateur!GH135*Calculateur!GJ135*VLOOKUP('Données projet'!$B$17,Paramètres!$A$1:$I$88,3,0)*0.475*44/12</f>
        <v>7.2073627815491195</v>
      </c>
      <c r="GN135" s="23">
        <f>EXP(-LN(2)/2)*GN134+(1-EXP(-LN(2)/2))/(LN(2)/2)*GH135*GK135*VLOOKUP('Données projet'!$B$17,Paramètres!$A$1:$I$88,3,0)*0.475*44/12</f>
        <v>0</v>
      </c>
      <c r="GO135" s="23">
        <f t="shared" si="135"/>
        <v>18.760498006239807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550.99999999999966</v>
      </c>
      <c r="O136" s="14">
        <f>N136*VLOOKUP('Données projet'!$B$9,Paramètres!$A$1:$I$88,3,0)*VLOOKUP('Données projet'!$B$9,Paramètres!$A$1:$I$88,5,0)</f>
        <v>308.00899999999979</v>
      </c>
      <c r="P136" s="14">
        <f t="shared" si="141"/>
        <v>72.852874331417695</v>
      </c>
      <c r="Q136" s="22">
        <f t="shared" si="108"/>
        <v>663.33443112721886</v>
      </c>
      <c r="R136" s="62">
        <f t="shared" si="109"/>
        <v>947.7266628075522</v>
      </c>
      <c r="S136" s="62">
        <f ca="1">AVERAGE(OFFSET($R$3,0,0,'Données projet'!$E$9+1,1))-AVERAGE(OFFSET($H$3,0,0,'Données projet'!$E$9+1,1))</f>
        <v>289.94242154211224</v>
      </c>
      <c r="T136" s="62">
        <f t="shared" si="142"/>
        <v>369.12599166143661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17.379437731435022</v>
      </c>
      <c r="AA136" s="23">
        <f>EXP(-LN(2)/25)*AA135+(1-EXP(-LN(2)/25))/(LN(2)/25)*Calculateur!V136*Calculateur!X136*VLOOKUP('Données projet'!$B$9,Paramètres!$A$1:$I$88,3,0)*0.475*44/12</f>
        <v>8.8289296587597814</v>
      </c>
      <c r="AB136" s="23">
        <f>EXP(-LN(2)/2)*AB135+(1-EXP(-LN(2)/2))/(LN(2)/2)*V136*Y136*VLOOKUP('Données projet'!$B$9,Paramètres!$A$1:$I$88,3,0)*0.475*44/12</f>
        <v>0</v>
      </c>
      <c r="AC136" s="24">
        <f t="shared" si="111"/>
        <v>26.208367390194802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6.7</v>
      </c>
      <c r="AI136" s="14">
        <f>IF('Données projet'!$A$62&gt;35,AI135+AH136-AQ135,IF(A136&lt;'Données projet'!$A$62,$AF$205^A136,IF(A136='Données projet'!$A$62,'Données projet'!$B$62,AI135+AH136-AQ135)))</f>
        <v>349.10000000000042</v>
      </c>
      <c r="AJ136" s="14">
        <f>AI136*VLOOKUP('Données projet'!$B$10,Paramètres!$A$1:$I$88,3,0)*VLOOKUP('Données projet'!$B$10,Paramètres!$A$1:$I$88,5,0)</f>
        <v>315.8656800000004</v>
      </c>
      <c r="AK136" s="14">
        <f t="shared" si="143"/>
        <v>74.492478023071655</v>
      </c>
      <c r="AL136" s="22">
        <f t="shared" si="112"/>
        <v>679.87379189018372</v>
      </c>
      <c r="AM136" s="62">
        <f t="shared" si="113"/>
        <v>964.26602357051706</v>
      </c>
      <c r="AN136" s="62">
        <f ca="1">AVERAGE(OFFSET($AM$3,0,0,'Données projet'!$E$10+1,1))-AVERAGE(OFFSET($H$3,0,0,'Données projet'!$E$10+1,1))</f>
        <v>518.31628039365785</v>
      </c>
      <c r="AO136" s="62">
        <f t="shared" si="144"/>
        <v>66.435071953154761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38.185630462296629</v>
      </c>
      <c r="AV136" s="23">
        <f>EXP(-LN(2)/25)*AV135+(1-EXP(-LN(2)/25))/(LN(2)/25)*Calculateur!AQ136*Calculateur!AS136*VLOOKUP('Données projet'!$B$10,Paramètres!$A$1:$I$88,3,0)*0.475*44/12</f>
        <v>0</v>
      </c>
      <c r="AW136" s="23">
        <f>EXP(-LN(2)/2)*AW135+(1-EXP(-LN(2)/2))/(LN(2)/2)*AQ136*AT136*VLOOKUP('Données projet'!$B$10,Paramètres!$A$1:$I$88,3,0)*0.475*44/12</f>
        <v>0</v>
      </c>
      <c r="AX136" s="23">
        <f t="shared" si="114"/>
        <v>38.185630462296629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6.7</v>
      </c>
      <c r="BD136" s="13">
        <f>IF('Données projet'!$A$88&gt;35,BD135+BC136-BL135,IF(A136&lt;'Données projet'!$A$88,$BA$205^A136,IF(A136='Données projet'!$A$88,'Données projet'!$B$88,BD135+BC136-BL135)))</f>
        <v>349.10000000000042</v>
      </c>
      <c r="BE136" s="14">
        <f>BD136*VLOOKUP('Données projet'!$B$11,Paramètres!$A$1:$I$88,3,0)*VLOOKUP('Données projet'!$B$11,Paramètres!$A$1:$I$88,5,0)</f>
        <v>353.98740000000043</v>
      </c>
      <c r="BF136" s="14">
        <f t="shared" si="145"/>
        <v>82.38301621008884</v>
      </c>
      <c r="BG136" s="22">
        <f t="shared" si="115"/>
        <v>760.01180823257209</v>
      </c>
      <c r="BH136" s="62">
        <f t="shared" si="116"/>
        <v>1044.4040399129055</v>
      </c>
      <c r="BI136" s="62">
        <f ca="1">AVERAGE(OFFSET($BH$3,0,0,'Données projet'!$E$11+1,1))-AVERAGE(OFFSET($H$3,0,0,'Données projet'!$E$11+1,1))</f>
        <v>570.2785736203931</v>
      </c>
      <c r="BJ136" s="62">
        <f t="shared" si="146"/>
        <v>67.677759965081719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42.794241035332433</v>
      </c>
      <c r="BQ136" s="23">
        <f>EXP(-LN(2)/25)*BQ135+(1-EXP(-LN(2)/25))/(LN(2)/25)*Calculateur!BL136*Calculateur!BN136*VLOOKUP('Données projet'!$B$11,Paramètres!$A$1:$I$88,3,0)*0.475*44/12</f>
        <v>0</v>
      </c>
      <c r="BR136" s="23">
        <f>EXP(-LN(2)/2)*BR135+(1-EXP(-LN(2)/2))/(LN(2)/2)*BL136*BO136*VLOOKUP('Données projet'!$B$11,Paramètres!$A$1:$I$88,3,0)*0.475*44/12</f>
        <v>0</v>
      </c>
      <c r="BS136" s="24">
        <f t="shared" si="117"/>
        <v>42.794241035332433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544.19999999999982</v>
      </c>
      <c r="BZ136" s="14">
        <f>BY136*VLOOKUP('Données projet'!$B$12,Paramètres!$A$1:$I$88,3,0)*VLOOKUP('Données projet'!$B$12,Paramètres!$A$1:$I$88,5,0)</f>
        <v>325.43159999999995</v>
      </c>
      <c r="CA136" s="14">
        <f t="shared" si="147"/>
        <v>76.482394221016762</v>
      </c>
      <c r="CB136" s="22">
        <f t="shared" si="118"/>
        <v>700.00020660160408</v>
      </c>
      <c r="CC136" s="62">
        <f t="shared" si="119"/>
        <v>984.39243828193753</v>
      </c>
      <c r="CD136" s="62">
        <f ca="1">AVERAGE(OFFSET($CC$3,0,0,'Données projet'!$E$12+1,1))-AVERAGE(OFFSET($H$3,0,0,'Données projet'!$E$12+1,1))</f>
        <v>401.1031790385295</v>
      </c>
      <c r="CE136" s="62">
        <f t="shared" si="148"/>
        <v>402.09589424130615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projet'!$B$12,Paramètres!$A$1:$I$88,3,0)*0.475*44/12</f>
        <v>4.8865749341763589</v>
      </c>
      <c r="CL136" s="23">
        <f>EXP(-LN(2)/25)*CL135+(1-EXP(-LN(2)/25))/(LN(2)/25)*Calculateur!CG136*Calculateur!CI136*VLOOKUP('Données projet'!$B$12,Paramètres!$A$1:$I$88,3,0)*0.475*44/12</f>
        <v>0</v>
      </c>
      <c r="CM136" s="23">
        <f>EXP(-LN(2)/2)*CM135+(1-EXP(-LN(2)/2))/(LN(2)/2)*CG136*CJ136*VLOOKUP('Données projet'!$B$12,Paramètres!$A$1:$I$88,3,0)*0.475*44/12</f>
        <v>4.2716623594545828E-11</v>
      </c>
      <c r="CN136" s="24">
        <f t="shared" si="120"/>
        <v>4.8865749342190758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544.19999999999982</v>
      </c>
      <c r="CU136" s="18">
        <f>CT136*VLOOKUP('Données projet'!$B$13,Paramètres!$A$1:$I$88,3,0)*VLOOKUP('Données projet'!$B$13,Paramètres!$A$1:$I$88,5,0)</f>
        <v>325.43159999999995</v>
      </c>
      <c r="CV136" s="14">
        <f t="shared" si="149"/>
        <v>76.482394221016762</v>
      </c>
      <c r="CW136" s="22">
        <f t="shared" si="121"/>
        <v>700.00020660160408</v>
      </c>
      <c r="CX136" s="62">
        <f t="shared" si="122"/>
        <v>984.39243828193753</v>
      </c>
      <c r="CY136" s="62">
        <f ca="1">AVERAGE(OFFSET($CX$3,0,0,'Données projet'!$E$13+1,1))-AVERAGE(OFFSET($H$3,0,0,'Données projet'!$E$13+1,1))</f>
        <v>401.1031790385295</v>
      </c>
      <c r="CZ136" s="62">
        <f t="shared" si="150"/>
        <v>402.09589424130615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projet'!$B$13,Paramètres!$A$1:$I$88,3,0)*0.475*44/12</f>
        <v>4.8865749341763589</v>
      </c>
      <c r="DG136" s="23">
        <f>EXP(-LN(2)/25)*DG135+(1-EXP(-LN(2)/25))/(LN(2)/25)*Calculateur!DB136*Calculateur!DD136*VLOOKUP('Données projet'!$B$13,Paramètres!$A$1:$I$88,3,0)*0.475*44/12</f>
        <v>0</v>
      </c>
      <c r="DH136" s="23">
        <f>EXP(-LN(2)/2)*DH135+(1-EXP(-LN(2)/2))/(LN(2)/2)*DB136*DE136*VLOOKUP('Données projet'!$B$13,Paramètres!$A$1:$I$88,3,0)*0.475*44/12</f>
        <v>4.2716623594545828E-11</v>
      </c>
      <c r="DI136" s="24">
        <f t="shared" si="123"/>
        <v>4.8865749342190758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860.00000000000023</v>
      </c>
      <c r="DP136" s="18">
        <f>DO136*VLOOKUP('Données projet'!$B$14,Paramètres!$A$1:$I$88,3,0)*VLOOKUP('Données projet'!$B$14,Paramètres!$A$1:$I$88,5,0)</f>
        <v>346.5800000000001</v>
      </c>
      <c r="DQ136" s="14">
        <f t="shared" si="151"/>
        <v>80.857895771535127</v>
      </c>
      <c r="DR136" s="22">
        <f t="shared" si="124"/>
        <v>744.45433513542378</v>
      </c>
      <c r="DS136" s="62">
        <f t="shared" si="125"/>
        <v>1028.8465668157571</v>
      </c>
      <c r="DT136" s="62">
        <f ca="1">AVERAGE(OFFSET($DS$3,0,0,'Données projet'!$E$14+1,1))-AVERAGE(OFFSET($H$3,0,0,'Données projet'!$E$14+1,1))</f>
        <v>432.59662347701629</v>
      </c>
      <c r="DU136" s="62">
        <f t="shared" si="152"/>
        <v>348.67401091099748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projet'!$B$14,Paramètres!$A$1:$I$88,3,0)*0.475*44/12</f>
        <v>22.012369095204228</v>
      </c>
      <c r="EB136" s="23">
        <f>EXP(-LN(2)/25)*EB135+(1-EXP(-LN(2)/25))/(LN(2)/25)*Calculateur!DW136*Calculateur!DY136*VLOOKUP('Données projet'!$B$14,Paramètres!$A$1:$I$88,3,0)*0.475*44/12</f>
        <v>15.99547102477478</v>
      </c>
      <c r="EC136" s="23">
        <f>EXP(-LN(2)/2)*EC135+(1-EXP(-LN(2)/2))/(LN(2)/2)*DW136*DZ136*VLOOKUP('Données projet'!$B$14,Paramètres!$A$1:$I$88,3,0)*0.475*44/12</f>
        <v>0</v>
      </c>
      <c r="ED136" s="24">
        <f t="shared" si="126"/>
        <v>38.007840119979008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1099.9999999999998</v>
      </c>
      <c r="EK136" s="18">
        <f>EJ136*VLOOKUP('Données projet'!$B$15,Paramètres!$A$1:$I$88,3,0)*VLOOKUP('Données projet'!$B$15,Paramètres!$A$1:$I$88,5,0)</f>
        <v>486.19999999999993</v>
      </c>
      <c r="EL136" s="14">
        <f t="shared" si="153"/>
        <v>109.0490179035375</v>
      </c>
      <c r="EM136" s="22">
        <f t="shared" si="127"/>
        <v>1036.725372848661</v>
      </c>
      <c r="EN136" s="62">
        <f t="shared" si="128"/>
        <v>1321.1176045289944</v>
      </c>
      <c r="EO136" s="62">
        <f ca="1">AVERAGE(OFFSET($EN$3,0,0,'Données projet'!$E$15+1,1))-AVERAGE(OFFSET($H$3,0,0,'Données projet'!$E$15+1,1))</f>
        <v>582.26951914082088</v>
      </c>
      <c r="EP136" s="62">
        <f t="shared" si="154"/>
        <v>434.80429932654715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projet'!$B$15,Paramètres!$A$1:$I$88,3,0)*0.475*44/12</f>
        <v>22.180512885222051</v>
      </c>
      <c r="EW136" s="23">
        <f>EXP(-LN(2)/25)*EW135+(1-EXP(-LN(2)/25))/(LN(2)/25)*Calculateur!ER136*Calculateur!ET136*VLOOKUP('Données projet'!$B$15,Paramètres!$A$1:$I$88,3,0)*0.475*44/12</f>
        <v>14.373175780573622</v>
      </c>
      <c r="EX136" s="23">
        <f>EXP(-LN(2)/2)*EX135+(1-EXP(-LN(2)/2))/(LN(2)/2)*ER136*EU136*VLOOKUP('Données projet'!$B$15,Paramètres!$A$1:$I$88,3,0)*0.475*44/12</f>
        <v>0</v>
      </c>
      <c r="EY136" s="24">
        <f t="shared" si="129"/>
        <v>36.553688665795676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854.99999999999989</v>
      </c>
      <c r="FF136" s="18">
        <f>FE136*VLOOKUP('Données projet'!$B$16,Paramètres!$A$1:$I$88,3,0)*VLOOKUP('Données projet'!$B$16,Paramètres!$A$1:$I$88,5,0)</f>
        <v>400.13999999999993</v>
      </c>
      <c r="FG136" s="14">
        <f t="shared" si="155"/>
        <v>91.805047494648534</v>
      </c>
      <c r="FH136" s="22">
        <f t="shared" si="130"/>
        <v>856.80429105317944</v>
      </c>
      <c r="FI136" s="62">
        <f t="shared" si="131"/>
        <v>1141.1965227335129</v>
      </c>
      <c r="FJ136" s="62">
        <f ca="1">AVERAGE(OFFSET($FI$3,0,0,'Données projet'!$E$16+1,1))-AVERAGE(OFFSET($H$3,0,0,'Données projet'!$E$16+1,1))</f>
        <v>429.87867712133851</v>
      </c>
      <c r="FK136" s="62">
        <f t="shared" si="156"/>
        <v>182.81277865988014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projet'!$B$16,Paramètres!$A$1:$I$88,3,0)*0.475*44/12</f>
        <v>26.452915885220783</v>
      </c>
      <c r="FR136" s="23">
        <f>EXP(-LN(2)/25)*FR135+(1-EXP(-LN(2)/25))/(LN(2)/25)*Calculateur!FM136*Calculateur!FO136*VLOOKUP('Données projet'!$B$16,Paramètres!$A$1:$I$88,3,0)*0.475*44/12</f>
        <v>18.220461025466161</v>
      </c>
      <c r="FS136" s="23">
        <f>EXP(-LN(2)/2)*FS135+(1-EXP(-LN(2)/2))/(LN(2)/2)*FM136*FP136*VLOOKUP('Données projet'!$B$16,Paramètres!$A$1:$I$88,3,0)*0.475*44/12</f>
        <v>0</v>
      </c>
      <c r="FT136" s="24">
        <f t="shared" si="132"/>
        <v>44.67337691068694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498.99999999999955</v>
      </c>
      <c r="GA136" s="18">
        <f>FZ136*VLOOKUP('Données projet'!$B$17,Paramètres!$A$1:$I$88,3,0)*VLOOKUP('Données projet'!$B$17,Paramètres!$A$1:$I$88,5,0)</f>
        <v>240.01899999999978</v>
      </c>
      <c r="GB136" s="14">
        <f t="shared" si="157"/>
        <v>58.443618405936313</v>
      </c>
      <c r="GC136" s="22">
        <f t="shared" si="133"/>
        <v>519.82239372367201</v>
      </c>
      <c r="GD136" s="62">
        <f t="shared" si="134"/>
        <v>804.21462540400535</v>
      </c>
      <c r="GE136" s="62">
        <f ca="1">AVERAGE(OFFSET($GD$3,0,0,'Données projet'!$E$17+1,1))-AVERAGE(OFFSET($H$3,0,0,'Données projet'!$E$17+1,1))</f>
        <v>273.24375559399846</v>
      </c>
      <c r="GF136" s="62">
        <f t="shared" si="158"/>
        <v>270.77718895097848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projet'!$B$17,Paramètres!$A$1:$I$88,3,0)*0.475*44/12</f>
        <v>11.326585289651186</v>
      </c>
      <c r="GM136" s="23">
        <f>EXP(-LN(2)/25)*GM135+(1-EXP(-LN(2)/25))/(LN(2)/25)*Calculateur!GH136*Calculateur!GJ136*VLOOKUP('Données projet'!$B$17,Paramètres!$A$1:$I$88,3,0)*0.475*44/12</f>
        <v>7.0102770672689232</v>
      </c>
      <c r="GN136" s="23">
        <f>EXP(-LN(2)/2)*GN135+(1-EXP(-LN(2)/2))/(LN(2)/2)*GH136*GK136*VLOOKUP('Données projet'!$B$17,Paramètres!$A$1:$I$88,3,0)*0.475*44/12</f>
        <v>0</v>
      </c>
      <c r="GO136" s="23">
        <f t="shared" si="135"/>
        <v>18.336862356920108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550.99999999999966</v>
      </c>
      <c r="O137" s="14">
        <f>N137*VLOOKUP('Données projet'!$B$9,Paramètres!$A$1:$I$88,3,0)*VLOOKUP('Données projet'!$B$9,Paramètres!$A$1:$I$88,5,0)</f>
        <v>308.00899999999979</v>
      </c>
      <c r="P137" s="14">
        <f t="shared" si="141"/>
        <v>72.852874331417695</v>
      </c>
      <c r="Q137" s="22">
        <f t="shared" si="108"/>
        <v>663.33443112721886</v>
      </c>
      <c r="R137" s="62">
        <f t="shared" si="109"/>
        <v>947.88177093192314</v>
      </c>
      <c r="S137" s="62">
        <f ca="1">AVERAGE(OFFSET($R$3,0,0,'Données projet'!$E$9+1,1))-AVERAGE(OFFSET($H$3,0,0,'Données projet'!$E$9+1,1))</f>
        <v>289.94242154211224</v>
      </c>
      <c r="T137" s="62">
        <f t="shared" si="142"/>
        <v>369.12599166143661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17.038637557931892</v>
      </c>
      <c r="AA137" s="23">
        <f>EXP(-LN(2)/25)*AA136+(1-EXP(-LN(2)/25))/(LN(2)/25)*Calculateur!V137*Calculateur!X137*VLOOKUP('Données projet'!$B$9,Paramètres!$A$1:$I$88,3,0)*0.475*44/12</f>
        <v>8.5875021129477638</v>
      </c>
      <c r="AB137" s="23">
        <f>EXP(-LN(2)/2)*AB136+(1-EXP(-LN(2)/2))/(LN(2)/2)*V137*Y137*VLOOKUP('Données projet'!$B$9,Paramètres!$A$1:$I$88,3,0)*0.475*44/12</f>
        <v>0</v>
      </c>
      <c r="AC137" s="24">
        <f t="shared" si="111"/>
        <v>25.626139670879656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6.7</v>
      </c>
      <c r="AI137" s="14">
        <f>IF('Données projet'!$A$62&gt;35,AI136+AH137-AQ136,IF(A137&lt;'Données projet'!$A$62,$AF$205^A137,IF(A137='Données projet'!$A$62,'Données projet'!$B$62,AI136+AH137-AQ136)))</f>
        <v>355.80000000000041</v>
      </c>
      <c r="AJ137" s="14">
        <f>AI137*VLOOKUP('Données projet'!$B$10,Paramètres!$A$1:$I$88,3,0)*VLOOKUP('Données projet'!$B$10,Paramètres!$A$1:$I$88,5,0)</f>
        <v>321.92784000000034</v>
      </c>
      <c r="AK137" s="14">
        <f t="shared" si="143"/>
        <v>75.754337936715828</v>
      </c>
      <c r="AL137" s="22">
        <f t="shared" si="112"/>
        <v>692.62979323978072</v>
      </c>
      <c r="AM137" s="62">
        <f t="shared" si="113"/>
        <v>977.177133044485</v>
      </c>
      <c r="AN137" s="62">
        <f ca="1">AVERAGE(OFFSET($AM$3,0,0,'Données projet'!$E$10+1,1))-AVERAGE(OFFSET($H$3,0,0,'Données projet'!$E$10+1,1))</f>
        <v>518.31628039365785</v>
      </c>
      <c r="AO137" s="62">
        <f t="shared" si="144"/>
        <v>66.435071953154761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37.436833539865788</v>
      </c>
      <c r="AV137" s="23">
        <f>EXP(-LN(2)/25)*AV136+(1-EXP(-LN(2)/25))/(LN(2)/25)*Calculateur!AQ137*Calculateur!AS137*VLOOKUP('Données projet'!$B$10,Paramètres!$A$1:$I$88,3,0)*0.475*44/12</f>
        <v>0</v>
      </c>
      <c r="AW137" s="23">
        <f>EXP(-LN(2)/2)*AW136+(1-EXP(-LN(2)/2))/(LN(2)/2)*AQ137*AT137*VLOOKUP('Données projet'!$B$10,Paramètres!$A$1:$I$88,3,0)*0.475*44/12</f>
        <v>0</v>
      </c>
      <c r="AX137" s="23">
        <f t="shared" si="114"/>
        <v>37.436833539865788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6.7</v>
      </c>
      <c r="BD137" s="13">
        <f>IF('Données projet'!$A$88&gt;35,BD136+BC137-BL136,IF(A137&lt;'Données projet'!$A$88,$BA$205^A137,IF(A137='Données projet'!$A$88,'Données projet'!$B$88,BD136+BC137-BL136)))</f>
        <v>355.80000000000041</v>
      </c>
      <c r="BE137" s="14">
        <f>BD137*VLOOKUP('Données projet'!$B$11,Paramètres!$A$1:$I$88,3,0)*VLOOKUP('Données projet'!$B$11,Paramètres!$A$1:$I$88,5,0)</f>
        <v>360.78120000000041</v>
      </c>
      <c r="BF137" s="14">
        <f t="shared" si="145"/>
        <v>83.778537321474303</v>
      </c>
      <c r="BG137" s="22">
        <f t="shared" si="115"/>
        <v>774.27487583490165</v>
      </c>
      <c r="BH137" s="62">
        <f t="shared" si="116"/>
        <v>1058.8222156396059</v>
      </c>
      <c r="BI137" s="62">
        <f ca="1">AVERAGE(OFFSET($BH$3,0,0,'Données projet'!$E$11+1,1))-AVERAGE(OFFSET($H$3,0,0,'Données projet'!$E$11+1,1))</f>
        <v>570.2785736203931</v>
      </c>
      <c r="BJ137" s="62">
        <f t="shared" si="146"/>
        <v>67.677759965081719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41.955072070539245</v>
      </c>
      <c r="BQ137" s="23">
        <f>EXP(-LN(2)/25)*BQ136+(1-EXP(-LN(2)/25))/(LN(2)/25)*Calculateur!BL137*Calculateur!BN137*VLOOKUP('Données projet'!$B$11,Paramètres!$A$1:$I$88,3,0)*0.475*44/12</f>
        <v>0</v>
      </c>
      <c r="BR137" s="23">
        <f>EXP(-LN(2)/2)*BR136+(1-EXP(-LN(2)/2))/(LN(2)/2)*BL137*BO137*VLOOKUP('Données projet'!$B$11,Paramètres!$A$1:$I$88,3,0)*0.475*44/12</f>
        <v>0</v>
      </c>
      <c r="BS137" s="24">
        <f t="shared" si="117"/>
        <v>41.955072070539245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544.19999999999982</v>
      </c>
      <c r="BZ137" s="14">
        <f>BY137*VLOOKUP('Données projet'!$B$12,Paramètres!$A$1:$I$88,3,0)*VLOOKUP('Données projet'!$B$12,Paramètres!$A$1:$I$88,5,0)</f>
        <v>325.43159999999995</v>
      </c>
      <c r="CA137" s="14">
        <f t="shared" si="147"/>
        <v>76.482394221016762</v>
      </c>
      <c r="CB137" s="22">
        <f t="shared" si="118"/>
        <v>700.00020660160408</v>
      </c>
      <c r="CC137" s="62">
        <f t="shared" si="119"/>
        <v>984.54754640630836</v>
      </c>
      <c r="CD137" s="62">
        <f ca="1">AVERAGE(OFFSET($CC$3,0,0,'Données projet'!$E$12+1,1))-AVERAGE(OFFSET($H$3,0,0,'Données projet'!$E$12+1,1))</f>
        <v>401.1031790385295</v>
      </c>
      <c r="CE137" s="62">
        <f t="shared" si="148"/>
        <v>402.09589424130615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projet'!$B$12,Paramètres!$A$1:$I$88,3,0)*0.475*44/12</f>
        <v>4.7907521802335689</v>
      </c>
      <c r="CL137" s="23">
        <f>EXP(-LN(2)/25)*CL136+(1-EXP(-LN(2)/25))/(LN(2)/25)*Calculateur!CG137*Calculateur!CI137*VLOOKUP('Données projet'!$B$12,Paramètres!$A$1:$I$88,3,0)*0.475*44/12</f>
        <v>0</v>
      </c>
      <c r="CM137" s="23">
        <f>EXP(-LN(2)/2)*CM136+(1-EXP(-LN(2)/2))/(LN(2)/2)*CG137*CJ137*VLOOKUP('Données projet'!$B$12,Paramètres!$A$1:$I$88,3,0)*0.475*44/12</f>
        <v>3.0205214213096629E-11</v>
      </c>
      <c r="CN137" s="24">
        <f t="shared" si="120"/>
        <v>4.790752180263774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544.19999999999982</v>
      </c>
      <c r="CU137" s="18">
        <f>CT137*VLOOKUP('Données projet'!$B$13,Paramètres!$A$1:$I$88,3,0)*VLOOKUP('Données projet'!$B$13,Paramètres!$A$1:$I$88,5,0)</f>
        <v>325.43159999999995</v>
      </c>
      <c r="CV137" s="14">
        <f t="shared" si="149"/>
        <v>76.482394221016762</v>
      </c>
      <c r="CW137" s="22">
        <f t="shared" si="121"/>
        <v>700.00020660160408</v>
      </c>
      <c r="CX137" s="62">
        <f t="shared" si="122"/>
        <v>984.54754640630836</v>
      </c>
      <c r="CY137" s="62">
        <f ca="1">AVERAGE(OFFSET($CX$3,0,0,'Données projet'!$E$13+1,1))-AVERAGE(OFFSET($H$3,0,0,'Données projet'!$E$13+1,1))</f>
        <v>401.1031790385295</v>
      </c>
      <c r="CZ137" s="62">
        <f t="shared" si="150"/>
        <v>402.09589424130615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projet'!$B$13,Paramètres!$A$1:$I$88,3,0)*0.475*44/12</f>
        <v>4.7907521802335689</v>
      </c>
      <c r="DG137" s="23">
        <f>EXP(-LN(2)/25)*DG136+(1-EXP(-LN(2)/25))/(LN(2)/25)*Calculateur!DB137*Calculateur!DD137*VLOOKUP('Données projet'!$B$13,Paramètres!$A$1:$I$88,3,0)*0.475*44/12</f>
        <v>0</v>
      </c>
      <c r="DH137" s="23">
        <f>EXP(-LN(2)/2)*DH136+(1-EXP(-LN(2)/2))/(LN(2)/2)*DB137*DE137*VLOOKUP('Données projet'!$B$13,Paramètres!$A$1:$I$88,3,0)*0.475*44/12</f>
        <v>3.0205214213096629E-11</v>
      </c>
      <c r="DI137" s="24">
        <f t="shared" si="123"/>
        <v>4.790752180263774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860.00000000000023</v>
      </c>
      <c r="DP137" s="18">
        <f>DO137*VLOOKUP('Données projet'!$B$14,Paramètres!$A$1:$I$88,3,0)*VLOOKUP('Données projet'!$B$14,Paramètres!$A$1:$I$88,5,0)</f>
        <v>346.5800000000001</v>
      </c>
      <c r="DQ137" s="14">
        <f t="shared" si="151"/>
        <v>80.857895771535127</v>
      </c>
      <c r="DR137" s="22">
        <f t="shared" si="124"/>
        <v>744.45433513542378</v>
      </c>
      <c r="DS137" s="62">
        <f t="shared" si="125"/>
        <v>1029.0016749401279</v>
      </c>
      <c r="DT137" s="62">
        <f ca="1">AVERAGE(OFFSET($DS$3,0,0,'Données projet'!$E$14+1,1))-AVERAGE(OFFSET($H$3,0,0,'Données projet'!$E$14+1,1))</f>
        <v>432.59662347701629</v>
      </c>
      <c r="DU137" s="62">
        <f t="shared" si="152"/>
        <v>348.67401091099748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projet'!$B$14,Paramètres!$A$1:$I$88,3,0)*0.475*44/12</f>
        <v>21.580719963466692</v>
      </c>
      <c r="EB137" s="23">
        <f>EXP(-LN(2)/25)*EB136+(1-EXP(-LN(2)/25))/(LN(2)/25)*Calculateur!DW137*Calculateur!DY137*VLOOKUP('Données projet'!$B$14,Paramètres!$A$1:$I$88,3,0)*0.475*44/12</f>
        <v>15.55807402843705</v>
      </c>
      <c r="EC137" s="23">
        <f>EXP(-LN(2)/2)*EC136+(1-EXP(-LN(2)/2))/(LN(2)/2)*DW137*DZ137*VLOOKUP('Données projet'!$B$14,Paramètres!$A$1:$I$88,3,0)*0.475*44/12</f>
        <v>0</v>
      </c>
      <c r="ED137" s="24">
        <f t="shared" si="126"/>
        <v>37.138793991903739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1099.9999999999998</v>
      </c>
      <c r="EK137" s="18">
        <f>EJ137*VLOOKUP('Données projet'!$B$15,Paramètres!$A$1:$I$88,3,0)*VLOOKUP('Données projet'!$B$15,Paramètres!$A$1:$I$88,5,0)</f>
        <v>486.19999999999993</v>
      </c>
      <c r="EL137" s="14">
        <f t="shared" si="153"/>
        <v>109.0490179035375</v>
      </c>
      <c r="EM137" s="22">
        <f t="shared" si="127"/>
        <v>1036.725372848661</v>
      </c>
      <c r="EN137" s="62">
        <f t="shared" si="128"/>
        <v>1321.2727126533653</v>
      </c>
      <c r="EO137" s="62">
        <f ca="1">AVERAGE(OFFSET($EN$3,0,0,'Données projet'!$E$15+1,1))-AVERAGE(OFFSET($H$3,0,0,'Données projet'!$E$15+1,1))</f>
        <v>582.26951914082088</v>
      </c>
      <c r="EP137" s="62">
        <f t="shared" si="154"/>
        <v>434.80429932654715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projet'!$B$15,Paramètres!$A$1:$I$88,3,0)*0.475*44/12</f>
        <v>21.745566556319851</v>
      </c>
      <c r="EW137" s="23">
        <f>EXP(-LN(2)/25)*EW136+(1-EXP(-LN(2)/25))/(LN(2)/25)*Calculateur!ER137*Calculateur!ET137*VLOOKUP('Données projet'!$B$15,Paramètres!$A$1:$I$88,3,0)*0.475*44/12</f>
        <v>13.980140533001371</v>
      </c>
      <c r="EX137" s="23">
        <f>EXP(-LN(2)/2)*EX136+(1-EXP(-LN(2)/2))/(LN(2)/2)*ER137*EU137*VLOOKUP('Données projet'!$B$15,Paramètres!$A$1:$I$88,3,0)*0.475*44/12</f>
        <v>0</v>
      </c>
      <c r="EY137" s="24">
        <f t="shared" si="129"/>
        <v>35.725707089321219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854.99999999999989</v>
      </c>
      <c r="FF137" s="18">
        <f>FE137*VLOOKUP('Données projet'!$B$16,Paramètres!$A$1:$I$88,3,0)*VLOOKUP('Données projet'!$B$16,Paramètres!$A$1:$I$88,5,0)</f>
        <v>400.13999999999993</v>
      </c>
      <c r="FG137" s="14">
        <f t="shared" si="155"/>
        <v>91.805047494648534</v>
      </c>
      <c r="FH137" s="22">
        <f t="shared" si="130"/>
        <v>856.80429105317944</v>
      </c>
      <c r="FI137" s="62">
        <f t="shared" si="131"/>
        <v>1141.3516308578837</v>
      </c>
      <c r="FJ137" s="62">
        <f ca="1">AVERAGE(OFFSET($FI$3,0,0,'Données projet'!$E$16+1,1))-AVERAGE(OFFSET($H$3,0,0,'Données projet'!$E$16+1,1))</f>
        <v>429.87867712133851</v>
      </c>
      <c r="FK137" s="62">
        <f t="shared" si="156"/>
        <v>182.81277865988014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projet'!$B$16,Paramètres!$A$1:$I$88,3,0)*0.475*44/12</f>
        <v>25.934190339397126</v>
      </c>
      <c r="FR137" s="23">
        <f>EXP(-LN(2)/25)*FR136+(1-EXP(-LN(2)/25))/(LN(2)/25)*Calculateur!FM137*Calculateur!FO137*VLOOKUP('Données projet'!$B$16,Paramètres!$A$1:$I$88,3,0)*0.475*44/12</f>
        <v>17.722221560552388</v>
      </c>
      <c r="FS137" s="23">
        <f>EXP(-LN(2)/2)*FS136+(1-EXP(-LN(2)/2))/(LN(2)/2)*FM137*FP137*VLOOKUP('Données projet'!$B$16,Paramètres!$A$1:$I$88,3,0)*0.475*44/12</f>
        <v>0</v>
      </c>
      <c r="FT137" s="24">
        <f t="shared" si="132"/>
        <v>43.656411899949518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498.99999999999955</v>
      </c>
      <c r="GA137" s="18">
        <f>FZ137*VLOOKUP('Données projet'!$B$17,Paramètres!$A$1:$I$88,3,0)*VLOOKUP('Données projet'!$B$17,Paramètres!$A$1:$I$88,5,0)</f>
        <v>240.01899999999978</v>
      </c>
      <c r="GB137" s="14">
        <f t="shared" si="157"/>
        <v>58.443618405936313</v>
      </c>
      <c r="GC137" s="22">
        <f t="shared" si="133"/>
        <v>519.82239372367201</v>
      </c>
      <c r="GD137" s="62">
        <f t="shared" si="134"/>
        <v>804.36973352837629</v>
      </c>
      <c r="GE137" s="62">
        <f ca="1">AVERAGE(OFFSET($GD$3,0,0,'Données projet'!$E$17+1,1))-AVERAGE(OFFSET($H$3,0,0,'Données projet'!$E$17+1,1))</f>
        <v>273.24375559399846</v>
      </c>
      <c r="GF137" s="62">
        <f t="shared" si="158"/>
        <v>270.77718895097848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projet'!$B$17,Paramètres!$A$1:$I$88,3,0)*0.475*44/12</f>
        <v>11.104477860655992</v>
      </c>
      <c r="GM137" s="23">
        <f>EXP(-LN(2)/25)*GM136+(1-EXP(-LN(2)/25))/(LN(2)/25)*Calculateur!GH137*Calculateur!GJ137*VLOOKUP('Données projet'!$B$17,Paramètres!$A$1:$I$88,3,0)*0.475*44/12</f>
        <v>6.8185806722100057</v>
      </c>
      <c r="GN137" s="23">
        <f>EXP(-LN(2)/2)*GN136+(1-EXP(-LN(2)/2))/(LN(2)/2)*GH137*GK137*VLOOKUP('Données projet'!$B$17,Paramètres!$A$1:$I$88,3,0)*0.475*44/12</f>
        <v>0</v>
      </c>
      <c r="GO137" s="23">
        <f t="shared" si="135"/>
        <v>17.923058532865998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550.99999999999966</v>
      </c>
      <c r="O138" s="14">
        <f>N138*VLOOKUP('Données projet'!$B$9,Paramètres!$A$1:$I$88,3,0)*VLOOKUP('Données projet'!$B$9,Paramètres!$A$1:$I$88,5,0)</f>
        <v>308.00899999999979</v>
      </c>
      <c r="P138" s="14">
        <f t="shared" si="141"/>
        <v>72.852874331417695</v>
      </c>
      <c r="Q138" s="22">
        <f t="shared" si="108"/>
        <v>663.33443112721886</v>
      </c>
      <c r="R138" s="62">
        <f t="shared" si="109"/>
        <v>948.03418827710607</v>
      </c>
      <c r="S138" s="62">
        <f ca="1">AVERAGE(OFFSET($R$3,0,0,'Données projet'!$E$9+1,1))-AVERAGE(OFFSET($H$3,0,0,'Données projet'!$E$9+1,1))</f>
        <v>289.94242154211224</v>
      </c>
      <c r="T138" s="62">
        <f t="shared" si="142"/>
        <v>369.12599166143661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16.704520267963581</v>
      </c>
      <c r="AA138" s="23">
        <f>EXP(-LN(2)/25)*AA137+(1-EXP(-LN(2)/25))/(LN(2)/25)*Calculateur!V138*Calculateur!X138*VLOOKUP('Données projet'!$B$9,Paramètres!$A$1:$I$88,3,0)*0.475*44/12</f>
        <v>8.3526764160720983</v>
      </c>
      <c r="AB138" s="23">
        <f>EXP(-LN(2)/2)*AB137+(1-EXP(-LN(2)/2))/(LN(2)/2)*V138*Y138*VLOOKUP('Données projet'!$B$9,Paramètres!$A$1:$I$88,3,0)*0.475*44/12</f>
        <v>0</v>
      </c>
      <c r="AC138" s="24">
        <f t="shared" si="111"/>
        <v>25.057196684035681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6.7</v>
      </c>
      <c r="AI138" s="14">
        <f>IF('Données projet'!$A$62&gt;35,AI137+AH138-AQ137,IF(A138&lt;'Données projet'!$A$62,$AF$205^A138,IF(A138='Données projet'!$A$62,'Données projet'!$B$62,AI137+AH138-AQ137)))</f>
        <v>362.5000000000004</v>
      </c>
      <c r="AJ138" s="14">
        <f>AI138*VLOOKUP('Données projet'!$B$10,Paramètres!$A$1:$I$88,3,0)*VLOOKUP('Données projet'!$B$10,Paramètres!$A$1:$I$88,5,0)</f>
        <v>327.99000000000035</v>
      </c>
      <c r="AK138" s="14">
        <f t="shared" si="143"/>
        <v>77.013434829027688</v>
      </c>
      <c r="AL138" s="22">
        <f t="shared" si="112"/>
        <v>705.38098232722371</v>
      </c>
      <c r="AM138" s="62">
        <f t="shared" si="113"/>
        <v>990.08073947711091</v>
      </c>
      <c r="AN138" s="62">
        <f ca="1">AVERAGE(OFFSET($AM$3,0,0,'Données projet'!$E$10+1,1))-AVERAGE(OFFSET($H$3,0,0,'Données projet'!$E$10+1,1))</f>
        <v>518.31628039365785</v>
      </c>
      <c r="AO138" s="62">
        <f t="shared" si="144"/>
        <v>66.435071953154761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36.702720068362787</v>
      </c>
      <c r="AV138" s="23">
        <f>EXP(-LN(2)/25)*AV137+(1-EXP(-LN(2)/25))/(LN(2)/25)*Calculateur!AQ138*Calculateur!AS138*VLOOKUP('Données projet'!$B$10,Paramètres!$A$1:$I$88,3,0)*0.475*44/12</f>
        <v>0</v>
      </c>
      <c r="AW138" s="23">
        <f>EXP(-LN(2)/2)*AW137+(1-EXP(-LN(2)/2))/(LN(2)/2)*AQ138*AT138*VLOOKUP('Données projet'!$B$10,Paramètres!$A$1:$I$88,3,0)*0.475*44/12</f>
        <v>0</v>
      </c>
      <c r="AX138" s="23">
        <f t="shared" si="114"/>
        <v>36.702720068362787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6.7</v>
      </c>
      <c r="BD138" s="13">
        <f>IF('Données projet'!$A$88&gt;35,BD137+BC138-BL137,IF(A138&lt;'Données projet'!$A$88,$BA$205^A138,IF(A138='Données projet'!$A$88,'Données projet'!$B$88,BD137+BC138-BL137)))</f>
        <v>362.5000000000004</v>
      </c>
      <c r="BE138" s="14">
        <f>BD138*VLOOKUP('Données projet'!$B$11,Paramètres!$A$1:$I$88,3,0)*VLOOKUP('Données projet'!$B$11,Paramètres!$A$1:$I$88,5,0)</f>
        <v>367.57500000000039</v>
      </c>
      <c r="BF138" s="14">
        <f t="shared" si="145"/>
        <v>85.171002741369023</v>
      </c>
      <c r="BG138" s="22">
        <f t="shared" si="115"/>
        <v>788.53262144121834</v>
      </c>
      <c r="BH138" s="62">
        <f t="shared" si="116"/>
        <v>1073.2323785911055</v>
      </c>
      <c r="BI138" s="62">
        <f ca="1">AVERAGE(OFFSET($BH$3,0,0,'Données projet'!$E$11+1,1))-AVERAGE(OFFSET($H$3,0,0,'Données projet'!$E$11+1,1))</f>
        <v>570.2785736203931</v>
      </c>
      <c r="BJ138" s="62">
        <f t="shared" si="146"/>
        <v>67.677759965081719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41.132358697303125</v>
      </c>
      <c r="BQ138" s="23">
        <f>EXP(-LN(2)/25)*BQ137+(1-EXP(-LN(2)/25))/(LN(2)/25)*Calculateur!BL138*Calculateur!BN138*VLOOKUP('Données projet'!$B$11,Paramètres!$A$1:$I$88,3,0)*0.475*44/12</f>
        <v>0</v>
      </c>
      <c r="BR138" s="23">
        <f>EXP(-LN(2)/2)*BR137+(1-EXP(-LN(2)/2))/(LN(2)/2)*BL138*BO138*VLOOKUP('Données projet'!$B$11,Paramètres!$A$1:$I$88,3,0)*0.475*44/12</f>
        <v>0</v>
      </c>
      <c r="BS138" s="24">
        <f t="shared" si="117"/>
        <v>41.132358697303125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544.19999999999982</v>
      </c>
      <c r="BZ138" s="14">
        <f>BY138*VLOOKUP('Données projet'!$B$12,Paramètres!$A$1:$I$88,3,0)*VLOOKUP('Données projet'!$B$12,Paramètres!$A$1:$I$88,5,0)</f>
        <v>325.43159999999995</v>
      </c>
      <c r="CA138" s="14">
        <f t="shared" si="147"/>
        <v>76.482394221016762</v>
      </c>
      <c r="CB138" s="22">
        <f t="shared" si="118"/>
        <v>700.00020660160408</v>
      </c>
      <c r="CC138" s="62">
        <f t="shared" si="119"/>
        <v>984.69996375149117</v>
      </c>
      <c r="CD138" s="62">
        <f ca="1">AVERAGE(OFFSET($CC$3,0,0,'Données projet'!$E$12+1,1))-AVERAGE(OFFSET($H$3,0,0,'Données projet'!$E$12+1,1))</f>
        <v>401.1031790385295</v>
      </c>
      <c r="CE138" s="62">
        <f t="shared" si="148"/>
        <v>402.09589424130615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projet'!$B$12,Paramètres!$A$1:$I$88,3,0)*0.475*44/12</f>
        <v>4.6968084520494884</v>
      </c>
      <c r="CL138" s="23">
        <f>EXP(-LN(2)/25)*CL137+(1-EXP(-LN(2)/25))/(LN(2)/25)*Calculateur!CG138*Calculateur!CI138*VLOOKUP('Données projet'!$B$12,Paramètres!$A$1:$I$88,3,0)*0.475*44/12</f>
        <v>0</v>
      </c>
      <c r="CM138" s="23">
        <f>EXP(-LN(2)/2)*CM137+(1-EXP(-LN(2)/2))/(LN(2)/2)*CG138*CJ138*VLOOKUP('Données projet'!$B$12,Paramètres!$A$1:$I$88,3,0)*0.475*44/12</f>
        <v>2.1358311797272914E-11</v>
      </c>
      <c r="CN138" s="24">
        <f t="shared" si="120"/>
        <v>4.6968084520708464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544.19999999999982</v>
      </c>
      <c r="CU138" s="18">
        <f>CT138*VLOOKUP('Données projet'!$B$13,Paramètres!$A$1:$I$88,3,0)*VLOOKUP('Données projet'!$B$13,Paramètres!$A$1:$I$88,5,0)</f>
        <v>325.43159999999995</v>
      </c>
      <c r="CV138" s="14">
        <f t="shared" si="149"/>
        <v>76.482394221016762</v>
      </c>
      <c r="CW138" s="22">
        <f t="shared" si="121"/>
        <v>700.00020660160408</v>
      </c>
      <c r="CX138" s="62">
        <f t="shared" si="122"/>
        <v>984.69996375149117</v>
      </c>
      <c r="CY138" s="62">
        <f ca="1">AVERAGE(OFFSET($CX$3,0,0,'Données projet'!$E$13+1,1))-AVERAGE(OFFSET($H$3,0,0,'Données projet'!$E$13+1,1))</f>
        <v>401.1031790385295</v>
      </c>
      <c r="CZ138" s="62">
        <f t="shared" si="150"/>
        <v>402.09589424130615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projet'!$B$13,Paramètres!$A$1:$I$88,3,0)*0.475*44/12</f>
        <v>4.6968084520494884</v>
      </c>
      <c r="DG138" s="23">
        <f>EXP(-LN(2)/25)*DG137+(1-EXP(-LN(2)/25))/(LN(2)/25)*Calculateur!DB138*Calculateur!DD138*VLOOKUP('Données projet'!$B$13,Paramètres!$A$1:$I$88,3,0)*0.475*44/12</f>
        <v>0</v>
      </c>
      <c r="DH138" s="23">
        <f>EXP(-LN(2)/2)*DH137+(1-EXP(-LN(2)/2))/(LN(2)/2)*DB138*DE138*VLOOKUP('Données projet'!$B$13,Paramètres!$A$1:$I$88,3,0)*0.475*44/12</f>
        <v>2.1358311797272914E-11</v>
      </c>
      <c r="DI138" s="24">
        <f t="shared" si="123"/>
        <v>4.6968084520708464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860.00000000000023</v>
      </c>
      <c r="DP138" s="18">
        <f>DO138*VLOOKUP('Données projet'!$B$14,Paramètres!$A$1:$I$88,3,0)*VLOOKUP('Données projet'!$B$14,Paramètres!$A$1:$I$88,5,0)</f>
        <v>346.5800000000001</v>
      </c>
      <c r="DQ138" s="14">
        <f t="shared" si="151"/>
        <v>80.857895771535127</v>
      </c>
      <c r="DR138" s="22">
        <f t="shared" si="124"/>
        <v>744.45433513542378</v>
      </c>
      <c r="DS138" s="62">
        <f t="shared" si="125"/>
        <v>1029.154092285311</v>
      </c>
      <c r="DT138" s="62">
        <f ca="1">AVERAGE(OFFSET($DS$3,0,0,'Données projet'!$E$14+1,1))-AVERAGE(OFFSET($H$3,0,0,'Données projet'!$E$14+1,1))</f>
        <v>432.59662347701629</v>
      </c>
      <c r="DU138" s="62">
        <f t="shared" si="152"/>
        <v>348.67401091099748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projet'!$B$14,Paramètres!$A$1:$I$88,3,0)*0.475*44/12</f>
        <v>21.157535207922557</v>
      </c>
      <c r="EB138" s="23">
        <f>EXP(-LN(2)/25)*EB137+(1-EXP(-LN(2)/25))/(LN(2)/25)*Calculateur!DW138*Calculateur!DY138*VLOOKUP('Données projet'!$B$14,Paramètres!$A$1:$I$88,3,0)*0.475*44/12</f>
        <v>15.132637675965883</v>
      </c>
      <c r="EC138" s="23">
        <f>EXP(-LN(2)/2)*EC137+(1-EXP(-LN(2)/2))/(LN(2)/2)*DW138*DZ138*VLOOKUP('Données projet'!$B$14,Paramètres!$A$1:$I$88,3,0)*0.475*44/12</f>
        <v>0</v>
      </c>
      <c r="ED138" s="24">
        <f t="shared" si="126"/>
        <v>36.290172883888438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1099.9999999999998</v>
      </c>
      <c r="EK138" s="18">
        <f>EJ138*VLOOKUP('Données projet'!$B$15,Paramètres!$A$1:$I$88,3,0)*VLOOKUP('Données projet'!$B$15,Paramètres!$A$1:$I$88,5,0)</f>
        <v>486.19999999999993</v>
      </c>
      <c r="EL138" s="14">
        <f t="shared" si="153"/>
        <v>109.0490179035375</v>
      </c>
      <c r="EM138" s="22">
        <f t="shared" si="127"/>
        <v>1036.725372848661</v>
      </c>
      <c r="EN138" s="62">
        <f t="shared" si="128"/>
        <v>1321.4251299985481</v>
      </c>
      <c r="EO138" s="62">
        <f ca="1">AVERAGE(OFFSET($EN$3,0,0,'Données projet'!$E$15+1,1))-AVERAGE(OFFSET($H$3,0,0,'Données projet'!$E$15+1,1))</f>
        <v>582.26951914082088</v>
      </c>
      <c r="EP138" s="62">
        <f t="shared" si="154"/>
        <v>434.80429932654715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projet'!$B$15,Paramètres!$A$1:$I$88,3,0)*0.475*44/12</f>
        <v>21.319149259636358</v>
      </c>
      <c r="EW138" s="23">
        <f>EXP(-LN(2)/25)*EW137+(1-EXP(-LN(2)/25))/(LN(2)/25)*Calculateur!ER138*Calculateur!ET138*VLOOKUP('Données projet'!$B$15,Paramètres!$A$1:$I$88,3,0)*0.475*44/12</f>
        <v>13.597852854942811</v>
      </c>
      <c r="EX138" s="23">
        <f>EXP(-LN(2)/2)*EX137+(1-EXP(-LN(2)/2))/(LN(2)/2)*ER138*EU138*VLOOKUP('Données projet'!$B$15,Paramètres!$A$1:$I$88,3,0)*0.475*44/12</f>
        <v>0</v>
      </c>
      <c r="EY138" s="24">
        <f t="shared" si="129"/>
        <v>34.917002114579169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854.99999999999989</v>
      </c>
      <c r="FF138" s="18">
        <f>FE138*VLOOKUP('Données projet'!$B$16,Paramètres!$A$1:$I$88,3,0)*VLOOKUP('Données projet'!$B$16,Paramètres!$A$1:$I$88,5,0)</f>
        <v>400.13999999999993</v>
      </c>
      <c r="FG138" s="14">
        <f t="shared" si="155"/>
        <v>91.805047494648534</v>
      </c>
      <c r="FH138" s="22">
        <f t="shared" si="130"/>
        <v>856.80429105317944</v>
      </c>
      <c r="FI138" s="62">
        <f t="shared" si="131"/>
        <v>1141.5040482030665</v>
      </c>
      <c r="FJ138" s="62">
        <f ca="1">AVERAGE(OFFSET($FI$3,0,0,'Données projet'!$E$16+1,1))-AVERAGE(OFFSET($H$3,0,0,'Données projet'!$E$16+1,1))</f>
        <v>429.87867712133851</v>
      </c>
      <c r="FK138" s="62">
        <f t="shared" si="156"/>
        <v>182.81277865988014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projet'!$B$16,Paramètres!$A$1:$I$88,3,0)*0.475*44/12</f>
        <v>25.425636685135728</v>
      </c>
      <c r="FR138" s="23">
        <f>EXP(-LN(2)/25)*FR137+(1-EXP(-LN(2)/25))/(LN(2)/25)*Calculateur!FM138*Calculateur!FO138*VLOOKUP('Données projet'!$B$16,Paramètres!$A$1:$I$88,3,0)*0.475*44/12</f>
        <v>17.237606480007955</v>
      </c>
      <c r="FS138" s="23">
        <f>EXP(-LN(2)/2)*FS137+(1-EXP(-LN(2)/2))/(LN(2)/2)*FM138*FP138*VLOOKUP('Données projet'!$B$16,Paramètres!$A$1:$I$88,3,0)*0.475*44/12</f>
        <v>0</v>
      </c>
      <c r="FT138" s="24">
        <f t="shared" si="132"/>
        <v>42.663243165143683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498.99999999999955</v>
      </c>
      <c r="GA138" s="18">
        <f>FZ138*VLOOKUP('Données projet'!$B$17,Paramètres!$A$1:$I$88,3,0)*VLOOKUP('Données projet'!$B$17,Paramètres!$A$1:$I$88,5,0)</f>
        <v>240.01899999999978</v>
      </c>
      <c r="GB138" s="14">
        <f t="shared" si="157"/>
        <v>58.443618405936313</v>
      </c>
      <c r="GC138" s="22">
        <f t="shared" si="133"/>
        <v>519.82239372367201</v>
      </c>
      <c r="GD138" s="62">
        <f t="shared" si="134"/>
        <v>804.52215087355921</v>
      </c>
      <c r="GE138" s="62">
        <f ca="1">AVERAGE(OFFSET($GD$3,0,0,'Données projet'!$E$17+1,1))-AVERAGE(OFFSET($H$3,0,0,'Données projet'!$E$17+1,1))</f>
        <v>273.24375559399846</v>
      </c>
      <c r="GF138" s="62">
        <f t="shared" si="158"/>
        <v>270.77718895097848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projet'!$B$17,Paramètres!$A$1:$I$88,3,0)*0.475*44/12</f>
        <v>10.886725822871238</v>
      </c>
      <c r="GM138" s="23">
        <f>EXP(-LN(2)/25)*GM137+(1-EXP(-LN(2)/25))/(LN(2)/25)*Calculateur!GH138*Calculateur!GJ138*VLOOKUP('Données projet'!$B$17,Paramètres!$A$1:$I$88,3,0)*0.475*44/12</f>
        <v>6.6321262251548498</v>
      </c>
      <c r="GN138" s="23">
        <f>EXP(-LN(2)/2)*GN137+(1-EXP(-LN(2)/2))/(LN(2)/2)*GH138*GK138*VLOOKUP('Données projet'!$B$17,Paramètres!$A$1:$I$88,3,0)*0.475*44/12</f>
        <v>0</v>
      </c>
      <c r="GO138" s="23">
        <f t="shared" si="135"/>
        <v>17.518852048026087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550.99999999999966</v>
      </c>
      <c r="O139" s="14">
        <f>N139*VLOOKUP('Données projet'!$B$9,Paramètres!$A$1:$I$88,3,0)*VLOOKUP('Données projet'!$B$9,Paramètres!$A$1:$I$88,5,0)</f>
        <v>308.00899999999979</v>
      </c>
      <c r="P139" s="14">
        <f t="shared" si="141"/>
        <v>72.852874331417695</v>
      </c>
      <c r="Q139" s="22">
        <f t="shared" si="108"/>
        <v>663.33443112721886</v>
      </c>
      <c r="R139" s="62">
        <f t="shared" si="109"/>
        <v>948.18396152210403</v>
      </c>
      <c r="S139" s="62">
        <f ca="1">AVERAGE(OFFSET($R$3,0,0,'Données projet'!$E$9+1,1))-AVERAGE(OFFSET($H$3,0,0,'Données projet'!$E$9+1,1))</f>
        <v>289.94242154211224</v>
      </c>
      <c r="T139" s="62">
        <f t="shared" si="142"/>
        <v>369.12599166143661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16.376954814260124</v>
      </c>
      <c r="AA139" s="23">
        <f>EXP(-LN(2)/25)*AA138+(1-EXP(-LN(2)/25))/(LN(2)/25)*Calculateur!V139*Calculateur!X139*VLOOKUP('Données projet'!$B$9,Paramètres!$A$1:$I$88,3,0)*0.475*44/12</f>
        <v>8.1242720402264439</v>
      </c>
      <c r="AB139" s="23">
        <f>EXP(-LN(2)/2)*AB138+(1-EXP(-LN(2)/2))/(LN(2)/2)*V139*Y139*VLOOKUP('Données projet'!$B$9,Paramètres!$A$1:$I$88,3,0)*0.475*44/12</f>
        <v>0</v>
      </c>
      <c r="AC139" s="24">
        <f t="shared" si="111"/>
        <v>24.501226854486568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6.7</v>
      </c>
      <c r="AI139" s="14">
        <f>IF('Données projet'!$A$62&gt;35,AI138+AH139-AQ138,IF(A139&lt;'Données projet'!$A$62,$AF$205^A139,IF(A139='Données projet'!$A$62,'Données projet'!$B$62,AI138+AH139-AQ138)))</f>
        <v>369.20000000000039</v>
      </c>
      <c r="AJ139" s="14">
        <f>AI139*VLOOKUP('Données projet'!$B$10,Paramètres!$A$1:$I$88,3,0)*VLOOKUP('Données projet'!$B$10,Paramètres!$A$1:$I$88,5,0)</f>
        <v>334.05216000000036</v>
      </c>
      <c r="AK139" s="14">
        <f t="shared" si="143"/>
        <v>78.269825657864502</v>
      </c>
      <c r="AL139" s="22">
        <f t="shared" si="112"/>
        <v>718.12745835411454</v>
      </c>
      <c r="AM139" s="62">
        <f t="shared" si="113"/>
        <v>1002.9769887489997</v>
      </c>
      <c r="AN139" s="62">
        <f ca="1">AVERAGE(OFFSET($AM$3,0,0,'Données projet'!$E$10+1,1))-AVERAGE(OFFSET($H$3,0,0,'Données projet'!$E$10+1,1))</f>
        <v>518.31628039365785</v>
      </c>
      <c r="AO139" s="62">
        <f t="shared" si="144"/>
        <v>66.435071953154761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35.983002114270953</v>
      </c>
      <c r="AV139" s="23">
        <f>EXP(-LN(2)/25)*AV138+(1-EXP(-LN(2)/25))/(LN(2)/25)*Calculateur!AQ139*Calculateur!AS139*VLOOKUP('Données projet'!$B$10,Paramètres!$A$1:$I$88,3,0)*0.475*44/12</f>
        <v>0</v>
      </c>
      <c r="AW139" s="23">
        <f>EXP(-LN(2)/2)*AW138+(1-EXP(-LN(2)/2))/(LN(2)/2)*AQ139*AT139*VLOOKUP('Données projet'!$B$10,Paramètres!$A$1:$I$88,3,0)*0.475*44/12</f>
        <v>0</v>
      </c>
      <c r="AX139" s="23">
        <f t="shared" si="114"/>
        <v>35.983002114270953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6.7</v>
      </c>
      <c r="BD139" s="13">
        <f>IF('Données projet'!$A$88&gt;35,BD138+BC139-BL138,IF(A139&lt;'Données projet'!$A$88,$BA$205^A139,IF(A139='Données projet'!$A$88,'Données projet'!$B$88,BD138+BC139-BL138)))</f>
        <v>369.20000000000039</v>
      </c>
      <c r="BE139" s="14">
        <f>BD139*VLOOKUP('Données projet'!$B$11,Paramètres!$A$1:$I$88,3,0)*VLOOKUP('Données projet'!$B$11,Paramètres!$A$1:$I$88,5,0)</f>
        <v>374.36880000000042</v>
      </c>
      <c r="BF139" s="14">
        <f t="shared" si="145"/>
        <v>86.560475460832222</v>
      </c>
      <c r="BG139" s="22">
        <f t="shared" si="115"/>
        <v>802.78515476095015</v>
      </c>
      <c r="BH139" s="62">
        <f t="shared" si="116"/>
        <v>1087.6346851558353</v>
      </c>
      <c r="BI139" s="62">
        <f ca="1">AVERAGE(OFFSET($BH$3,0,0,'Données projet'!$E$11+1,1))-AVERAGE(OFFSET($H$3,0,0,'Données projet'!$E$11+1,1))</f>
        <v>570.2785736203931</v>
      </c>
      <c r="BJ139" s="62">
        <f t="shared" si="146"/>
        <v>67.677759965081719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40.325778231510554</v>
      </c>
      <c r="BQ139" s="23">
        <f>EXP(-LN(2)/25)*BQ138+(1-EXP(-LN(2)/25))/(LN(2)/25)*Calculateur!BL139*Calculateur!BN139*VLOOKUP('Données projet'!$B$11,Paramètres!$A$1:$I$88,3,0)*0.475*44/12</f>
        <v>0</v>
      </c>
      <c r="BR139" s="23">
        <f>EXP(-LN(2)/2)*BR138+(1-EXP(-LN(2)/2))/(LN(2)/2)*BL139*BO139*VLOOKUP('Données projet'!$B$11,Paramètres!$A$1:$I$88,3,0)*0.475*44/12</f>
        <v>0</v>
      </c>
      <c r="BS139" s="24">
        <f t="shared" si="117"/>
        <v>40.325778231510554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544.19999999999982</v>
      </c>
      <c r="BZ139" s="14">
        <f>BY139*VLOOKUP('Données projet'!$B$12,Paramètres!$A$1:$I$88,3,0)*VLOOKUP('Données projet'!$B$12,Paramètres!$A$1:$I$88,5,0)</f>
        <v>325.43159999999995</v>
      </c>
      <c r="CA139" s="14">
        <f t="shared" si="147"/>
        <v>76.482394221016762</v>
      </c>
      <c r="CB139" s="22">
        <f t="shared" si="118"/>
        <v>700.00020660160408</v>
      </c>
      <c r="CC139" s="62">
        <f t="shared" si="119"/>
        <v>984.84973699648936</v>
      </c>
      <c r="CD139" s="62">
        <f ca="1">AVERAGE(OFFSET($CC$3,0,0,'Données projet'!$E$12+1,1))-AVERAGE(OFFSET($H$3,0,0,'Données projet'!$E$12+1,1))</f>
        <v>401.1031790385295</v>
      </c>
      <c r="CE139" s="62">
        <f t="shared" si="148"/>
        <v>402.09589424130615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projet'!$B$12,Paramètres!$A$1:$I$88,3,0)*0.475*44/12</f>
        <v>4.6047069030750807</v>
      </c>
      <c r="CL139" s="23">
        <f>EXP(-LN(2)/25)*CL138+(1-EXP(-LN(2)/25))/(LN(2)/25)*Calculateur!CG139*Calculateur!CI139*VLOOKUP('Données projet'!$B$12,Paramètres!$A$1:$I$88,3,0)*0.475*44/12</f>
        <v>0</v>
      </c>
      <c r="CM139" s="23">
        <f>EXP(-LN(2)/2)*CM138+(1-EXP(-LN(2)/2))/(LN(2)/2)*CG139*CJ139*VLOOKUP('Données projet'!$B$12,Paramètres!$A$1:$I$88,3,0)*0.475*44/12</f>
        <v>1.5102607106548315E-11</v>
      </c>
      <c r="CN139" s="24">
        <f t="shared" si="120"/>
        <v>4.6047069030901833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544.19999999999982</v>
      </c>
      <c r="CU139" s="18">
        <f>CT139*VLOOKUP('Données projet'!$B$13,Paramètres!$A$1:$I$88,3,0)*VLOOKUP('Données projet'!$B$13,Paramètres!$A$1:$I$88,5,0)</f>
        <v>325.43159999999995</v>
      </c>
      <c r="CV139" s="14">
        <f t="shared" si="149"/>
        <v>76.482394221016762</v>
      </c>
      <c r="CW139" s="22">
        <f t="shared" si="121"/>
        <v>700.00020660160408</v>
      </c>
      <c r="CX139" s="62">
        <f t="shared" si="122"/>
        <v>984.84973699648936</v>
      </c>
      <c r="CY139" s="62">
        <f ca="1">AVERAGE(OFFSET($CX$3,0,0,'Données projet'!$E$13+1,1))-AVERAGE(OFFSET($H$3,0,0,'Données projet'!$E$13+1,1))</f>
        <v>401.1031790385295</v>
      </c>
      <c r="CZ139" s="62">
        <f t="shared" si="150"/>
        <v>402.09589424130615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projet'!$B$13,Paramètres!$A$1:$I$88,3,0)*0.475*44/12</f>
        <v>4.6047069030750807</v>
      </c>
      <c r="DG139" s="23">
        <f>EXP(-LN(2)/25)*DG138+(1-EXP(-LN(2)/25))/(LN(2)/25)*Calculateur!DB139*Calculateur!DD139*VLOOKUP('Données projet'!$B$13,Paramètres!$A$1:$I$88,3,0)*0.475*44/12</f>
        <v>0</v>
      </c>
      <c r="DH139" s="23">
        <f>EXP(-LN(2)/2)*DH138+(1-EXP(-LN(2)/2))/(LN(2)/2)*DB139*DE139*VLOOKUP('Données projet'!$B$13,Paramètres!$A$1:$I$88,3,0)*0.475*44/12</f>
        <v>1.5102607106548315E-11</v>
      </c>
      <c r="DI139" s="24">
        <f t="shared" si="123"/>
        <v>4.6047069030901833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860.00000000000023</v>
      </c>
      <c r="DP139" s="18">
        <f>DO139*VLOOKUP('Données projet'!$B$14,Paramètres!$A$1:$I$88,3,0)*VLOOKUP('Données projet'!$B$14,Paramètres!$A$1:$I$88,5,0)</f>
        <v>346.5800000000001</v>
      </c>
      <c r="DQ139" s="14">
        <f t="shared" si="151"/>
        <v>80.857895771535127</v>
      </c>
      <c r="DR139" s="22">
        <f t="shared" si="124"/>
        <v>744.45433513542378</v>
      </c>
      <c r="DS139" s="62">
        <f t="shared" si="125"/>
        <v>1029.3038655303089</v>
      </c>
      <c r="DT139" s="62">
        <f ca="1">AVERAGE(OFFSET($DS$3,0,0,'Données projet'!$E$14+1,1))-AVERAGE(OFFSET($H$3,0,0,'Données projet'!$E$14+1,1))</f>
        <v>432.59662347701629</v>
      </c>
      <c r="DU139" s="62">
        <f t="shared" si="152"/>
        <v>348.67401091099748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projet'!$B$14,Paramètres!$A$1:$I$88,3,0)*0.475*44/12</f>
        <v>20.742648847317426</v>
      </c>
      <c r="EB139" s="23">
        <f>EXP(-LN(2)/25)*EB138+(1-EXP(-LN(2)/25))/(LN(2)/25)*Calculateur!DW139*Calculateur!DY139*VLOOKUP('Données projet'!$B$14,Paramètres!$A$1:$I$88,3,0)*0.475*44/12</f>
        <v>14.718834902925767</v>
      </c>
      <c r="EC139" s="23">
        <f>EXP(-LN(2)/2)*EC138+(1-EXP(-LN(2)/2))/(LN(2)/2)*DW139*DZ139*VLOOKUP('Données projet'!$B$14,Paramètres!$A$1:$I$88,3,0)*0.475*44/12</f>
        <v>0</v>
      </c>
      <c r="ED139" s="24">
        <f t="shared" si="126"/>
        <v>35.46148375024319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1099.9999999999998</v>
      </c>
      <c r="EK139" s="18">
        <f>EJ139*VLOOKUP('Données projet'!$B$15,Paramètres!$A$1:$I$88,3,0)*VLOOKUP('Données projet'!$B$15,Paramètres!$A$1:$I$88,5,0)</f>
        <v>486.19999999999993</v>
      </c>
      <c r="EL139" s="14">
        <f t="shared" si="153"/>
        <v>109.0490179035375</v>
      </c>
      <c r="EM139" s="22">
        <f t="shared" si="127"/>
        <v>1036.725372848661</v>
      </c>
      <c r="EN139" s="62">
        <f t="shared" si="128"/>
        <v>1321.5749032435463</v>
      </c>
      <c r="EO139" s="62">
        <f ca="1">AVERAGE(OFFSET($EN$3,0,0,'Données projet'!$E$15+1,1))-AVERAGE(OFFSET($H$3,0,0,'Données projet'!$E$15+1,1))</f>
        <v>582.26951914082088</v>
      </c>
      <c r="EP139" s="62">
        <f t="shared" si="154"/>
        <v>434.80429932654715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projet'!$B$15,Paramètres!$A$1:$I$88,3,0)*0.475*44/12</f>
        <v>20.901093746051959</v>
      </c>
      <c r="EW139" s="23">
        <f>EXP(-LN(2)/25)*EW138+(1-EXP(-LN(2)/25))/(LN(2)/25)*Calculateur!ER139*Calculateur!ET139*VLOOKUP('Données projet'!$B$15,Paramètres!$A$1:$I$88,3,0)*0.475*44/12</f>
        <v>13.226018853544396</v>
      </c>
      <c r="EX139" s="23">
        <f>EXP(-LN(2)/2)*EX138+(1-EXP(-LN(2)/2))/(LN(2)/2)*ER139*EU139*VLOOKUP('Données projet'!$B$15,Paramètres!$A$1:$I$88,3,0)*0.475*44/12</f>
        <v>0</v>
      </c>
      <c r="EY139" s="24">
        <f t="shared" si="129"/>
        <v>34.127112599596359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854.99999999999989</v>
      </c>
      <c r="FF139" s="18">
        <f>FE139*VLOOKUP('Données projet'!$B$16,Paramètres!$A$1:$I$88,3,0)*VLOOKUP('Données projet'!$B$16,Paramètres!$A$1:$I$88,5,0)</f>
        <v>400.13999999999993</v>
      </c>
      <c r="FG139" s="14">
        <f t="shared" si="155"/>
        <v>91.805047494648534</v>
      </c>
      <c r="FH139" s="22">
        <f t="shared" si="130"/>
        <v>856.80429105317944</v>
      </c>
      <c r="FI139" s="62">
        <f t="shared" si="131"/>
        <v>1141.6538214480647</v>
      </c>
      <c r="FJ139" s="62">
        <f ca="1">AVERAGE(OFFSET($FI$3,0,0,'Données projet'!$E$16+1,1))-AVERAGE(OFFSET($H$3,0,0,'Données projet'!$E$16+1,1))</f>
        <v>429.87867712133851</v>
      </c>
      <c r="FK139" s="62">
        <f t="shared" si="156"/>
        <v>182.81277865988014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projet'!$B$16,Paramètres!$A$1:$I$88,3,0)*0.475*44/12</f>
        <v>24.927055457847295</v>
      </c>
      <c r="FR139" s="23">
        <f>EXP(-LN(2)/25)*FR138+(1-EXP(-LN(2)/25))/(LN(2)/25)*Calculateur!FM139*Calculateur!FO139*VLOOKUP('Données projet'!$B$16,Paramètres!$A$1:$I$88,3,0)*0.475*44/12</f>
        <v>16.766243224325809</v>
      </c>
      <c r="FS139" s="23">
        <f>EXP(-LN(2)/2)*FS138+(1-EXP(-LN(2)/2))/(LN(2)/2)*FM139*FP139*VLOOKUP('Données projet'!$B$16,Paramètres!$A$1:$I$88,3,0)*0.475*44/12</f>
        <v>0</v>
      </c>
      <c r="FT139" s="24">
        <f t="shared" si="132"/>
        <v>41.693298682173108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498.99999999999955</v>
      </c>
      <c r="GA139" s="18">
        <f>FZ139*VLOOKUP('Données projet'!$B$17,Paramètres!$A$1:$I$88,3,0)*VLOOKUP('Données projet'!$B$17,Paramètres!$A$1:$I$88,5,0)</f>
        <v>240.01899999999978</v>
      </c>
      <c r="GB139" s="14">
        <f t="shared" si="157"/>
        <v>58.443618405936313</v>
      </c>
      <c r="GC139" s="22">
        <f t="shared" si="133"/>
        <v>519.82239372367201</v>
      </c>
      <c r="GD139" s="62">
        <f t="shared" si="134"/>
        <v>804.67192411855717</v>
      </c>
      <c r="GE139" s="62">
        <f ca="1">AVERAGE(OFFSET($GD$3,0,0,'Données projet'!$E$17+1,1))-AVERAGE(OFFSET($H$3,0,0,'Données projet'!$E$17+1,1))</f>
        <v>273.24375559399846</v>
      </c>
      <c r="GF139" s="62">
        <f t="shared" si="158"/>
        <v>270.77718895097848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projet'!$B$17,Paramètres!$A$1:$I$88,3,0)*0.475*44/12</f>
        <v>10.673243769731815</v>
      </c>
      <c r="GM139" s="23">
        <f>EXP(-LN(2)/25)*GM138+(1-EXP(-LN(2)/25))/(LN(2)/25)*Calculateur!GH139*Calculateur!GJ139*VLOOKUP('Données projet'!$B$17,Paramètres!$A$1:$I$88,3,0)*0.475*44/12</f>
        <v>6.4507703847596298</v>
      </c>
      <c r="GN139" s="23">
        <f>EXP(-LN(2)/2)*GN138+(1-EXP(-LN(2)/2))/(LN(2)/2)*GH139*GK139*VLOOKUP('Données projet'!$B$17,Paramètres!$A$1:$I$88,3,0)*0.475*44/12</f>
        <v>0</v>
      </c>
      <c r="GO139" s="23">
        <f t="shared" si="135"/>
        <v>17.124014154491444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550.99999999999966</v>
      </c>
      <c r="O140" s="14">
        <f>N140*VLOOKUP('Données projet'!$B$9,Paramètres!$A$1:$I$88,3,0)*VLOOKUP('Données projet'!$B$9,Paramètres!$A$1:$I$88,5,0)</f>
        <v>308.00899999999979</v>
      </c>
      <c r="P140" s="14">
        <f t="shared" si="141"/>
        <v>72.852874331417695</v>
      </c>
      <c r="Q140" s="22">
        <f t="shared" si="108"/>
        <v>663.33443112721886</v>
      </c>
      <c r="R140" s="62">
        <f t="shared" si="109"/>
        <v>948.33113653614419</v>
      </c>
      <c r="S140" s="62">
        <f ca="1">AVERAGE(OFFSET($R$3,0,0,'Données projet'!$E$9+1,1))-AVERAGE(OFFSET($H$3,0,0,'Données projet'!$E$9+1,1))</f>
        <v>289.94242154211224</v>
      </c>
      <c r="T140" s="62">
        <f t="shared" si="142"/>
        <v>369.12599166143661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16.055812719308591</v>
      </c>
      <c r="AA140" s="23">
        <f>EXP(-LN(2)/25)*AA139+(1-EXP(-LN(2)/25))/(LN(2)/25)*Calculateur!V140*Calculateur!X140*VLOOKUP('Données projet'!$B$9,Paramètres!$A$1:$I$88,3,0)*0.475*44/12</f>
        <v>7.9021133940495538</v>
      </c>
      <c r="AB140" s="23">
        <f>EXP(-LN(2)/2)*AB139+(1-EXP(-LN(2)/2))/(LN(2)/2)*V140*Y140*VLOOKUP('Données projet'!$B$9,Paramètres!$A$1:$I$88,3,0)*0.475*44/12</f>
        <v>0</v>
      </c>
      <c r="AC140" s="24">
        <f t="shared" si="111"/>
        <v>23.957926113358145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6.7</v>
      </c>
      <c r="AI140" s="14">
        <f>IF('Données projet'!$A$62&gt;35,AI139+AH140-AQ139,IF(A140&lt;'Données projet'!$A$62,$AF$205^A140,IF(A140='Données projet'!$A$62,'Données projet'!$B$62,AI139+AH140-AQ139)))</f>
        <v>375.90000000000038</v>
      </c>
      <c r="AJ140" s="14">
        <f>AI140*VLOOKUP('Données projet'!$B$10,Paramètres!$A$1:$I$88,3,0)*VLOOKUP('Données projet'!$B$10,Paramètres!$A$1:$I$88,5,0)</f>
        <v>340.1143200000003</v>
      </c>
      <c r="AK140" s="14">
        <f t="shared" si="143"/>
        <v>79.523565195450729</v>
      </c>
      <c r="AL140" s="22">
        <f t="shared" si="112"/>
        <v>730.86931671541049</v>
      </c>
      <c r="AM140" s="62">
        <f t="shared" si="113"/>
        <v>1015.8660221243358</v>
      </c>
      <c r="AN140" s="62">
        <f ca="1">AVERAGE(OFFSET($AM$3,0,0,'Données projet'!$E$10+1,1))-AVERAGE(OFFSET($H$3,0,0,'Données projet'!$E$10+1,1))</f>
        <v>518.31628039365785</v>
      </c>
      <c r="AO140" s="62">
        <f t="shared" si="144"/>
        <v>66.435071953154761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35.27739739027426</v>
      </c>
      <c r="AV140" s="23">
        <f>EXP(-LN(2)/25)*AV139+(1-EXP(-LN(2)/25))/(LN(2)/25)*Calculateur!AQ140*Calculateur!AS140*VLOOKUP('Données projet'!$B$10,Paramètres!$A$1:$I$88,3,0)*0.475*44/12</f>
        <v>0</v>
      </c>
      <c r="AW140" s="23">
        <f>EXP(-LN(2)/2)*AW139+(1-EXP(-LN(2)/2))/(LN(2)/2)*AQ140*AT140*VLOOKUP('Données projet'!$B$10,Paramètres!$A$1:$I$88,3,0)*0.475*44/12</f>
        <v>0</v>
      </c>
      <c r="AX140" s="23">
        <f t="shared" si="114"/>
        <v>35.27739739027426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6.7</v>
      </c>
      <c r="BD140" s="13">
        <f>IF('Données projet'!$A$88&gt;35,BD139+BC140-BL139,IF(A140&lt;'Données projet'!$A$88,$BA$205^A140,IF(A140='Données projet'!$A$88,'Données projet'!$B$88,BD139+BC140-BL139)))</f>
        <v>375.90000000000038</v>
      </c>
      <c r="BE140" s="14">
        <f>BD140*VLOOKUP('Données projet'!$B$11,Paramètres!$A$1:$I$88,3,0)*VLOOKUP('Données projet'!$B$11,Paramètres!$A$1:$I$88,5,0)</f>
        <v>381.16260000000045</v>
      </c>
      <c r="BF140" s="14">
        <f t="shared" si="145"/>
        <v>87.947016053779137</v>
      </c>
      <c r="BG140" s="22">
        <f t="shared" si="115"/>
        <v>817.03258129366611</v>
      </c>
      <c r="BH140" s="62">
        <f t="shared" si="116"/>
        <v>1102.0292867025914</v>
      </c>
      <c r="BI140" s="62">
        <f ca="1">AVERAGE(OFFSET($BH$3,0,0,'Données projet'!$E$11+1,1))-AVERAGE(OFFSET($H$3,0,0,'Données projet'!$E$11+1,1))</f>
        <v>570.2785736203931</v>
      </c>
      <c r="BJ140" s="62">
        <f t="shared" si="146"/>
        <v>67.677759965081719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39.53501431668667</v>
      </c>
      <c r="BQ140" s="23">
        <f>EXP(-LN(2)/25)*BQ139+(1-EXP(-LN(2)/25))/(LN(2)/25)*Calculateur!BL140*Calculateur!BN140*VLOOKUP('Données projet'!$B$11,Paramètres!$A$1:$I$88,3,0)*0.475*44/12</f>
        <v>0</v>
      </c>
      <c r="BR140" s="23">
        <f>EXP(-LN(2)/2)*BR139+(1-EXP(-LN(2)/2))/(LN(2)/2)*BL140*BO140*VLOOKUP('Données projet'!$B$11,Paramètres!$A$1:$I$88,3,0)*0.475*44/12</f>
        <v>0</v>
      </c>
      <c r="BS140" s="24">
        <f t="shared" si="117"/>
        <v>39.53501431668667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544.19999999999982</v>
      </c>
      <c r="BZ140" s="14">
        <f>BY140*VLOOKUP('Données projet'!$B$12,Paramètres!$A$1:$I$88,3,0)*VLOOKUP('Données projet'!$B$12,Paramètres!$A$1:$I$88,5,0)</f>
        <v>325.43159999999995</v>
      </c>
      <c r="CA140" s="14">
        <f t="shared" si="147"/>
        <v>76.482394221016762</v>
      </c>
      <c r="CB140" s="22">
        <f t="shared" si="118"/>
        <v>700.00020660160408</v>
      </c>
      <c r="CC140" s="62">
        <f t="shared" si="119"/>
        <v>984.99691201052951</v>
      </c>
      <c r="CD140" s="62">
        <f ca="1">AVERAGE(OFFSET($CC$3,0,0,'Données projet'!$E$12+1,1))-AVERAGE(OFFSET($H$3,0,0,'Données projet'!$E$12+1,1))</f>
        <v>401.1031790385295</v>
      </c>
      <c r="CE140" s="62">
        <f t="shared" si="148"/>
        <v>402.09589424130615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projet'!$B$12,Paramètres!$A$1:$I$88,3,0)*0.475*44/12</f>
        <v>4.5144114092996634</v>
      </c>
      <c r="CL140" s="23">
        <f>EXP(-LN(2)/25)*CL139+(1-EXP(-LN(2)/25))/(LN(2)/25)*Calculateur!CG140*Calculateur!CI140*VLOOKUP('Données projet'!$B$12,Paramètres!$A$1:$I$88,3,0)*0.475*44/12</f>
        <v>0</v>
      </c>
      <c r="CM140" s="23">
        <f>EXP(-LN(2)/2)*CM139+(1-EXP(-LN(2)/2))/(LN(2)/2)*CG140*CJ140*VLOOKUP('Données projet'!$B$12,Paramètres!$A$1:$I$88,3,0)*0.475*44/12</f>
        <v>1.0679155898636457E-11</v>
      </c>
      <c r="CN140" s="24">
        <f t="shared" si="120"/>
        <v>4.5144114093103429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544.19999999999982</v>
      </c>
      <c r="CU140" s="18">
        <f>CT140*VLOOKUP('Données projet'!$B$13,Paramètres!$A$1:$I$88,3,0)*VLOOKUP('Données projet'!$B$13,Paramètres!$A$1:$I$88,5,0)</f>
        <v>325.43159999999995</v>
      </c>
      <c r="CV140" s="14">
        <f t="shared" si="149"/>
        <v>76.482394221016762</v>
      </c>
      <c r="CW140" s="22">
        <f t="shared" si="121"/>
        <v>700.00020660160408</v>
      </c>
      <c r="CX140" s="62">
        <f t="shared" si="122"/>
        <v>984.99691201052951</v>
      </c>
      <c r="CY140" s="62">
        <f ca="1">AVERAGE(OFFSET($CX$3,0,0,'Données projet'!$E$13+1,1))-AVERAGE(OFFSET($H$3,0,0,'Données projet'!$E$13+1,1))</f>
        <v>401.1031790385295</v>
      </c>
      <c r="CZ140" s="62">
        <f t="shared" si="150"/>
        <v>402.09589424130615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projet'!$B$13,Paramètres!$A$1:$I$88,3,0)*0.475*44/12</f>
        <v>4.5144114092996634</v>
      </c>
      <c r="DG140" s="23">
        <f>EXP(-LN(2)/25)*DG139+(1-EXP(-LN(2)/25))/(LN(2)/25)*Calculateur!DB140*Calculateur!DD140*VLOOKUP('Données projet'!$B$13,Paramètres!$A$1:$I$88,3,0)*0.475*44/12</f>
        <v>0</v>
      </c>
      <c r="DH140" s="23">
        <f>EXP(-LN(2)/2)*DH139+(1-EXP(-LN(2)/2))/(LN(2)/2)*DB140*DE140*VLOOKUP('Données projet'!$B$13,Paramètres!$A$1:$I$88,3,0)*0.475*44/12</f>
        <v>1.0679155898636457E-11</v>
      </c>
      <c r="DI140" s="24">
        <f t="shared" si="123"/>
        <v>4.5144114093103429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860.00000000000023</v>
      </c>
      <c r="DP140" s="18">
        <f>DO140*VLOOKUP('Données projet'!$B$14,Paramètres!$A$1:$I$88,3,0)*VLOOKUP('Données projet'!$B$14,Paramètres!$A$1:$I$88,5,0)</f>
        <v>346.5800000000001</v>
      </c>
      <c r="DQ140" s="14">
        <f t="shared" si="151"/>
        <v>80.857895771535127</v>
      </c>
      <c r="DR140" s="22">
        <f t="shared" si="124"/>
        <v>744.45433513542378</v>
      </c>
      <c r="DS140" s="62">
        <f t="shared" si="125"/>
        <v>1029.4510405443491</v>
      </c>
      <c r="DT140" s="62">
        <f ca="1">AVERAGE(OFFSET($DS$3,0,0,'Données projet'!$E$14+1,1))-AVERAGE(OFFSET($H$3,0,0,'Données projet'!$E$14+1,1))</f>
        <v>432.59662347701629</v>
      </c>
      <c r="DU140" s="62">
        <f t="shared" si="152"/>
        <v>348.67401091099748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projet'!$B$14,Paramètres!$A$1:$I$88,3,0)*0.475*44/12</f>
        <v>20.335898155188069</v>
      </c>
      <c r="EB140" s="23">
        <f>EXP(-LN(2)/25)*EB139+(1-EXP(-LN(2)/25))/(LN(2)/25)*Calculateur!DW140*Calculateur!DY140*VLOOKUP('Données projet'!$B$14,Paramètres!$A$1:$I$88,3,0)*0.475*44/12</f>
        <v>14.316347588475375</v>
      </c>
      <c r="EC140" s="23">
        <f>EXP(-LN(2)/2)*EC139+(1-EXP(-LN(2)/2))/(LN(2)/2)*DW140*DZ140*VLOOKUP('Données projet'!$B$14,Paramètres!$A$1:$I$88,3,0)*0.475*44/12</f>
        <v>0</v>
      </c>
      <c r="ED140" s="24">
        <f t="shared" si="126"/>
        <v>34.652245743663443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1099.9999999999998</v>
      </c>
      <c r="EK140" s="18">
        <f>EJ140*VLOOKUP('Données projet'!$B$15,Paramètres!$A$1:$I$88,3,0)*VLOOKUP('Données projet'!$B$15,Paramètres!$A$1:$I$88,5,0)</f>
        <v>486.19999999999993</v>
      </c>
      <c r="EL140" s="14">
        <f t="shared" si="153"/>
        <v>109.0490179035375</v>
      </c>
      <c r="EM140" s="22">
        <f t="shared" si="127"/>
        <v>1036.725372848661</v>
      </c>
      <c r="EN140" s="62">
        <f t="shared" si="128"/>
        <v>1321.7220782575864</v>
      </c>
      <c r="EO140" s="62">
        <f ca="1">AVERAGE(OFFSET($EN$3,0,0,'Données projet'!$E$15+1,1))-AVERAGE(OFFSET($H$3,0,0,'Données projet'!$E$15+1,1))</f>
        <v>582.26951914082088</v>
      </c>
      <c r="EP140" s="62">
        <f t="shared" si="154"/>
        <v>434.80429932654715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projet'!$B$15,Paramètres!$A$1:$I$88,3,0)*0.475*44/12</f>
        <v>20.491236046100266</v>
      </c>
      <c r="EW140" s="23">
        <f>EXP(-LN(2)/25)*EW139+(1-EXP(-LN(2)/25))/(LN(2)/25)*Calculateur!ER140*Calculateur!ET140*VLOOKUP('Données projet'!$B$15,Paramètres!$A$1:$I$88,3,0)*0.475*44/12</f>
        <v>12.864352672468121</v>
      </c>
      <c r="EX140" s="23">
        <f>EXP(-LN(2)/2)*EX139+(1-EXP(-LN(2)/2))/(LN(2)/2)*ER140*EU140*VLOOKUP('Données projet'!$B$15,Paramètres!$A$1:$I$88,3,0)*0.475*44/12</f>
        <v>0</v>
      </c>
      <c r="EY140" s="24">
        <f t="shared" si="129"/>
        <v>33.355588718568384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854.99999999999989</v>
      </c>
      <c r="FF140" s="18">
        <f>FE140*VLOOKUP('Données projet'!$B$16,Paramètres!$A$1:$I$88,3,0)*VLOOKUP('Données projet'!$B$16,Paramètres!$A$1:$I$88,5,0)</f>
        <v>400.13999999999993</v>
      </c>
      <c r="FG140" s="14">
        <f t="shared" si="155"/>
        <v>91.805047494648534</v>
      </c>
      <c r="FH140" s="22">
        <f t="shared" si="130"/>
        <v>856.80429105317944</v>
      </c>
      <c r="FI140" s="62">
        <f t="shared" si="131"/>
        <v>1141.8009964621049</v>
      </c>
      <c r="FJ140" s="62">
        <f ca="1">AVERAGE(OFFSET($FI$3,0,0,'Données projet'!$E$16+1,1))-AVERAGE(OFFSET($H$3,0,0,'Données projet'!$E$16+1,1))</f>
        <v>429.87867712133851</v>
      </c>
      <c r="FK140" s="62">
        <f t="shared" si="156"/>
        <v>182.81277865988014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projet'!$B$16,Paramètres!$A$1:$I$88,3,0)*0.475*44/12</f>
        <v>24.43825110432147</v>
      </c>
      <c r="FR140" s="23">
        <f>EXP(-LN(2)/25)*FR139+(1-EXP(-LN(2)/25))/(LN(2)/25)*Calculateur!FM140*Calculateur!FO140*VLOOKUP('Données projet'!$B$16,Paramètres!$A$1:$I$88,3,0)*0.475*44/12</f>
        <v>16.307769421658207</v>
      </c>
      <c r="FS140" s="23">
        <f>EXP(-LN(2)/2)*FS139+(1-EXP(-LN(2)/2))/(LN(2)/2)*FM140*FP140*VLOOKUP('Données projet'!$B$16,Paramètres!$A$1:$I$88,3,0)*0.475*44/12</f>
        <v>0</v>
      </c>
      <c r="FT140" s="24">
        <f t="shared" si="132"/>
        <v>40.746020525979674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498.99999999999955</v>
      </c>
      <c r="GA140" s="18">
        <f>FZ140*VLOOKUP('Données projet'!$B$17,Paramètres!$A$1:$I$88,3,0)*VLOOKUP('Données projet'!$B$17,Paramètres!$A$1:$I$88,5,0)</f>
        <v>240.01899999999978</v>
      </c>
      <c r="GB140" s="14">
        <f t="shared" si="157"/>
        <v>58.443618405936313</v>
      </c>
      <c r="GC140" s="22">
        <f t="shared" si="133"/>
        <v>519.82239372367201</v>
      </c>
      <c r="GD140" s="62">
        <f t="shared" si="134"/>
        <v>804.81909913259733</v>
      </c>
      <c r="GE140" s="62">
        <f ca="1">AVERAGE(OFFSET($GD$3,0,0,'Données projet'!$E$17+1,1))-AVERAGE(OFFSET($H$3,0,0,'Données projet'!$E$17+1,1))</f>
        <v>273.24375559399846</v>
      </c>
      <c r="GF140" s="62">
        <f t="shared" si="158"/>
        <v>270.77718895097848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projet'!$B$17,Paramètres!$A$1:$I$88,3,0)*0.475*44/12</f>
        <v>10.463947969443261</v>
      </c>
      <c r="GM140" s="23">
        <f>EXP(-LN(2)/25)*GM139+(1-EXP(-LN(2)/25))/(LN(2)/25)*Calculateur!GH140*Calculateur!GJ140*VLOOKUP('Données projet'!$B$17,Paramètres!$A$1:$I$88,3,0)*0.475*44/12</f>
        <v>6.2743737293571069</v>
      </c>
      <c r="GN140" s="23">
        <f>EXP(-LN(2)/2)*GN139+(1-EXP(-LN(2)/2))/(LN(2)/2)*GH140*GK140*VLOOKUP('Données projet'!$B$17,Paramètres!$A$1:$I$88,3,0)*0.475*44/12</f>
        <v>0</v>
      </c>
      <c r="GO140" s="23">
        <f t="shared" si="135"/>
        <v>16.73832169880037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550.99999999999966</v>
      </c>
      <c r="O141" s="14">
        <f>N141*VLOOKUP('Données projet'!$B$9,Paramètres!$A$1:$I$88,3,0)*VLOOKUP('Données projet'!$B$9,Paramètres!$A$1:$I$88,5,0)</f>
        <v>308.00899999999979</v>
      </c>
      <c r="P141" s="14">
        <f t="shared" si="141"/>
        <v>72.852874331417695</v>
      </c>
      <c r="Q141" s="22">
        <f t="shared" si="108"/>
        <v>663.33443112721886</v>
      </c>
      <c r="R141" s="62">
        <f t="shared" si="109"/>
        <v>948.47575839272486</v>
      </c>
      <c r="S141" s="62">
        <f ca="1">AVERAGE(OFFSET($R$3,0,0,'Données projet'!$E$9+1,1))-AVERAGE(OFFSET($H$3,0,0,'Données projet'!$E$9+1,1))</f>
        <v>289.94242154211224</v>
      </c>
      <c r="T141" s="62">
        <f t="shared" si="142"/>
        <v>369.12599166143661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15.740968024961722</v>
      </c>
      <c r="AA141" s="23">
        <f>EXP(-LN(2)/25)*AA140+(1-EXP(-LN(2)/25))/(LN(2)/25)*Calculateur!V141*Calculateur!X141*VLOOKUP('Données projet'!$B$9,Paramètres!$A$1:$I$88,3,0)*0.475*44/12</f>
        <v>7.6860296877351857</v>
      </c>
      <c r="AB141" s="23">
        <f>EXP(-LN(2)/2)*AB140+(1-EXP(-LN(2)/2))/(LN(2)/2)*V141*Y141*VLOOKUP('Données projet'!$B$9,Paramètres!$A$1:$I$88,3,0)*0.475*44/12</f>
        <v>0</v>
      </c>
      <c r="AC141" s="24">
        <f t="shared" si="111"/>
        <v>23.42699771269691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6.7</v>
      </c>
      <c r="AI141" s="14">
        <f>IF('Données projet'!$A$62&gt;35,AI140+AH141-AQ140,IF(A141&lt;'Données projet'!$A$62,$AF$205^A141,IF(A141='Données projet'!$A$62,'Données projet'!$B$62,AI140+AH141-AQ140)))</f>
        <v>382.60000000000036</v>
      </c>
      <c r="AJ141" s="14">
        <f>AI141*VLOOKUP('Données projet'!$B$10,Paramètres!$A$1:$I$88,3,0)*VLOOKUP('Données projet'!$B$10,Paramètres!$A$1:$I$88,5,0)</f>
        <v>346.17648000000031</v>
      </c>
      <c r="AK141" s="14">
        <f t="shared" si="143"/>
        <v>80.774706149681137</v>
      </c>
      <c r="AL141" s="22">
        <f t="shared" si="112"/>
        <v>743.6066492106952</v>
      </c>
      <c r="AM141" s="62">
        <f t="shared" si="113"/>
        <v>1028.7479764762011</v>
      </c>
      <c r="AN141" s="62">
        <f ca="1">AVERAGE(OFFSET($AM$3,0,0,'Données projet'!$E$10+1,1))-AVERAGE(OFFSET($H$3,0,0,'Données projet'!$E$10+1,1))</f>
        <v>518.31628039365785</v>
      </c>
      <c r="AO141" s="62">
        <f t="shared" si="144"/>
        <v>66.435071953154761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34.585629144538757</v>
      </c>
      <c r="AV141" s="23">
        <f>EXP(-LN(2)/25)*AV140+(1-EXP(-LN(2)/25))/(LN(2)/25)*Calculateur!AQ141*Calculateur!AS141*VLOOKUP('Données projet'!$B$10,Paramètres!$A$1:$I$88,3,0)*0.475*44/12</f>
        <v>0</v>
      </c>
      <c r="AW141" s="23">
        <f>EXP(-LN(2)/2)*AW140+(1-EXP(-LN(2)/2))/(LN(2)/2)*AQ141*AT141*VLOOKUP('Données projet'!$B$10,Paramètres!$A$1:$I$88,3,0)*0.475*44/12</f>
        <v>0</v>
      </c>
      <c r="AX141" s="23">
        <f t="shared" si="114"/>
        <v>34.585629144538757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6.7</v>
      </c>
      <c r="BD141" s="13">
        <f>IF('Données projet'!$A$88&gt;35,BD140+BC141-BL140,IF(A141&lt;'Données projet'!$A$88,$BA$205^A141,IF(A141='Données projet'!$A$88,'Données projet'!$B$88,BD140+BC141-BL140)))</f>
        <v>382.60000000000036</v>
      </c>
      <c r="BE141" s="14">
        <f>BD141*VLOOKUP('Données projet'!$B$11,Paramètres!$A$1:$I$88,3,0)*VLOOKUP('Données projet'!$B$11,Paramètres!$A$1:$I$88,5,0)</f>
        <v>387.95640000000043</v>
      </c>
      <c r="BF141" s="14">
        <f t="shared" si="145"/>
        <v>89.330682811133514</v>
      </c>
      <c r="BG141" s="22">
        <f t="shared" si="115"/>
        <v>831.27500256272481</v>
      </c>
      <c r="BH141" s="62">
        <f t="shared" si="116"/>
        <v>1116.4163298282308</v>
      </c>
      <c r="BI141" s="62">
        <f ca="1">AVERAGE(OFFSET($BH$3,0,0,'Données projet'!$E$11+1,1))-AVERAGE(OFFSET($H$3,0,0,'Données projet'!$E$11+1,1))</f>
        <v>570.2785736203931</v>
      </c>
      <c r="BJ141" s="62">
        <f t="shared" si="146"/>
        <v>67.677759965081719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38.759756799914122</v>
      </c>
      <c r="BQ141" s="23">
        <f>EXP(-LN(2)/25)*BQ140+(1-EXP(-LN(2)/25))/(LN(2)/25)*Calculateur!BL141*Calculateur!BN141*VLOOKUP('Données projet'!$B$11,Paramètres!$A$1:$I$88,3,0)*0.475*44/12</f>
        <v>0</v>
      </c>
      <c r="BR141" s="23">
        <f>EXP(-LN(2)/2)*BR140+(1-EXP(-LN(2)/2))/(LN(2)/2)*BL141*BO141*VLOOKUP('Données projet'!$B$11,Paramètres!$A$1:$I$88,3,0)*0.475*44/12</f>
        <v>0</v>
      </c>
      <c r="BS141" s="24">
        <f t="shared" si="117"/>
        <v>38.759756799914122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544.19999999999982</v>
      </c>
      <c r="BZ141" s="14">
        <f>BY141*VLOOKUP('Données projet'!$B$12,Paramètres!$A$1:$I$88,3,0)*VLOOKUP('Données projet'!$B$12,Paramètres!$A$1:$I$88,5,0)</f>
        <v>325.43159999999995</v>
      </c>
      <c r="CA141" s="14">
        <f t="shared" si="147"/>
        <v>76.482394221016762</v>
      </c>
      <c r="CB141" s="22">
        <f t="shared" si="118"/>
        <v>700.00020660160408</v>
      </c>
      <c r="CC141" s="62">
        <f t="shared" si="119"/>
        <v>985.14153386710996</v>
      </c>
      <c r="CD141" s="62">
        <f ca="1">AVERAGE(OFFSET($CC$3,0,0,'Données projet'!$E$12+1,1))-AVERAGE(OFFSET($H$3,0,0,'Données projet'!$E$12+1,1))</f>
        <v>401.1031790385295</v>
      </c>
      <c r="CE141" s="62">
        <f t="shared" si="148"/>
        <v>402.09589424130615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projet'!$B$12,Paramètres!$A$1:$I$88,3,0)*0.475*44/12</f>
        <v>4.4258865550823696</v>
      </c>
      <c r="CL141" s="23">
        <f>EXP(-LN(2)/25)*CL140+(1-EXP(-LN(2)/25))/(LN(2)/25)*Calculateur!CG141*Calculateur!CI141*VLOOKUP('Données projet'!$B$12,Paramètres!$A$1:$I$88,3,0)*0.475*44/12</f>
        <v>0</v>
      </c>
      <c r="CM141" s="23">
        <f>EXP(-LN(2)/2)*CM140+(1-EXP(-LN(2)/2))/(LN(2)/2)*CG141*CJ141*VLOOKUP('Données projet'!$B$12,Paramètres!$A$1:$I$88,3,0)*0.475*44/12</f>
        <v>7.5513035532741573E-12</v>
      </c>
      <c r="CN141" s="24">
        <f t="shared" si="120"/>
        <v>4.4258865550899209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544.19999999999982</v>
      </c>
      <c r="CU141" s="18">
        <f>CT141*VLOOKUP('Données projet'!$B$13,Paramètres!$A$1:$I$88,3,0)*VLOOKUP('Données projet'!$B$13,Paramètres!$A$1:$I$88,5,0)</f>
        <v>325.43159999999995</v>
      </c>
      <c r="CV141" s="14">
        <f t="shared" si="149"/>
        <v>76.482394221016762</v>
      </c>
      <c r="CW141" s="22">
        <f t="shared" si="121"/>
        <v>700.00020660160408</v>
      </c>
      <c r="CX141" s="62">
        <f t="shared" si="122"/>
        <v>985.14153386710996</v>
      </c>
      <c r="CY141" s="62">
        <f ca="1">AVERAGE(OFFSET($CX$3,0,0,'Données projet'!$E$13+1,1))-AVERAGE(OFFSET($H$3,0,0,'Données projet'!$E$13+1,1))</f>
        <v>401.1031790385295</v>
      </c>
      <c r="CZ141" s="62">
        <f t="shared" si="150"/>
        <v>402.09589424130615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projet'!$B$13,Paramètres!$A$1:$I$88,3,0)*0.475*44/12</f>
        <v>4.4258865550823696</v>
      </c>
      <c r="DG141" s="23">
        <f>EXP(-LN(2)/25)*DG140+(1-EXP(-LN(2)/25))/(LN(2)/25)*Calculateur!DB141*Calculateur!DD141*VLOOKUP('Données projet'!$B$13,Paramètres!$A$1:$I$88,3,0)*0.475*44/12</f>
        <v>0</v>
      </c>
      <c r="DH141" s="23">
        <f>EXP(-LN(2)/2)*DH140+(1-EXP(-LN(2)/2))/(LN(2)/2)*DB141*DE141*VLOOKUP('Données projet'!$B$13,Paramètres!$A$1:$I$88,3,0)*0.475*44/12</f>
        <v>7.5513035532741573E-12</v>
      </c>
      <c r="DI141" s="24">
        <f t="shared" si="123"/>
        <v>4.4258865550899209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860.00000000000023</v>
      </c>
      <c r="DP141" s="18">
        <f>DO141*VLOOKUP('Données projet'!$B$14,Paramètres!$A$1:$I$88,3,0)*VLOOKUP('Données projet'!$B$14,Paramètres!$A$1:$I$88,5,0)</f>
        <v>346.5800000000001</v>
      </c>
      <c r="DQ141" s="14">
        <f t="shared" si="151"/>
        <v>80.857895771535127</v>
      </c>
      <c r="DR141" s="22">
        <f t="shared" si="124"/>
        <v>744.45433513542378</v>
      </c>
      <c r="DS141" s="62">
        <f t="shared" si="125"/>
        <v>1029.5956624009298</v>
      </c>
      <c r="DT141" s="62">
        <f ca="1">AVERAGE(OFFSET($DS$3,0,0,'Données projet'!$E$14+1,1))-AVERAGE(OFFSET($H$3,0,0,'Données projet'!$E$14+1,1))</f>
        <v>432.59662347701629</v>
      </c>
      <c r="DU141" s="62">
        <f t="shared" si="152"/>
        <v>348.67401091099748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projet'!$B$14,Paramètres!$A$1:$I$88,3,0)*0.475*44/12</f>
        <v>19.937123596037946</v>
      </c>
      <c r="EB141" s="23">
        <f>EXP(-LN(2)/25)*EB140+(1-EXP(-LN(2)/25))/(LN(2)/25)*Calculateur!DW141*Calculateur!DY141*VLOOKUP('Données projet'!$B$14,Paramètres!$A$1:$I$88,3,0)*0.475*44/12</f>
        <v>13.924866310804518</v>
      </c>
      <c r="EC141" s="23">
        <f>EXP(-LN(2)/2)*EC140+(1-EXP(-LN(2)/2))/(LN(2)/2)*DW141*DZ141*VLOOKUP('Données projet'!$B$14,Paramètres!$A$1:$I$88,3,0)*0.475*44/12</f>
        <v>0</v>
      </c>
      <c r="ED141" s="24">
        <f t="shared" si="126"/>
        <v>33.861989906842467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1099.9999999999998</v>
      </c>
      <c r="EK141" s="18">
        <f>EJ141*VLOOKUP('Données projet'!$B$15,Paramètres!$A$1:$I$88,3,0)*VLOOKUP('Données projet'!$B$15,Paramètres!$A$1:$I$88,5,0)</f>
        <v>486.19999999999993</v>
      </c>
      <c r="EL141" s="14">
        <f t="shared" si="153"/>
        <v>109.0490179035375</v>
      </c>
      <c r="EM141" s="22">
        <f t="shared" si="127"/>
        <v>1036.725372848661</v>
      </c>
      <c r="EN141" s="62">
        <f t="shared" si="128"/>
        <v>1321.8667001141669</v>
      </c>
      <c r="EO141" s="62">
        <f ca="1">AVERAGE(OFFSET($EN$3,0,0,'Données projet'!$E$15+1,1))-AVERAGE(OFFSET($H$3,0,0,'Données projet'!$E$15+1,1))</f>
        <v>582.26951914082088</v>
      </c>
      <c r="EP141" s="62">
        <f t="shared" si="154"/>
        <v>434.80429932654715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projet'!$B$15,Paramètres!$A$1:$I$88,3,0)*0.475*44/12</f>
        <v>20.089415405656112</v>
      </c>
      <c r="EW141" s="23">
        <f>EXP(-LN(2)/25)*EW140+(1-EXP(-LN(2)/25))/(LN(2)/25)*Calculateur!ER141*Calculateur!ET141*VLOOKUP('Données projet'!$B$15,Paramètres!$A$1:$I$88,3,0)*0.475*44/12</f>
        <v>12.512576272132575</v>
      </c>
      <c r="EX141" s="23">
        <f>EXP(-LN(2)/2)*EX140+(1-EXP(-LN(2)/2))/(LN(2)/2)*ER141*EU141*VLOOKUP('Données projet'!$B$15,Paramètres!$A$1:$I$88,3,0)*0.475*44/12</f>
        <v>0</v>
      </c>
      <c r="EY141" s="24">
        <f t="shared" si="129"/>
        <v>32.601991677788689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854.99999999999989</v>
      </c>
      <c r="FF141" s="18">
        <f>FE141*VLOOKUP('Données projet'!$B$16,Paramètres!$A$1:$I$88,3,0)*VLOOKUP('Données projet'!$B$16,Paramètres!$A$1:$I$88,5,0)</f>
        <v>400.13999999999993</v>
      </c>
      <c r="FG141" s="14">
        <f t="shared" si="155"/>
        <v>91.805047494648534</v>
      </c>
      <c r="FH141" s="22">
        <f t="shared" si="130"/>
        <v>856.80429105317944</v>
      </c>
      <c r="FI141" s="62">
        <f t="shared" si="131"/>
        <v>1141.9456183186853</v>
      </c>
      <c r="FJ141" s="62">
        <f ca="1">AVERAGE(OFFSET($FI$3,0,0,'Données projet'!$E$16+1,1))-AVERAGE(OFFSET($H$3,0,0,'Données projet'!$E$16+1,1))</f>
        <v>429.87867712133851</v>
      </c>
      <c r="FK141" s="62">
        <f t="shared" si="156"/>
        <v>182.81277865988014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projet'!$B$16,Paramètres!$A$1:$I$88,3,0)*0.475*44/12</f>
        <v>23.959031906027068</v>
      </c>
      <c r="FR141" s="23">
        <f>EXP(-LN(2)/25)*FR140+(1-EXP(-LN(2)/25))/(LN(2)/25)*Calculateur!FM141*Calculateur!FO141*VLOOKUP('Données projet'!$B$16,Paramètres!$A$1:$I$88,3,0)*0.475*44/12</f>
        <v>15.861832609234641</v>
      </c>
      <c r="FS141" s="23">
        <f>EXP(-LN(2)/2)*FS140+(1-EXP(-LN(2)/2))/(LN(2)/2)*FM141*FP141*VLOOKUP('Données projet'!$B$16,Paramètres!$A$1:$I$88,3,0)*0.475*44/12</f>
        <v>0</v>
      </c>
      <c r="FT141" s="24">
        <f t="shared" si="132"/>
        <v>39.820864515261711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498.99999999999955</v>
      </c>
      <c r="GA141" s="18">
        <f>FZ141*VLOOKUP('Données projet'!$B$17,Paramètres!$A$1:$I$88,3,0)*VLOOKUP('Données projet'!$B$17,Paramètres!$A$1:$I$88,5,0)</f>
        <v>240.01899999999978</v>
      </c>
      <c r="GB141" s="14">
        <f t="shared" si="157"/>
        <v>58.443618405936313</v>
      </c>
      <c r="GC141" s="22">
        <f t="shared" si="133"/>
        <v>519.82239372367201</v>
      </c>
      <c r="GD141" s="62">
        <f t="shared" si="134"/>
        <v>804.963720989178</v>
      </c>
      <c r="GE141" s="62">
        <f ca="1">AVERAGE(OFFSET($GD$3,0,0,'Données projet'!$E$17+1,1))-AVERAGE(OFFSET($H$3,0,0,'Données projet'!$E$17+1,1))</f>
        <v>273.24375559399846</v>
      </c>
      <c r="GF141" s="62">
        <f t="shared" si="158"/>
        <v>270.77718895097848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projet'!$B$17,Paramètres!$A$1:$I$88,3,0)*0.475*44/12</f>
        <v>10.258756332140532</v>
      </c>
      <c r="GM141" s="23">
        <f>EXP(-LN(2)/25)*GM140+(1-EXP(-LN(2)/25))/(LN(2)/25)*Calculateur!GH141*Calculateur!GJ141*VLOOKUP('Données projet'!$B$17,Paramètres!$A$1:$I$88,3,0)*0.475*44/12</f>
        <v>6.1028006497728624</v>
      </c>
      <c r="GN141" s="23">
        <f>EXP(-LN(2)/2)*GN140+(1-EXP(-LN(2)/2))/(LN(2)/2)*GH141*GK141*VLOOKUP('Données projet'!$B$17,Paramètres!$A$1:$I$88,3,0)*0.475*44/12</f>
        <v>0</v>
      </c>
      <c r="GO141" s="23">
        <f t="shared" si="135"/>
        <v>16.361556981913395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550.99999999999966</v>
      </c>
      <c r="O142" s="14">
        <f>N142*VLOOKUP('Données projet'!$B$9,Paramètres!$A$1:$I$88,3,0)*VLOOKUP('Données projet'!$B$9,Paramètres!$A$1:$I$88,5,0)</f>
        <v>308.00899999999979</v>
      </c>
      <c r="P142" s="14">
        <f t="shared" si="141"/>
        <v>72.852874331417695</v>
      </c>
      <c r="Q142" s="22">
        <f t="shared" si="108"/>
        <v>663.33443112721886</v>
      </c>
      <c r="R142" s="62">
        <f t="shared" si="109"/>
        <v>948.6178713834197</v>
      </c>
      <c r="S142" s="62">
        <f ca="1">AVERAGE(OFFSET($R$3,0,0,'Données projet'!$E$9+1,1))-AVERAGE(OFFSET($H$3,0,0,'Données projet'!$E$9+1,1))</f>
        <v>289.94242154211224</v>
      </c>
      <c r="T142" s="62">
        <f t="shared" si="142"/>
        <v>369.12599166143661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15.432297243034693</v>
      </c>
      <c r="AA142" s="23">
        <f>EXP(-LN(2)/25)*AA141+(1-EXP(-LN(2)/25))/(LN(2)/25)*Calculateur!V142*Calculateur!X142*VLOOKUP('Données projet'!$B$9,Paramètres!$A$1:$I$88,3,0)*0.475*44/12</f>
        <v>7.4758548017333322</v>
      </c>
      <c r="AB142" s="23">
        <f>EXP(-LN(2)/2)*AB141+(1-EXP(-LN(2)/2))/(LN(2)/2)*V142*Y142*VLOOKUP('Données projet'!$B$9,Paramètres!$A$1:$I$88,3,0)*0.475*44/12</f>
        <v>0</v>
      </c>
      <c r="AC142" s="24">
        <f t="shared" si="111"/>
        <v>22.908152044768023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6.7</v>
      </c>
      <c r="AI142" s="14">
        <f>IF('Données projet'!$A$62&gt;35,AI141+AH142-AQ141,IF(A142&lt;'Données projet'!$A$62,$AF$205^A142,IF(A142='Données projet'!$A$62,'Données projet'!$B$62,AI141+AH142-AQ141)))</f>
        <v>389.30000000000035</v>
      </c>
      <c r="AJ142" s="14">
        <f>AI142*VLOOKUP('Données projet'!$B$10,Paramètres!$A$1:$I$88,3,0)*VLOOKUP('Données projet'!$B$10,Paramètres!$A$1:$I$88,5,0)</f>
        <v>352.23864000000032</v>
      </c>
      <c r="AK142" s="14">
        <f t="shared" si="143"/>
        <v>82.023299276687595</v>
      </c>
      <c r="AL142" s="22">
        <f t="shared" si="112"/>
        <v>756.33954424023148</v>
      </c>
      <c r="AM142" s="62">
        <f t="shared" si="113"/>
        <v>1041.6229844964323</v>
      </c>
      <c r="AN142" s="62">
        <f ca="1">AVERAGE(OFFSET($AM$3,0,0,'Données projet'!$E$10+1,1))-AVERAGE(OFFSET($H$3,0,0,'Données projet'!$E$10+1,1))</f>
        <v>518.31628039365785</v>
      </c>
      <c r="AO142" s="62">
        <f t="shared" si="144"/>
        <v>66.435071953154761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33.907426052165157</v>
      </c>
      <c r="AV142" s="23">
        <f>EXP(-LN(2)/25)*AV141+(1-EXP(-LN(2)/25))/(LN(2)/25)*Calculateur!AQ142*Calculateur!AS142*VLOOKUP('Données projet'!$B$10,Paramètres!$A$1:$I$88,3,0)*0.475*44/12</f>
        <v>0</v>
      </c>
      <c r="AW142" s="23">
        <f>EXP(-LN(2)/2)*AW141+(1-EXP(-LN(2)/2))/(LN(2)/2)*AQ142*AT142*VLOOKUP('Données projet'!$B$10,Paramètres!$A$1:$I$88,3,0)*0.475*44/12</f>
        <v>0</v>
      </c>
      <c r="AX142" s="23">
        <f t="shared" si="114"/>
        <v>33.907426052165157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6.7</v>
      </c>
      <c r="BD142" s="13">
        <f>IF('Données projet'!$A$88&gt;35,BD141+BC142-BL141,IF(A142&lt;'Données projet'!$A$88,$BA$205^A142,IF(A142='Données projet'!$A$88,'Données projet'!$B$88,BD141+BC142-BL141)))</f>
        <v>389.30000000000035</v>
      </c>
      <c r="BE142" s="14">
        <f>BD142*VLOOKUP('Données projet'!$B$11,Paramètres!$A$1:$I$88,3,0)*VLOOKUP('Données projet'!$B$11,Paramètres!$A$1:$I$88,5,0)</f>
        <v>394.7502000000004</v>
      </c>
      <c r="BF142" s="14">
        <f t="shared" si="145"/>
        <v>90.711531865317411</v>
      </c>
      <c r="BG142" s="22">
        <f t="shared" si="115"/>
        <v>845.51251633209506</v>
      </c>
      <c r="BH142" s="62">
        <f t="shared" si="116"/>
        <v>1130.7959565882959</v>
      </c>
      <c r="BI142" s="62">
        <f ca="1">AVERAGE(OFFSET($BH$3,0,0,'Données projet'!$E$11+1,1))-AVERAGE(OFFSET($H$3,0,0,'Données projet'!$E$11+1,1))</f>
        <v>570.2785736203931</v>
      </c>
      <c r="BJ142" s="62">
        <f t="shared" si="146"/>
        <v>67.677759965081719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37.999701610185085</v>
      </c>
      <c r="BQ142" s="23">
        <f>EXP(-LN(2)/25)*BQ141+(1-EXP(-LN(2)/25))/(LN(2)/25)*Calculateur!BL142*Calculateur!BN142*VLOOKUP('Données projet'!$B$11,Paramètres!$A$1:$I$88,3,0)*0.475*44/12</f>
        <v>0</v>
      </c>
      <c r="BR142" s="23">
        <f>EXP(-LN(2)/2)*BR141+(1-EXP(-LN(2)/2))/(LN(2)/2)*BL142*BO142*VLOOKUP('Données projet'!$B$11,Paramètres!$A$1:$I$88,3,0)*0.475*44/12</f>
        <v>0</v>
      </c>
      <c r="BS142" s="24">
        <f t="shared" si="117"/>
        <v>37.999701610185085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544.19999999999982</v>
      </c>
      <c r="BZ142" s="14">
        <f>BY142*VLOOKUP('Données projet'!$B$12,Paramètres!$A$1:$I$88,3,0)*VLOOKUP('Données projet'!$B$12,Paramètres!$A$1:$I$88,5,0)</f>
        <v>325.43159999999995</v>
      </c>
      <c r="CA142" s="14">
        <f t="shared" si="147"/>
        <v>76.482394221016762</v>
      </c>
      <c r="CB142" s="22">
        <f t="shared" si="118"/>
        <v>700.00020660160408</v>
      </c>
      <c r="CC142" s="62">
        <f t="shared" si="119"/>
        <v>985.28364685780502</v>
      </c>
      <c r="CD142" s="62">
        <f ca="1">AVERAGE(OFFSET($CC$3,0,0,'Données projet'!$E$12+1,1))-AVERAGE(OFFSET($H$3,0,0,'Données projet'!$E$12+1,1))</f>
        <v>401.1031790385295</v>
      </c>
      <c r="CE142" s="62">
        <f t="shared" si="148"/>
        <v>402.09589424130615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projet'!$B$12,Paramètres!$A$1:$I$88,3,0)*0.475*44/12</f>
        <v>4.3390976192614472</v>
      </c>
      <c r="CL142" s="23">
        <f>EXP(-LN(2)/25)*CL141+(1-EXP(-LN(2)/25))/(LN(2)/25)*Calculateur!CG142*Calculateur!CI142*VLOOKUP('Données projet'!$B$12,Paramètres!$A$1:$I$88,3,0)*0.475*44/12</f>
        <v>0</v>
      </c>
      <c r="CM142" s="23">
        <f>EXP(-LN(2)/2)*CM141+(1-EXP(-LN(2)/2))/(LN(2)/2)*CG142*CJ142*VLOOKUP('Données projet'!$B$12,Paramètres!$A$1:$I$88,3,0)*0.475*44/12</f>
        <v>5.3395779493182285E-12</v>
      </c>
      <c r="CN142" s="24">
        <f t="shared" si="120"/>
        <v>4.3390976192667869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544.19999999999982</v>
      </c>
      <c r="CU142" s="18">
        <f>CT142*VLOOKUP('Données projet'!$B$13,Paramètres!$A$1:$I$88,3,0)*VLOOKUP('Données projet'!$B$13,Paramètres!$A$1:$I$88,5,0)</f>
        <v>325.43159999999995</v>
      </c>
      <c r="CV142" s="14">
        <f t="shared" si="149"/>
        <v>76.482394221016762</v>
      </c>
      <c r="CW142" s="22">
        <f t="shared" si="121"/>
        <v>700.00020660160408</v>
      </c>
      <c r="CX142" s="62">
        <f t="shared" si="122"/>
        <v>985.28364685780502</v>
      </c>
      <c r="CY142" s="62">
        <f ca="1">AVERAGE(OFFSET($CX$3,0,0,'Données projet'!$E$13+1,1))-AVERAGE(OFFSET($H$3,0,0,'Données projet'!$E$13+1,1))</f>
        <v>401.1031790385295</v>
      </c>
      <c r="CZ142" s="62">
        <f t="shared" si="150"/>
        <v>402.09589424130615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projet'!$B$13,Paramètres!$A$1:$I$88,3,0)*0.475*44/12</f>
        <v>4.3390976192614472</v>
      </c>
      <c r="DG142" s="23">
        <f>EXP(-LN(2)/25)*DG141+(1-EXP(-LN(2)/25))/(LN(2)/25)*Calculateur!DB142*Calculateur!DD142*VLOOKUP('Données projet'!$B$13,Paramètres!$A$1:$I$88,3,0)*0.475*44/12</f>
        <v>0</v>
      </c>
      <c r="DH142" s="23">
        <f>EXP(-LN(2)/2)*DH141+(1-EXP(-LN(2)/2))/(LN(2)/2)*DB142*DE142*VLOOKUP('Données projet'!$B$13,Paramètres!$A$1:$I$88,3,0)*0.475*44/12</f>
        <v>5.3395779493182285E-12</v>
      </c>
      <c r="DI142" s="24">
        <f t="shared" si="123"/>
        <v>4.3390976192667869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860.00000000000023</v>
      </c>
      <c r="DP142" s="18">
        <f>DO142*VLOOKUP('Données projet'!$B$14,Paramètres!$A$1:$I$88,3,0)*VLOOKUP('Données projet'!$B$14,Paramètres!$A$1:$I$88,5,0)</f>
        <v>346.5800000000001</v>
      </c>
      <c r="DQ142" s="14">
        <f t="shared" si="151"/>
        <v>80.857895771535127</v>
      </c>
      <c r="DR142" s="22">
        <f t="shared" si="124"/>
        <v>744.45433513542378</v>
      </c>
      <c r="DS142" s="62">
        <f t="shared" si="125"/>
        <v>1029.7377753916246</v>
      </c>
      <c r="DT142" s="62">
        <f ca="1">AVERAGE(OFFSET($DS$3,0,0,'Données projet'!$E$14+1,1))-AVERAGE(OFFSET($H$3,0,0,'Données projet'!$E$14+1,1))</f>
        <v>432.59662347701629</v>
      </c>
      <c r="DU142" s="62">
        <f t="shared" si="152"/>
        <v>348.67401091099748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projet'!$B$14,Paramètres!$A$1:$I$88,3,0)*0.475*44/12</f>
        <v>19.546168762764292</v>
      </c>
      <c r="EB142" s="23">
        <f>EXP(-LN(2)/25)*EB141+(1-EXP(-LN(2)/25))/(LN(2)/25)*Calculateur!DW142*Calculateur!DY142*VLOOKUP('Données projet'!$B$14,Paramètres!$A$1:$I$88,3,0)*0.475*44/12</f>
        <v>13.544090109258676</v>
      </c>
      <c r="EC142" s="23">
        <f>EXP(-LN(2)/2)*EC141+(1-EXP(-LN(2)/2))/(LN(2)/2)*DW142*DZ142*VLOOKUP('Données projet'!$B$14,Paramètres!$A$1:$I$88,3,0)*0.475*44/12</f>
        <v>0</v>
      </c>
      <c r="ED142" s="24">
        <f t="shared" si="126"/>
        <v>33.090258872022972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1099.9999999999998</v>
      </c>
      <c r="EK142" s="18">
        <f>EJ142*VLOOKUP('Données projet'!$B$15,Paramètres!$A$1:$I$88,3,0)*VLOOKUP('Données projet'!$B$15,Paramètres!$A$1:$I$88,5,0)</f>
        <v>486.19999999999993</v>
      </c>
      <c r="EL142" s="14">
        <f t="shared" si="153"/>
        <v>109.0490179035375</v>
      </c>
      <c r="EM142" s="22">
        <f t="shared" si="127"/>
        <v>1036.725372848661</v>
      </c>
      <c r="EN142" s="62">
        <f t="shared" si="128"/>
        <v>1322.0088131048619</v>
      </c>
      <c r="EO142" s="62">
        <f ca="1">AVERAGE(OFFSET($EN$3,0,0,'Données projet'!$E$15+1,1))-AVERAGE(OFFSET($H$3,0,0,'Données projet'!$E$15+1,1))</f>
        <v>582.26951914082088</v>
      </c>
      <c r="EP142" s="62">
        <f t="shared" si="154"/>
        <v>434.80429932654715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projet'!$B$15,Paramètres!$A$1:$I$88,3,0)*0.475*44/12</f>
        <v>19.695474222884677</v>
      </c>
      <c r="EW142" s="23">
        <f>EXP(-LN(2)/25)*EW141+(1-EXP(-LN(2)/25))/(LN(2)/25)*Calculateur!ER142*Calculateur!ET142*VLOOKUP('Données projet'!$B$15,Paramètres!$A$1:$I$88,3,0)*0.475*44/12</f>
        <v>12.170419215963321</v>
      </c>
      <c r="EX142" s="23">
        <f>EXP(-LN(2)/2)*EX141+(1-EXP(-LN(2)/2))/(LN(2)/2)*ER142*EU142*VLOOKUP('Données projet'!$B$15,Paramètres!$A$1:$I$88,3,0)*0.475*44/12</f>
        <v>0</v>
      </c>
      <c r="EY142" s="24">
        <f t="shared" si="129"/>
        <v>31.865893438847998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854.99999999999989</v>
      </c>
      <c r="FF142" s="18">
        <f>FE142*VLOOKUP('Données projet'!$B$16,Paramètres!$A$1:$I$88,3,0)*VLOOKUP('Données projet'!$B$16,Paramètres!$A$1:$I$88,5,0)</f>
        <v>400.13999999999993</v>
      </c>
      <c r="FG142" s="14">
        <f t="shared" si="155"/>
        <v>91.805047494648534</v>
      </c>
      <c r="FH142" s="22">
        <f t="shared" si="130"/>
        <v>856.80429105317944</v>
      </c>
      <c r="FI142" s="62">
        <f t="shared" si="131"/>
        <v>1142.0877313093804</v>
      </c>
      <c r="FJ142" s="62">
        <f ca="1">AVERAGE(OFFSET($FI$3,0,0,'Données projet'!$E$16+1,1))-AVERAGE(OFFSET($H$3,0,0,'Données projet'!$E$16+1,1))</f>
        <v>429.87867712133851</v>
      </c>
      <c r="FK142" s="62">
        <f t="shared" si="156"/>
        <v>182.81277865988014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projet'!$B$16,Paramètres!$A$1:$I$88,3,0)*0.475*44/12</f>
        <v>23.489209903916372</v>
      </c>
      <c r="FR142" s="23">
        <f>EXP(-LN(2)/25)*FR141+(1-EXP(-LN(2)/25))/(LN(2)/25)*Calculateur!FM142*Calculateur!FO142*VLOOKUP('Données projet'!$B$16,Paramètres!$A$1:$I$88,3,0)*0.475*44/12</f>
        <v>15.428089962397596</v>
      </c>
      <c r="FS142" s="23">
        <f>EXP(-LN(2)/2)*FS141+(1-EXP(-LN(2)/2))/(LN(2)/2)*FM142*FP142*VLOOKUP('Données projet'!$B$16,Paramètres!$A$1:$I$88,3,0)*0.475*44/12</f>
        <v>0</v>
      </c>
      <c r="FT142" s="24">
        <f t="shared" si="132"/>
        <v>38.917299866313968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498.99999999999955</v>
      </c>
      <c r="GA142" s="18">
        <f>FZ142*VLOOKUP('Données projet'!$B$17,Paramètres!$A$1:$I$88,3,0)*VLOOKUP('Données projet'!$B$17,Paramètres!$A$1:$I$88,5,0)</f>
        <v>240.01899999999978</v>
      </c>
      <c r="GB142" s="14">
        <f t="shared" si="157"/>
        <v>58.443618405936313</v>
      </c>
      <c r="GC142" s="22">
        <f t="shared" si="133"/>
        <v>519.82239372367201</v>
      </c>
      <c r="GD142" s="62">
        <f t="shared" si="134"/>
        <v>805.10583397987284</v>
      </c>
      <c r="GE142" s="62">
        <f ca="1">AVERAGE(OFFSET($GD$3,0,0,'Données projet'!$E$17+1,1))-AVERAGE(OFFSET($H$3,0,0,'Données projet'!$E$17+1,1))</f>
        <v>273.24375559399846</v>
      </c>
      <c r="GF142" s="62">
        <f t="shared" si="158"/>
        <v>270.77718895097848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projet'!$B$17,Paramètres!$A$1:$I$88,3,0)*0.475*44/12</f>
        <v>10.057588377690768</v>
      </c>
      <c r="GM142" s="23">
        <f>EXP(-LN(2)/25)*GM141+(1-EXP(-LN(2)/25))/(LN(2)/25)*Calculateur!GH142*Calculateur!GJ142*VLOOKUP('Données projet'!$B$17,Paramètres!$A$1:$I$88,3,0)*0.475*44/12</f>
        <v>5.9359192450724851</v>
      </c>
      <c r="GN142" s="23">
        <f>EXP(-LN(2)/2)*GN141+(1-EXP(-LN(2)/2))/(LN(2)/2)*GH142*GK142*VLOOKUP('Données projet'!$B$17,Paramètres!$A$1:$I$88,3,0)*0.475*44/12</f>
        <v>0</v>
      </c>
      <c r="GO142" s="23">
        <f t="shared" si="135"/>
        <v>15.993507622763254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550.99999999999966</v>
      </c>
      <c r="O143" s="14">
        <f>N143*VLOOKUP('Données projet'!$B$9,Paramètres!$A$1:$I$88,3,0)*VLOOKUP('Données projet'!$B$9,Paramètres!$A$1:$I$88,5,0)</f>
        <v>308.00899999999979</v>
      </c>
      <c r="P143" s="14">
        <f t="shared" si="141"/>
        <v>72.852874331417695</v>
      </c>
      <c r="Q143" s="22">
        <f t="shared" si="108"/>
        <v>663.33443112721886</v>
      </c>
      <c r="R143" s="62">
        <f t="shared" si="109"/>
        <v>948.75751903144328</v>
      </c>
      <c r="S143" s="62">
        <f ca="1">AVERAGE(OFFSET($R$3,0,0,'Données projet'!$E$9+1,1))-AVERAGE(OFFSET($H$3,0,0,'Données projet'!$E$9+1,1))</f>
        <v>289.94242154211224</v>
      </c>
      <c r="T143" s="62">
        <f t="shared" si="142"/>
        <v>369.12599166143661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15.129679306870667</v>
      </c>
      <c r="AA143" s="23">
        <f>EXP(-LN(2)/25)*AA142+(1-EXP(-LN(2)/25))/(LN(2)/25)*Calculateur!V143*Calculateur!X143*VLOOKUP('Données projet'!$B$9,Paramètres!$A$1:$I$88,3,0)*0.475*44/12</f>
        <v>7.2714271590418162</v>
      </c>
      <c r="AB143" s="23">
        <f>EXP(-LN(2)/2)*AB142+(1-EXP(-LN(2)/2))/(LN(2)/2)*V143*Y143*VLOOKUP('Données projet'!$B$9,Paramètres!$A$1:$I$88,3,0)*0.475*44/12</f>
        <v>0</v>
      </c>
      <c r="AC143" s="24">
        <f t="shared" si="111"/>
        <v>22.401106465912484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396</v>
      </c>
      <c r="AG143" s="13">
        <f>VLOOKUP(A143,'Données projet'!$A$61:$I$81,9,0)</f>
        <v>6.7</v>
      </c>
      <c r="AH143" s="13">
        <f t="array" ref="AH143">INDEX(AG:AG,MIN(IF(ISNUMBER(AG143:AG339),ROW(AG143:AG339),"")))</f>
        <v>6.7</v>
      </c>
      <c r="AI143" s="14">
        <f>IF('Données projet'!$A$62&gt;35,AI142+AH143-AQ142,IF(A143&lt;'Données projet'!$A$62,$AF$205^A143,IF(A143='Données projet'!$A$62,'Données projet'!$B$62,AI142+AH143-AQ142)))</f>
        <v>396.00000000000034</v>
      </c>
      <c r="AJ143" s="14">
        <f>AI143*VLOOKUP('Données projet'!$B$10,Paramètres!$A$1:$I$88,3,0)*VLOOKUP('Données projet'!$B$10,Paramètres!$A$1:$I$88,5,0)</f>
        <v>358.30080000000027</v>
      </c>
      <c r="AK143" s="14">
        <f t="shared" si="143"/>
        <v>83.269393485435813</v>
      </c>
      <c r="AL143" s="22">
        <f t="shared" si="112"/>
        <v>769.06808698713451</v>
      </c>
      <c r="AM143" s="62">
        <f t="shared" si="113"/>
        <v>1054.4911748913589</v>
      </c>
      <c r="AN143" s="62">
        <f ca="1">AVERAGE(OFFSET($AM$3,0,0,'Données projet'!$E$10+1,1))-AVERAGE(OFFSET($H$3,0,0,'Données projet'!$E$10+1,1))</f>
        <v>518.31628039365785</v>
      </c>
      <c r="AO143" s="62">
        <f t="shared" si="144"/>
        <v>66.435071953154761</v>
      </c>
      <c r="AP143" s="16">
        <f>IF(ISNA(VLOOKUP(A143,'Données projet'!$A$61:$I$81,3,0)),0,VLOOKUP(A143,'Données projet'!$A$61:$I$81,3,0))</f>
        <v>16</v>
      </c>
      <c r="AQ143" s="16">
        <f>IF(ISNA(VLOOKUP(A143,'Données projet'!$A$61:$I$81,4,0)),0,VLOOKUP(A143,'Données projet'!$A$61:$I$81,4,0))</f>
        <v>45</v>
      </c>
      <c r="AR143" s="17">
        <f>IF(ISNA(VLOOKUP(A143,'Données projet'!$A$61:$I$81,5,0)),0%,VLOOKUP(A143,'Données projet'!$A$61:$I$81,5,0)*VLOOKUP('Données projet'!$B$10,Paramètres!$A$1:$I$88,7,0))</f>
        <v>0.25800000000000001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44.855187757820367</v>
      </c>
      <c r="AV143" s="23">
        <f>EXP(-LN(2)/25)*AV142+(1-EXP(-LN(2)/25))/(LN(2)/25)*Calculateur!AQ143*Calculateur!AS143*VLOOKUP('Données projet'!$B$10,Paramètres!$A$1:$I$88,3,0)*0.475*44/12</f>
        <v>0</v>
      </c>
      <c r="AW143" s="23">
        <f>EXP(-LN(2)/2)*AW142+(1-EXP(-LN(2)/2))/(LN(2)/2)*AQ143*AT143*VLOOKUP('Données projet'!$B$10,Paramètres!$A$1:$I$88,3,0)*0.475*44/12</f>
        <v>0</v>
      </c>
      <c r="AX143" s="23">
        <f t="shared" si="114"/>
        <v>44.855187757820367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396</v>
      </c>
      <c r="BB143" s="13">
        <f>VLOOKUP(A143,'Données projet'!$A$87:$I$107,9,0)</f>
        <v>6.7</v>
      </c>
      <c r="BC143" s="13">
        <f t="array" ref="BC143">INDEX(BB:BB,MIN(IF(ISNUMBER(BB143:BB339),ROW(BB143:BB339),"")))</f>
        <v>6.7</v>
      </c>
      <c r="BD143" s="13">
        <f>IF('Données projet'!$A$88&gt;35,BD142+BC143-BL142,IF(A143&lt;'Données projet'!$A$88,$BA$205^A143,IF(A143='Données projet'!$A$88,'Données projet'!$B$88,BD142+BC143-BL142)))</f>
        <v>396.00000000000034</v>
      </c>
      <c r="BE143" s="14">
        <f>BD143*VLOOKUP('Données projet'!$B$11,Paramètres!$A$1:$I$88,3,0)*VLOOKUP('Données projet'!$B$11,Paramètres!$A$1:$I$88,5,0)</f>
        <v>401.54400000000032</v>
      </c>
      <c r="BF143" s="14">
        <f t="shared" si="145"/>
        <v>92.08961730592813</v>
      </c>
      <c r="BG143" s="22">
        <f t="shared" si="115"/>
        <v>859.74521680782527</v>
      </c>
      <c r="BH143" s="62">
        <f t="shared" si="116"/>
        <v>1145.1683047120496</v>
      </c>
      <c r="BI143" s="62">
        <f ca="1">AVERAGE(OFFSET($BH$3,0,0,'Données projet'!$E$11+1,1))-AVERAGE(OFFSET($H$3,0,0,'Données projet'!$E$11+1,1))</f>
        <v>570.2785736203931</v>
      </c>
      <c r="BJ143" s="62">
        <f t="shared" si="146"/>
        <v>67.677759965081719</v>
      </c>
      <c r="BK143" s="16">
        <f>IF(ISNA(VLOOKUP(A143,'Données projet'!$A$87:$I$107,3,0)),0,VLOOKUP(A143,'Données projet'!$A$87:$I$107,3,0))</f>
        <v>16</v>
      </c>
      <c r="BL143" s="16">
        <f>IF(ISNA(VLOOKUP(A143,'Données projet'!$A$87:$I$107,4,0)),0,VLOOKUP(A143,'Données projet'!$A$87:$I$107,4,0))</f>
        <v>45</v>
      </c>
      <c r="BM143" s="17">
        <f>IF(ISNA(VLOOKUP(A143,'Données projet'!$A$87:$I$107,5,0)),0%,VLOOKUP(A143,'Données projet'!$A$87:$I$107,5,0)*VLOOKUP('Données projet'!$B$11,Paramètres!$A$1:$I$88,7,0))</f>
        <v>0.25800000000000001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50.268744901005583</v>
      </c>
      <c r="BQ143" s="23">
        <f>EXP(-LN(2)/25)*BQ142+(1-EXP(-LN(2)/25))/(LN(2)/25)*Calculateur!BL143*Calculateur!BN143*VLOOKUP('Données projet'!$B$11,Paramètres!$A$1:$I$88,3,0)*0.475*44/12</f>
        <v>0</v>
      </c>
      <c r="BR143" s="23">
        <f>EXP(-LN(2)/2)*BR142+(1-EXP(-LN(2)/2))/(LN(2)/2)*BL143*BO143*VLOOKUP('Données projet'!$B$11,Paramètres!$A$1:$I$88,3,0)*0.475*44/12</f>
        <v>0</v>
      </c>
      <c r="BS143" s="24">
        <f t="shared" si="117"/>
        <v>50.268744901005583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544.19999999999982</v>
      </c>
      <c r="BZ143" s="14">
        <f>BY143*VLOOKUP('Données projet'!$B$12,Paramètres!$A$1:$I$88,3,0)*VLOOKUP('Données projet'!$B$12,Paramètres!$A$1:$I$88,5,0)</f>
        <v>325.43159999999995</v>
      </c>
      <c r="CA143" s="14">
        <f t="shared" si="147"/>
        <v>76.482394221016762</v>
      </c>
      <c r="CB143" s="22">
        <f t="shared" si="118"/>
        <v>700.00020660160408</v>
      </c>
      <c r="CC143" s="62">
        <f t="shared" si="119"/>
        <v>985.42329450582838</v>
      </c>
      <c r="CD143" s="62">
        <f ca="1">AVERAGE(OFFSET($CC$3,0,0,'Données projet'!$E$12+1,1))-AVERAGE(OFFSET($H$3,0,0,'Données projet'!$E$12+1,1))</f>
        <v>401.1031790385295</v>
      </c>
      <c r="CE143" s="62">
        <f t="shared" si="148"/>
        <v>402.09589424130615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projet'!$B$12,Paramètres!$A$1:$I$88,3,0)*0.475*44/12</f>
        <v>4.2540105615359494</v>
      </c>
      <c r="CL143" s="23">
        <f>EXP(-LN(2)/25)*CL142+(1-EXP(-LN(2)/25))/(LN(2)/25)*Calculateur!CG143*Calculateur!CI143*VLOOKUP('Données projet'!$B$12,Paramètres!$A$1:$I$88,3,0)*0.475*44/12</f>
        <v>0</v>
      </c>
      <c r="CM143" s="23">
        <f>EXP(-LN(2)/2)*CM142+(1-EXP(-LN(2)/2))/(LN(2)/2)*CG143*CJ143*VLOOKUP('Données projet'!$B$12,Paramètres!$A$1:$I$88,3,0)*0.475*44/12</f>
        <v>3.7756517766370787E-12</v>
      </c>
      <c r="CN143" s="24">
        <f t="shared" si="120"/>
        <v>4.254010561539725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544.19999999999982</v>
      </c>
      <c r="CU143" s="18">
        <f>CT143*VLOOKUP('Données projet'!$B$13,Paramètres!$A$1:$I$88,3,0)*VLOOKUP('Données projet'!$B$13,Paramètres!$A$1:$I$88,5,0)</f>
        <v>325.43159999999995</v>
      </c>
      <c r="CV143" s="14">
        <f t="shared" si="149"/>
        <v>76.482394221016762</v>
      </c>
      <c r="CW143" s="22">
        <f t="shared" si="121"/>
        <v>700.00020660160408</v>
      </c>
      <c r="CX143" s="62">
        <f t="shared" si="122"/>
        <v>985.42329450582838</v>
      </c>
      <c r="CY143" s="62">
        <f ca="1">AVERAGE(OFFSET($CX$3,0,0,'Données projet'!$E$13+1,1))-AVERAGE(OFFSET($H$3,0,0,'Données projet'!$E$13+1,1))</f>
        <v>401.1031790385295</v>
      </c>
      <c r="CZ143" s="62">
        <f t="shared" si="150"/>
        <v>402.09589424130615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projet'!$B$13,Paramètres!$A$1:$I$88,3,0)*0.475*44/12</f>
        <v>4.2540105615359494</v>
      </c>
      <c r="DG143" s="23">
        <f>EXP(-LN(2)/25)*DG142+(1-EXP(-LN(2)/25))/(LN(2)/25)*Calculateur!DB143*Calculateur!DD143*VLOOKUP('Données projet'!$B$13,Paramètres!$A$1:$I$88,3,0)*0.475*44/12</f>
        <v>0</v>
      </c>
      <c r="DH143" s="23">
        <f>EXP(-LN(2)/2)*DH142+(1-EXP(-LN(2)/2))/(LN(2)/2)*DB143*DE143*VLOOKUP('Données projet'!$B$13,Paramètres!$A$1:$I$88,3,0)*0.475*44/12</f>
        <v>3.7756517766370787E-12</v>
      </c>
      <c r="DI143" s="24">
        <f t="shared" si="123"/>
        <v>4.254010561539725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860.00000000000023</v>
      </c>
      <c r="DP143" s="18">
        <f>DO143*VLOOKUP('Données projet'!$B$14,Paramètres!$A$1:$I$88,3,0)*VLOOKUP('Données projet'!$B$14,Paramètres!$A$1:$I$88,5,0)</f>
        <v>346.5800000000001</v>
      </c>
      <c r="DQ143" s="14">
        <f t="shared" si="151"/>
        <v>80.857895771535127</v>
      </c>
      <c r="DR143" s="22">
        <f t="shared" si="124"/>
        <v>744.45433513542378</v>
      </c>
      <c r="DS143" s="62">
        <f t="shared" si="125"/>
        <v>1029.8774230396482</v>
      </c>
      <c r="DT143" s="62">
        <f ca="1">AVERAGE(OFFSET($DS$3,0,0,'Données projet'!$E$14+1,1))-AVERAGE(OFFSET($H$3,0,0,'Données projet'!$E$14+1,1))</f>
        <v>432.59662347701629</v>
      </c>
      <c r="DU143" s="62">
        <f t="shared" si="152"/>
        <v>348.67401091099748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projet'!$B$14,Paramètres!$A$1:$I$88,3,0)*0.475*44/12</f>
        <v>19.162880315312233</v>
      </c>
      <c r="EB143" s="23">
        <f>EXP(-LN(2)/25)*EB142+(1-EXP(-LN(2)/25))/(LN(2)/25)*Calculateur!DW143*Calculateur!DY143*VLOOKUP('Données projet'!$B$14,Paramètres!$A$1:$I$88,3,0)*0.475*44/12</f>
        <v>13.173726252968255</v>
      </c>
      <c r="EC143" s="23">
        <f>EXP(-LN(2)/2)*EC142+(1-EXP(-LN(2)/2))/(LN(2)/2)*DW143*DZ143*VLOOKUP('Données projet'!$B$14,Paramètres!$A$1:$I$88,3,0)*0.475*44/12</f>
        <v>0</v>
      </c>
      <c r="ED143" s="24">
        <f t="shared" si="126"/>
        <v>32.336606568280487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1099.9999999999998</v>
      </c>
      <c r="EK143" s="18">
        <f>EJ143*VLOOKUP('Données projet'!$B$15,Paramètres!$A$1:$I$88,3,0)*VLOOKUP('Données projet'!$B$15,Paramètres!$A$1:$I$88,5,0)</f>
        <v>486.19999999999993</v>
      </c>
      <c r="EL143" s="14">
        <f t="shared" si="153"/>
        <v>109.0490179035375</v>
      </c>
      <c r="EM143" s="22">
        <f t="shared" si="127"/>
        <v>1036.725372848661</v>
      </c>
      <c r="EN143" s="62">
        <f t="shared" si="128"/>
        <v>1322.1484607528853</v>
      </c>
      <c r="EO143" s="62">
        <f ca="1">AVERAGE(OFFSET($EN$3,0,0,'Données projet'!$E$15+1,1))-AVERAGE(OFFSET($H$3,0,0,'Données projet'!$E$15+1,1))</f>
        <v>582.26951914082088</v>
      </c>
      <c r="EP143" s="62">
        <f t="shared" si="154"/>
        <v>434.80429932654715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projet'!$B$15,Paramètres!$A$1:$I$88,3,0)*0.475*44/12</f>
        <v>19.309257986426992</v>
      </c>
      <c r="EW143" s="23">
        <f>EXP(-LN(2)/25)*EW142+(1-EXP(-LN(2)/25))/(LN(2)/25)*Calculateur!ER143*Calculateur!ET143*VLOOKUP('Données projet'!$B$15,Paramètres!$A$1:$I$88,3,0)*0.475*44/12</f>
        <v>11.837618462488273</v>
      </c>
      <c r="EX143" s="23">
        <f>EXP(-LN(2)/2)*EX142+(1-EXP(-LN(2)/2))/(LN(2)/2)*ER143*EU143*VLOOKUP('Données projet'!$B$15,Paramètres!$A$1:$I$88,3,0)*0.475*44/12</f>
        <v>0</v>
      </c>
      <c r="EY143" s="24">
        <f t="shared" si="129"/>
        <v>31.146876448915265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854.99999999999989</v>
      </c>
      <c r="FF143" s="18">
        <f>FE143*VLOOKUP('Données projet'!$B$16,Paramètres!$A$1:$I$88,3,0)*VLOOKUP('Données projet'!$B$16,Paramètres!$A$1:$I$88,5,0)</f>
        <v>400.13999999999993</v>
      </c>
      <c r="FG143" s="14">
        <f t="shared" si="155"/>
        <v>91.805047494648534</v>
      </c>
      <c r="FH143" s="22">
        <f t="shared" si="130"/>
        <v>856.80429105317944</v>
      </c>
      <c r="FI143" s="62">
        <f t="shared" si="131"/>
        <v>1142.2273789574037</v>
      </c>
      <c r="FJ143" s="62">
        <f ca="1">AVERAGE(OFFSET($FI$3,0,0,'Données projet'!$E$16+1,1))-AVERAGE(OFFSET($H$3,0,0,'Données projet'!$E$16+1,1))</f>
        <v>429.87867712133851</v>
      </c>
      <c r="FK143" s="62">
        <f t="shared" si="156"/>
        <v>182.81277865988014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projet'!$B$16,Paramètres!$A$1:$I$88,3,0)*0.475*44/12</f>
        <v>23.02860082470394</v>
      </c>
      <c r="FR143" s="23">
        <f>EXP(-LN(2)/25)*FR142+(1-EXP(-LN(2)/25))/(LN(2)/25)*Calculateur!FM143*Calculateur!FO143*VLOOKUP('Données projet'!$B$16,Paramètres!$A$1:$I$88,3,0)*0.475*44/12</f>
        <v>15.006208031047844</v>
      </c>
      <c r="FS143" s="23">
        <f>EXP(-LN(2)/2)*FS142+(1-EXP(-LN(2)/2))/(LN(2)/2)*FM143*FP143*VLOOKUP('Données projet'!$B$16,Paramètres!$A$1:$I$88,3,0)*0.475*44/12</f>
        <v>0</v>
      </c>
      <c r="FT143" s="24">
        <f t="shared" si="132"/>
        <v>38.034808855751784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498.99999999999955</v>
      </c>
      <c r="GA143" s="18">
        <f>FZ143*VLOOKUP('Données projet'!$B$17,Paramètres!$A$1:$I$88,3,0)*VLOOKUP('Données projet'!$B$17,Paramètres!$A$1:$I$88,5,0)</f>
        <v>240.01899999999978</v>
      </c>
      <c r="GB143" s="14">
        <f t="shared" si="157"/>
        <v>58.443618405936313</v>
      </c>
      <c r="GC143" s="22">
        <f t="shared" si="133"/>
        <v>519.82239372367201</v>
      </c>
      <c r="GD143" s="62">
        <f t="shared" si="134"/>
        <v>805.24548162789642</v>
      </c>
      <c r="GE143" s="62">
        <f ca="1">AVERAGE(OFFSET($GD$3,0,0,'Données projet'!$E$17+1,1))-AVERAGE(OFFSET($H$3,0,0,'Données projet'!$E$17+1,1))</f>
        <v>273.24375559399846</v>
      </c>
      <c r="GF143" s="62">
        <f t="shared" si="158"/>
        <v>270.77718895097848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projet'!$B$17,Paramètres!$A$1:$I$88,3,0)*0.475*44/12</f>
        <v>9.8603652041274295</v>
      </c>
      <c r="GM143" s="23">
        <f>EXP(-LN(2)/25)*GM142+(1-EXP(-LN(2)/25))/(LN(2)/25)*Calculateur!GH143*Calculateur!GJ143*VLOOKUP('Données projet'!$B$17,Paramètres!$A$1:$I$88,3,0)*0.475*44/12</f>
        <v>5.7736012211595513</v>
      </c>
      <c r="GN143" s="23">
        <f>EXP(-LN(2)/2)*GN142+(1-EXP(-LN(2)/2))/(LN(2)/2)*GH143*GK143*VLOOKUP('Données projet'!$B$17,Paramètres!$A$1:$I$88,3,0)*0.475*44/12</f>
        <v>0</v>
      </c>
      <c r="GO143" s="23">
        <f t="shared" si="135"/>
        <v>15.633966425286982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550.99999999999966</v>
      </c>
      <c r="O144" s="14">
        <f>N144*VLOOKUP('Données projet'!$B$9,Paramètres!$A$1:$I$88,3,0)*VLOOKUP('Données projet'!$B$9,Paramètres!$A$1:$I$88,5,0)</f>
        <v>308.00899999999979</v>
      </c>
      <c r="P144" s="14">
        <f t="shared" si="141"/>
        <v>72.852874331417695</v>
      </c>
      <c r="Q144" s="22">
        <f t="shared" si="108"/>
        <v>663.33443112721886</v>
      </c>
      <c r="R144" s="62">
        <f t="shared" si="109"/>
        <v>948.89474410497883</v>
      </c>
      <c r="S144" s="62">
        <f ca="1">AVERAGE(OFFSET($R$3,0,0,'Données projet'!$E$9+1,1))-AVERAGE(OFFSET($H$3,0,0,'Données projet'!$E$9+1,1))</f>
        <v>289.94242154211224</v>
      </c>
      <c r="T144" s="62">
        <f t="shared" si="142"/>
        <v>369.12599166143661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14.832995523856102</v>
      </c>
      <c r="AA144" s="23">
        <f>EXP(-LN(2)/25)*AA143+(1-EXP(-LN(2)/25))/(LN(2)/25)*Calculateur!V144*Calculateur!X144*VLOOKUP('Données projet'!$B$9,Paramètres!$A$1:$I$88,3,0)*0.475*44/12</f>
        <v>7.0725896009900824</v>
      </c>
      <c r="AB144" s="23">
        <f>EXP(-LN(2)/2)*AB143+(1-EXP(-LN(2)/2))/(LN(2)/2)*V144*Y144*VLOOKUP('Données projet'!$B$9,Paramètres!$A$1:$I$88,3,0)*0.475*44/12</f>
        <v>0</v>
      </c>
      <c r="AC144" s="24">
        <f t="shared" si="111"/>
        <v>21.905585124846183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6.7</v>
      </c>
      <c r="AI144" s="14">
        <f>IF('Données projet'!$A$62&gt;35,AI143+AH144-AQ143,IF(A144&lt;'Données projet'!$A$62,$AF$205^A144,IF(A144='Données projet'!$A$62,'Données projet'!$B$62,AI143+AH144-AQ143)))</f>
        <v>357.70000000000033</v>
      </c>
      <c r="AJ144" s="14">
        <f>AI144*VLOOKUP('Données projet'!$B$10,Paramètres!$A$1:$I$88,3,0)*VLOOKUP('Données projet'!$B$10,Paramètres!$A$1:$I$88,5,0)</f>
        <v>323.64696000000026</v>
      </c>
      <c r="AK144" s="14">
        <f t="shared" si="143"/>
        <v>76.11167341903851</v>
      </c>
      <c r="AL144" s="22">
        <f t="shared" si="112"/>
        <v>696.2462865381591</v>
      </c>
      <c r="AM144" s="62">
        <f t="shared" si="113"/>
        <v>981.80659951591906</v>
      </c>
      <c r="AN144" s="62">
        <f ca="1">AVERAGE(OFFSET($AM$3,0,0,'Données projet'!$E$10+1,1))-AVERAGE(OFFSET($H$3,0,0,'Données projet'!$E$10+1,1))</f>
        <v>518.31628039365785</v>
      </c>
      <c r="AO144" s="62">
        <f t="shared" si="144"/>
        <v>66.435071953154761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43.975604884852572</v>
      </c>
      <c r="AV144" s="23">
        <f>EXP(-LN(2)/25)*AV143+(1-EXP(-LN(2)/25))/(LN(2)/25)*Calculateur!AQ144*Calculateur!AS144*VLOOKUP('Données projet'!$B$10,Paramètres!$A$1:$I$88,3,0)*0.475*44/12</f>
        <v>0</v>
      </c>
      <c r="AW144" s="23">
        <f>EXP(-LN(2)/2)*AW143+(1-EXP(-LN(2)/2))/(LN(2)/2)*AQ144*AT144*VLOOKUP('Données projet'!$B$10,Paramètres!$A$1:$I$88,3,0)*0.475*44/12</f>
        <v>0</v>
      </c>
      <c r="AX144" s="23">
        <f t="shared" si="114"/>
        <v>43.975604884852572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6.7</v>
      </c>
      <c r="BD144" s="13">
        <f>IF('Données projet'!$A$88&gt;35,BD143+BC144-BL143,IF(A144&lt;'Données projet'!$A$88,$BA$205^A144,IF(A144='Données projet'!$A$88,'Données projet'!$B$88,BD143+BC144-BL143)))</f>
        <v>357.70000000000033</v>
      </c>
      <c r="BE144" s="14">
        <f>BD144*VLOOKUP('Données projet'!$B$11,Paramètres!$A$1:$I$88,3,0)*VLOOKUP('Données projet'!$B$11,Paramètres!$A$1:$I$88,5,0)</f>
        <v>362.70780000000036</v>
      </c>
      <c r="BF144" s="14">
        <f t="shared" si="145"/>
        <v>84.173723192771433</v>
      </c>
      <c r="BG144" s="22">
        <f t="shared" si="115"/>
        <v>778.31865289407745</v>
      </c>
      <c r="BH144" s="62">
        <f t="shared" si="116"/>
        <v>1063.8789658718374</v>
      </c>
      <c r="BI144" s="62">
        <f ca="1">AVERAGE(OFFSET($BH$3,0,0,'Données projet'!$E$11+1,1))-AVERAGE(OFFSET($H$3,0,0,'Données projet'!$E$11+1,1))</f>
        <v>570.2785736203931</v>
      </c>
      <c r="BJ144" s="62">
        <f t="shared" si="146"/>
        <v>67.677759965081719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49.283005474403737</v>
      </c>
      <c r="BQ144" s="23">
        <f>EXP(-LN(2)/25)*BQ143+(1-EXP(-LN(2)/25))/(LN(2)/25)*Calculateur!BL144*Calculateur!BN144*VLOOKUP('Données projet'!$B$11,Paramètres!$A$1:$I$88,3,0)*0.475*44/12</f>
        <v>0</v>
      </c>
      <c r="BR144" s="23">
        <f>EXP(-LN(2)/2)*BR143+(1-EXP(-LN(2)/2))/(LN(2)/2)*BL144*BO144*VLOOKUP('Données projet'!$B$11,Paramètres!$A$1:$I$88,3,0)*0.475*44/12</f>
        <v>0</v>
      </c>
      <c r="BS144" s="24">
        <f t="shared" si="117"/>
        <v>49.283005474403737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544.19999999999982</v>
      </c>
      <c r="BZ144" s="14">
        <f>BY144*VLOOKUP('Données projet'!$B$12,Paramètres!$A$1:$I$88,3,0)*VLOOKUP('Données projet'!$B$12,Paramètres!$A$1:$I$88,5,0)</f>
        <v>325.43159999999995</v>
      </c>
      <c r="CA144" s="14">
        <f t="shared" si="147"/>
        <v>76.482394221016762</v>
      </c>
      <c r="CB144" s="22">
        <f t="shared" si="118"/>
        <v>700.00020660160408</v>
      </c>
      <c r="CC144" s="62">
        <f t="shared" si="119"/>
        <v>985.56051957936415</v>
      </c>
      <c r="CD144" s="62">
        <f ca="1">AVERAGE(OFFSET($CC$3,0,0,'Données projet'!$E$12+1,1))-AVERAGE(OFFSET($H$3,0,0,'Données projet'!$E$12+1,1))</f>
        <v>401.1031790385295</v>
      </c>
      <c r="CE144" s="62">
        <f t="shared" si="148"/>
        <v>402.09589424130615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projet'!$B$12,Paramètres!$A$1:$I$88,3,0)*0.475*44/12</f>
        <v>4.1705920091144675</v>
      </c>
      <c r="CL144" s="23">
        <f>EXP(-LN(2)/25)*CL143+(1-EXP(-LN(2)/25))/(LN(2)/25)*Calculateur!CG144*Calculateur!CI144*VLOOKUP('Données projet'!$B$12,Paramètres!$A$1:$I$88,3,0)*0.475*44/12</f>
        <v>0</v>
      </c>
      <c r="CM144" s="23">
        <f>EXP(-LN(2)/2)*CM143+(1-EXP(-LN(2)/2))/(LN(2)/2)*CG144*CJ144*VLOOKUP('Données projet'!$B$12,Paramètres!$A$1:$I$88,3,0)*0.475*44/12</f>
        <v>2.6697889746591142E-12</v>
      </c>
      <c r="CN144" s="24">
        <f t="shared" si="120"/>
        <v>4.1705920091171373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544.19999999999982</v>
      </c>
      <c r="CU144" s="18">
        <f>CT144*VLOOKUP('Données projet'!$B$13,Paramètres!$A$1:$I$88,3,0)*VLOOKUP('Données projet'!$B$13,Paramètres!$A$1:$I$88,5,0)</f>
        <v>325.43159999999995</v>
      </c>
      <c r="CV144" s="14">
        <f t="shared" si="149"/>
        <v>76.482394221016762</v>
      </c>
      <c r="CW144" s="22">
        <f t="shared" si="121"/>
        <v>700.00020660160408</v>
      </c>
      <c r="CX144" s="62">
        <f t="shared" si="122"/>
        <v>985.56051957936415</v>
      </c>
      <c r="CY144" s="62">
        <f ca="1">AVERAGE(OFFSET($CX$3,0,0,'Données projet'!$E$13+1,1))-AVERAGE(OFFSET($H$3,0,0,'Données projet'!$E$13+1,1))</f>
        <v>401.1031790385295</v>
      </c>
      <c r="CZ144" s="62">
        <f t="shared" si="150"/>
        <v>402.09589424130615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projet'!$B$13,Paramètres!$A$1:$I$88,3,0)*0.475*44/12</f>
        <v>4.1705920091144675</v>
      </c>
      <c r="DG144" s="23">
        <f>EXP(-LN(2)/25)*DG143+(1-EXP(-LN(2)/25))/(LN(2)/25)*Calculateur!DB144*Calculateur!DD144*VLOOKUP('Données projet'!$B$13,Paramètres!$A$1:$I$88,3,0)*0.475*44/12</f>
        <v>0</v>
      </c>
      <c r="DH144" s="23">
        <f>EXP(-LN(2)/2)*DH143+(1-EXP(-LN(2)/2))/(LN(2)/2)*DB144*DE144*VLOOKUP('Données projet'!$B$13,Paramètres!$A$1:$I$88,3,0)*0.475*44/12</f>
        <v>2.6697889746591142E-12</v>
      </c>
      <c r="DI144" s="24">
        <f t="shared" si="123"/>
        <v>4.1705920091171373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860.00000000000023</v>
      </c>
      <c r="DP144" s="18">
        <f>DO144*VLOOKUP('Données projet'!$B$14,Paramètres!$A$1:$I$88,3,0)*VLOOKUP('Données projet'!$B$14,Paramètres!$A$1:$I$88,5,0)</f>
        <v>346.5800000000001</v>
      </c>
      <c r="DQ144" s="14">
        <f t="shared" si="151"/>
        <v>80.857895771535127</v>
      </c>
      <c r="DR144" s="22">
        <f t="shared" si="124"/>
        <v>744.45433513542378</v>
      </c>
      <c r="DS144" s="62">
        <f t="shared" si="125"/>
        <v>1030.0146481131837</v>
      </c>
      <c r="DT144" s="62">
        <f ca="1">AVERAGE(OFFSET($DS$3,0,0,'Données projet'!$E$14+1,1))-AVERAGE(OFFSET($H$3,0,0,'Données projet'!$E$14+1,1))</f>
        <v>432.59662347701629</v>
      </c>
      <c r="DU144" s="62">
        <f t="shared" si="152"/>
        <v>348.67401091099748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projet'!$B$14,Paramètres!$A$1:$I$88,3,0)*0.475*44/12</f>
        <v>18.787107920531838</v>
      </c>
      <c r="EB144" s="23">
        <f>EXP(-LN(2)/25)*EB143+(1-EXP(-LN(2)/25))/(LN(2)/25)*Calculateur!DW144*Calculateur!DY144*VLOOKUP('Données projet'!$B$14,Paramètres!$A$1:$I$88,3,0)*0.475*44/12</f>
        <v>12.813490015804684</v>
      </c>
      <c r="EC144" s="23">
        <f>EXP(-LN(2)/2)*EC143+(1-EXP(-LN(2)/2))/(LN(2)/2)*DW144*DZ144*VLOOKUP('Données projet'!$B$14,Paramètres!$A$1:$I$88,3,0)*0.475*44/12</f>
        <v>0</v>
      </c>
      <c r="ED144" s="24">
        <f t="shared" si="126"/>
        <v>31.60059793633652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1099.9999999999998</v>
      </c>
      <c r="EK144" s="18">
        <f>EJ144*VLOOKUP('Données projet'!$B$15,Paramètres!$A$1:$I$88,3,0)*VLOOKUP('Données projet'!$B$15,Paramètres!$A$1:$I$88,5,0)</f>
        <v>486.19999999999993</v>
      </c>
      <c r="EL144" s="14">
        <f t="shared" si="153"/>
        <v>109.0490179035375</v>
      </c>
      <c r="EM144" s="22">
        <f t="shared" si="127"/>
        <v>1036.725372848661</v>
      </c>
      <c r="EN144" s="62">
        <f t="shared" si="128"/>
        <v>1322.2856858264211</v>
      </c>
      <c r="EO144" s="62">
        <f ca="1">AVERAGE(OFFSET($EN$3,0,0,'Données projet'!$E$15+1,1))-AVERAGE(OFFSET($H$3,0,0,'Données projet'!$E$15+1,1))</f>
        <v>582.26951914082088</v>
      </c>
      <c r="EP144" s="62">
        <f t="shared" si="154"/>
        <v>434.80429932654715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projet'!$B$15,Paramètres!$A$1:$I$88,3,0)*0.475*44/12</f>
        <v>18.930615214797601</v>
      </c>
      <c r="EW144" s="23">
        <f>EXP(-LN(2)/25)*EW143+(1-EXP(-LN(2)/25))/(LN(2)/25)*Calculateur!ER144*Calculateur!ET144*VLOOKUP('Données projet'!$B$15,Paramètres!$A$1:$I$88,3,0)*0.475*44/12</f>
        <v>11.51391816311823</v>
      </c>
      <c r="EX144" s="23">
        <f>EXP(-LN(2)/2)*EX143+(1-EXP(-LN(2)/2))/(LN(2)/2)*ER144*EU144*VLOOKUP('Données projet'!$B$15,Paramètres!$A$1:$I$88,3,0)*0.475*44/12</f>
        <v>0</v>
      </c>
      <c r="EY144" s="24">
        <f t="shared" si="129"/>
        <v>30.444533377915832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854.99999999999989</v>
      </c>
      <c r="FF144" s="18">
        <f>FE144*VLOOKUP('Données projet'!$B$16,Paramètres!$A$1:$I$88,3,0)*VLOOKUP('Données projet'!$B$16,Paramètres!$A$1:$I$88,5,0)</f>
        <v>400.13999999999993</v>
      </c>
      <c r="FG144" s="14">
        <f t="shared" si="155"/>
        <v>91.805047494648534</v>
      </c>
      <c r="FH144" s="22">
        <f t="shared" si="130"/>
        <v>856.80429105317944</v>
      </c>
      <c r="FI144" s="62">
        <f t="shared" si="131"/>
        <v>1142.3646040309395</v>
      </c>
      <c r="FJ144" s="62">
        <f ca="1">AVERAGE(OFFSET($FI$3,0,0,'Données projet'!$E$16+1,1))-AVERAGE(OFFSET($H$3,0,0,'Données projet'!$E$16+1,1))</f>
        <v>429.87867712133851</v>
      </c>
      <c r="FK144" s="62">
        <f t="shared" si="156"/>
        <v>182.81277865988014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projet'!$B$16,Paramètres!$A$1:$I$88,3,0)*0.475*44/12</f>
        <v>22.577024008591064</v>
      </c>
      <c r="FR144" s="23">
        <f>EXP(-LN(2)/25)*FR143+(1-EXP(-LN(2)/25))/(LN(2)/25)*Calculateur!FM144*Calculateur!FO144*VLOOKUP('Données projet'!$B$16,Paramètres!$A$1:$I$88,3,0)*0.475*44/12</f>
        <v>14.595862483296658</v>
      </c>
      <c r="FS144" s="23">
        <f>EXP(-LN(2)/2)*FS143+(1-EXP(-LN(2)/2))/(LN(2)/2)*FM144*FP144*VLOOKUP('Données projet'!$B$16,Paramètres!$A$1:$I$88,3,0)*0.475*44/12</f>
        <v>0</v>
      </c>
      <c r="FT144" s="24">
        <f t="shared" si="132"/>
        <v>37.172886491887724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498.99999999999955</v>
      </c>
      <c r="GA144" s="18">
        <f>FZ144*VLOOKUP('Données projet'!$B$17,Paramètres!$A$1:$I$88,3,0)*VLOOKUP('Données projet'!$B$17,Paramètres!$A$1:$I$88,5,0)</f>
        <v>240.01899999999978</v>
      </c>
      <c r="GB144" s="14">
        <f t="shared" si="157"/>
        <v>58.443618405936313</v>
      </c>
      <c r="GC144" s="22">
        <f t="shared" si="133"/>
        <v>519.82239372367201</v>
      </c>
      <c r="GD144" s="62">
        <f t="shared" si="134"/>
        <v>805.38270670143197</v>
      </c>
      <c r="GE144" s="62">
        <f ca="1">AVERAGE(OFFSET($GD$3,0,0,'Données projet'!$E$17+1,1))-AVERAGE(OFFSET($H$3,0,0,'Données projet'!$E$17+1,1))</f>
        <v>273.24375559399846</v>
      </c>
      <c r="GF144" s="62">
        <f t="shared" si="158"/>
        <v>270.77718895097848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projet'!$B$17,Paramètres!$A$1:$I$88,3,0)*0.475*44/12</f>
        <v>9.6670094567034095</v>
      </c>
      <c r="GM144" s="23">
        <f>EXP(-LN(2)/25)*GM143+(1-EXP(-LN(2)/25))/(LN(2)/25)*Calculateur!GH144*Calculateur!GJ144*VLOOKUP('Données projet'!$B$17,Paramètres!$A$1:$I$88,3,0)*0.475*44/12</f>
        <v>5.6157217921464513</v>
      </c>
      <c r="GN144" s="23">
        <f>EXP(-LN(2)/2)*GN143+(1-EXP(-LN(2)/2))/(LN(2)/2)*GH144*GK144*VLOOKUP('Données projet'!$B$17,Paramètres!$A$1:$I$88,3,0)*0.475*44/12</f>
        <v>0</v>
      </c>
      <c r="GO144" s="23">
        <f t="shared" si="135"/>
        <v>15.28273124884986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550.99999999999966</v>
      </c>
      <c r="O145" s="14">
        <f>N145*VLOOKUP('Données projet'!$B$9,Paramètres!$A$1:$I$88,3,0)*VLOOKUP('Données projet'!$B$9,Paramètres!$A$1:$I$88,5,0)</f>
        <v>308.00899999999979</v>
      </c>
      <c r="P145" s="14">
        <f t="shared" si="141"/>
        <v>72.852874331417695</v>
      </c>
      <c r="Q145" s="22">
        <f t="shared" si="108"/>
        <v>663.33443112721886</v>
      </c>
      <c r="R145" s="62">
        <f t="shared" si="109"/>
        <v>949.02958863027789</v>
      </c>
      <c r="S145" s="62">
        <f ca="1">AVERAGE(OFFSET($R$3,0,0,'Données projet'!$E$9+1,1))-AVERAGE(OFFSET($H$3,0,0,'Données projet'!$E$9+1,1))</f>
        <v>289.94242154211224</v>
      </c>
      <c r="T145" s="62">
        <f t="shared" si="142"/>
        <v>369.12599166143661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14.542129528867214</v>
      </c>
      <c r="AA145" s="23">
        <f>EXP(-LN(2)/25)*AA144+(1-EXP(-LN(2)/25))/(LN(2)/25)*Calculateur!V145*Calculateur!X145*VLOOKUP('Données projet'!$B$9,Paramètres!$A$1:$I$88,3,0)*0.475*44/12</f>
        <v>6.8791892664196856</v>
      </c>
      <c r="AB145" s="23">
        <f>EXP(-LN(2)/2)*AB144+(1-EXP(-LN(2)/2))/(LN(2)/2)*V145*Y145*VLOOKUP('Données projet'!$B$9,Paramètres!$A$1:$I$88,3,0)*0.475*44/12</f>
        <v>0</v>
      </c>
      <c r="AC145" s="24">
        <f t="shared" si="111"/>
        <v>21.421318795286901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6.7</v>
      </c>
      <c r="AI145" s="14">
        <f>IF('Données projet'!$A$62&gt;35,AI144+AH145-AQ144,IF(A145&lt;'Données projet'!$A$62,$AF$205^A145,IF(A145='Données projet'!$A$62,'Données projet'!$B$62,AI144+AH145-AQ144)))</f>
        <v>364.40000000000032</v>
      </c>
      <c r="AJ145" s="14">
        <f>AI145*VLOOKUP('Données projet'!$B$10,Paramètres!$A$1:$I$88,3,0)*VLOOKUP('Données projet'!$B$10,Paramètres!$A$1:$I$88,5,0)</f>
        <v>329.70912000000027</v>
      </c>
      <c r="AK145" s="14">
        <f t="shared" si="143"/>
        <v>77.369997231692594</v>
      </c>
      <c r="AL145" s="22">
        <f t="shared" si="112"/>
        <v>708.99612917853165</v>
      </c>
      <c r="AM145" s="62">
        <f t="shared" si="113"/>
        <v>994.69128668159078</v>
      </c>
      <c r="AN145" s="62">
        <f ca="1">AVERAGE(OFFSET($AM$3,0,0,'Données projet'!$E$10+1,1))-AVERAGE(OFFSET($H$3,0,0,'Données projet'!$E$10+1,1))</f>
        <v>518.31628039365785</v>
      </c>
      <c r="AO145" s="62">
        <f t="shared" si="144"/>
        <v>66.435071953154761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43.113270095531092</v>
      </c>
      <c r="AV145" s="23">
        <f>EXP(-LN(2)/25)*AV144+(1-EXP(-LN(2)/25))/(LN(2)/25)*Calculateur!AQ145*Calculateur!AS145*VLOOKUP('Données projet'!$B$10,Paramètres!$A$1:$I$88,3,0)*0.475*44/12</f>
        <v>0</v>
      </c>
      <c r="AW145" s="23">
        <f>EXP(-LN(2)/2)*AW144+(1-EXP(-LN(2)/2))/(LN(2)/2)*AQ145*AT145*VLOOKUP('Données projet'!$B$10,Paramètres!$A$1:$I$88,3,0)*0.475*44/12</f>
        <v>0</v>
      </c>
      <c r="AX145" s="23">
        <f t="shared" si="114"/>
        <v>43.113270095531092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6.7</v>
      </c>
      <c r="BD145" s="13">
        <f>IF('Données projet'!$A$88&gt;35,BD144+BC145-BL144,IF(A145&lt;'Données projet'!$A$88,$BA$205^A145,IF(A145='Données projet'!$A$88,'Données projet'!$B$88,BD144+BC145-BL144)))</f>
        <v>364.40000000000032</v>
      </c>
      <c r="BE145" s="14">
        <f>BD145*VLOOKUP('Données projet'!$B$11,Paramètres!$A$1:$I$88,3,0)*VLOOKUP('Données projet'!$B$11,Paramètres!$A$1:$I$88,5,0)</f>
        <v>369.50160000000034</v>
      </c>
      <c r="BF145" s="14">
        <f t="shared" si="145"/>
        <v>85.565333645350407</v>
      </c>
      <c r="BG145" s="22">
        <f t="shared" si="115"/>
        <v>792.57490943231915</v>
      </c>
      <c r="BH145" s="62">
        <f t="shared" si="116"/>
        <v>1078.2700669353783</v>
      </c>
      <c r="BI145" s="62">
        <f ca="1">AVERAGE(OFFSET($BH$3,0,0,'Données projet'!$E$11+1,1))-AVERAGE(OFFSET($H$3,0,0,'Données projet'!$E$11+1,1))</f>
        <v>570.2785736203931</v>
      </c>
      <c r="BJ145" s="62">
        <f t="shared" si="146"/>
        <v>67.677759965081719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48.316595796715873</v>
      </c>
      <c r="BQ145" s="23">
        <f>EXP(-LN(2)/25)*BQ144+(1-EXP(-LN(2)/25))/(LN(2)/25)*Calculateur!BL145*Calculateur!BN145*VLOOKUP('Données projet'!$B$11,Paramètres!$A$1:$I$88,3,0)*0.475*44/12</f>
        <v>0</v>
      </c>
      <c r="BR145" s="23">
        <f>EXP(-LN(2)/2)*BR144+(1-EXP(-LN(2)/2))/(LN(2)/2)*BL145*BO145*VLOOKUP('Données projet'!$B$11,Paramètres!$A$1:$I$88,3,0)*0.475*44/12</f>
        <v>0</v>
      </c>
      <c r="BS145" s="24">
        <f t="shared" si="117"/>
        <v>48.316595796715873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544.19999999999982</v>
      </c>
      <c r="BZ145" s="14">
        <f>BY145*VLOOKUP('Données projet'!$B$12,Paramètres!$A$1:$I$88,3,0)*VLOOKUP('Données projet'!$B$12,Paramètres!$A$1:$I$88,5,0)</f>
        <v>325.43159999999995</v>
      </c>
      <c r="CA145" s="14">
        <f t="shared" si="147"/>
        <v>76.482394221016762</v>
      </c>
      <c r="CB145" s="22">
        <f t="shared" si="118"/>
        <v>700.00020660160408</v>
      </c>
      <c r="CC145" s="62">
        <f t="shared" si="119"/>
        <v>985.69536410466321</v>
      </c>
      <c r="CD145" s="62">
        <f ca="1">AVERAGE(OFFSET($CC$3,0,0,'Données projet'!$E$12+1,1))-AVERAGE(OFFSET($H$3,0,0,'Données projet'!$E$12+1,1))</f>
        <v>401.1031790385295</v>
      </c>
      <c r="CE145" s="62">
        <f t="shared" si="148"/>
        <v>402.09589424130615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projet'!$B$12,Paramètres!$A$1:$I$88,3,0)*0.475*44/12</f>
        <v>4.0888092436256782</v>
      </c>
      <c r="CL145" s="23">
        <f>EXP(-LN(2)/25)*CL144+(1-EXP(-LN(2)/25))/(LN(2)/25)*Calculateur!CG145*Calculateur!CI145*VLOOKUP('Données projet'!$B$12,Paramètres!$A$1:$I$88,3,0)*0.475*44/12</f>
        <v>0</v>
      </c>
      <c r="CM145" s="23">
        <f>EXP(-LN(2)/2)*CM144+(1-EXP(-LN(2)/2))/(LN(2)/2)*CG145*CJ145*VLOOKUP('Données projet'!$B$12,Paramètres!$A$1:$I$88,3,0)*0.475*44/12</f>
        <v>1.8878258883185393E-12</v>
      </c>
      <c r="CN145" s="24">
        <f t="shared" si="120"/>
        <v>4.0888092436275665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544.19999999999982</v>
      </c>
      <c r="CU145" s="18">
        <f>CT145*VLOOKUP('Données projet'!$B$13,Paramètres!$A$1:$I$88,3,0)*VLOOKUP('Données projet'!$B$13,Paramètres!$A$1:$I$88,5,0)</f>
        <v>325.43159999999995</v>
      </c>
      <c r="CV145" s="14">
        <f t="shared" si="149"/>
        <v>76.482394221016762</v>
      </c>
      <c r="CW145" s="22">
        <f t="shared" si="121"/>
        <v>700.00020660160408</v>
      </c>
      <c r="CX145" s="62">
        <f t="shared" si="122"/>
        <v>985.69536410466321</v>
      </c>
      <c r="CY145" s="62">
        <f ca="1">AVERAGE(OFFSET($CX$3,0,0,'Données projet'!$E$13+1,1))-AVERAGE(OFFSET($H$3,0,0,'Données projet'!$E$13+1,1))</f>
        <v>401.1031790385295</v>
      </c>
      <c r="CZ145" s="62">
        <f t="shared" si="150"/>
        <v>402.09589424130615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projet'!$B$13,Paramètres!$A$1:$I$88,3,0)*0.475*44/12</f>
        <v>4.0888092436256782</v>
      </c>
      <c r="DG145" s="23">
        <f>EXP(-LN(2)/25)*DG144+(1-EXP(-LN(2)/25))/(LN(2)/25)*Calculateur!DB145*Calculateur!DD145*VLOOKUP('Données projet'!$B$13,Paramètres!$A$1:$I$88,3,0)*0.475*44/12</f>
        <v>0</v>
      </c>
      <c r="DH145" s="23">
        <f>EXP(-LN(2)/2)*DH144+(1-EXP(-LN(2)/2))/(LN(2)/2)*DB145*DE145*VLOOKUP('Données projet'!$B$13,Paramètres!$A$1:$I$88,3,0)*0.475*44/12</f>
        <v>1.8878258883185393E-12</v>
      </c>
      <c r="DI145" s="24">
        <f t="shared" si="123"/>
        <v>4.0888092436275665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860.00000000000023</v>
      </c>
      <c r="DP145" s="18">
        <f>DO145*VLOOKUP('Données projet'!$B$14,Paramètres!$A$1:$I$88,3,0)*VLOOKUP('Données projet'!$B$14,Paramètres!$A$1:$I$88,5,0)</f>
        <v>346.5800000000001</v>
      </c>
      <c r="DQ145" s="14">
        <f t="shared" si="151"/>
        <v>80.857895771535127</v>
      </c>
      <c r="DR145" s="22">
        <f t="shared" si="124"/>
        <v>744.45433513542378</v>
      </c>
      <c r="DS145" s="62">
        <f t="shared" si="125"/>
        <v>1030.1494926384828</v>
      </c>
      <c r="DT145" s="62">
        <f ca="1">AVERAGE(OFFSET($DS$3,0,0,'Données projet'!$E$14+1,1))-AVERAGE(OFFSET($H$3,0,0,'Données projet'!$E$14+1,1))</f>
        <v>432.59662347701629</v>
      </c>
      <c r="DU145" s="62">
        <f t="shared" si="152"/>
        <v>348.67401091099748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projet'!$B$14,Paramètres!$A$1:$I$88,3,0)*0.475*44/12</f>
        <v>18.418704193214559</v>
      </c>
      <c r="EB145" s="23">
        <f>EXP(-LN(2)/25)*EB144+(1-EXP(-LN(2)/25))/(LN(2)/25)*Calculateur!DW145*Calculateur!DY145*VLOOKUP('Données projet'!$B$14,Paramètres!$A$1:$I$88,3,0)*0.475*44/12</f>
        <v>12.463104457490351</v>
      </c>
      <c r="EC145" s="23">
        <f>EXP(-LN(2)/2)*EC144+(1-EXP(-LN(2)/2))/(LN(2)/2)*DW145*DZ145*VLOOKUP('Données projet'!$B$14,Paramètres!$A$1:$I$88,3,0)*0.475*44/12</f>
        <v>0</v>
      </c>
      <c r="ED145" s="24">
        <f t="shared" si="126"/>
        <v>30.881808650704912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1099.9999999999998</v>
      </c>
      <c r="EK145" s="18">
        <f>EJ145*VLOOKUP('Données projet'!$B$15,Paramètres!$A$1:$I$88,3,0)*VLOOKUP('Données projet'!$B$15,Paramètres!$A$1:$I$88,5,0)</f>
        <v>486.19999999999993</v>
      </c>
      <c r="EL145" s="14">
        <f t="shared" si="153"/>
        <v>109.0490179035375</v>
      </c>
      <c r="EM145" s="22">
        <f t="shared" si="127"/>
        <v>1036.725372848661</v>
      </c>
      <c r="EN145" s="62">
        <f t="shared" si="128"/>
        <v>1322.4205303517201</v>
      </c>
      <c r="EO145" s="62">
        <f ca="1">AVERAGE(OFFSET($EN$3,0,0,'Données projet'!$E$15+1,1))-AVERAGE(OFFSET($H$3,0,0,'Données projet'!$E$15+1,1))</f>
        <v>582.26951914082088</v>
      </c>
      <c r="EP145" s="62">
        <f t="shared" si="154"/>
        <v>434.80429932654715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projet'!$B$15,Paramètres!$A$1:$I$88,3,0)*0.475*44/12</f>
        <v>18.559397396970574</v>
      </c>
      <c r="EW145" s="23">
        <f>EXP(-LN(2)/25)*EW144+(1-EXP(-LN(2)/25))/(LN(2)/25)*Calculateur!ER145*Calculateur!ET145*VLOOKUP('Données projet'!$B$15,Paramètres!$A$1:$I$88,3,0)*0.475*44/12</f>
        <v>11.199069465457121</v>
      </c>
      <c r="EX145" s="23">
        <f>EXP(-LN(2)/2)*EX144+(1-EXP(-LN(2)/2))/(LN(2)/2)*ER145*EU145*VLOOKUP('Données projet'!$B$15,Paramètres!$A$1:$I$88,3,0)*0.475*44/12</f>
        <v>0</v>
      </c>
      <c r="EY145" s="24">
        <f t="shared" si="129"/>
        <v>29.758466862427696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854.99999999999989</v>
      </c>
      <c r="FF145" s="18">
        <f>FE145*VLOOKUP('Données projet'!$B$16,Paramètres!$A$1:$I$88,3,0)*VLOOKUP('Données projet'!$B$16,Paramètres!$A$1:$I$88,5,0)</f>
        <v>400.13999999999993</v>
      </c>
      <c r="FG145" s="14">
        <f t="shared" si="155"/>
        <v>91.805047494648534</v>
      </c>
      <c r="FH145" s="22">
        <f t="shared" si="130"/>
        <v>856.80429105317944</v>
      </c>
      <c r="FI145" s="62">
        <f t="shared" si="131"/>
        <v>1142.4994485562386</v>
      </c>
      <c r="FJ145" s="62">
        <f ca="1">AVERAGE(OFFSET($FI$3,0,0,'Données projet'!$E$16+1,1))-AVERAGE(OFFSET($H$3,0,0,'Données projet'!$E$16+1,1))</f>
        <v>429.87867712133851</v>
      </c>
      <c r="FK145" s="62">
        <f t="shared" si="156"/>
        <v>182.81277865988014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projet'!$B$16,Paramètres!$A$1:$I$88,3,0)*0.475*44/12</f>
        <v>22.134302338407501</v>
      </c>
      <c r="FR145" s="23">
        <f>EXP(-LN(2)/25)*FR144+(1-EXP(-LN(2)/25))/(LN(2)/25)*Calculateur!FM145*Calculateur!FO145*VLOOKUP('Données projet'!$B$16,Paramètres!$A$1:$I$88,3,0)*0.475*44/12</f>
        <v>14.196737856127863</v>
      </c>
      <c r="FS145" s="23">
        <f>EXP(-LN(2)/2)*FS144+(1-EXP(-LN(2)/2))/(LN(2)/2)*FM145*FP145*VLOOKUP('Données projet'!$B$16,Paramètres!$A$1:$I$88,3,0)*0.475*44/12</f>
        <v>0</v>
      </c>
      <c r="FT145" s="24">
        <f t="shared" si="132"/>
        <v>36.331040194535362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498.99999999999955</v>
      </c>
      <c r="GA145" s="18">
        <f>FZ145*VLOOKUP('Données projet'!$B$17,Paramètres!$A$1:$I$88,3,0)*VLOOKUP('Données projet'!$B$17,Paramètres!$A$1:$I$88,5,0)</f>
        <v>240.01899999999978</v>
      </c>
      <c r="GB145" s="14">
        <f t="shared" si="157"/>
        <v>58.443618405936313</v>
      </c>
      <c r="GC145" s="22">
        <f t="shared" si="133"/>
        <v>519.82239372367201</v>
      </c>
      <c r="GD145" s="62">
        <f t="shared" si="134"/>
        <v>805.51755122673103</v>
      </c>
      <c r="GE145" s="62">
        <f ca="1">AVERAGE(OFFSET($GD$3,0,0,'Données projet'!$E$17+1,1))-AVERAGE(OFFSET($H$3,0,0,'Données projet'!$E$17+1,1))</f>
        <v>273.24375559399846</v>
      </c>
      <c r="GF145" s="62">
        <f t="shared" si="158"/>
        <v>270.77718895097848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projet'!$B$17,Paramètres!$A$1:$I$88,3,0)*0.475*44/12</f>
        <v>9.4774452975510144</v>
      </c>
      <c r="GM145" s="23">
        <f>EXP(-LN(2)/25)*GM144+(1-EXP(-LN(2)/25))/(LN(2)/25)*Calculateur!GH145*Calculateur!GJ145*VLOOKUP('Données projet'!$B$17,Paramètres!$A$1:$I$88,3,0)*0.475*44/12</f>
        <v>5.4621595844222322</v>
      </c>
      <c r="GN145" s="23">
        <f>EXP(-LN(2)/2)*GN144+(1-EXP(-LN(2)/2))/(LN(2)/2)*GH145*GK145*VLOOKUP('Données projet'!$B$17,Paramètres!$A$1:$I$88,3,0)*0.475*44/12</f>
        <v>0</v>
      </c>
      <c r="GO145" s="23">
        <f t="shared" si="135"/>
        <v>14.939604881973246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550.99999999999966</v>
      </c>
      <c r="O146" s="14">
        <f>N146*VLOOKUP('Données projet'!$B$9,Paramètres!$A$1:$I$88,3,0)*VLOOKUP('Données projet'!$B$9,Paramètres!$A$1:$I$88,5,0)</f>
        <v>308.00899999999979</v>
      </c>
      <c r="P146" s="14">
        <f t="shared" si="141"/>
        <v>72.852874331417695</v>
      </c>
      <c r="Q146" s="22">
        <f t="shared" si="108"/>
        <v>663.33443112721886</v>
      </c>
      <c r="R146" s="62">
        <f t="shared" si="109"/>
        <v>949.16209390453037</v>
      </c>
      <c r="S146" s="62">
        <f ca="1">AVERAGE(OFFSET($R$3,0,0,'Données projet'!$E$9+1,1))-AVERAGE(OFFSET($H$3,0,0,'Données projet'!$E$9+1,1))</f>
        <v>289.94242154211224</v>
      </c>
      <c r="T146" s="62">
        <f t="shared" si="142"/>
        <v>369.12599166143661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14.256967238629318</v>
      </c>
      <c r="AA146" s="23">
        <f>EXP(-LN(2)/25)*AA145+(1-EXP(-LN(2)/25))/(LN(2)/25)*Calculateur!V146*Calculateur!X146*VLOOKUP('Données projet'!$B$9,Paramètres!$A$1:$I$88,3,0)*0.475*44/12</f>
        <v>6.6910774741685985</v>
      </c>
      <c r="AB146" s="23">
        <f>EXP(-LN(2)/2)*AB145+(1-EXP(-LN(2)/2))/(LN(2)/2)*V146*Y146*VLOOKUP('Données projet'!$B$9,Paramètres!$A$1:$I$88,3,0)*0.475*44/12</f>
        <v>0</v>
      </c>
      <c r="AC146" s="24">
        <f t="shared" si="111"/>
        <v>20.948044712797916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6.7</v>
      </c>
      <c r="AI146" s="14">
        <f>IF('Données projet'!$A$62&gt;35,AI145+AH146-AQ145,IF(A146&lt;'Données projet'!$A$62,$AF$205^A146,IF(A146='Données projet'!$A$62,'Données projet'!$B$62,AI145+AH146-AQ145)))</f>
        <v>371.10000000000031</v>
      </c>
      <c r="AJ146" s="14">
        <f>AI146*VLOOKUP('Données projet'!$B$10,Paramètres!$A$1:$I$88,3,0)*VLOOKUP('Données projet'!$B$10,Paramètres!$A$1:$I$88,5,0)</f>
        <v>335.77128000000027</v>
      </c>
      <c r="AK146" s="14">
        <f t="shared" si="143"/>
        <v>78.625630729870224</v>
      </c>
      <c r="AL146" s="22">
        <f t="shared" si="112"/>
        <v>721.74128618785778</v>
      </c>
      <c r="AM146" s="62">
        <f t="shared" si="113"/>
        <v>1007.5689489651693</v>
      </c>
      <c r="AN146" s="62">
        <f ca="1">AVERAGE(OFFSET($AM$3,0,0,'Données projet'!$E$10+1,1))-AVERAGE(OFFSET($H$3,0,0,'Données projet'!$E$10+1,1))</f>
        <v>518.31628039365785</v>
      </c>
      <c r="AO146" s="62">
        <f t="shared" si="144"/>
        <v>66.435071953154761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42.267845165455924</v>
      </c>
      <c r="AV146" s="23">
        <f>EXP(-LN(2)/25)*AV145+(1-EXP(-LN(2)/25))/(LN(2)/25)*Calculateur!AQ146*Calculateur!AS146*VLOOKUP('Données projet'!$B$10,Paramètres!$A$1:$I$88,3,0)*0.475*44/12</f>
        <v>0</v>
      </c>
      <c r="AW146" s="23">
        <f>EXP(-LN(2)/2)*AW145+(1-EXP(-LN(2)/2))/(LN(2)/2)*AQ146*AT146*VLOOKUP('Données projet'!$B$10,Paramètres!$A$1:$I$88,3,0)*0.475*44/12</f>
        <v>0</v>
      </c>
      <c r="AX146" s="23">
        <f t="shared" si="114"/>
        <v>42.267845165455924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6.7</v>
      </c>
      <c r="BD146" s="13">
        <f>IF('Données projet'!$A$88&gt;35,BD145+BC146-BL145,IF(A146&lt;'Données projet'!$A$88,$BA$205^A146,IF(A146='Données projet'!$A$88,'Données projet'!$B$88,BD145+BC146-BL145)))</f>
        <v>371.10000000000031</v>
      </c>
      <c r="BE146" s="14">
        <f>BD146*VLOOKUP('Données projet'!$B$11,Paramètres!$A$1:$I$88,3,0)*VLOOKUP('Données projet'!$B$11,Paramètres!$A$1:$I$88,5,0)</f>
        <v>376.29540000000031</v>
      </c>
      <c r="BF146" s="14">
        <f t="shared" si="145"/>
        <v>86.953968814692814</v>
      </c>
      <c r="BG146" s="22">
        <f t="shared" si="115"/>
        <v>806.8259840189238</v>
      </c>
      <c r="BH146" s="62">
        <f t="shared" si="116"/>
        <v>1092.6536467962353</v>
      </c>
      <c r="BI146" s="62">
        <f ca="1">AVERAGE(OFFSET($BH$3,0,0,'Données projet'!$E$11+1,1))-AVERAGE(OFFSET($H$3,0,0,'Données projet'!$E$11+1,1))</f>
        <v>570.2785736203931</v>
      </c>
      <c r="BJ146" s="62">
        <f t="shared" si="146"/>
        <v>67.677759965081719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47.369136823355767</v>
      </c>
      <c r="BQ146" s="23">
        <f>EXP(-LN(2)/25)*BQ145+(1-EXP(-LN(2)/25))/(LN(2)/25)*Calculateur!BL146*Calculateur!BN146*VLOOKUP('Données projet'!$B$11,Paramètres!$A$1:$I$88,3,0)*0.475*44/12</f>
        <v>0</v>
      </c>
      <c r="BR146" s="23">
        <f>EXP(-LN(2)/2)*BR145+(1-EXP(-LN(2)/2))/(LN(2)/2)*BL146*BO146*VLOOKUP('Données projet'!$B$11,Paramètres!$A$1:$I$88,3,0)*0.475*44/12</f>
        <v>0</v>
      </c>
      <c r="BS146" s="24">
        <f t="shared" si="117"/>
        <v>47.369136823355767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544.19999999999982</v>
      </c>
      <c r="BZ146" s="14">
        <f>BY146*VLOOKUP('Données projet'!$B$12,Paramètres!$A$1:$I$88,3,0)*VLOOKUP('Données projet'!$B$12,Paramètres!$A$1:$I$88,5,0)</f>
        <v>325.43159999999995</v>
      </c>
      <c r="CA146" s="14">
        <f t="shared" si="147"/>
        <v>76.482394221016762</v>
      </c>
      <c r="CB146" s="22">
        <f t="shared" si="118"/>
        <v>700.00020660160408</v>
      </c>
      <c r="CC146" s="62">
        <f t="shared" si="119"/>
        <v>985.82786937891547</v>
      </c>
      <c r="CD146" s="62">
        <f ca="1">AVERAGE(OFFSET($CC$3,0,0,'Données projet'!$E$12+1,1))-AVERAGE(OFFSET($H$3,0,0,'Données projet'!$E$12+1,1))</f>
        <v>401.1031790385295</v>
      </c>
      <c r="CE146" s="62">
        <f t="shared" si="148"/>
        <v>402.09589424130615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projet'!$B$12,Paramètres!$A$1:$I$88,3,0)*0.475*44/12</f>
        <v>4.0086301882855624</v>
      </c>
      <c r="CL146" s="23">
        <f>EXP(-LN(2)/25)*CL145+(1-EXP(-LN(2)/25))/(LN(2)/25)*Calculateur!CG146*Calculateur!CI146*VLOOKUP('Données projet'!$B$12,Paramètres!$A$1:$I$88,3,0)*0.475*44/12</f>
        <v>0</v>
      </c>
      <c r="CM146" s="23">
        <f>EXP(-LN(2)/2)*CM145+(1-EXP(-LN(2)/2))/(LN(2)/2)*CG146*CJ146*VLOOKUP('Données projet'!$B$12,Paramètres!$A$1:$I$88,3,0)*0.475*44/12</f>
        <v>1.3348944873295571E-12</v>
      </c>
      <c r="CN146" s="24">
        <f t="shared" si="120"/>
        <v>4.0086301882868973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544.19999999999982</v>
      </c>
      <c r="CU146" s="18">
        <f>CT146*VLOOKUP('Données projet'!$B$13,Paramètres!$A$1:$I$88,3,0)*VLOOKUP('Données projet'!$B$13,Paramètres!$A$1:$I$88,5,0)</f>
        <v>325.43159999999995</v>
      </c>
      <c r="CV146" s="14">
        <f t="shared" si="149"/>
        <v>76.482394221016762</v>
      </c>
      <c r="CW146" s="22">
        <f t="shared" si="121"/>
        <v>700.00020660160408</v>
      </c>
      <c r="CX146" s="62">
        <f t="shared" si="122"/>
        <v>985.82786937891547</v>
      </c>
      <c r="CY146" s="62">
        <f ca="1">AVERAGE(OFFSET($CX$3,0,0,'Données projet'!$E$13+1,1))-AVERAGE(OFFSET($H$3,0,0,'Données projet'!$E$13+1,1))</f>
        <v>401.1031790385295</v>
      </c>
      <c r="CZ146" s="62">
        <f t="shared" si="150"/>
        <v>402.09589424130615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projet'!$B$13,Paramètres!$A$1:$I$88,3,0)*0.475*44/12</f>
        <v>4.0086301882855624</v>
      </c>
      <c r="DG146" s="23">
        <f>EXP(-LN(2)/25)*DG145+(1-EXP(-LN(2)/25))/(LN(2)/25)*Calculateur!DB146*Calculateur!DD146*VLOOKUP('Données projet'!$B$13,Paramètres!$A$1:$I$88,3,0)*0.475*44/12</f>
        <v>0</v>
      </c>
      <c r="DH146" s="23">
        <f>EXP(-LN(2)/2)*DH145+(1-EXP(-LN(2)/2))/(LN(2)/2)*DB146*DE146*VLOOKUP('Données projet'!$B$13,Paramètres!$A$1:$I$88,3,0)*0.475*44/12</f>
        <v>1.3348944873295571E-12</v>
      </c>
      <c r="DI146" s="24">
        <f t="shared" si="123"/>
        <v>4.0086301882868973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860.00000000000023</v>
      </c>
      <c r="DP146" s="18">
        <f>DO146*VLOOKUP('Données projet'!$B$14,Paramètres!$A$1:$I$88,3,0)*VLOOKUP('Données projet'!$B$14,Paramètres!$A$1:$I$88,5,0)</f>
        <v>346.5800000000001</v>
      </c>
      <c r="DQ146" s="14">
        <f t="shared" si="151"/>
        <v>80.857895771535127</v>
      </c>
      <c r="DR146" s="22">
        <f t="shared" si="124"/>
        <v>744.45433513542378</v>
      </c>
      <c r="DS146" s="62">
        <f t="shared" si="125"/>
        <v>1030.2819979127353</v>
      </c>
      <c r="DT146" s="62">
        <f ca="1">AVERAGE(OFFSET($DS$3,0,0,'Données projet'!$E$14+1,1))-AVERAGE(OFFSET($H$3,0,0,'Données projet'!$E$14+1,1))</f>
        <v>432.59662347701629</v>
      </c>
      <c r="DU146" s="62">
        <f t="shared" si="152"/>
        <v>348.67401091099748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projet'!$B$14,Paramètres!$A$1:$I$88,3,0)*0.475*44/12</f>
        <v>18.057524638285884</v>
      </c>
      <c r="EB146" s="23">
        <f>EXP(-LN(2)/25)*EB145+(1-EXP(-LN(2)/25))/(LN(2)/25)*Calculateur!DW146*Calculateur!DY146*VLOOKUP('Données projet'!$B$14,Paramètres!$A$1:$I$88,3,0)*0.475*44/12</f>
        <v>12.122300210694098</v>
      </c>
      <c r="EC146" s="23">
        <f>EXP(-LN(2)/2)*EC145+(1-EXP(-LN(2)/2))/(LN(2)/2)*DW146*DZ146*VLOOKUP('Données projet'!$B$14,Paramètres!$A$1:$I$88,3,0)*0.475*44/12</f>
        <v>0</v>
      </c>
      <c r="ED146" s="24">
        <f t="shared" si="126"/>
        <v>30.179824848979983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1099.9999999999998</v>
      </c>
      <c r="EK146" s="18">
        <f>EJ146*VLOOKUP('Données projet'!$B$15,Paramètres!$A$1:$I$88,3,0)*VLOOKUP('Données projet'!$B$15,Paramètres!$A$1:$I$88,5,0)</f>
        <v>486.19999999999993</v>
      </c>
      <c r="EL146" s="14">
        <f t="shared" si="153"/>
        <v>109.0490179035375</v>
      </c>
      <c r="EM146" s="22">
        <f t="shared" si="127"/>
        <v>1036.725372848661</v>
      </c>
      <c r="EN146" s="62">
        <f t="shared" si="128"/>
        <v>1322.5530356259724</v>
      </c>
      <c r="EO146" s="62">
        <f ca="1">AVERAGE(OFFSET($EN$3,0,0,'Données projet'!$E$15+1,1))-AVERAGE(OFFSET($H$3,0,0,'Données projet'!$E$15+1,1))</f>
        <v>582.26951914082088</v>
      </c>
      <c r="EP146" s="62">
        <f t="shared" si="154"/>
        <v>434.80429932654715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projet'!$B$15,Paramètres!$A$1:$I$88,3,0)*0.475*44/12</f>
        <v>18.195458934130624</v>
      </c>
      <c r="EW146" s="23">
        <f>EXP(-LN(2)/25)*EW145+(1-EXP(-LN(2)/25))/(LN(2)/25)*Calculateur!ER146*Calculateur!ET146*VLOOKUP('Données projet'!$B$15,Paramètres!$A$1:$I$88,3,0)*0.475*44/12</f>
        <v>10.892830321990729</v>
      </c>
      <c r="EX146" s="23">
        <f>EXP(-LN(2)/2)*EX145+(1-EXP(-LN(2)/2))/(LN(2)/2)*ER146*EU146*VLOOKUP('Données projet'!$B$15,Paramètres!$A$1:$I$88,3,0)*0.475*44/12</f>
        <v>0</v>
      </c>
      <c r="EY146" s="24">
        <f t="shared" si="129"/>
        <v>29.088289256121353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854.99999999999989</v>
      </c>
      <c r="FF146" s="18">
        <f>FE146*VLOOKUP('Données projet'!$B$16,Paramètres!$A$1:$I$88,3,0)*VLOOKUP('Données projet'!$B$16,Paramètres!$A$1:$I$88,5,0)</f>
        <v>400.13999999999993</v>
      </c>
      <c r="FG146" s="14">
        <f t="shared" si="155"/>
        <v>91.805047494648534</v>
      </c>
      <c r="FH146" s="22">
        <f t="shared" si="130"/>
        <v>856.80429105317944</v>
      </c>
      <c r="FI146" s="62">
        <f t="shared" si="131"/>
        <v>1142.6319538304908</v>
      </c>
      <c r="FJ146" s="62">
        <f ca="1">AVERAGE(OFFSET($FI$3,0,0,'Données projet'!$E$16+1,1))-AVERAGE(OFFSET($H$3,0,0,'Données projet'!$E$16+1,1))</f>
        <v>429.87867712133851</v>
      </c>
      <c r="FK146" s="62">
        <f t="shared" si="156"/>
        <v>182.81277865988014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projet'!$B$16,Paramètres!$A$1:$I$88,3,0)*0.475*44/12</f>
        <v>21.700262170142683</v>
      </c>
      <c r="FR146" s="23">
        <f>EXP(-LN(2)/25)*FR145+(1-EXP(-LN(2)/25))/(LN(2)/25)*Calculateur!FM146*Calculateur!FO146*VLOOKUP('Données projet'!$B$16,Paramètres!$A$1:$I$88,3,0)*0.475*44/12</f>
        <v>13.808527312878049</v>
      </c>
      <c r="FS146" s="23">
        <f>EXP(-LN(2)/2)*FS145+(1-EXP(-LN(2)/2))/(LN(2)/2)*FM146*FP146*VLOOKUP('Données projet'!$B$16,Paramètres!$A$1:$I$88,3,0)*0.475*44/12</f>
        <v>0</v>
      </c>
      <c r="FT146" s="24">
        <f t="shared" si="132"/>
        <v>35.508789483020735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498.99999999999955</v>
      </c>
      <c r="GA146" s="18">
        <f>FZ146*VLOOKUP('Données projet'!$B$17,Paramètres!$A$1:$I$88,3,0)*VLOOKUP('Données projet'!$B$17,Paramètres!$A$1:$I$88,5,0)</f>
        <v>240.01899999999978</v>
      </c>
      <c r="GB146" s="14">
        <f t="shared" si="157"/>
        <v>58.443618405936313</v>
      </c>
      <c r="GC146" s="22">
        <f t="shared" si="133"/>
        <v>519.82239372367201</v>
      </c>
      <c r="GD146" s="62">
        <f t="shared" si="134"/>
        <v>805.65005650098351</v>
      </c>
      <c r="GE146" s="62">
        <f ca="1">AVERAGE(OFFSET($GD$3,0,0,'Données projet'!$E$17+1,1))-AVERAGE(OFFSET($H$3,0,0,'Données projet'!$E$17+1,1))</f>
        <v>273.24375559399846</v>
      </c>
      <c r="GF146" s="62">
        <f t="shared" si="158"/>
        <v>270.77718895097848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projet'!$B$17,Paramètres!$A$1:$I$88,3,0)*0.475*44/12</f>
        <v>9.2915983759368768</v>
      </c>
      <c r="GM146" s="23">
        <f>EXP(-LN(2)/25)*GM145+(1-EXP(-LN(2)/25))/(LN(2)/25)*Calculateur!GH146*Calculateur!GJ146*VLOOKUP('Données projet'!$B$17,Paramètres!$A$1:$I$88,3,0)*0.475*44/12</f>
        <v>5.3127965433437172</v>
      </c>
      <c r="GN146" s="23">
        <f>EXP(-LN(2)/2)*GN145+(1-EXP(-LN(2)/2))/(LN(2)/2)*GH146*GK146*VLOOKUP('Données projet'!$B$17,Paramètres!$A$1:$I$88,3,0)*0.475*44/12</f>
        <v>0</v>
      </c>
      <c r="GO146" s="23">
        <f t="shared" si="135"/>
        <v>14.604394919280594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550.99999999999966</v>
      </c>
      <c r="O147" s="14">
        <f>N147*VLOOKUP('Données projet'!$B$9,Paramètres!$A$1:$I$88,3,0)*VLOOKUP('Données projet'!$B$9,Paramètres!$A$1:$I$88,5,0)</f>
        <v>308.00899999999979</v>
      </c>
      <c r="P147" s="14">
        <f t="shared" si="141"/>
        <v>72.852874331417695</v>
      </c>
      <c r="Q147" s="22">
        <f t="shared" si="108"/>
        <v>663.33443112721886</v>
      </c>
      <c r="R147" s="62">
        <f t="shared" si="109"/>
        <v>949.29230050851174</v>
      </c>
      <c r="S147" s="62">
        <f ca="1">AVERAGE(OFFSET($R$3,0,0,'Données projet'!$E$9+1,1))-AVERAGE(OFFSET($H$3,0,0,'Données projet'!$E$9+1,1))</f>
        <v>289.94242154211224</v>
      </c>
      <c r="T147" s="62">
        <f t="shared" si="142"/>
        <v>369.12599166143661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13.977396806971164</v>
      </c>
      <c r="AA147" s="23">
        <f>EXP(-LN(2)/25)*AA146+(1-EXP(-LN(2)/25))/(LN(2)/25)*Calculateur!V147*Calculateur!X147*VLOOKUP('Données projet'!$B$9,Paramètres!$A$1:$I$88,3,0)*0.475*44/12</f>
        <v>6.5081096087689865</v>
      </c>
      <c r="AB147" s="23">
        <f>EXP(-LN(2)/2)*AB146+(1-EXP(-LN(2)/2))/(LN(2)/2)*V147*Y147*VLOOKUP('Données projet'!$B$9,Paramètres!$A$1:$I$88,3,0)*0.475*44/12</f>
        <v>0</v>
      </c>
      <c r="AC147" s="24">
        <f t="shared" si="111"/>
        <v>20.485506415740151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6.7</v>
      </c>
      <c r="AI147" s="14">
        <f>IF('Données projet'!$A$62&gt;35,AI146+AH147-AQ146,IF(A147&lt;'Données projet'!$A$62,$AF$205^A147,IF(A147='Données projet'!$A$62,'Données projet'!$B$62,AI146+AH147-AQ146)))</f>
        <v>377.8000000000003</v>
      </c>
      <c r="AJ147" s="14">
        <f>AI147*VLOOKUP('Données projet'!$B$10,Paramètres!$A$1:$I$88,3,0)*VLOOKUP('Données projet'!$B$10,Paramètres!$A$1:$I$88,5,0)</f>
        <v>341.83344000000028</v>
      </c>
      <c r="AK147" s="14">
        <f t="shared" si="143"/>
        <v>79.878628088461753</v>
      </c>
      <c r="AL147" s="22">
        <f t="shared" si="112"/>
        <v>734.48185192073799</v>
      </c>
      <c r="AM147" s="62">
        <f t="shared" si="113"/>
        <v>1020.4397213020309</v>
      </c>
      <c r="AN147" s="62">
        <f ca="1">AVERAGE(OFFSET($AM$3,0,0,'Données projet'!$E$10+1,1))-AVERAGE(OFFSET($H$3,0,0,'Données projet'!$E$10+1,1))</f>
        <v>518.31628039365785</v>
      </c>
      <c r="AO147" s="62">
        <f t="shared" si="144"/>
        <v>66.435071953154761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41.438998502601237</v>
      </c>
      <c r="AV147" s="23">
        <f>EXP(-LN(2)/25)*AV146+(1-EXP(-LN(2)/25))/(LN(2)/25)*Calculateur!AQ147*Calculateur!AS147*VLOOKUP('Données projet'!$B$10,Paramètres!$A$1:$I$88,3,0)*0.475*44/12</f>
        <v>0</v>
      </c>
      <c r="AW147" s="23">
        <f>EXP(-LN(2)/2)*AW146+(1-EXP(-LN(2)/2))/(LN(2)/2)*AQ147*AT147*VLOOKUP('Données projet'!$B$10,Paramètres!$A$1:$I$88,3,0)*0.475*44/12</f>
        <v>0</v>
      </c>
      <c r="AX147" s="23">
        <f t="shared" si="114"/>
        <v>41.438998502601237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6.7</v>
      </c>
      <c r="BD147" s="13">
        <f>IF('Données projet'!$A$88&gt;35,BD146+BC147-BL146,IF(A147&lt;'Données projet'!$A$88,$BA$205^A147,IF(A147='Données projet'!$A$88,'Données projet'!$B$88,BD146+BC147-BL146)))</f>
        <v>377.8000000000003</v>
      </c>
      <c r="BE147" s="14">
        <f>BD147*VLOOKUP('Données projet'!$B$11,Paramètres!$A$1:$I$88,3,0)*VLOOKUP('Données projet'!$B$11,Paramètres!$A$1:$I$88,5,0)</f>
        <v>383.08920000000029</v>
      </c>
      <c r="BF147" s="14">
        <f t="shared" si="145"/>
        <v>88.339688614107573</v>
      </c>
      <c r="BG147" s="22">
        <f t="shared" si="115"/>
        <v>821.07198100290452</v>
      </c>
      <c r="BH147" s="62">
        <f t="shared" si="116"/>
        <v>1107.0298503841973</v>
      </c>
      <c r="BI147" s="62">
        <f ca="1">AVERAGE(OFFSET($BH$3,0,0,'Données projet'!$E$11+1,1))-AVERAGE(OFFSET($H$3,0,0,'Données projet'!$E$11+1,1))</f>
        <v>570.2785736203931</v>
      </c>
      <c r="BJ147" s="62">
        <f t="shared" si="146"/>
        <v>67.677759965081719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46.440256942570343</v>
      </c>
      <c r="BQ147" s="23">
        <f>EXP(-LN(2)/25)*BQ146+(1-EXP(-LN(2)/25))/(LN(2)/25)*Calculateur!BL147*Calculateur!BN147*VLOOKUP('Données projet'!$B$11,Paramètres!$A$1:$I$88,3,0)*0.475*44/12</f>
        <v>0</v>
      </c>
      <c r="BR147" s="23">
        <f>EXP(-LN(2)/2)*BR146+(1-EXP(-LN(2)/2))/(LN(2)/2)*BL147*BO147*VLOOKUP('Données projet'!$B$11,Paramètres!$A$1:$I$88,3,0)*0.475*44/12</f>
        <v>0</v>
      </c>
      <c r="BS147" s="24">
        <f t="shared" si="117"/>
        <v>46.440256942570343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544.19999999999982</v>
      </c>
      <c r="BZ147" s="14">
        <f>BY147*VLOOKUP('Données projet'!$B$12,Paramètres!$A$1:$I$88,3,0)*VLOOKUP('Données projet'!$B$12,Paramètres!$A$1:$I$88,5,0)</f>
        <v>325.43159999999995</v>
      </c>
      <c r="CA147" s="14">
        <f t="shared" si="147"/>
        <v>76.482394221016762</v>
      </c>
      <c r="CB147" s="22">
        <f t="shared" si="118"/>
        <v>700.00020660160408</v>
      </c>
      <c r="CC147" s="62">
        <f t="shared" si="119"/>
        <v>985.95807598289696</v>
      </c>
      <c r="CD147" s="62">
        <f ca="1">AVERAGE(OFFSET($CC$3,0,0,'Données projet'!$E$12+1,1))-AVERAGE(OFFSET($H$3,0,0,'Données projet'!$E$12+1,1))</f>
        <v>401.1031790385295</v>
      </c>
      <c r="CE147" s="62">
        <f t="shared" si="148"/>
        <v>402.09589424130615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projet'!$B$12,Paramètres!$A$1:$I$88,3,0)*0.475*44/12</f>
        <v>3.9300233953162715</v>
      </c>
      <c r="CL147" s="23">
        <f>EXP(-LN(2)/25)*CL146+(1-EXP(-LN(2)/25))/(LN(2)/25)*Calculateur!CG147*Calculateur!CI147*VLOOKUP('Données projet'!$B$12,Paramètres!$A$1:$I$88,3,0)*0.475*44/12</f>
        <v>0</v>
      </c>
      <c r="CM147" s="23">
        <f>EXP(-LN(2)/2)*CM146+(1-EXP(-LN(2)/2))/(LN(2)/2)*CG147*CJ147*VLOOKUP('Données projet'!$B$12,Paramètres!$A$1:$I$88,3,0)*0.475*44/12</f>
        <v>9.4391294415926967E-13</v>
      </c>
      <c r="CN147" s="24">
        <f t="shared" si="120"/>
        <v>3.9300233953172157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544.19999999999982</v>
      </c>
      <c r="CU147" s="18">
        <f>CT147*VLOOKUP('Données projet'!$B$13,Paramètres!$A$1:$I$88,3,0)*VLOOKUP('Données projet'!$B$13,Paramètres!$A$1:$I$88,5,0)</f>
        <v>325.43159999999995</v>
      </c>
      <c r="CV147" s="14">
        <f t="shared" si="149"/>
        <v>76.482394221016762</v>
      </c>
      <c r="CW147" s="22">
        <f t="shared" si="121"/>
        <v>700.00020660160408</v>
      </c>
      <c r="CX147" s="62">
        <f t="shared" si="122"/>
        <v>985.95807598289696</v>
      </c>
      <c r="CY147" s="62">
        <f ca="1">AVERAGE(OFFSET($CX$3,0,0,'Données projet'!$E$13+1,1))-AVERAGE(OFFSET($H$3,0,0,'Données projet'!$E$13+1,1))</f>
        <v>401.1031790385295</v>
      </c>
      <c r="CZ147" s="62">
        <f t="shared" si="150"/>
        <v>402.09589424130615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projet'!$B$13,Paramètres!$A$1:$I$88,3,0)*0.475*44/12</f>
        <v>3.9300233953162715</v>
      </c>
      <c r="DG147" s="23">
        <f>EXP(-LN(2)/25)*DG146+(1-EXP(-LN(2)/25))/(LN(2)/25)*Calculateur!DB147*Calculateur!DD147*VLOOKUP('Données projet'!$B$13,Paramètres!$A$1:$I$88,3,0)*0.475*44/12</f>
        <v>0</v>
      </c>
      <c r="DH147" s="23">
        <f>EXP(-LN(2)/2)*DH146+(1-EXP(-LN(2)/2))/(LN(2)/2)*DB147*DE147*VLOOKUP('Données projet'!$B$13,Paramètres!$A$1:$I$88,3,0)*0.475*44/12</f>
        <v>9.4391294415926967E-13</v>
      </c>
      <c r="DI147" s="24">
        <f t="shared" si="123"/>
        <v>3.9300233953172157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860.00000000000023</v>
      </c>
      <c r="DP147" s="18">
        <f>DO147*VLOOKUP('Données projet'!$B$14,Paramètres!$A$1:$I$88,3,0)*VLOOKUP('Données projet'!$B$14,Paramètres!$A$1:$I$88,5,0)</f>
        <v>346.5800000000001</v>
      </c>
      <c r="DQ147" s="14">
        <f t="shared" si="151"/>
        <v>80.857895771535127</v>
      </c>
      <c r="DR147" s="22">
        <f t="shared" si="124"/>
        <v>744.45433513542378</v>
      </c>
      <c r="DS147" s="62">
        <f t="shared" si="125"/>
        <v>1030.4122045167167</v>
      </c>
      <c r="DT147" s="62">
        <f ca="1">AVERAGE(OFFSET($DS$3,0,0,'Données projet'!$E$14+1,1))-AVERAGE(OFFSET($H$3,0,0,'Données projet'!$E$14+1,1))</f>
        <v>432.59662347701629</v>
      </c>
      <c r="DU147" s="62">
        <f t="shared" si="152"/>
        <v>348.67401091099748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projet'!$B$14,Paramètres!$A$1:$I$88,3,0)*0.475*44/12</f>
        <v>17.703427594131583</v>
      </c>
      <c r="EB147" s="23">
        <f>EXP(-LN(2)/25)*EB146+(1-EXP(-LN(2)/25))/(LN(2)/25)*Calculateur!DW147*Calculateur!DY147*VLOOKUP('Données projet'!$B$14,Paramètres!$A$1:$I$88,3,0)*0.475*44/12</f>
        <v>11.790815273948606</v>
      </c>
      <c r="EC147" s="23">
        <f>EXP(-LN(2)/2)*EC146+(1-EXP(-LN(2)/2))/(LN(2)/2)*DW147*DZ147*VLOOKUP('Données projet'!$B$14,Paramètres!$A$1:$I$88,3,0)*0.475*44/12</f>
        <v>0</v>
      </c>
      <c r="ED147" s="24">
        <f t="shared" si="126"/>
        <v>29.494242868080189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1099.9999999999998</v>
      </c>
      <c r="EK147" s="18">
        <f>EJ147*VLOOKUP('Données projet'!$B$15,Paramètres!$A$1:$I$88,3,0)*VLOOKUP('Données projet'!$B$15,Paramètres!$A$1:$I$88,5,0)</f>
        <v>486.19999999999993</v>
      </c>
      <c r="EL147" s="14">
        <f t="shared" si="153"/>
        <v>109.0490179035375</v>
      </c>
      <c r="EM147" s="22">
        <f t="shared" si="127"/>
        <v>1036.725372848661</v>
      </c>
      <c r="EN147" s="62">
        <f t="shared" si="128"/>
        <v>1322.683242229954</v>
      </c>
      <c r="EO147" s="62">
        <f ca="1">AVERAGE(OFFSET($EN$3,0,0,'Données projet'!$E$15+1,1))-AVERAGE(OFFSET($H$3,0,0,'Données projet'!$E$15+1,1))</f>
        <v>582.26951914082088</v>
      </c>
      <c r="EP147" s="62">
        <f t="shared" si="154"/>
        <v>434.80429932654715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projet'!$B$15,Paramètres!$A$1:$I$88,3,0)*0.475*44/12</f>
        <v>17.838657082566421</v>
      </c>
      <c r="EW147" s="23">
        <f>EXP(-LN(2)/25)*EW146+(1-EXP(-LN(2)/25))/(LN(2)/25)*Calculateur!ER147*Calculateur!ET147*VLOOKUP('Données projet'!$B$15,Paramètres!$A$1:$I$88,3,0)*0.475*44/12</f>
        <v>10.594965304006841</v>
      </c>
      <c r="EX147" s="23">
        <f>EXP(-LN(2)/2)*EX146+(1-EXP(-LN(2)/2))/(LN(2)/2)*ER147*EU147*VLOOKUP('Données projet'!$B$15,Paramètres!$A$1:$I$88,3,0)*0.475*44/12</f>
        <v>0</v>
      </c>
      <c r="EY147" s="24">
        <f t="shared" si="129"/>
        <v>28.433622386573262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854.99999999999989</v>
      </c>
      <c r="FF147" s="18">
        <f>FE147*VLOOKUP('Données projet'!$B$16,Paramètres!$A$1:$I$88,3,0)*VLOOKUP('Données projet'!$B$16,Paramètres!$A$1:$I$88,5,0)</f>
        <v>400.13999999999993</v>
      </c>
      <c r="FG147" s="14">
        <f t="shared" si="155"/>
        <v>91.805047494648534</v>
      </c>
      <c r="FH147" s="22">
        <f t="shared" si="130"/>
        <v>856.80429105317944</v>
      </c>
      <c r="FI147" s="62">
        <f t="shared" si="131"/>
        <v>1142.7621604344722</v>
      </c>
      <c r="FJ147" s="62">
        <f ca="1">AVERAGE(OFFSET($FI$3,0,0,'Données projet'!$E$16+1,1))-AVERAGE(OFFSET($H$3,0,0,'Données projet'!$E$16+1,1))</f>
        <v>429.87867712133851</v>
      </c>
      <c r="FK147" s="62">
        <f t="shared" si="156"/>
        <v>182.81277865988014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projet'!$B$16,Paramètres!$A$1:$I$88,3,0)*0.475*44/12</f>
        <v>21.274733264839178</v>
      </c>
      <c r="FR147" s="23">
        <f>EXP(-LN(2)/25)*FR146+(1-EXP(-LN(2)/25))/(LN(2)/25)*Calculateur!FM147*Calculateur!FO147*VLOOKUP('Données projet'!$B$16,Paramètres!$A$1:$I$88,3,0)*0.475*44/12</f>
        <v>13.430932407348507</v>
      </c>
      <c r="FS147" s="23">
        <f>EXP(-LN(2)/2)*FS146+(1-EXP(-LN(2)/2))/(LN(2)/2)*FM147*FP147*VLOOKUP('Données projet'!$B$16,Paramètres!$A$1:$I$88,3,0)*0.475*44/12</f>
        <v>0</v>
      </c>
      <c r="FT147" s="24">
        <f t="shared" si="132"/>
        <v>34.705665672187685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498.99999999999955</v>
      </c>
      <c r="GA147" s="18">
        <f>FZ147*VLOOKUP('Données projet'!$B$17,Paramètres!$A$1:$I$88,3,0)*VLOOKUP('Données projet'!$B$17,Paramètres!$A$1:$I$88,5,0)</f>
        <v>240.01899999999978</v>
      </c>
      <c r="GB147" s="14">
        <f t="shared" si="157"/>
        <v>58.443618405936313</v>
      </c>
      <c r="GC147" s="22">
        <f t="shared" si="133"/>
        <v>519.82239372367201</v>
      </c>
      <c r="GD147" s="62">
        <f t="shared" si="134"/>
        <v>805.78026310496489</v>
      </c>
      <c r="GE147" s="62">
        <f ca="1">AVERAGE(OFFSET($GD$3,0,0,'Données projet'!$E$17+1,1))-AVERAGE(OFFSET($H$3,0,0,'Données projet'!$E$17+1,1))</f>
        <v>273.24375559399846</v>
      </c>
      <c r="GF147" s="62">
        <f t="shared" si="158"/>
        <v>270.77718895097848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projet'!$B$17,Paramètres!$A$1:$I$88,3,0)*0.475*44/12</f>
        <v>9.1093957991001631</v>
      </c>
      <c r="GM147" s="23">
        <f>EXP(-LN(2)/25)*GM146+(1-EXP(-LN(2)/25))/(LN(2)/25)*Calculateur!GH147*Calculateur!GJ147*VLOOKUP('Données projet'!$B$17,Paramètres!$A$1:$I$88,3,0)*0.475*44/12</f>
        <v>5.1675178424781558</v>
      </c>
      <c r="GN147" s="23">
        <f>EXP(-LN(2)/2)*GN146+(1-EXP(-LN(2)/2))/(LN(2)/2)*GH147*GK147*VLOOKUP('Données projet'!$B$17,Paramètres!$A$1:$I$88,3,0)*0.475*44/12</f>
        <v>0</v>
      </c>
      <c r="GO147" s="23">
        <f t="shared" si="135"/>
        <v>14.276913641578318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550.99999999999966</v>
      </c>
      <c r="O148" s="14">
        <f>N148*VLOOKUP('Données projet'!$B$9,Paramètres!$A$1:$I$88,3,0)*VLOOKUP('Données projet'!$B$9,Paramètres!$A$1:$I$88,5,0)</f>
        <v>308.00899999999979</v>
      </c>
      <c r="P148" s="14">
        <f t="shared" si="141"/>
        <v>72.852874331417695</v>
      </c>
      <c r="Q148" s="22">
        <f t="shared" si="108"/>
        <v>663.33443112721886</v>
      </c>
      <c r="R148" s="62">
        <f t="shared" si="109"/>
        <v>949.42024831901244</v>
      </c>
      <c r="S148" s="62">
        <f ca="1">AVERAGE(OFFSET($R$3,0,0,'Données projet'!$E$9+1,1))-AVERAGE(OFFSET($H$3,0,0,'Données projet'!$E$9+1,1))</f>
        <v>289.94242154211224</v>
      </c>
      <c r="T148" s="62">
        <f t="shared" si="142"/>
        <v>369.12599166143661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13.703308580956701</v>
      </c>
      <c r="AA148" s="23">
        <f>EXP(-LN(2)/25)*AA147+(1-EXP(-LN(2)/25))/(LN(2)/25)*Calculateur!V148*Calculateur!X148*VLOOKUP('Données projet'!$B$9,Paramètres!$A$1:$I$88,3,0)*0.475*44/12</f>
        <v>6.3301450092705887</v>
      </c>
      <c r="AB148" s="23">
        <f>EXP(-LN(2)/2)*AB147+(1-EXP(-LN(2)/2))/(LN(2)/2)*V148*Y148*VLOOKUP('Données projet'!$B$9,Paramètres!$A$1:$I$88,3,0)*0.475*44/12</f>
        <v>0</v>
      </c>
      <c r="AC148" s="24">
        <f t="shared" si="111"/>
        <v>20.033453590227289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6.7</v>
      </c>
      <c r="AI148" s="14">
        <f>IF('Données projet'!$A$62&gt;35,AI147+AH148-AQ147,IF(A148&lt;'Données projet'!$A$62,$AF$205^A148,IF(A148='Données projet'!$A$62,'Données projet'!$B$62,AI147+AH148-AQ147)))</f>
        <v>384.50000000000028</v>
      </c>
      <c r="AJ148" s="14">
        <f>AI148*VLOOKUP('Données projet'!$B$10,Paramètres!$A$1:$I$88,3,0)*VLOOKUP('Données projet'!$B$10,Paramètres!$A$1:$I$88,5,0)</f>
        <v>347.89560000000029</v>
      </c>
      <c r="AK148" s="14">
        <f t="shared" si="143"/>
        <v>81.129041450802077</v>
      </c>
      <c r="AL148" s="22">
        <f t="shared" si="112"/>
        <v>747.21791719348073</v>
      </c>
      <c r="AM148" s="62">
        <f t="shared" si="113"/>
        <v>1033.3037343852743</v>
      </c>
      <c r="AN148" s="62">
        <f ca="1">AVERAGE(OFFSET($AM$3,0,0,'Données projet'!$E$10+1,1))-AVERAGE(OFFSET($H$3,0,0,'Données projet'!$E$10+1,1))</f>
        <v>518.31628039365785</v>
      </c>
      <c r="AO148" s="62">
        <f t="shared" si="144"/>
        <v>66.435071953154761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40.626405017258584</v>
      </c>
      <c r="AV148" s="23">
        <f>EXP(-LN(2)/25)*AV147+(1-EXP(-LN(2)/25))/(LN(2)/25)*Calculateur!AQ148*Calculateur!AS148*VLOOKUP('Données projet'!$B$10,Paramètres!$A$1:$I$88,3,0)*0.475*44/12</f>
        <v>0</v>
      </c>
      <c r="AW148" s="23">
        <f>EXP(-LN(2)/2)*AW147+(1-EXP(-LN(2)/2))/(LN(2)/2)*AQ148*AT148*VLOOKUP('Données projet'!$B$10,Paramètres!$A$1:$I$88,3,0)*0.475*44/12</f>
        <v>0</v>
      </c>
      <c r="AX148" s="23">
        <f t="shared" si="114"/>
        <v>40.626405017258584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6.7</v>
      </c>
      <c r="BD148" s="13">
        <f>IF('Données projet'!$A$88&gt;35,BD147+BC148-BL147,IF(A148&lt;'Données projet'!$A$88,$BA$205^A148,IF(A148='Données projet'!$A$88,'Données projet'!$B$88,BD147+BC148-BL147)))</f>
        <v>384.50000000000028</v>
      </c>
      <c r="BE148" s="14">
        <f>BD148*VLOOKUP('Données projet'!$B$11,Paramètres!$A$1:$I$88,3,0)*VLOOKUP('Données projet'!$B$11,Paramètres!$A$1:$I$88,5,0)</f>
        <v>389.88300000000032</v>
      </c>
      <c r="BF148" s="14">
        <f t="shared" si="145"/>
        <v>89.722550710158259</v>
      </c>
      <c r="BG148" s="22">
        <f t="shared" si="115"/>
        <v>835.31300082019288</v>
      </c>
      <c r="BH148" s="62">
        <f t="shared" si="116"/>
        <v>1121.3988180119864</v>
      </c>
      <c r="BI148" s="62">
        <f ca="1">AVERAGE(OFFSET($BH$3,0,0,'Données projet'!$E$11+1,1))-AVERAGE(OFFSET($H$3,0,0,'Données projet'!$E$11+1,1))</f>
        <v>570.2785736203931</v>
      </c>
      <c r="BJ148" s="62">
        <f t="shared" si="146"/>
        <v>67.677759965081719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45.529591829686339</v>
      </c>
      <c r="BQ148" s="23">
        <f>EXP(-LN(2)/25)*BQ147+(1-EXP(-LN(2)/25))/(LN(2)/25)*Calculateur!BL148*Calculateur!BN148*VLOOKUP('Données projet'!$B$11,Paramètres!$A$1:$I$88,3,0)*0.475*44/12</f>
        <v>0</v>
      </c>
      <c r="BR148" s="23">
        <f>EXP(-LN(2)/2)*BR147+(1-EXP(-LN(2)/2))/(LN(2)/2)*BL148*BO148*VLOOKUP('Données projet'!$B$11,Paramètres!$A$1:$I$88,3,0)*0.475*44/12</f>
        <v>0</v>
      </c>
      <c r="BS148" s="24">
        <f t="shared" si="117"/>
        <v>45.529591829686339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544.19999999999982</v>
      </c>
      <c r="BZ148" s="14">
        <f>BY148*VLOOKUP('Données projet'!$B$12,Paramètres!$A$1:$I$88,3,0)*VLOOKUP('Données projet'!$B$12,Paramètres!$A$1:$I$88,5,0)</f>
        <v>325.43159999999995</v>
      </c>
      <c r="CA148" s="14">
        <f t="shared" si="147"/>
        <v>76.482394221016762</v>
      </c>
      <c r="CB148" s="22">
        <f t="shared" si="118"/>
        <v>700.00020660160408</v>
      </c>
      <c r="CC148" s="62">
        <f t="shared" si="119"/>
        <v>986.08602379339766</v>
      </c>
      <c r="CD148" s="62">
        <f ca="1">AVERAGE(OFFSET($CC$3,0,0,'Données projet'!$E$12+1,1))-AVERAGE(OFFSET($H$3,0,0,'Données projet'!$E$12+1,1))</f>
        <v>401.1031790385295</v>
      </c>
      <c r="CE148" s="62">
        <f t="shared" si="148"/>
        <v>402.09589424130615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projet'!$B$12,Paramètres!$A$1:$I$88,3,0)*0.475*44/12</f>
        <v>3.8529580336116989</v>
      </c>
      <c r="CL148" s="23">
        <f>EXP(-LN(2)/25)*CL147+(1-EXP(-LN(2)/25))/(LN(2)/25)*Calculateur!CG148*Calculateur!CI148*VLOOKUP('Données projet'!$B$12,Paramètres!$A$1:$I$88,3,0)*0.475*44/12</f>
        <v>0</v>
      </c>
      <c r="CM148" s="23">
        <f>EXP(-LN(2)/2)*CM147+(1-EXP(-LN(2)/2))/(LN(2)/2)*CG148*CJ148*VLOOKUP('Données projet'!$B$12,Paramètres!$A$1:$I$88,3,0)*0.475*44/12</f>
        <v>6.6744724366477856E-13</v>
      </c>
      <c r="CN148" s="24">
        <f t="shared" si="120"/>
        <v>3.8529580336123663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544.19999999999982</v>
      </c>
      <c r="CU148" s="18">
        <f>CT148*VLOOKUP('Données projet'!$B$13,Paramètres!$A$1:$I$88,3,0)*VLOOKUP('Données projet'!$B$13,Paramètres!$A$1:$I$88,5,0)</f>
        <v>325.43159999999995</v>
      </c>
      <c r="CV148" s="14">
        <f t="shared" si="149"/>
        <v>76.482394221016762</v>
      </c>
      <c r="CW148" s="22">
        <f t="shared" si="121"/>
        <v>700.00020660160408</v>
      </c>
      <c r="CX148" s="62">
        <f t="shared" si="122"/>
        <v>986.08602379339766</v>
      </c>
      <c r="CY148" s="62">
        <f ca="1">AVERAGE(OFFSET($CX$3,0,0,'Données projet'!$E$13+1,1))-AVERAGE(OFFSET($H$3,0,0,'Données projet'!$E$13+1,1))</f>
        <v>401.1031790385295</v>
      </c>
      <c r="CZ148" s="62">
        <f t="shared" si="150"/>
        <v>402.09589424130615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projet'!$B$13,Paramètres!$A$1:$I$88,3,0)*0.475*44/12</f>
        <v>3.8529580336116989</v>
      </c>
      <c r="DG148" s="23">
        <f>EXP(-LN(2)/25)*DG147+(1-EXP(-LN(2)/25))/(LN(2)/25)*Calculateur!DB148*Calculateur!DD148*VLOOKUP('Données projet'!$B$13,Paramètres!$A$1:$I$88,3,0)*0.475*44/12</f>
        <v>0</v>
      </c>
      <c r="DH148" s="23">
        <f>EXP(-LN(2)/2)*DH147+(1-EXP(-LN(2)/2))/(LN(2)/2)*DB148*DE148*VLOOKUP('Données projet'!$B$13,Paramètres!$A$1:$I$88,3,0)*0.475*44/12</f>
        <v>6.6744724366477856E-13</v>
      </c>
      <c r="DI148" s="24">
        <f t="shared" si="123"/>
        <v>3.8529580336123663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860.00000000000023</v>
      </c>
      <c r="DP148" s="18">
        <f>DO148*VLOOKUP('Données projet'!$B$14,Paramètres!$A$1:$I$88,3,0)*VLOOKUP('Données projet'!$B$14,Paramètres!$A$1:$I$88,5,0)</f>
        <v>346.5800000000001</v>
      </c>
      <c r="DQ148" s="14">
        <f t="shared" si="151"/>
        <v>80.857895771535127</v>
      </c>
      <c r="DR148" s="22">
        <f t="shared" si="124"/>
        <v>744.45433513542378</v>
      </c>
      <c r="DS148" s="62">
        <f t="shared" si="125"/>
        <v>1030.5401523272174</v>
      </c>
      <c r="DT148" s="62">
        <f ca="1">AVERAGE(OFFSET($DS$3,0,0,'Données projet'!$E$14+1,1))-AVERAGE(OFFSET($H$3,0,0,'Données projet'!$E$14+1,1))</f>
        <v>432.59662347701629</v>
      </c>
      <c r="DU148" s="62">
        <f t="shared" si="152"/>
        <v>348.67401091099748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projet'!$B$14,Paramètres!$A$1:$I$88,3,0)*0.475*44/12</f>
        <v>17.356274177035278</v>
      </c>
      <c r="EB148" s="23">
        <f>EXP(-LN(2)/25)*EB147+(1-EXP(-LN(2)/25))/(LN(2)/25)*Calculateur!DW148*Calculateur!DY148*VLOOKUP('Données projet'!$B$14,Paramètres!$A$1:$I$88,3,0)*0.475*44/12</f>
        <v>11.468394810230455</v>
      </c>
      <c r="EC148" s="23">
        <f>EXP(-LN(2)/2)*EC147+(1-EXP(-LN(2)/2))/(LN(2)/2)*DW148*DZ148*VLOOKUP('Données projet'!$B$14,Paramètres!$A$1:$I$88,3,0)*0.475*44/12</f>
        <v>0</v>
      </c>
      <c r="ED148" s="24">
        <f t="shared" si="126"/>
        <v>28.824668987265731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1099.9999999999998</v>
      </c>
      <c r="EK148" s="18">
        <f>EJ148*VLOOKUP('Données projet'!$B$15,Paramètres!$A$1:$I$88,3,0)*VLOOKUP('Données projet'!$B$15,Paramètres!$A$1:$I$88,5,0)</f>
        <v>486.19999999999993</v>
      </c>
      <c r="EL148" s="14">
        <f t="shared" si="153"/>
        <v>109.0490179035375</v>
      </c>
      <c r="EM148" s="22">
        <f t="shared" si="127"/>
        <v>1036.725372848661</v>
      </c>
      <c r="EN148" s="62">
        <f t="shared" si="128"/>
        <v>1322.8111900404547</v>
      </c>
      <c r="EO148" s="62">
        <f ca="1">AVERAGE(OFFSET($EN$3,0,0,'Données projet'!$E$15+1,1))-AVERAGE(OFFSET($H$3,0,0,'Données projet'!$E$15+1,1))</f>
        <v>582.26951914082088</v>
      </c>
      <c r="EP148" s="62">
        <f t="shared" si="154"/>
        <v>434.80429932654715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projet'!$B$15,Paramètres!$A$1:$I$88,3,0)*0.475*44/12</f>
        <v>17.488851897683752</v>
      </c>
      <c r="EW148" s="23">
        <f>EXP(-LN(2)/25)*EW147+(1-EXP(-LN(2)/25))/(LN(2)/25)*Calculateur!ER148*Calculateur!ET148*VLOOKUP('Données projet'!$B$15,Paramètres!$A$1:$I$88,3,0)*0.475*44/12</f>
        <v>10.305245420603764</v>
      </c>
      <c r="EX148" s="23">
        <f>EXP(-LN(2)/2)*EX147+(1-EXP(-LN(2)/2))/(LN(2)/2)*ER148*EU148*VLOOKUP('Données projet'!$B$15,Paramètres!$A$1:$I$88,3,0)*0.475*44/12</f>
        <v>0</v>
      </c>
      <c r="EY148" s="24">
        <f t="shared" si="129"/>
        <v>27.794097318287516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854.99999999999989</v>
      </c>
      <c r="FF148" s="18">
        <f>FE148*VLOOKUP('Données projet'!$B$16,Paramètres!$A$1:$I$88,3,0)*VLOOKUP('Données projet'!$B$16,Paramètres!$A$1:$I$88,5,0)</f>
        <v>400.13999999999993</v>
      </c>
      <c r="FG148" s="14">
        <f t="shared" si="155"/>
        <v>91.805047494648534</v>
      </c>
      <c r="FH148" s="22">
        <f t="shared" si="130"/>
        <v>856.80429105317944</v>
      </c>
      <c r="FI148" s="62">
        <f t="shared" si="131"/>
        <v>1142.8901082449729</v>
      </c>
      <c r="FJ148" s="62">
        <f ca="1">AVERAGE(OFFSET($FI$3,0,0,'Données projet'!$E$16+1,1))-AVERAGE(OFFSET($H$3,0,0,'Données projet'!$E$16+1,1))</f>
        <v>429.87867712133851</v>
      </c>
      <c r="FK148" s="62">
        <f t="shared" si="156"/>
        <v>182.81277865988014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projet'!$B$16,Paramètres!$A$1:$I$88,3,0)*0.475*44/12</f>
        <v>20.857548721821669</v>
      </c>
      <c r="FR148" s="23">
        <f>EXP(-LN(2)/25)*FR147+(1-EXP(-LN(2)/25))/(LN(2)/25)*Calculateur!FM148*Calculateur!FO148*VLOOKUP('Données projet'!$B$16,Paramètres!$A$1:$I$88,3,0)*0.475*44/12</f>
        <v>13.063662854367523</v>
      </c>
      <c r="FS148" s="23">
        <f>EXP(-LN(2)/2)*FS147+(1-EXP(-LN(2)/2))/(LN(2)/2)*FM148*FP148*VLOOKUP('Données projet'!$B$16,Paramètres!$A$1:$I$88,3,0)*0.475*44/12</f>
        <v>0</v>
      </c>
      <c r="FT148" s="24">
        <f t="shared" si="132"/>
        <v>33.921211576189194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498.99999999999955</v>
      </c>
      <c r="GA148" s="18">
        <f>FZ148*VLOOKUP('Données projet'!$B$17,Paramètres!$A$1:$I$88,3,0)*VLOOKUP('Données projet'!$B$17,Paramètres!$A$1:$I$88,5,0)</f>
        <v>240.01899999999978</v>
      </c>
      <c r="GB148" s="14">
        <f t="shared" si="157"/>
        <v>58.443618405936313</v>
      </c>
      <c r="GC148" s="22">
        <f t="shared" si="133"/>
        <v>519.82239372367201</v>
      </c>
      <c r="GD148" s="62">
        <f t="shared" si="134"/>
        <v>805.90821091546559</v>
      </c>
      <c r="GE148" s="62">
        <f ca="1">AVERAGE(OFFSET($GD$3,0,0,'Données projet'!$E$17+1,1))-AVERAGE(OFFSET($H$3,0,0,'Données projet'!$E$17+1,1))</f>
        <v>273.24375559399846</v>
      </c>
      <c r="GF148" s="62">
        <f t="shared" si="158"/>
        <v>270.77718895097848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projet'!$B$17,Paramètres!$A$1:$I$88,3,0)*0.475*44/12</f>
        <v>8.9307661036626182</v>
      </c>
      <c r="GM148" s="23">
        <f>EXP(-LN(2)/25)*GM147+(1-EXP(-LN(2)/25))/(LN(2)/25)*Calculateur!GH148*Calculateur!GJ148*VLOOKUP('Données projet'!$B$17,Paramètres!$A$1:$I$88,3,0)*0.475*44/12</f>
        <v>5.0262117953276375</v>
      </c>
      <c r="GN148" s="23">
        <f>EXP(-LN(2)/2)*GN147+(1-EXP(-LN(2)/2))/(LN(2)/2)*GH148*GK148*VLOOKUP('Données projet'!$B$17,Paramètres!$A$1:$I$88,3,0)*0.475*44/12</f>
        <v>0</v>
      </c>
      <c r="GO148" s="23">
        <f t="shared" si="135"/>
        <v>13.956977898990257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550.99999999999966</v>
      </c>
      <c r="O149" s="14">
        <f>N149*VLOOKUP('Données projet'!$B$9,Paramètres!$A$1:$I$88,3,0)*VLOOKUP('Données projet'!$B$9,Paramètres!$A$1:$I$88,5,0)</f>
        <v>308.00899999999979</v>
      </c>
      <c r="P149" s="14">
        <f t="shared" si="141"/>
        <v>72.852874331417695</v>
      </c>
      <c r="Q149" s="22">
        <f t="shared" si="108"/>
        <v>663.33443112721886</v>
      </c>
      <c r="R149" s="62">
        <f t="shared" si="109"/>
        <v>949.54597652104951</v>
      </c>
      <c r="S149" s="62">
        <f ca="1">AVERAGE(OFFSET($R$3,0,0,'Données projet'!$E$9+1,1))-AVERAGE(OFFSET($H$3,0,0,'Données projet'!$E$9+1,1))</f>
        <v>289.94242154211224</v>
      </c>
      <c r="T149" s="62">
        <f t="shared" si="142"/>
        <v>369.12599166143661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13.434595057877072</v>
      </c>
      <c r="AA149" s="23">
        <f>EXP(-LN(2)/25)*AA148+(1-EXP(-LN(2)/25))/(LN(2)/25)*Calculateur!V149*Calculateur!X149*VLOOKUP('Données projet'!$B$9,Paramètres!$A$1:$I$88,3,0)*0.475*44/12</f>
        <v>6.1570468611042264</v>
      </c>
      <c r="AB149" s="23">
        <f>EXP(-LN(2)/2)*AB148+(1-EXP(-LN(2)/2))/(LN(2)/2)*V149*Y149*VLOOKUP('Données projet'!$B$9,Paramètres!$A$1:$I$88,3,0)*0.475*44/12</f>
        <v>0</v>
      </c>
      <c r="AC149" s="24">
        <f t="shared" si="111"/>
        <v>19.591641918981299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6.7</v>
      </c>
      <c r="AI149" s="14">
        <f>IF('Données projet'!$A$62&gt;35,AI148+AH149-AQ148,IF(A149&lt;'Données projet'!$A$62,$AF$205^A149,IF(A149='Données projet'!$A$62,'Données projet'!$B$62,AI148+AH149-AQ148)))</f>
        <v>391.20000000000027</v>
      </c>
      <c r="AJ149" s="14">
        <f>AI149*VLOOKUP('Données projet'!$B$10,Paramètres!$A$1:$I$88,3,0)*VLOOKUP('Données projet'!$B$10,Paramètres!$A$1:$I$88,5,0)</f>
        <v>353.95776000000023</v>
      </c>
      <c r="AK149" s="14">
        <f t="shared" si="143"/>
        <v>82.376921038903305</v>
      </c>
      <c r="AL149" s="22">
        <f t="shared" si="112"/>
        <v>759.94956947609035</v>
      </c>
      <c r="AM149" s="62">
        <f t="shared" si="113"/>
        <v>1046.161114869921</v>
      </c>
      <c r="AN149" s="62">
        <f ca="1">AVERAGE(OFFSET($AM$3,0,0,'Données projet'!$E$10+1,1))-AVERAGE(OFFSET($H$3,0,0,'Données projet'!$E$10+1,1))</f>
        <v>518.31628039365785</v>
      </c>
      <c r="AO149" s="62">
        <f t="shared" si="144"/>
        <v>66.435071953154761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39.829745994530413</v>
      </c>
      <c r="AV149" s="23">
        <f>EXP(-LN(2)/25)*AV148+(1-EXP(-LN(2)/25))/(LN(2)/25)*Calculateur!AQ149*Calculateur!AS149*VLOOKUP('Données projet'!$B$10,Paramètres!$A$1:$I$88,3,0)*0.475*44/12</f>
        <v>0</v>
      </c>
      <c r="AW149" s="23">
        <f>EXP(-LN(2)/2)*AW148+(1-EXP(-LN(2)/2))/(LN(2)/2)*AQ149*AT149*VLOOKUP('Données projet'!$B$10,Paramètres!$A$1:$I$88,3,0)*0.475*44/12</f>
        <v>0</v>
      </c>
      <c r="AX149" s="23">
        <f t="shared" si="114"/>
        <v>39.829745994530413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6.7</v>
      </c>
      <c r="BD149" s="13">
        <f>IF('Données projet'!$A$88&gt;35,BD148+BC149-BL148,IF(A149&lt;'Données projet'!$A$88,$BA$205^A149,IF(A149='Données projet'!$A$88,'Données projet'!$B$88,BD148+BC149-BL148)))</f>
        <v>391.20000000000027</v>
      </c>
      <c r="BE149" s="14">
        <f>BD149*VLOOKUP('Données projet'!$B$11,Paramètres!$A$1:$I$88,3,0)*VLOOKUP('Données projet'!$B$11,Paramètres!$A$1:$I$88,5,0)</f>
        <v>396.6768000000003</v>
      </c>
      <c r="BF149" s="14">
        <f t="shared" si="145"/>
        <v>91.102610644571342</v>
      </c>
      <c r="BG149" s="22">
        <f t="shared" si="115"/>
        <v>849.54914020596209</v>
      </c>
      <c r="BH149" s="62">
        <f t="shared" si="116"/>
        <v>1135.7606855997929</v>
      </c>
      <c r="BI149" s="62">
        <f ca="1">AVERAGE(OFFSET($BH$3,0,0,'Données projet'!$E$11+1,1))-AVERAGE(OFFSET($H$3,0,0,'Données projet'!$E$11+1,1))</f>
        <v>570.2785736203931</v>
      </c>
      <c r="BJ149" s="62">
        <f t="shared" si="146"/>
        <v>67.677759965081719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44.636784304215119</v>
      </c>
      <c r="BQ149" s="23">
        <f>EXP(-LN(2)/25)*BQ148+(1-EXP(-LN(2)/25))/(LN(2)/25)*Calculateur!BL149*Calculateur!BN149*VLOOKUP('Données projet'!$B$11,Paramètres!$A$1:$I$88,3,0)*0.475*44/12</f>
        <v>0</v>
      </c>
      <c r="BR149" s="23">
        <f>EXP(-LN(2)/2)*BR148+(1-EXP(-LN(2)/2))/(LN(2)/2)*BL149*BO149*VLOOKUP('Données projet'!$B$11,Paramètres!$A$1:$I$88,3,0)*0.475*44/12</f>
        <v>0</v>
      </c>
      <c r="BS149" s="24">
        <f t="shared" si="117"/>
        <v>44.636784304215119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544.19999999999982</v>
      </c>
      <c r="BZ149" s="14">
        <f>BY149*VLOOKUP('Données projet'!$B$12,Paramètres!$A$1:$I$88,3,0)*VLOOKUP('Données projet'!$B$12,Paramètres!$A$1:$I$88,5,0)</f>
        <v>325.43159999999995</v>
      </c>
      <c r="CA149" s="14">
        <f t="shared" si="147"/>
        <v>76.482394221016762</v>
      </c>
      <c r="CB149" s="22">
        <f t="shared" si="118"/>
        <v>700.00020660160408</v>
      </c>
      <c r="CC149" s="62">
        <f t="shared" si="119"/>
        <v>986.21175199543472</v>
      </c>
      <c r="CD149" s="62">
        <f ca="1">AVERAGE(OFFSET($CC$3,0,0,'Données projet'!$E$12+1,1))-AVERAGE(OFFSET($H$3,0,0,'Données projet'!$E$12+1,1))</f>
        <v>401.1031790385295</v>
      </c>
      <c r="CE149" s="62">
        <f t="shared" si="148"/>
        <v>402.09589424130615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projet'!$B$12,Paramètres!$A$1:$I$88,3,0)*0.475*44/12</f>
        <v>3.7774038766449234</v>
      </c>
      <c r="CL149" s="23">
        <f>EXP(-LN(2)/25)*CL148+(1-EXP(-LN(2)/25))/(LN(2)/25)*Calculateur!CG149*Calculateur!CI149*VLOOKUP('Données projet'!$B$12,Paramètres!$A$1:$I$88,3,0)*0.475*44/12</f>
        <v>0</v>
      </c>
      <c r="CM149" s="23">
        <f>EXP(-LN(2)/2)*CM148+(1-EXP(-LN(2)/2))/(LN(2)/2)*CG149*CJ149*VLOOKUP('Données projet'!$B$12,Paramètres!$A$1:$I$88,3,0)*0.475*44/12</f>
        <v>4.7195647207963483E-13</v>
      </c>
      <c r="CN149" s="24">
        <f t="shared" si="120"/>
        <v>3.7774038766453955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544.19999999999982</v>
      </c>
      <c r="CU149" s="18">
        <f>CT149*VLOOKUP('Données projet'!$B$13,Paramètres!$A$1:$I$88,3,0)*VLOOKUP('Données projet'!$B$13,Paramètres!$A$1:$I$88,5,0)</f>
        <v>325.43159999999995</v>
      </c>
      <c r="CV149" s="14">
        <f t="shared" si="149"/>
        <v>76.482394221016762</v>
      </c>
      <c r="CW149" s="22">
        <f t="shared" si="121"/>
        <v>700.00020660160408</v>
      </c>
      <c r="CX149" s="62">
        <f t="shared" si="122"/>
        <v>986.21175199543472</v>
      </c>
      <c r="CY149" s="62">
        <f ca="1">AVERAGE(OFFSET($CX$3,0,0,'Données projet'!$E$13+1,1))-AVERAGE(OFFSET($H$3,0,0,'Données projet'!$E$13+1,1))</f>
        <v>401.1031790385295</v>
      </c>
      <c r="CZ149" s="62">
        <f t="shared" si="150"/>
        <v>402.09589424130615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projet'!$B$13,Paramètres!$A$1:$I$88,3,0)*0.475*44/12</f>
        <v>3.7774038766449234</v>
      </c>
      <c r="DG149" s="23">
        <f>EXP(-LN(2)/25)*DG148+(1-EXP(-LN(2)/25))/(LN(2)/25)*Calculateur!DB149*Calculateur!DD149*VLOOKUP('Données projet'!$B$13,Paramètres!$A$1:$I$88,3,0)*0.475*44/12</f>
        <v>0</v>
      </c>
      <c r="DH149" s="23">
        <f>EXP(-LN(2)/2)*DH148+(1-EXP(-LN(2)/2))/(LN(2)/2)*DB149*DE149*VLOOKUP('Données projet'!$B$13,Paramètres!$A$1:$I$88,3,0)*0.475*44/12</f>
        <v>4.7195647207963483E-13</v>
      </c>
      <c r="DI149" s="24">
        <f t="shared" si="123"/>
        <v>3.7774038766453955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860.00000000000023</v>
      </c>
      <c r="DP149" s="18">
        <f>DO149*VLOOKUP('Données projet'!$B$14,Paramètres!$A$1:$I$88,3,0)*VLOOKUP('Données projet'!$B$14,Paramètres!$A$1:$I$88,5,0)</f>
        <v>346.5800000000001</v>
      </c>
      <c r="DQ149" s="14">
        <f t="shared" si="151"/>
        <v>80.857895771535127</v>
      </c>
      <c r="DR149" s="22">
        <f t="shared" si="124"/>
        <v>744.45433513542378</v>
      </c>
      <c r="DS149" s="62">
        <f t="shared" si="125"/>
        <v>1030.6658805292545</v>
      </c>
      <c r="DT149" s="62">
        <f ca="1">AVERAGE(OFFSET($DS$3,0,0,'Données projet'!$E$14+1,1))-AVERAGE(OFFSET($H$3,0,0,'Données projet'!$E$14+1,1))</f>
        <v>432.59662347701629</v>
      </c>
      <c r="DU149" s="62">
        <f t="shared" si="152"/>
        <v>348.67401091099748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projet'!$B$14,Paramètres!$A$1:$I$88,3,0)*0.475*44/12</f>
        <v>17.015928226705554</v>
      </c>
      <c r="EB149" s="23">
        <f>EXP(-LN(2)/25)*EB148+(1-EXP(-LN(2)/25))/(LN(2)/25)*Calculateur!DW149*Calculateur!DY149*VLOOKUP('Données projet'!$B$14,Paramètres!$A$1:$I$88,3,0)*0.475*44/12</f>
        <v>11.154790951048032</v>
      </c>
      <c r="EC149" s="23">
        <f>EXP(-LN(2)/2)*EC148+(1-EXP(-LN(2)/2))/(LN(2)/2)*DW149*DZ149*VLOOKUP('Données projet'!$B$14,Paramètres!$A$1:$I$88,3,0)*0.475*44/12</f>
        <v>0</v>
      </c>
      <c r="ED149" s="24">
        <f t="shared" si="126"/>
        <v>28.170719177753586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1099.9999999999998</v>
      </c>
      <c r="EK149" s="18">
        <f>EJ149*VLOOKUP('Données projet'!$B$15,Paramètres!$A$1:$I$88,3,0)*VLOOKUP('Données projet'!$B$15,Paramètres!$A$1:$I$88,5,0)</f>
        <v>486.19999999999993</v>
      </c>
      <c r="EL149" s="14">
        <f t="shared" si="153"/>
        <v>109.0490179035375</v>
      </c>
      <c r="EM149" s="22">
        <f t="shared" si="127"/>
        <v>1036.725372848661</v>
      </c>
      <c r="EN149" s="62">
        <f t="shared" si="128"/>
        <v>1322.9369182424916</v>
      </c>
      <c r="EO149" s="62">
        <f ca="1">AVERAGE(OFFSET($EN$3,0,0,'Données projet'!$E$15+1,1))-AVERAGE(OFFSET($H$3,0,0,'Données projet'!$E$15+1,1))</f>
        <v>582.26951914082088</v>
      </c>
      <c r="EP149" s="62">
        <f t="shared" si="154"/>
        <v>434.80429932654715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projet'!$B$15,Paramètres!$A$1:$I$88,3,0)*0.475*44/12</f>
        <v>17.145906179116537</v>
      </c>
      <c r="EW149" s="23">
        <f>EXP(-LN(2)/25)*EW148+(1-EXP(-LN(2)/25))/(LN(2)/25)*Calculateur!ER149*Calculateur!ET149*VLOOKUP('Données projet'!$B$15,Paramètres!$A$1:$I$88,3,0)*0.475*44/12</f>
        <v>10.023447942648051</v>
      </c>
      <c r="EX149" s="23">
        <f>EXP(-LN(2)/2)*EX148+(1-EXP(-LN(2)/2))/(LN(2)/2)*ER149*EU149*VLOOKUP('Données projet'!$B$15,Paramètres!$A$1:$I$88,3,0)*0.475*44/12</f>
        <v>0</v>
      </c>
      <c r="EY149" s="24">
        <f t="shared" si="129"/>
        <v>27.169354121764588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854.99999999999989</v>
      </c>
      <c r="FF149" s="18">
        <f>FE149*VLOOKUP('Données projet'!$B$16,Paramètres!$A$1:$I$88,3,0)*VLOOKUP('Données projet'!$B$16,Paramètres!$A$1:$I$88,5,0)</f>
        <v>400.13999999999993</v>
      </c>
      <c r="FG149" s="14">
        <f t="shared" si="155"/>
        <v>91.805047494648534</v>
      </c>
      <c r="FH149" s="22">
        <f t="shared" si="130"/>
        <v>856.80429105317944</v>
      </c>
      <c r="FI149" s="62">
        <f t="shared" si="131"/>
        <v>1143.0158364470101</v>
      </c>
      <c r="FJ149" s="62">
        <f ca="1">AVERAGE(OFFSET($FI$3,0,0,'Données projet'!$E$16+1,1))-AVERAGE(OFFSET($H$3,0,0,'Données projet'!$E$16+1,1))</f>
        <v>429.87867712133851</v>
      </c>
      <c r="FK149" s="62">
        <f t="shared" si="156"/>
        <v>182.81277865988014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projet'!$B$16,Paramètres!$A$1:$I$88,3,0)*0.475*44/12</f>
        <v>20.448544913235288</v>
      </c>
      <c r="FR149" s="23">
        <f>EXP(-LN(2)/25)*FR148+(1-EXP(-LN(2)/25))/(LN(2)/25)*Calculateur!FM149*Calculateur!FO149*VLOOKUP('Données projet'!$B$16,Paramètres!$A$1:$I$88,3,0)*0.475*44/12</f>
        <v>12.706436306626671</v>
      </c>
      <c r="FS149" s="23">
        <f>EXP(-LN(2)/2)*FS148+(1-EXP(-LN(2)/2))/(LN(2)/2)*FM149*FP149*VLOOKUP('Données projet'!$B$16,Paramètres!$A$1:$I$88,3,0)*0.475*44/12</f>
        <v>0</v>
      </c>
      <c r="FT149" s="24">
        <f t="shared" si="132"/>
        <v>33.154981219861959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498.99999999999955</v>
      </c>
      <c r="GA149" s="18">
        <f>FZ149*VLOOKUP('Données projet'!$B$17,Paramètres!$A$1:$I$88,3,0)*VLOOKUP('Données projet'!$B$17,Paramètres!$A$1:$I$88,5,0)</f>
        <v>240.01899999999978</v>
      </c>
      <c r="GB149" s="14">
        <f t="shared" si="157"/>
        <v>58.443618405936313</v>
      </c>
      <c r="GC149" s="22">
        <f t="shared" si="133"/>
        <v>519.82239372367201</v>
      </c>
      <c r="GD149" s="62">
        <f t="shared" si="134"/>
        <v>806.03393911750265</v>
      </c>
      <c r="GE149" s="62">
        <f ca="1">AVERAGE(OFFSET($GD$3,0,0,'Données projet'!$E$17+1,1))-AVERAGE(OFFSET($H$3,0,0,'Données projet'!$E$17+1,1))</f>
        <v>273.24375559399846</v>
      </c>
      <c r="GF149" s="62">
        <f t="shared" si="158"/>
        <v>270.77718895097848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projet'!$B$17,Paramètres!$A$1:$I$88,3,0)*0.475*44/12</f>
        <v>8.7556392275992483</v>
      </c>
      <c r="GM149" s="23">
        <f>EXP(-LN(2)/25)*GM148+(1-EXP(-LN(2)/25))/(LN(2)/25)*Calculateur!GH149*Calculateur!GJ149*VLOOKUP('Données projet'!$B$17,Paramètres!$A$1:$I$88,3,0)*0.475*44/12</f>
        <v>4.8887697694674124</v>
      </c>
      <c r="GN149" s="23">
        <f>EXP(-LN(2)/2)*GN148+(1-EXP(-LN(2)/2))/(LN(2)/2)*GH149*GK149*VLOOKUP('Données projet'!$B$17,Paramètres!$A$1:$I$88,3,0)*0.475*44/12</f>
        <v>0</v>
      </c>
      <c r="GO149" s="23">
        <f t="shared" si="135"/>
        <v>13.644408997066661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550.99999999999966</v>
      </c>
      <c r="O150" s="14">
        <f>N150*VLOOKUP('Données projet'!$B$9,Paramètres!$A$1:$I$88,3,0)*VLOOKUP('Données projet'!$B$9,Paramètres!$A$1:$I$88,5,0)</f>
        <v>308.00899999999979</v>
      </c>
      <c r="P150" s="14">
        <f t="shared" si="141"/>
        <v>72.852874331417695</v>
      </c>
      <c r="Q150" s="22">
        <f t="shared" si="108"/>
        <v>663.33443112721886</v>
      </c>
      <c r="R150" s="62">
        <f t="shared" si="109"/>
        <v>949.66952361986728</v>
      </c>
      <c r="S150" s="62">
        <f ca="1">AVERAGE(OFFSET($R$3,0,0,'Données projet'!$E$9+1,1))-AVERAGE(OFFSET($H$3,0,0,'Données projet'!$E$9+1,1))</f>
        <v>289.94242154211224</v>
      </c>
      <c r="T150" s="62">
        <f t="shared" si="142"/>
        <v>369.12599166143661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13.171150843085968</v>
      </c>
      <c r="AA150" s="23">
        <f>EXP(-LN(2)/25)*AA149+(1-EXP(-LN(2)/25))/(LN(2)/25)*Calculateur!V150*Calculateur!X150*VLOOKUP('Données projet'!$B$9,Paramètres!$A$1:$I$88,3,0)*0.475*44/12</f>
        <v>5.9886820909023086</v>
      </c>
      <c r="AB150" s="23">
        <f>EXP(-LN(2)/2)*AB149+(1-EXP(-LN(2)/2))/(LN(2)/2)*V150*Y150*VLOOKUP('Données projet'!$B$9,Paramètres!$A$1:$I$88,3,0)*0.475*44/12</f>
        <v>0</v>
      </c>
      <c r="AC150" s="24">
        <f t="shared" si="111"/>
        <v>19.159832933988277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6.7</v>
      </c>
      <c r="AI150" s="14">
        <f>IF('Données projet'!$A$62&gt;35,AI149+AH150-AQ149,IF(A150&lt;'Données projet'!$A$62,$AF$205^A150,IF(A150='Données projet'!$A$62,'Données projet'!$B$62,AI149+AH150-AQ149)))</f>
        <v>397.90000000000026</v>
      </c>
      <c r="AJ150" s="14">
        <f>AI150*VLOOKUP('Données projet'!$B$10,Paramètres!$A$1:$I$88,3,0)*VLOOKUP('Données projet'!$B$10,Paramètres!$A$1:$I$88,5,0)</f>
        <v>360.01992000000018</v>
      </c>
      <c r="AK150" s="14">
        <f t="shared" si="143"/>
        <v>83.622315255920668</v>
      </c>
      <c r="AL150" s="22">
        <f t="shared" si="112"/>
        <v>772.67689307072885</v>
      </c>
      <c r="AM150" s="62">
        <f t="shared" si="113"/>
        <v>1059.0119855633773</v>
      </c>
      <c r="AN150" s="62">
        <f ca="1">AVERAGE(OFFSET($AM$3,0,0,'Données projet'!$E$10+1,1))-AVERAGE(OFFSET($H$3,0,0,'Données projet'!$E$10+1,1))</f>
        <v>518.31628039365785</v>
      </c>
      <c r="AO150" s="62">
        <f t="shared" si="144"/>
        <v>66.435071953154761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39.048708969323918</v>
      </c>
      <c r="AV150" s="23">
        <f>EXP(-LN(2)/25)*AV149+(1-EXP(-LN(2)/25))/(LN(2)/25)*Calculateur!AQ150*Calculateur!AS150*VLOOKUP('Données projet'!$B$10,Paramètres!$A$1:$I$88,3,0)*0.475*44/12</f>
        <v>0</v>
      </c>
      <c r="AW150" s="23">
        <f>EXP(-LN(2)/2)*AW149+(1-EXP(-LN(2)/2))/(LN(2)/2)*AQ150*AT150*VLOOKUP('Données projet'!$B$10,Paramètres!$A$1:$I$88,3,0)*0.475*44/12</f>
        <v>0</v>
      </c>
      <c r="AX150" s="23">
        <f t="shared" si="114"/>
        <v>39.048708969323918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6.7</v>
      </c>
      <c r="BD150" s="13">
        <f>IF('Données projet'!$A$88&gt;35,BD149+BC150-BL149,IF(A150&lt;'Données projet'!$A$88,$BA$205^A150,IF(A150='Données projet'!$A$88,'Données projet'!$B$88,BD149+BC150-BL149)))</f>
        <v>397.90000000000026</v>
      </c>
      <c r="BE150" s="14">
        <f>BD150*VLOOKUP('Données projet'!$B$11,Paramètres!$A$1:$I$88,3,0)*VLOOKUP('Données projet'!$B$11,Paramètres!$A$1:$I$88,5,0)</f>
        <v>403.47060000000027</v>
      </c>
      <c r="BF150" s="14">
        <f t="shared" si="145"/>
        <v>92.479921947555638</v>
      </c>
      <c r="BG150" s="22">
        <f t="shared" si="115"/>
        <v>863.78049239199311</v>
      </c>
      <c r="BH150" s="62">
        <f t="shared" si="116"/>
        <v>1150.1155848846415</v>
      </c>
      <c r="BI150" s="62">
        <f ca="1">AVERAGE(OFFSET($BH$3,0,0,'Données projet'!$E$11+1,1))-AVERAGE(OFFSET($H$3,0,0,'Données projet'!$E$11+1,1))</f>
        <v>570.2785736203931</v>
      </c>
      <c r="BJ150" s="62">
        <f t="shared" si="146"/>
        <v>67.677759965081719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43.761484189759564</v>
      </c>
      <c r="BQ150" s="23">
        <f>EXP(-LN(2)/25)*BQ149+(1-EXP(-LN(2)/25))/(LN(2)/25)*Calculateur!BL150*Calculateur!BN150*VLOOKUP('Données projet'!$B$11,Paramètres!$A$1:$I$88,3,0)*0.475*44/12</f>
        <v>0</v>
      </c>
      <c r="BR150" s="23">
        <f>EXP(-LN(2)/2)*BR149+(1-EXP(-LN(2)/2))/(LN(2)/2)*BL150*BO150*VLOOKUP('Données projet'!$B$11,Paramètres!$A$1:$I$88,3,0)*0.475*44/12</f>
        <v>0</v>
      </c>
      <c r="BS150" s="24">
        <f t="shared" si="117"/>
        <v>43.761484189759564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544.19999999999982</v>
      </c>
      <c r="BZ150" s="14">
        <f>BY150*VLOOKUP('Données projet'!$B$12,Paramètres!$A$1:$I$88,3,0)*VLOOKUP('Données projet'!$B$12,Paramètres!$A$1:$I$88,5,0)</f>
        <v>325.43159999999995</v>
      </c>
      <c r="CA150" s="14">
        <f t="shared" si="147"/>
        <v>76.482394221016762</v>
      </c>
      <c r="CB150" s="22">
        <f t="shared" si="118"/>
        <v>700.00020660160408</v>
      </c>
      <c r="CC150" s="62">
        <f t="shared" si="119"/>
        <v>986.33529909425249</v>
      </c>
      <c r="CD150" s="62">
        <f ca="1">AVERAGE(OFFSET($CC$3,0,0,'Données projet'!$E$12+1,1))-AVERAGE(OFFSET($H$3,0,0,'Données projet'!$E$12+1,1))</f>
        <v>401.1031790385295</v>
      </c>
      <c r="CE150" s="62">
        <f t="shared" si="148"/>
        <v>402.09589424130615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projet'!$B$12,Paramètres!$A$1:$I$88,3,0)*0.475*44/12</f>
        <v>3.7033312906127813</v>
      </c>
      <c r="CL150" s="23">
        <f>EXP(-LN(2)/25)*CL149+(1-EXP(-LN(2)/25))/(LN(2)/25)*Calculateur!CG150*Calculateur!CI150*VLOOKUP('Données projet'!$B$12,Paramètres!$A$1:$I$88,3,0)*0.475*44/12</f>
        <v>0</v>
      </c>
      <c r="CM150" s="23">
        <f>EXP(-LN(2)/2)*CM149+(1-EXP(-LN(2)/2))/(LN(2)/2)*CG150*CJ150*VLOOKUP('Données projet'!$B$12,Paramètres!$A$1:$I$88,3,0)*0.475*44/12</f>
        <v>3.3372362183238928E-13</v>
      </c>
      <c r="CN150" s="24">
        <f t="shared" si="120"/>
        <v>3.7033312906131148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544.19999999999982</v>
      </c>
      <c r="CU150" s="18">
        <f>CT150*VLOOKUP('Données projet'!$B$13,Paramètres!$A$1:$I$88,3,0)*VLOOKUP('Données projet'!$B$13,Paramètres!$A$1:$I$88,5,0)</f>
        <v>325.43159999999995</v>
      </c>
      <c r="CV150" s="14">
        <f t="shared" si="149"/>
        <v>76.482394221016762</v>
      </c>
      <c r="CW150" s="22">
        <f t="shared" si="121"/>
        <v>700.00020660160408</v>
      </c>
      <c r="CX150" s="62">
        <f t="shared" si="122"/>
        <v>986.33529909425249</v>
      </c>
      <c r="CY150" s="62">
        <f ca="1">AVERAGE(OFFSET($CX$3,0,0,'Données projet'!$E$13+1,1))-AVERAGE(OFFSET($H$3,0,0,'Données projet'!$E$13+1,1))</f>
        <v>401.1031790385295</v>
      </c>
      <c r="CZ150" s="62">
        <f t="shared" si="150"/>
        <v>402.09589424130615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projet'!$B$13,Paramètres!$A$1:$I$88,3,0)*0.475*44/12</f>
        <v>3.7033312906127813</v>
      </c>
      <c r="DG150" s="23">
        <f>EXP(-LN(2)/25)*DG149+(1-EXP(-LN(2)/25))/(LN(2)/25)*Calculateur!DB150*Calculateur!DD150*VLOOKUP('Données projet'!$B$13,Paramètres!$A$1:$I$88,3,0)*0.475*44/12</f>
        <v>0</v>
      </c>
      <c r="DH150" s="23">
        <f>EXP(-LN(2)/2)*DH149+(1-EXP(-LN(2)/2))/(LN(2)/2)*DB150*DE150*VLOOKUP('Données projet'!$B$13,Paramètres!$A$1:$I$88,3,0)*0.475*44/12</f>
        <v>3.3372362183238928E-13</v>
      </c>
      <c r="DI150" s="24">
        <f t="shared" si="123"/>
        <v>3.7033312906131148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860.00000000000023</v>
      </c>
      <c r="DP150" s="18">
        <f>DO150*VLOOKUP('Données projet'!$B$14,Paramètres!$A$1:$I$88,3,0)*VLOOKUP('Données projet'!$B$14,Paramètres!$A$1:$I$88,5,0)</f>
        <v>346.5800000000001</v>
      </c>
      <c r="DQ150" s="14">
        <f t="shared" si="151"/>
        <v>80.857895771535127</v>
      </c>
      <c r="DR150" s="22">
        <f t="shared" si="124"/>
        <v>744.45433513542378</v>
      </c>
      <c r="DS150" s="62">
        <f t="shared" si="125"/>
        <v>1030.7894276280722</v>
      </c>
      <c r="DT150" s="62">
        <f ca="1">AVERAGE(OFFSET($DS$3,0,0,'Données projet'!$E$14+1,1))-AVERAGE(OFFSET($H$3,0,0,'Données projet'!$E$14+1,1))</f>
        <v>432.59662347701629</v>
      </c>
      <c r="DU150" s="62">
        <f t="shared" si="152"/>
        <v>348.67401091099748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projet'!$B$14,Paramètres!$A$1:$I$88,3,0)*0.475*44/12</f>
        <v>16.682256252871266</v>
      </c>
      <c r="EB150" s="23">
        <f>EXP(-LN(2)/25)*EB149+(1-EXP(-LN(2)/25))/(LN(2)/25)*Calculateur!DW150*Calculateur!DY150*VLOOKUP('Données projet'!$B$14,Paramètres!$A$1:$I$88,3,0)*0.475*44/12</f>
        <v>10.849762605886662</v>
      </c>
      <c r="EC150" s="23">
        <f>EXP(-LN(2)/2)*EC149+(1-EXP(-LN(2)/2))/(LN(2)/2)*DW150*DZ150*VLOOKUP('Données projet'!$B$14,Paramètres!$A$1:$I$88,3,0)*0.475*44/12</f>
        <v>0</v>
      </c>
      <c r="ED150" s="24">
        <f t="shared" si="126"/>
        <v>27.53201885875793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1099.9999999999998</v>
      </c>
      <c r="EK150" s="18">
        <f>EJ150*VLOOKUP('Données projet'!$B$15,Paramètres!$A$1:$I$88,3,0)*VLOOKUP('Données projet'!$B$15,Paramètres!$A$1:$I$88,5,0)</f>
        <v>486.19999999999993</v>
      </c>
      <c r="EL150" s="14">
        <f t="shared" si="153"/>
        <v>109.0490179035375</v>
      </c>
      <c r="EM150" s="22">
        <f t="shared" si="127"/>
        <v>1036.725372848661</v>
      </c>
      <c r="EN150" s="62">
        <f t="shared" si="128"/>
        <v>1323.0604653413093</v>
      </c>
      <c r="EO150" s="62">
        <f ca="1">AVERAGE(OFFSET($EN$3,0,0,'Données projet'!$E$15+1,1))-AVERAGE(OFFSET($H$3,0,0,'Données projet'!$E$15+1,1))</f>
        <v>582.26951914082088</v>
      </c>
      <c r="EP150" s="62">
        <f t="shared" si="154"/>
        <v>434.80429932654715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projet'!$B$15,Paramètres!$A$1:$I$88,3,0)*0.475*44/12</f>
        <v>16.809685416914192</v>
      </c>
      <c r="EW150" s="23">
        <f>EXP(-LN(2)/25)*EW149+(1-EXP(-LN(2)/25))/(LN(2)/25)*Calculateur!ER150*Calculateur!ET150*VLOOKUP('Données projet'!$B$15,Paramètres!$A$1:$I$88,3,0)*0.475*44/12</f>
        <v>9.7493562315461215</v>
      </c>
      <c r="EX150" s="23">
        <f>EXP(-LN(2)/2)*EX149+(1-EXP(-LN(2)/2))/(LN(2)/2)*ER150*EU150*VLOOKUP('Données projet'!$B$15,Paramètres!$A$1:$I$88,3,0)*0.475*44/12</f>
        <v>0</v>
      </c>
      <c r="EY150" s="24">
        <f t="shared" si="129"/>
        <v>26.559041648460315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854.99999999999989</v>
      </c>
      <c r="FF150" s="18">
        <f>FE150*VLOOKUP('Données projet'!$B$16,Paramètres!$A$1:$I$88,3,0)*VLOOKUP('Données projet'!$B$16,Paramètres!$A$1:$I$88,5,0)</f>
        <v>400.13999999999993</v>
      </c>
      <c r="FG150" s="14">
        <f t="shared" si="155"/>
        <v>91.805047494648534</v>
      </c>
      <c r="FH150" s="22">
        <f t="shared" si="130"/>
        <v>856.80429105317944</v>
      </c>
      <c r="FI150" s="62">
        <f t="shared" si="131"/>
        <v>1143.139383545828</v>
      </c>
      <c r="FJ150" s="62">
        <f ca="1">AVERAGE(OFFSET($FI$3,0,0,'Données projet'!$E$16+1,1))-AVERAGE(OFFSET($H$3,0,0,'Données projet'!$E$16+1,1))</f>
        <v>429.87867712133851</v>
      </c>
      <c r="FK150" s="62">
        <f t="shared" si="156"/>
        <v>182.81277865988014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projet'!$B$16,Paramètres!$A$1:$I$88,3,0)*0.475*44/12</f>
        <v>20.047561419867595</v>
      </c>
      <c r="FR150" s="23">
        <f>EXP(-LN(2)/25)*FR149+(1-EXP(-LN(2)/25))/(LN(2)/25)*Calculateur!FM150*Calculateur!FO150*VLOOKUP('Données projet'!$B$16,Paramètres!$A$1:$I$88,3,0)*0.475*44/12</f>
        <v>12.35897813761952</v>
      </c>
      <c r="FS150" s="23">
        <f>EXP(-LN(2)/2)*FS149+(1-EXP(-LN(2)/2))/(LN(2)/2)*FM150*FP150*VLOOKUP('Données projet'!$B$16,Paramètres!$A$1:$I$88,3,0)*0.475*44/12</f>
        <v>0</v>
      </c>
      <c r="FT150" s="24">
        <f t="shared" si="132"/>
        <v>32.406539557487115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498.99999999999955</v>
      </c>
      <c r="GA150" s="18">
        <f>FZ150*VLOOKUP('Données projet'!$B$17,Paramètres!$A$1:$I$88,3,0)*VLOOKUP('Données projet'!$B$17,Paramètres!$A$1:$I$88,5,0)</f>
        <v>240.01899999999978</v>
      </c>
      <c r="GB150" s="14">
        <f t="shared" si="157"/>
        <v>58.443618405936313</v>
      </c>
      <c r="GC150" s="22">
        <f t="shared" si="133"/>
        <v>519.82239372367201</v>
      </c>
      <c r="GD150" s="62">
        <f t="shared" si="134"/>
        <v>806.15748621632042</v>
      </c>
      <c r="GE150" s="62">
        <f ca="1">AVERAGE(OFFSET($GD$3,0,0,'Données projet'!$E$17+1,1))-AVERAGE(OFFSET($H$3,0,0,'Données projet'!$E$17+1,1))</f>
        <v>273.24375559399846</v>
      </c>
      <c r="GF150" s="62">
        <f t="shared" si="158"/>
        <v>270.77718895097848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projet'!$B$17,Paramètres!$A$1:$I$88,3,0)*0.475*44/12</f>
        <v>8.583946482758634</v>
      </c>
      <c r="GM150" s="23">
        <f>EXP(-LN(2)/25)*GM149+(1-EXP(-LN(2)/25))/(LN(2)/25)*Calculateur!GH150*Calculateur!GJ150*VLOOKUP('Données projet'!$B$17,Paramètres!$A$1:$I$88,3,0)*0.475*44/12</f>
        <v>4.755086103032097</v>
      </c>
      <c r="GN150" s="23">
        <f>EXP(-LN(2)/2)*GN149+(1-EXP(-LN(2)/2))/(LN(2)/2)*GH150*GK150*VLOOKUP('Données projet'!$B$17,Paramètres!$A$1:$I$88,3,0)*0.475*44/12</f>
        <v>0</v>
      </c>
      <c r="GO150" s="23">
        <f t="shared" si="135"/>
        <v>13.339032585790731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550.99999999999966</v>
      </c>
      <c r="O151" s="14">
        <f>N151*VLOOKUP('Données projet'!$B$9,Paramètres!$A$1:$I$88,3,0)*VLOOKUP('Données projet'!$B$9,Paramètres!$A$1:$I$88,5,0)</f>
        <v>308.00899999999979</v>
      </c>
      <c r="P151" s="14">
        <f t="shared" si="141"/>
        <v>72.852874331417695</v>
      </c>
      <c r="Q151" s="22">
        <f t="shared" si="108"/>
        <v>663.33443112721886</v>
      </c>
      <c r="R151" s="62">
        <f t="shared" si="109"/>
        <v>949.79092745273056</v>
      </c>
      <c r="S151" s="62">
        <f ca="1">AVERAGE(OFFSET($R$3,0,0,'Données projet'!$E$9+1,1))-AVERAGE(OFFSET($H$3,0,0,'Données projet'!$E$9+1,1))</f>
        <v>289.94242154211224</v>
      </c>
      <c r="T151" s="62">
        <f t="shared" si="142"/>
        <v>369.12599166143661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12.912872608661814</v>
      </c>
      <c r="AA151" s="23">
        <f>EXP(-LN(2)/25)*AA150+(1-EXP(-LN(2)/25))/(LN(2)/25)*Calculateur!V151*Calculateur!X151*VLOOKUP('Données projet'!$B$9,Paramètres!$A$1:$I$88,3,0)*0.475*44/12</f>
        <v>5.8249212641954813</v>
      </c>
      <c r="AB151" s="23">
        <f>EXP(-LN(2)/2)*AB150+(1-EXP(-LN(2)/2))/(LN(2)/2)*V151*Y151*VLOOKUP('Données projet'!$B$9,Paramètres!$A$1:$I$88,3,0)*0.475*44/12</f>
        <v>0</v>
      </c>
      <c r="AC151" s="24">
        <f t="shared" si="111"/>
        <v>18.737793872857296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6.7</v>
      </c>
      <c r="AI151" s="14">
        <f>IF('Données projet'!$A$62&gt;35,AI150+AH151-AQ150,IF(A151&lt;'Données projet'!$A$62,$AF$205^A151,IF(A151='Données projet'!$A$62,'Données projet'!$B$62,AI150+AH151-AQ150)))</f>
        <v>404.60000000000025</v>
      </c>
      <c r="AJ151" s="14">
        <f>AI151*VLOOKUP('Données projet'!$B$10,Paramètres!$A$1:$I$88,3,0)*VLOOKUP('Données projet'!$B$10,Paramètres!$A$1:$I$88,5,0)</f>
        <v>366.08208000000019</v>
      </c>
      <c r="AK151" s="14">
        <f t="shared" si="143"/>
        <v>84.865270781521915</v>
      </c>
      <c r="AL151" s="22">
        <f t="shared" si="112"/>
        <v>785.3999692778176</v>
      </c>
      <c r="AM151" s="62">
        <f t="shared" si="113"/>
        <v>1071.8564656033293</v>
      </c>
      <c r="AN151" s="62">
        <f ca="1">AVERAGE(OFFSET($AM$3,0,0,'Données projet'!$E$10+1,1))-AVERAGE(OFFSET($H$3,0,0,'Données projet'!$E$10+1,1))</f>
        <v>518.31628039365785</v>
      </c>
      <c r="AO151" s="62">
        <f t="shared" si="144"/>
        <v>66.435071953154761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38.28298760379618</v>
      </c>
      <c r="AV151" s="23">
        <f>EXP(-LN(2)/25)*AV150+(1-EXP(-LN(2)/25))/(LN(2)/25)*Calculateur!AQ151*Calculateur!AS151*VLOOKUP('Données projet'!$B$10,Paramètres!$A$1:$I$88,3,0)*0.475*44/12</f>
        <v>0</v>
      </c>
      <c r="AW151" s="23">
        <f>EXP(-LN(2)/2)*AW150+(1-EXP(-LN(2)/2))/(LN(2)/2)*AQ151*AT151*VLOOKUP('Données projet'!$B$10,Paramètres!$A$1:$I$88,3,0)*0.475*44/12</f>
        <v>0</v>
      </c>
      <c r="AX151" s="23">
        <f t="shared" si="114"/>
        <v>38.28298760379618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6.7</v>
      </c>
      <c r="BD151" s="13">
        <f>IF('Données projet'!$A$88&gt;35,BD150+BC151-BL150,IF(A151&lt;'Données projet'!$A$88,$BA$205^A151,IF(A151='Données projet'!$A$88,'Données projet'!$B$88,BD150+BC151-BL150)))</f>
        <v>404.60000000000025</v>
      </c>
      <c r="BE151" s="14">
        <f>BD151*VLOOKUP('Données projet'!$B$11,Paramètres!$A$1:$I$88,3,0)*VLOOKUP('Données projet'!$B$11,Paramètres!$A$1:$I$88,5,0)</f>
        <v>410.26440000000031</v>
      </c>
      <c r="BF151" s="14">
        <f t="shared" si="145"/>
        <v>93.854536243274367</v>
      </c>
      <c r="BG151" s="22">
        <f t="shared" si="115"/>
        <v>878.00714729037009</v>
      </c>
      <c r="BH151" s="62">
        <f t="shared" si="116"/>
        <v>1164.4636436158817</v>
      </c>
      <c r="BI151" s="62">
        <f ca="1">AVERAGE(OFFSET($BH$3,0,0,'Données projet'!$E$11+1,1))-AVERAGE(OFFSET($H$3,0,0,'Données projet'!$E$11+1,1))</f>
        <v>570.2785736203931</v>
      </c>
      <c r="BJ151" s="62">
        <f t="shared" si="146"/>
        <v>67.677759965081719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42.903348176668132</v>
      </c>
      <c r="BQ151" s="23">
        <f>EXP(-LN(2)/25)*BQ150+(1-EXP(-LN(2)/25))/(LN(2)/25)*Calculateur!BL151*Calculateur!BN151*VLOOKUP('Données projet'!$B$11,Paramètres!$A$1:$I$88,3,0)*0.475*44/12</f>
        <v>0</v>
      </c>
      <c r="BR151" s="23">
        <f>EXP(-LN(2)/2)*BR150+(1-EXP(-LN(2)/2))/(LN(2)/2)*BL151*BO151*VLOOKUP('Données projet'!$B$11,Paramètres!$A$1:$I$88,3,0)*0.475*44/12</f>
        <v>0</v>
      </c>
      <c r="BS151" s="24">
        <f t="shared" si="117"/>
        <v>42.903348176668132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544.19999999999982</v>
      </c>
      <c r="BZ151" s="14">
        <f>BY151*VLOOKUP('Données projet'!$B$12,Paramètres!$A$1:$I$88,3,0)*VLOOKUP('Données projet'!$B$12,Paramètres!$A$1:$I$88,5,0)</f>
        <v>325.43159999999995</v>
      </c>
      <c r="CA151" s="14">
        <f t="shared" si="147"/>
        <v>76.482394221016762</v>
      </c>
      <c r="CB151" s="22">
        <f t="shared" si="118"/>
        <v>700.00020660160408</v>
      </c>
      <c r="CC151" s="62">
        <f t="shared" si="119"/>
        <v>986.45670292711577</v>
      </c>
      <c r="CD151" s="62">
        <f ca="1">AVERAGE(OFFSET($CC$3,0,0,'Données projet'!$E$12+1,1))-AVERAGE(OFFSET($H$3,0,0,'Données projet'!$E$12+1,1))</f>
        <v>401.1031790385295</v>
      </c>
      <c r="CE151" s="62">
        <f t="shared" si="148"/>
        <v>402.09589424130615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projet'!$B$12,Paramètres!$A$1:$I$88,3,0)*0.475*44/12</f>
        <v>3.6307112228129133</v>
      </c>
      <c r="CL151" s="23">
        <f>EXP(-LN(2)/25)*CL150+(1-EXP(-LN(2)/25))/(LN(2)/25)*Calculateur!CG151*Calculateur!CI151*VLOOKUP('Données projet'!$B$12,Paramètres!$A$1:$I$88,3,0)*0.475*44/12</f>
        <v>0</v>
      </c>
      <c r="CM151" s="23">
        <f>EXP(-LN(2)/2)*CM150+(1-EXP(-LN(2)/2))/(LN(2)/2)*CG151*CJ151*VLOOKUP('Données projet'!$B$12,Paramètres!$A$1:$I$88,3,0)*0.475*44/12</f>
        <v>2.3597823603981742E-13</v>
      </c>
      <c r="CN151" s="24">
        <f t="shared" si="120"/>
        <v>3.6307112228131491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544.19999999999982</v>
      </c>
      <c r="CU151" s="18">
        <f>CT151*VLOOKUP('Données projet'!$B$13,Paramètres!$A$1:$I$88,3,0)*VLOOKUP('Données projet'!$B$13,Paramètres!$A$1:$I$88,5,0)</f>
        <v>325.43159999999995</v>
      </c>
      <c r="CV151" s="14">
        <f t="shared" si="149"/>
        <v>76.482394221016762</v>
      </c>
      <c r="CW151" s="22">
        <f t="shared" si="121"/>
        <v>700.00020660160408</v>
      </c>
      <c r="CX151" s="62">
        <f t="shared" si="122"/>
        <v>986.45670292711577</v>
      </c>
      <c r="CY151" s="62">
        <f ca="1">AVERAGE(OFFSET($CX$3,0,0,'Données projet'!$E$13+1,1))-AVERAGE(OFFSET($H$3,0,0,'Données projet'!$E$13+1,1))</f>
        <v>401.1031790385295</v>
      </c>
      <c r="CZ151" s="62">
        <f t="shared" si="150"/>
        <v>402.09589424130615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projet'!$B$13,Paramètres!$A$1:$I$88,3,0)*0.475*44/12</f>
        <v>3.6307112228129133</v>
      </c>
      <c r="DG151" s="23">
        <f>EXP(-LN(2)/25)*DG150+(1-EXP(-LN(2)/25))/(LN(2)/25)*Calculateur!DB151*Calculateur!DD151*VLOOKUP('Données projet'!$B$13,Paramètres!$A$1:$I$88,3,0)*0.475*44/12</f>
        <v>0</v>
      </c>
      <c r="DH151" s="23">
        <f>EXP(-LN(2)/2)*DH150+(1-EXP(-LN(2)/2))/(LN(2)/2)*DB151*DE151*VLOOKUP('Données projet'!$B$13,Paramètres!$A$1:$I$88,3,0)*0.475*44/12</f>
        <v>2.3597823603981742E-13</v>
      </c>
      <c r="DI151" s="24">
        <f t="shared" si="123"/>
        <v>3.6307112228131491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860.00000000000023</v>
      </c>
      <c r="DP151" s="18">
        <f>DO151*VLOOKUP('Données projet'!$B$14,Paramètres!$A$1:$I$88,3,0)*VLOOKUP('Données projet'!$B$14,Paramètres!$A$1:$I$88,5,0)</f>
        <v>346.5800000000001</v>
      </c>
      <c r="DQ151" s="14">
        <f t="shared" si="151"/>
        <v>80.857895771535127</v>
      </c>
      <c r="DR151" s="22">
        <f t="shared" si="124"/>
        <v>744.45433513542378</v>
      </c>
      <c r="DS151" s="62">
        <f t="shared" si="125"/>
        <v>1030.9108314609355</v>
      </c>
      <c r="DT151" s="62">
        <f ca="1">AVERAGE(OFFSET($DS$3,0,0,'Données projet'!$E$14+1,1))-AVERAGE(OFFSET($H$3,0,0,'Données projet'!$E$14+1,1))</f>
        <v>432.59662347701629</v>
      </c>
      <c r="DU151" s="62">
        <f t="shared" si="152"/>
        <v>348.67401091099748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projet'!$B$14,Paramètres!$A$1:$I$88,3,0)*0.475*44/12</f>
        <v>16.35512738292406</v>
      </c>
      <c r="EB151" s="23">
        <f>EXP(-LN(2)/25)*EB150+(1-EXP(-LN(2)/25))/(LN(2)/25)*Calculateur!DW151*Calculateur!DY151*VLOOKUP('Données projet'!$B$14,Paramètres!$A$1:$I$88,3,0)*0.475*44/12</f>
        <v>10.553075276864472</v>
      </c>
      <c r="EC151" s="23">
        <f>EXP(-LN(2)/2)*EC150+(1-EXP(-LN(2)/2))/(LN(2)/2)*DW151*DZ151*VLOOKUP('Données projet'!$B$14,Paramètres!$A$1:$I$88,3,0)*0.475*44/12</f>
        <v>0</v>
      </c>
      <c r="ED151" s="24">
        <f t="shared" si="126"/>
        <v>26.908202659788532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1099.9999999999998</v>
      </c>
      <c r="EK151" s="18">
        <f>EJ151*VLOOKUP('Données projet'!$B$15,Paramètres!$A$1:$I$88,3,0)*VLOOKUP('Données projet'!$B$15,Paramètres!$A$1:$I$88,5,0)</f>
        <v>486.19999999999993</v>
      </c>
      <c r="EL151" s="14">
        <f t="shared" si="153"/>
        <v>109.0490179035375</v>
      </c>
      <c r="EM151" s="22">
        <f t="shared" si="127"/>
        <v>1036.725372848661</v>
      </c>
      <c r="EN151" s="62">
        <f t="shared" si="128"/>
        <v>1323.1818691741728</v>
      </c>
      <c r="EO151" s="62">
        <f ca="1">AVERAGE(OFFSET($EN$3,0,0,'Données projet'!$E$15+1,1))-AVERAGE(OFFSET($H$3,0,0,'Données projet'!$E$15+1,1))</f>
        <v>582.26951914082088</v>
      </c>
      <c r="EP151" s="62">
        <f t="shared" si="154"/>
        <v>434.80429932654715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projet'!$B$15,Paramètres!$A$1:$I$88,3,0)*0.475*44/12</f>
        <v>16.480057738784218</v>
      </c>
      <c r="EW151" s="23">
        <f>EXP(-LN(2)/25)*EW150+(1-EXP(-LN(2)/25))/(LN(2)/25)*Calculateur!ER151*Calculateur!ET151*VLOOKUP('Données projet'!$B$15,Paramètres!$A$1:$I$88,3,0)*0.475*44/12</f>
        <v>9.4827595726981304</v>
      </c>
      <c r="EX151" s="23">
        <f>EXP(-LN(2)/2)*EX150+(1-EXP(-LN(2)/2))/(LN(2)/2)*ER151*EU151*VLOOKUP('Données projet'!$B$15,Paramètres!$A$1:$I$88,3,0)*0.475*44/12</f>
        <v>0</v>
      </c>
      <c r="EY151" s="24">
        <f t="shared" si="129"/>
        <v>25.962817311482347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854.99999999999989</v>
      </c>
      <c r="FF151" s="18">
        <f>FE151*VLOOKUP('Données projet'!$B$16,Paramètres!$A$1:$I$88,3,0)*VLOOKUP('Données projet'!$B$16,Paramètres!$A$1:$I$88,5,0)</f>
        <v>400.13999999999993</v>
      </c>
      <c r="FG151" s="14">
        <f t="shared" si="155"/>
        <v>91.805047494648534</v>
      </c>
      <c r="FH151" s="22">
        <f t="shared" si="130"/>
        <v>856.80429105317944</v>
      </c>
      <c r="FI151" s="62">
        <f t="shared" si="131"/>
        <v>1143.260787378691</v>
      </c>
      <c r="FJ151" s="62">
        <f ca="1">AVERAGE(OFFSET($FI$3,0,0,'Données projet'!$E$16+1,1))-AVERAGE(OFFSET($H$3,0,0,'Données projet'!$E$16+1,1))</f>
        <v>429.87867712133851</v>
      </c>
      <c r="FK151" s="62">
        <f t="shared" si="156"/>
        <v>182.81277865988014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projet'!$B$16,Paramètres!$A$1:$I$88,3,0)*0.475*44/12</f>
        <v>19.654440968229061</v>
      </c>
      <c r="FR151" s="23">
        <f>EXP(-LN(2)/25)*FR150+(1-EXP(-LN(2)/25))/(LN(2)/25)*Calculateur!FM151*Calculateur!FO151*VLOOKUP('Données projet'!$B$16,Paramètres!$A$1:$I$88,3,0)*0.475*44/12</f>
        <v>12.021021230515901</v>
      </c>
      <c r="FS151" s="23">
        <f>EXP(-LN(2)/2)*FS150+(1-EXP(-LN(2)/2))/(LN(2)/2)*FM151*FP151*VLOOKUP('Données projet'!$B$16,Paramètres!$A$1:$I$88,3,0)*0.475*44/12</f>
        <v>0</v>
      </c>
      <c r="FT151" s="24">
        <f t="shared" si="132"/>
        <v>31.67546219874496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498.99999999999955</v>
      </c>
      <c r="GA151" s="18">
        <f>FZ151*VLOOKUP('Données projet'!$B$17,Paramètres!$A$1:$I$88,3,0)*VLOOKUP('Données projet'!$B$17,Paramètres!$A$1:$I$88,5,0)</f>
        <v>240.01899999999978</v>
      </c>
      <c r="GB151" s="14">
        <f t="shared" si="157"/>
        <v>58.443618405936313</v>
      </c>
      <c r="GC151" s="22">
        <f t="shared" si="133"/>
        <v>519.82239372367201</v>
      </c>
      <c r="GD151" s="62">
        <f t="shared" si="134"/>
        <v>806.2788900491837</v>
      </c>
      <c r="GE151" s="62">
        <f ca="1">AVERAGE(OFFSET($GD$3,0,0,'Données projet'!$E$17+1,1))-AVERAGE(OFFSET($H$3,0,0,'Données projet'!$E$17+1,1))</f>
        <v>273.24375559399846</v>
      </c>
      <c r="GF151" s="62">
        <f t="shared" si="158"/>
        <v>270.77718895097848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projet'!$B$17,Paramètres!$A$1:$I$88,3,0)*0.475*44/12</f>
        <v>8.4156205279221101</v>
      </c>
      <c r="GM151" s="23">
        <f>EXP(-LN(2)/25)*GM150+(1-EXP(-LN(2)/25))/(LN(2)/25)*Calculateur!GH151*Calculateur!GJ151*VLOOKUP('Données projet'!$B$17,Paramètres!$A$1:$I$88,3,0)*0.475*44/12</f>
        <v>4.6250580234855745</v>
      </c>
      <c r="GN151" s="23">
        <f>EXP(-LN(2)/2)*GN150+(1-EXP(-LN(2)/2))/(LN(2)/2)*GH151*GK151*VLOOKUP('Données projet'!$B$17,Paramètres!$A$1:$I$88,3,0)*0.475*44/12</f>
        <v>0</v>
      </c>
      <c r="GO151" s="23">
        <f t="shared" si="135"/>
        <v>13.040678551407684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550.99999999999966</v>
      </c>
      <c r="O152" s="14">
        <f>N152*VLOOKUP('Données projet'!$B$9,Paramètres!$A$1:$I$88,3,0)*VLOOKUP('Données projet'!$B$9,Paramètres!$A$1:$I$88,5,0)</f>
        <v>308.00899999999979</v>
      </c>
      <c r="P152" s="14">
        <f t="shared" si="141"/>
        <v>72.852874331417695</v>
      </c>
      <c r="Q152" s="22">
        <f t="shared" si="108"/>
        <v>663.33443112721886</v>
      </c>
      <c r="R152" s="62">
        <f t="shared" si="109"/>
        <v>949.91022520051195</v>
      </c>
      <c r="S152" s="62">
        <f ca="1">AVERAGE(OFFSET($R$3,0,0,'Données projet'!$E$9+1,1))-AVERAGE(OFFSET($H$3,0,0,'Données projet'!$E$9+1,1))</f>
        <v>289.94242154211224</v>
      </c>
      <c r="T152" s="62">
        <f t="shared" si="142"/>
        <v>369.12599166143661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12.659659052880549</v>
      </c>
      <c r="AA152" s="23">
        <f>EXP(-LN(2)/25)*AA151+(1-EXP(-LN(2)/25))/(LN(2)/25)*Calculateur!V152*Calculateur!X152*VLOOKUP('Données projet'!$B$9,Paramètres!$A$1:$I$88,3,0)*0.475*44/12</f>
        <v>5.6656384859067597</v>
      </c>
      <c r="AB152" s="23">
        <f>EXP(-LN(2)/2)*AB151+(1-EXP(-LN(2)/2))/(LN(2)/2)*V152*Y152*VLOOKUP('Données projet'!$B$9,Paramètres!$A$1:$I$88,3,0)*0.475*44/12</f>
        <v>0</v>
      </c>
      <c r="AC152" s="24">
        <f t="shared" si="111"/>
        <v>18.325297538787311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6.7</v>
      </c>
      <c r="AI152" s="14">
        <f>IF('Données projet'!$A$62&gt;35,AI151+AH152-AQ151,IF(A152&lt;'Données projet'!$A$62,$AF$205^A152,IF(A152='Données projet'!$A$62,'Données projet'!$B$62,AI151+AH152-AQ151)))</f>
        <v>411.30000000000024</v>
      </c>
      <c r="AJ152" s="14">
        <f>AI152*VLOOKUP('Données projet'!$B$10,Paramètres!$A$1:$I$88,3,0)*VLOOKUP('Données projet'!$B$10,Paramètres!$A$1:$I$88,5,0)</f>
        <v>372.1442400000002</v>
      </c>
      <c r="AK152" s="14">
        <f t="shared" si="143"/>
        <v>86.105832660760498</v>
      </c>
      <c r="AL152" s="22">
        <f t="shared" si="112"/>
        <v>798.11887655082489</v>
      </c>
      <c r="AM152" s="62">
        <f t="shared" si="113"/>
        <v>1084.6946706241179</v>
      </c>
      <c r="AN152" s="62">
        <f ca="1">AVERAGE(OFFSET($AM$3,0,0,'Données projet'!$E$10+1,1))-AVERAGE(OFFSET($H$3,0,0,'Données projet'!$E$10+1,1))</f>
        <v>518.31628039365785</v>
      </c>
      <c r="AO152" s="62">
        <f t="shared" si="144"/>
        <v>66.435071953154761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37.532281567202524</v>
      </c>
      <c r="AV152" s="23">
        <f>EXP(-LN(2)/25)*AV151+(1-EXP(-LN(2)/25))/(LN(2)/25)*Calculateur!AQ152*Calculateur!AS152*VLOOKUP('Données projet'!$B$10,Paramètres!$A$1:$I$88,3,0)*0.475*44/12</f>
        <v>0</v>
      </c>
      <c r="AW152" s="23">
        <f>EXP(-LN(2)/2)*AW151+(1-EXP(-LN(2)/2))/(LN(2)/2)*AQ152*AT152*VLOOKUP('Données projet'!$B$10,Paramètres!$A$1:$I$88,3,0)*0.475*44/12</f>
        <v>0</v>
      </c>
      <c r="AX152" s="23">
        <f t="shared" si="114"/>
        <v>37.532281567202524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6.7</v>
      </c>
      <c r="BD152" s="13">
        <f>IF('Données projet'!$A$88&gt;35,BD151+BC152-BL151,IF(A152&lt;'Données projet'!$A$88,$BA$205^A152,IF(A152='Données projet'!$A$88,'Données projet'!$B$88,BD151+BC152-BL151)))</f>
        <v>411.30000000000024</v>
      </c>
      <c r="BE152" s="14">
        <f>BD152*VLOOKUP('Données projet'!$B$11,Paramètres!$A$1:$I$88,3,0)*VLOOKUP('Données projet'!$B$11,Paramètres!$A$1:$I$88,5,0)</f>
        <v>417.05820000000023</v>
      </c>
      <c r="BF152" s="14">
        <f t="shared" si="145"/>
        <v>95.226503348131359</v>
      </c>
      <c r="BG152" s="22">
        <f t="shared" si="115"/>
        <v>892.22919166466261</v>
      </c>
      <c r="BH152" s="62">
        <f t="shared" si="116"/>
        <v>1178.8049857379556</v>
      </c>
      <c r="BI152" s="62">
        <f ca="1">AVERAGE(OFFSET($BH$3,0,0,'Données projet'!$E$11+1,1))-AVERAGE(OFFSET($H$3,0,0,'Données projet'!$E$11+1,1))</f>
        <v>570.2785736203931</v>
      </c>
      <c r="BJ152" s="62">
        <f t="shared" si="146"/>
        <v>67.677759965081719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42.062039687382139</v>
      </c>
      <c r="BQ152" s="23">
        <f>EXP(-LN(2)/25)*BQ151+(1-EXP(-LN(2)/25))/(LN(2)/25)*Calculateur!BL152*Calculateur!BN152*VLOOKUP('Données projet'!$B$11,Paramètres!$A$1:$I$88,3,0)*0.475*44/12</f>
        <v>0</v>
      </c>
      <c r="BR152" s="23">
        <f>EXP(-LN(2)/2)*BR151+(1-EXP(-LN(2)/2))/(LN(2)/2)*BL152*BO152*VLOOKUP('Données projet'!$B$11,Paramètres!$A$1:$I$88,3,0)*0.475*44/12</f>
        <v>0</v>
      </c>
      <c r="BS152" s="24">
        <f t="shared" si="117"/>
        <v>42.062039687382139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544.19999999999982</v>
      </c>
      <c r="BZ152" s="14">
        <f>BY152*VLOOKUP('Données projet'!$B$12,Paramètres!$A$1:$I$88,3,0)*VLOOKUP('Données projet'!$B$12,Paramètres!$A$1:$I$88,5,0)</f>
        <v>325.43159999999995</v>
      </c>
      <c r="CA152" s="14">
        <f t="shared" si="147"/>
        <v>76.482394221016762</v>
      </c>
      <c r="CB152" s="22">
        <f t="shared" si="118"/>
        <v>700.00020660160408</v>
      </c>
      <c r="CC152" s="62">
        <f t="shared" si="119"/>
        <v>986.57600067489716</v>
      </c>
      <c r="CD152" s="62">
        <f ca="1">AVERAGE(OFFSET($CC$3,0,0,'Données projet'!$E$12+1,1))-AVERAGE(OFFSET($H$3,0,0,'Données projet'!$E$12+1,1))</f>
        <v>401.1031790385295</v>
      </c>
      <c r="CE152" s="62">
        <f t="shared" si="148"/>
        <v>402.09589424130615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projet'!$B$12,Paramètres!$A$1:$I$88,3,0)*0.475*44/12</f>
        <v>3.5595151902487325</v>
      </c>
      <c r="CL152" s="23">
        <f>EXP(-LN(2)/25)*CL151+(1-EXP(-LN(2)/25))/(LN(2)/25)*Calculateur!CG152*Calculateur!CI152*VLOOKUP('Données projet'!$B$12,Paramètres!$A$1:$I$88,3,0)*0.475*44/12</f>
        <v>0</v>
      </c>
      <c r="CM152" s="23">
        <f>EXP(-LN(2)/2)*CM151+(1-EXP(-LN(2)/2))/(LN(2)/2)*CG152*CJ152*VLOOKUP('Données projet'!$B$12,Paramètres!$A$1:$I$88,3,0)*0.475*44/12</f>
        <v>1.6686181091619464E-13</v>
      </c>
      <c r="CN152" s="24">
        <f t="shared" si="120"/>
        <v>3.5595151902488995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544.19999999999982</v>
      </c>
      <c r="CU152" s="18">
        <f>CT152*VLOOKUP('Données projet'!$B$13,Paramètres!$A$1:$I$88,3,0)*VLOOKUP('Données projet'!$B$13,Paramètres!$A$1:$I$88,5,0)</f>
        <v>325.43159999999995</v>
      </c>
      <c r="CV152" s="14">
        <f t="shared" si="149"/>
        <v>76.482394221016762</v>
      </c>
      <c r="CW152" s="22">
        <f t="shared" si="121"/>
        <v>700.00020660160408</v>
      </c>
      <c r="CX152" s="62">
        <f t="shared" si="122"/>
        <v>986.57600067489716</v>
      </c>
      <c r="CY152" s="62">
        <f ca="1">AVERAGE(OFFSET($CX$3,0,0,'Données projet'!$E$13+1,1))-AVERAGE(OFFSET($H$3,0,0,'Données projet'!$E$13+1,1))</f>
        <v>401.1031790385295</v>
      </c>
      <c r="CZ152" s="62">
        <f t="shared" si="150"/>
        <v>402.09589424130615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projet'!$B$13,Paramètres!$A$1:$I$88,3,0)*0.475*44/12</f>
        <v>3.5595151902487325</v>
      </c>
      <c r="DG152" s="23">
        <f>EXP(-LN(2)/25)*DG151+(1-EXP(-LN(2)/25))/(LN(2)/25)*Calculateur!DB152*Calculateur!DD152*VLOOKUP('Données projet'!$B$13,Paramètres!$A$1:$I$88,3,0)*0.475*44/12</f>
        <v>0</v>
      </c>
      <c r="DH152" s="23">
        <f>EXP(-LN(2)/2)*DH151+(1-EXP(-LN(2)/2))/(LN(2)/2)*DB152*DE152*VLOOKUP('Données projet'!$B$13,Paramètres!$A$1:$I$88,3,0)*0.475*44/12</f>
        <v>1.6686181091619464E-13</v>
      </c>
      <c r="DI152" s="24">
        <f t="shared" si="123"/>
        <v>3.5595151902488995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860.00000000000023</v>
      </c>
      <c r="DP152" s="18">
        <f>DO152*VLOOKUP('Données projet'!$B$14,Paramètres!$A$1:$I$88,3,0)*VLOOKUP('Données projet'!$B$14,Paramètres!$A$1:$I$88,5,0)</f>
        <v>346.5800000000001</v>
      </c>
      <c r="DQ152" s="14">
        <f t="shared" si="151"/>
        <v>80.857895771535127</v>
      </c>
      <c r="DR152" s="22">
        <f t="shared" si="124"/>
        <v>744.45433513542378</v>
      </c>
      <c r="DS152" s="62">
        <f t="shared" si="125"/>
        <v>1031.030129208717</v>
      </c>
      <c r="DT152" s="62">
        <f ca="1">AVERAGE(OFFSET($DS$3,0,0,'Données projet'!$E$14+1,1))-AVERAGE(OFFSET($H$3,0,0,'Données projet'!$E$14+1,1))</f>
        <v>432.59662347701629</v>
      </c>
      <c r="DU152" s="62">
        <f t="shared" si="152"/>
        <v>348.67401091099748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projet'!$B$14,Paramètres!$A$1:$I$88,3,0)*0.475*44/12</f>
        <v>16.03441331058761</v>
      </c>
      <c r="EB152" s="23">
        <f>EXP(-LN(2)/25)*EB151+(1-EXP(-LN(2)/25))/(LN(2)/25)*Calculateur!DW152*Calculateur!DY152*VLOOKUP('Données projet'!$B$14,Paramètres!$A$1:$I$88,3,0)*0.475*44/12</f>
        <v>10.264500878456504</v>
      </c>
      <c r="EC152" s="23">
        <f>EXP(-LN(2)/2)*EC151+(1-EXP(-LN(2)/2))/(LN(2)/2)*DW152*DZ152*VLOOKUP('Données projet'!$B$14,Paramètres!$A$1:$I$88,3,0)*0.475*44/12</f>
        <v>0</v>
      </c>
      <c r="ED152" s="24">
        <f t="shared" si="126"/>
        <v>26.298914189044112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1099.9999999999998</v>
      </c>
      <c r="EK152" s="18">
        <f>EJ152*VLOOKUP('Données projet'!$B$15,Paramètres!$A$1:$I$88,3,0)*VLOOKUP('Données projet'!$B$15,Paramètres!$A$1:$I$88,5,0)</f>
        <v>486.19999999999993</v>
      </c>
      <c r="EL152" s="14">
        <f t="shared" si="153"/>
        <v>109.0490179035375</v>
      </c>
      <c r="EM152" s="22">
        <f t="shared" si="127"/>
        <v>1036.725372848661</v>
      </c>
      <c r="EN152" s="62">
        <f t="shared" si="128"/>
        <v>1323.3011669219541</v>
      </c>
      <c r="EO152" s="62">
        <f ca="1">AVERAGE(OFFSET($EN$3,0,0,'Données projet'!$E$15+1,1))-AVERAGE(OFFSET($H$3,0,0,'Données projet'!$E$15+1,1))</f>
        <v>582.26951914082088</v>
      </c>
      <c r="EP152" s="62">
        <f t="shared" si="154"/>
        <v>434.80429932654715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projet'!$B$15,Paramètres!$A$1:$I$88,3,0)*0.475*44/12</f>
        <v>16.156893858369344</v>
      </c>
      <c r="EW152" s="23">
        <f>EXP(-LN(2)/25)*EW151+(1-EXP(-LN(2)/25))/(LN(2)/25)*Calculateur!ER152*Calculateur!ET152*VLOOKUP('Données projet'!$B$15,Paramètres!$A$1:$I$88,3,0)*0.475*44/12</f>
        <v>9.2234530135060471</v>
      </c>
      <c r="EX152" s="23">
        <f>EXP(-LN(2)/2)*EX151+(1-EXP(-LN(2)/2))/(LN(2)/2)*ER152*EU152*VLOOKUP('Données projet'!$B$15,Paramètres!$A$1:$I$88,3,0)*0.475*44/12</f>
        <v>0</v>
      </c>
      <c r="EY152" s="24">
        <f t="shared" si="129"/>
        <v>25.380346871875389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854.99999999999989</v>
      </c>
      <c r="FF152" s="18">
        <f>FE152*VLOOKUP('Données projet'!$B$16,Paramètres!$A$1:$I$88,3,0)*VLOOKUP('Données projet'!$B$16,Paramètres!$A$1:$I$88,5,0)</f>
        <v>400.13999999999993</v>
      </c>
      <c r="FG152" s="14">
        <f t="shared" si="155"/>
        <v>91.805047494648534</v>
      </c>
      <c r="FH152" s="22">
        <f t="shared" si="130"/>
        <v>856.80429105317944</v>
      </c>
      <c r="FI152" s="62">
        <f t="shared" si="131"/>
        <v>1143.3800851264725</v>
      </c>
      <c r="FJ152" s="62">
        <f ca="1">AVERAGE(OFFSET($FI$3,0,0,'Données projet'!$E$16+1,1))-AVERAGE(OFFSET($H$3,0,0,'Données projet'!$E$16+1,1))</f>
        <v>429.87867712133851</v>
      </c>
      <c r="FK152" s="62">
        <f t="shared" si="156"/>
        <v>182.81277865988014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projet'!$B$16,Paramètres!$A$1:$I$88,3,0)*0.475*44/12</f>
        <v>19.269029368867361</v>
      </c>
      <c r="FR152" s="23">
        <f>EXP(-LN(2)/25)*FR151+(1-EXP(-LN(2)/25))/(LN(2)/25)*Calculateur!FM152*Calculateur!FO152*VLOOKUP('Données projet'!$B$16,Paramètres!$A$1:$I$88,3,0)*0.475*44/12</f>
        <v>11.692305772809412</v>
      </c>
      <c r="FS152" s="23">
        <f>EXP(-LN(2)/2)*FS151+(1-EXP(-LN(2)/2))/(LN(2)/2)*FM152*FP152*VLOOKUP('Données projet'!$B$16,Paramètres!$A$1:$I$88,3,0)*0.475*44/12</f>
        <v>0</v>
      </c>
      <c r="FT152" s="24">
        <f t="shared" si="132"/>
        <v>30.961335141676773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498.99999999999955</v>
      </c>
      <c r="GA152" s="18">
        <f>FZ152*VLOOKUP('Données projet'!$B$17,Paramètres!$A$1:$I$88,3,0)*VLOOKUP('Données projet'!$B$17,Paramètres!$A$1:$I$88,5,0)</f>
        <v>240.01899999999978</v>
      </c>
      <c r="GB152" s="14">
        <f t="shared" si="157"/>
        <v>58.443618405936313</v>
      </c>
      <c r="GC152" s="22">
        <f t="shared" si="133"/>
        <v>519.82239372367201</v>
      </c>
      <c r="GD152" s="62">
        <f t="shared" si="134"/>
        <v>806.39818779696509</v>
      </c>
      <c r="GE152" s="62">
        <f ca="1">AVERAGE(OFFSET($GD$3,0,0,'Données projet'!$E$17+1,1))-AVERAGE(OFFSET($H$3,0,0,'Données projet'!$E$17+1,1))</f>
        <v>273.24375559399846</v>
      </c>
      <c r="GF152" s="62">
        <f t="shared" si="158"/>
        <v>270.77718895097848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projet'!$B$17,Paramètres!$A$1:$I$88,3,0)*0.475*44/12</f>
        <v>8.2505953423912359</v>
      </c>
      <c r="GM152" s="23">
        <f>EXP(-LN(2)/25)*GM151+(1-EXP(-LN(2)/25))/(LN(2)/25)*Calculateur!GH152*Calculateur!GJ152*VLOOKUP('Données projet'!$B$17,Paramètres!$A$1:$I$88,3,0)*0.475*44/12</f>
        <v>4.498585568612131</v>
      </c>
      <c r="GN152" s="23">
        <f>EXP(-LN(2)/2)*GN151+(1-EXP(-LN(2)/2))/(LN(2)/2)*GH152*GK152*VLOOKUP('Données projet'!$B$17,Paramètres!$A$1:$I$88,3,0)*0.475*44/12</f>
        <v>0</v>
      </c>
      <c r="GO152" s="23">
        <f t="shared" si="135"/>
        <v>12.749180911003368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550.99999999999966</v>
      </c>
      <c r="O153" s="14">
        <f>N153*VLOOKUP('Données projet'!$B$9,Paramètres!$A$1:$I$88,3,0)*VLOOKUP('Données projet'!$B$9,Paramètres!$A$1:$I$88,5,0)</f>
        <v>308.00899999999979</v>
      </c>
      <c r="P153" s="14">
        <f t="shared" si="141"/>
        <v>72.852874331417695</v>
      </c>
      <c r="Q153" s="22">
        <f t="shared" si="108"/>
        <v>663.33443112721886</v>
      </c>
      <c r="R153" s="62">
        <f t="shared" si="109"/>
        <v>950.02745339907915</v>
      </c>
      <c r="S153" s="62">
        <f ca="1">AVERAGE(OFFSET($R$3,0,0,'Données projet'!$E$9+1,1))-AVERAGE(OFFSET($H$3,0,0,'Données projet'!$E$9+1,1))</f>
        <v>289.94242154211224</v>
      </c>
      <c r="T153" s="62">
        <f t="shared" si="142"/>
        <v>369.12599166143661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12.411410860483137</v>
      </c>
      <c r="AA153" s="23">
        <f>EXP(-LN(2)/25)*AA152+(1-EXP(-LN(2)/25))/(LN(2)/25)*Calculateur!V153*Calculateur!X153*VLOOKUP('Données projet'!$B$9,Paramètres!$A$1:$I$88,3,0)*0.475*44/12</f>
        <v>5.5107113035666604</v>
      </c>
      <c r="AB153" s="23">
        <f>EXP(-LN(2)/2)*AB152+(1-EXP(-LN(2)/2))/(LN(2)/2)*V153*Y153*VLOOKUP('Données projet'!$B$9,Paramètres!$A$1:$I$88,3,0)*0.475*44/12</f>
        <v>0</v>
      </c>
      <c r="AC153" s="24">
        <f t="shared" si="111"/>
        <v>17.922122164049796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418</v>
      </c>
      <c r="AG153" s="13">
        <f>VLOOKUP(A153,'Données projet'!$A$61:$I$81,9,0)</f>
        <v>6.7</v>
      </c>
      <c r="AH153" s="13">
        <f t="array" ref="AH153">INDEX(AG:AG,MIN(IF(ISNUMBER(AG153:AG349),ROW(AG153:AG349),"")))</f>
        <v>6.7</v>
      </c>
      <c r="AI153" s="14">
        <f>IF('Données projet'!$A$62&gt;35,AI152+AH153-AQ152,IF(A153&lt;'Données projet'!$A$62,$AF$205^A153,IF(A153='Données projet'!$A$62,'Données projet'!$B$62,AI152+AH153-AQ152)))</f>
        <v>418.00000000000023</v>
      </c>
      <c r="AJ153" s="14">
        <f>AI153*VLOOKUP('Données projet'!$B$10,Paramètres!$A$1:$I$88,3,0)*VLOOKUP('Données projet'!$B$10,Paramètres!$A$1:$I$88,5,0)</f>
        <v>378.2064000000002</v>
      </c>
      <c r="AK153" s="14">
        <f t="shared" si="143"/>
        <v>87.344044386994014</v>
      </c>
      <c r="AL153" s="22">
        <f t="shared" si="112"/>
        <v>810.83369064068154</v>
      </c>
      <c r="AM153" s="62">
        <f t="shared" si="113"/>
        <v>1097.5267129125418</v>
      </c>
      <c r="AN153" s="62">
        <f ca="1">AVERAGE(OFFSET($AM$3,0,0,'Données projet'!$E$10+1,1))-AVERAGE(OFFSET($H$3,0,0,'Données projet'!$E$10+1,1))</f>
        <v>518.31628039365785</v>
      </c>
      <c r="AO153" s="62">
        <f t="shared" si="144"/>
        <v>66.435071953154761</v>
      </c>
      <c r="AP153" s="16">
        <f>IF(ISNA(VLOOKUP(A153,'Données projet'!$A$61:$I$81,3,0)),0,VLOOKUP(A153,'Données projet'!$A$61:$I$81,3,0))</f>
        <v>17</v>
      </c>
      <c r="AQ153" s="16">
        <f>IF(ISNA(VLOOKUP(A153,'Données projet'!$A$61:$I$81,4,0)),0,VLOOKUP(A153,'Données projet'!$A$61:$I$81,4,0))</f>
        <v>47</v>
      </c>
      <c r="AR153" s="17">
        <f>IF(ISNA(VLOOKUP(A153,'Données projet'!$A$61:$I$81,5,0)),0%,VLOOKUP(A153,'Données projet'!$A$61:$I$81,5,0)*VLOOKUP('Données projet'!$B$10,Paramètres!$A$1:$I$88,7,0))</f>
        <v>0.25800000000000001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48.925080540442536</v>
      </c>
      <c r="AV153" s="23">
        <f>EXP(-LN(2)/25)*AV152+(1-EXP(-LN(2)/25))/(LN(2)/25)*Calculateur!AQ153*Calculateur!AS153*VLOOKUP('Données projet'!$B$10,Paramètres!$A$1:$I$88,3,0)*0.475*44/12</f>
        <v>0</v>
      </c>
      <c r="AW153" s="23">
        <f>EXP(-LN(2)/2)*AW152+(1-EXP(-LN(2)/2))/(LN(2)/2)*AQ153*AT153*VLOOKUP('Données projet'!$B$10,Paramètres!$A$1:$I$88,3,0)*0.475*44/12</f>
        <v>0</v>
      </c>
      <c r="AX153" s="23">
        <f t="shared" si="114"/>
        <v>48.925080540442536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418</v>
      </c>
      <c r="BB153" s="13">
        <f>VLOOKUP(A153,'Données projet'!$A$87:$I$107,9,0)</f>
        <v>6.7</v>
      </c>
      <c r="BC153" s="13">
        <f t="array" ref="BC153">INDEX(BB:BB,MIN(IF(ISNUMBER(BB153:BB349),ROW(BB153:BB349),"")))</f>
        <v>6.7</v>
      </c>
      <c r="BD153" s="13">
        <f>IF('Données projet'!$A$88&gt;35,BD152+BC153-BL152,IF(A153&lt;'Données projet'!$A$88,$BA$205^A153,IF(A153='Données projet'!$A$88,'Données projet'!$B$88,BD152+BC153-BL152)))</f>
        <v>418.00000000000023</v>
      </c>
      <c r="BE153" s="14">
        <f>BD153*VLOOKUP('Données projet'!$B$11,Paramètres!$A$1:$I$88,3,0)*VLOOKUP('Données projet'!$B$11,Paramètres!$A$1:$I$88,5,0)</f>
        <v>423.85200000000026</v>
      </c>
      <c r="BF153" s="14">
        <f t="shared" si="145"/>
        <v>96.595871362472664</v>
      </c>
      <c r="BG153" s="22">
        <f t="shared" si="115"/>
        <v>906.44670928964024</v>
      </c>
      <c r="BH153" s="62">
        <f t="shared" si="116"/>
        <v>1193.1397315615006</v>
      </c>
      <c r="BI153" s="62">
        <f ca="1">AVERAGE(OFFSET($BH$3,0,0,'Données projet'!$E$11+1,1))-AVERAGE(OFFSET($H$3,0,0,'Données projet'!$E$11+1,1))</f>
        <v>570.2785736203931</v>
      </c>
      <c r="BJ153" s="62">
        <f t="shared" si="146"/>
        <v>67.677759965081719</v>
      </c>
      <c r="BK153" s="16">
        <f>IF(ISNA(VLOOKUP(A153,'Données projet'!$A$87:$I$107,3,0)),0,VLOOKUP(A153,'Données projet'!$A$87:$I$107,3,0))</f>
        <v>17</v>
      </c>
      <c r="BL153" s="16">
        <f>IF(ISNA(VLOOKUP(A153,'Données projet'!$A$87:$I$107,4,0)),0,VLOOKUP(A153,'Données projet'!$A$87:$I$107,4,0))</f>
        <v>47</v>
      </c>
      <c r="BM153" s="17">
        <f>IF(ISNA(VLOOKUP(A153,'Données projet'!$A$87:$I$107,5,0)),0%,VLOOKUP(A153,'Données projet'!$A$87:$I$107,5,0)*VLOOKUP('Données projet'!$B$11,Paramètres!$A$1:$I$88,7,0))</f>
        <v>0.25800000000000001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54.82983164015112</v>
      </c>
      <c r="BQ153" s="23">
        <f>EXP(-LN(2)/25)*BQ152+(1-EXP(-LN(2)/25))/(LN(2)/25)*Calculateur!BL153*Calculateur!BN153*VLOOKUP('Données projet'!$B$11,Paramètres!$A$1:$I$88,3,0)*0.475*44/12</f>
        <v>0</v>
      </c>
      <c r="BR153" s="23">
        <f>EXP(-LN(2)/2)*BR152+(1-EXP(-LN(2)/2))/(LN(2)/2)*BL153*BO153*VLOOKUP('Données projet'!$B$11,Paramètres!$A$1:$I$88,3,0)*0.475*44/12</f>
        <v>0</v>
      </c>
      <c r="BS153" s="24">
        <f t="shared" si="117"/>
        <v>54.82983164015112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544.19999999999982</v>
      </c>
      <c r="BZ153" s="14">
        <f>BY153*VLOOKUP('Données projet'!$B$12,Paramètres!$A$1:$I$88,3,0)*VLOOKUP('Données projet'!$B$12,Paramètres!$A$1:$I$88,5,0)</f>
        <v>325.43159999999995</v>
      </c>
      <c r="CA153" s="14">
        <f t="shared" si="147"/>
        <v>76.482394221016762</v>
      </c>
      <c r="CB153" s="22">
        <f t="shared" si="118"/>
        <v>700.00020660160408</v>
      </c>
      <c r="CC153" s="62">
        <f t="shared" si="119"/>
        <v>986.69322887346448</v>
      </c>
      <c r="CD153" s="62">
        <f ca="1">AVERAGE(OFFSET($CC$3,0,0,'Données projet'!$E$12+1,1))-AVERAGE(OFFSET($H$3,0,0,'Données projet'!$E$12+1,1))</f>
        <v>401.1031790385295</v>
      </c>
      <c r="CE153" s="62">
        <f t="shared" si="148"/>
        <v>402.09589424130615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projet'!$B$12,Paramètres!$A$1:$I$88,3,0)*0.475*44/12</f>
        <v>3.4897152684578434</v>
      </c>
      <c r="CL153" s="23">
        <f>EXP(-LN(2)/25)*CL152+(1-EXP(-LN(2)/25))/(LN(2)/25)*Calculateur!CG153*Calculateur!CI153*VLOOKUP('Données projet'!$B$12,Paramètres!$A$1:$I$88,3,0)*0.475*44/12</f>
        <v>0</v>
      </c>
      <c r="CM153" s="23">
        <f>EXP(-LN(2)/2)*CM152+(1-EXP(-LN(2)/2))/(LN(2)/2)*CG153*CJ153*VLOOKUP('Données projet'!$B$12,Paramètres!$A$1:$I$88,3,0)*0.475*44/12</f>
        <v>1.1798911801990871E-13</v>
      </c>
      <c r="CN153" s="24">
        <f t="shared" si="120"/>
        <v>3.4897152684579615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544.19999999999982</v>
      </c>
      <c r="CU153" s="18">
        <f>CT153*VLOOKUP('Données projet'!$B$13,Paramètres!$A$1:$I$88,3,0)*VLOOKUP('Données projet'!$B$13,Paramètres!$A$1:$I$88,5,0)</f>
        <v>325.43159999999995</v>
      </c>
      <c r="CV153" s="14">
        <f t="shared" si="149"/>
        <v>76.482394221016762</v>
      </c>
      <c r="CW153" s="22">
        <f t="shared" si="121"/>
        <v>700.00020660160408</v>
      </c>
      <c r="CX153" s="62">
        <f t="shared" si="122"/>
        <v>986.69322887346448</v>
      </c>
      <c r="CY153" s="62">
        <f ca="1">AVERAGE(OFFSET($CX$3,0,0,'Données projet'!$E$13+1,1))-AVERAGE(OFFSET($H$3,0,0,'Données projet'!$E$13+1,1))</f>
        <v>401.1031790385295</v>
      </c>
      <c r="CZ153" s="62">
        <f t="shared" si="150"/>
        <v>402.09589424130615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projet'!$B$13,Paramètres!$A$1:$I$88,3,0)*0.475*44/12</f>
        <v>3.4897152684578434</v>
      </c>
      <c r="DG153" s="23">
        <f>EXP(-LN(2)/25)*DG152+(1-EXP(-LN(2)/25))/(LN(2)/25)*Calculateur!DB153*Calculateur!DD153*VLOOKUP('Données projet'!$B$13,Paramètres!$A$1:$I$88,3,0)*0.475*44/12</f>
        <v>0</v>
      </c>
      <c r="DH153" s="23">
        <f>EXP(-LN(2)/2)*DH152+(1-EXP(-LN(2)/2))/(LN(2)/2)*DB153*DE153*VLOOKUP('Données projet'!$B$13,Paramètres!$A$1:$I$88,3,0)*0.475*44/12</f>
        <v>1.1798911801990871E-13</v>
      </c>
      <c r="DI153" s="24">
        <f t="shared" si="123"/>
        <v>3.4897152684579615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860.00000000000023</v>
      </c>
      <c r="DP153" s="18">
        <f>DO153*VLOOKUP('Données projet'!$B$14,Paramètres!$A$1:$I$88,3,0)*VLOOKUP('Données projet'!$B$14,Paramètres!$A$1:$I$88,5,0)</f>
        <v>346.5800000000001</v>
      </c>
      <c r="DQ153" s="14">
        <f t="shared" si="151"/>
        <v>80.857895771535127</v>
      </c>
      <c r="DR153" s="22">
        <f t="shared" si="124"/>
        <v>744.45433513542378</v>
      </c>
      <c r="DS153" s="62">
        <f t="shared" si="125"/>
        <v>1031.1473574072841</v>
      </c>
      <c r="DT153" s="62">
        <f ca="1">AVERAGE(OFFSET($DS$3,0,0,'Données projet'!$E$14+1,1))-AVERAGE(OFFSET($H$3,0,0,'Données projet'!$E$14+1,1))</f>
        <v>432.59662347701629</v>
      </c>
      <c r="DU153" s="62">
        <f t="shared" si="152"/>
        <v>348.67401091099748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projet'!$B$14,Paramètres!$A$1:$I$88,3,0)*0.475*44/12</f>
        <v>15.719988245593409</v>
      </c>
      <c r="EB153" s="23">
        <f>EXP(-LN(2)/25)*EB152+(1-EXP(-LN(2)/25))/(LN(2)/25)*Calculateur!DW153*Calculateur!DY153*VLOOKUP('Données projet'!$B$14,Paramètres!$A$1:$I$88,3,0)*0.475*44/12</f>
        <v>9.9838175621484702</v>
      </c>
      <c r="EC153" s="23">
        <f>EXP(-LN(2)/2)*EC152+(1-EXP(-LN(2)/2))/(LN(2)/2)*DW153*DZ153*VLOOKUP('Données projet'!$B$14,Paramètres!$A$1:$I$88,3,0)*0.475*44/12</f>
        <v>0</v>
      </c>
      <c r="ED153" s="24">
        <f t="shared" si="126"/>
        <v>25.70380580774188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1099.9999999999998</v>
      </c>
      <c r="EK153" s="18">
        <f>EJ153*VLOOKUP('Données projet'!$B$15,Paramètres!$A$1:$I$88,3,0)*VLOOKUP('Données projet'!$B$15,Paramètres!$A$1:$I$88,5,0)</f>
        <v>486.19999999999993</v>
      </c>
      <c r="EL153" s="14">
        <f t="shared" si="153"/>
        <v>109.0490179035375</v>
      </c>
      <c r="EM153" s="22">
        <f t="shared" si="127"/>
        <v>1036.725372848661</v>
      </c>
      <c r="EN153" s="62">
        <f t="shared" si="128"/>
        <v>1323.4183951205214</v>
      </c>
      <c r="EO153" s="62">
        <f ca="1">AVERAGE(OFFSET($EN$3,0,0,'Données projet'!$E$15+1,1))-AVERAGE(OFFSET($H$3,0,0,'Données projet'!$E$15+1,1))</f>
        <v>582.26951914082088</v>
      </c>
      <c r="EP153" s="62">
        <f t="shared" si="154"/>
        <v>434.80429932654715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projet'!$B$15,Paramètres!$A$1:$I$88,3,0)*0.475*44/12</f>
        <v>15.8400670245389</v>
      </c>
      <c r="EW153" s="23">
        <f>EXP(-LN(2)/25)*EW152+(1-EXP(-LN(2)/25))/(LN(2)/25)*Calculateur!ER153*Calculateur!ET153*VLOOKUP('Données projet'!$B$15,Paramètres!$A$1:$I$88,3,0)*0.475*44/12</f>
        <v>8.9712372058114109</v>
      </c>
      <c r="EX153" s="23">
        <f>EXP(-LN(2)/2)*EX152+(1-EXP(-LN(2)/2))/(LN(2)/2)*ER153*EU153*VLOOKUP('Données projet'!$B$15,Paramètres!$A$1:$I$88,3,0)*0.475*44/12</f>
        <v>0</v>
      </c>
      <c r="EY153" s="24">
        <f t="shared" si="129"/>
        <v>24.811304230350309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854.99999999999989</v>
      </c>
      <c r="FF153" s="18">
        <f>FE153*VLOOKUP('Données projet'!$B$16,Paramètres!$A$1:$I$88,3,0)*VLOOKUP('Données projet'!$B$16,Paramètres!$A$1:$I$88,5,0)</f>
        <v>400.13999999999993</v>
      </c>
      <c r="FG153" s="14">
        <f t="shared" si="155"/>
        <v>91.805047494648534</v>
      </c>
      <c r="FH153" s="22">
        <f t="shared" si="130"/>
        <v>856.80429105317944</v>
      </c>
      <c r="FI153" s="62">
        <f t="shared" si="131"/>
        <v>1143.4973133250398</v>
      </c>
      <c r="FJ153" s="62">
        <f ca="1">AVERAGE(OFFSET($FI$3,0,0,'Données projet'!$E$16+1,1))-AVERAGE(OFFSET($H$3,0,0,'Données projet'!$E$16+1,1))</f>
        <v>429.87867712133851</v>
      </c>
      <c r="FK153" s="62">
        <f t="shared" si="156"/>
        <v>182.81277865988014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projet'!$B$16,Paramètres!$A$1:$I$88,3,0)*0.475*44/12</f>
        <v>18.891175455891279</v>
      </c>
      <c r="FR153" s="23">
        <f>EXP(-LN(2)/25)*FR152+(1-EXP(-LN(2)/25))/(LN(2)/25)*Calculateur!FM153*Calculateur!FO153*VLOOKUP('Données projet'!$B$16,Paramètres!$A$1:$I$88,3,0)*0.475*44/12</f>
        <v>11.372579056580301</v>
      </c>
      <c r="FS153" s="23">
        <f>EXP(-LN(2)/2)*FS152+(1-EXP(-LN(2)/2))/(LN(2)/2)*FM153*FP153*VLOOKUP('Données projet'!$B$16,Paramètres!$A$1:$I$88,3,0)*0.475*44/12</f>
        <v>0</v>
      </c>
      <c r="FT153" s="24">
        <f t="shared" si="132"/>
        <v>30.263754512471579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498.99999999999955</v>
      </c>
      <c r="GA153" s="18">
        <f>FZ153*VLOOKUP('Données projet'!$B$17,Paramètres!$A$1:$I$88,3,0)*VLOOKUP('Données projet'!$B$17,Paramètres!$A$1:$I$88,5,0)</f>
        <v>240.01899999999978</v>
      </c>
      <c r="GB153" s="14">
        <f t="shared" si="157"/>
        <v>58.443618405936313</v>
      </c>
      <c r="GC153" s="22">
        <f t="shared" si="133"/>
        <v>519.82239372367201</v>
      </c>
      <c r="GD153" s="62">
        <f t="shared" si="134"/>
        <v>806.51541599553229</v>
      </c>
      <c r="GE153" s="62">
        <f ca="1">AVERAGE(OFFSET($GD$3,0,0,'Données projet'!$E$17+1,1))-AVERAGE(OFFSET($H$3,0,0,'Données projet'!$E$17+1,1))</f>
        <v>273.24375559399846</v>
      </c>
      <c r="GF153" s="62">
        <f t="shared" si="158"/>
        <v>270.77718895097848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projet'!$B$17,Paramètres!$A$1:$I$88,3,0)*0.475*44/12</f>
        <v>8.0888062000931971</v>
      </c>
      <c r="GM153" s="23">
        <f>EXP(-LN(2)/25)*GM152+(1-EXP(-LN(2)/25))/(LN(2)/25)*Calculateur!GH153*Calculateur!GJ153*VLOOKUP('Données projet'!$B$17,Paramètres!$A$1:$I$88,3,0)*0.475*44/12</f>
        <v>4.3755715096680987</v>
      </c>
      <c r="GN153" s="23">
        <f>EXP(-LN(2)/2)*GN152+(1-EXP(-LN(2)/2))/(LN(2)/2)*GH153*GK153*VLOOKUP('Données projet'!$B$17,Paramètres!$A$1:$I$88,3,0)*0.475*44/12</f>
        <v>0</v>
      </c>
      <c r="GO153" s="23">
        <f t="shared" si="135"/>
        <v>12.464377709761296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550.99999999999966</v>
      </c>
      <c r="O154" s="14">
        <f>N154*VLOOKUP('Données projet'!$B$9,Paramètres!$A$1:$I$88,3,0)*VLOOKUP('Données projet'!$B$9,Paramètres!$A$1:$I$88,5,0)</f>
        <v>308.00899999999979</v>
      </c>
      <c r="P154" s="14">
        <f t="shared" si="141"/>
        <v>72.852874331417695</v>
      </c>
      <c r="Q154" s="22">
        <f t="shared" ref="Q154:Q203" si="162">(O154+P154)*0.475*44/12</f>
        <v>663.33443112721886</v>
      </c>
      <c r="R154" s="62">
        <f t="shared" si="109"/>
        <v>950.14264795048416</v>
      </c>
      <c r="S154" s="62">
        <f ca="1">AVERAGE(OFFSET($R$3,0,0,'Données projet'!$E$9+1,1))-AVERAGE(OFFSET($H$3,0,0,'Données projet'!$E$9+1,1))</f>
        <v>289.94242154211224</v>
      </c>
      <c r="T154" s="62">
        <f t="shared" si="142"/>
        <v>369.12599166143661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12.168030663722192</v>
      </c>
      <c r="AA154" s="23">
        <f>EXP(-LN(2)/25)*AA153+(1-EXP(-LN(2)/25))/(LN(2)/25)*Calculateur!V154*Calculateur!X154*VLOOKUP('Données projet'!$B$9,Paramètres!$A$1:$I$88,3,0)*0.475*44/12</f>
        <v>5.3600206131749175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17.528051276897109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6.8</v>
      </c>
      <c r="AI154" s="14">
        <f>IF('Données projet'!$A$62&gt;35,AI153+AH154-AQ153,IF(A154&lt;'Données projet'!$A$62,$AF$205^A154,IF(A154='Données projet'!$A$62,'Données projet'!$B$62,AI153+AH154-AQ153)))</f>
        <v>377.80000000000024</v>
      </c>
      <c r="AJ154" s="14">
        <f>AI154*VLOOKUP('Données projet'!$B$10,Paramètres!$A$1:$I$88,3,0)*VLOOKUP('Données projet'!$B$10,Paramètres!$A$1:$I$88,5,0)</f>
        <v>341.83344000000022</v>
      </c>
      <c r="AK154" s="14">
        <f t="shared" ref="AK154:AK203" si="164">EXP(-1.0587+0.8836*LN(AJ154)+0.284)</f>
        <v>79.878628088461682</v>
      </c>
      <c r="AL154" s="22">
        <f t="shared" ref="AL154:AL203" si="165">(AJ154+AK154)*0.475*44/12</f>
        <v>734.48185192073788</v>
      </c>
      <c r="AM154" s="62">
        <f t="shared" si="113"/>
        <v>1021.2900687440033</v>
      </c>
      <c r="AN154" s="62">
        <f ca="1">AVERAGE(OFFSET($AM$3,0,0,'Données projet'!$E$10+1,1))-AVERAGE(OFFSET($H$3,0,0,'Données projet'!$E$10+1,1))</f>
        <v>518.31628039365785</v>
      </c>
      <c r="AO154" s="62">
        <f t="shared" si="144"/>
        <v>66.435071953154761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47.965689552397002</v>
      </c>
      <c r="AV154" s="23">
        <f>EXP(-LN(2)/25)*AV153+(1-EXP(-LN(2)/25))/(LN(2)/25)*Calculateur!AQ154*Calculateur!AS154*VLOOKUP('Données projet'!$B$10,Paramètres!$A$1:$I$88,3,0)*0.475*44/12</f>
        <v>0</v>
      </c>
      <c r="AW154" s="23">
        <f>EXP(-LN(2)/2)*AW153+(1-EXP(-LN(2)/2))/(LN(2)/2)*AQ154*AT154*VLOOKUP('Données projet'!$B$10,Paramètres!$A$1:$I$88,3,0)*0.475*44/12</f>
        <v>0</v>
      </c>
      <c r="AX154" s="23">
        <f t="shared" ref="AX154:AX203" si="166">SUM(AU154:AW154)</f>
        <v>47.965689552397002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6.8</v>
      </c>
      <c r="BD154" s="13">
        <f>IF('Données projet'!$A$88&gt;35,BD153+BC154-BL153,IF(A154&lt;'Données projet'!$A$88,$BA$205^A154,IF(A154='Données projet'!$A$88,'Données projet'!$B$88,BD153+BC154-BL153)))</f>
        <v>377.80000000000024</v>
      </c>
      <c r="BE154" s="14">
        <f>BD154*VLOOKUP('Données projet'!$B$11,Paramètres!$A$1:$I$88,3,0)*VLOOKUP('Données projet'!$B$11,Paramètres!$A$1:$I$88,5,0)</f>
        <v>383.08920000000029</v>
      </c>
      <c r="BF154" s="14">
        <f t="shared" ref="BF154:BF203" si="167">EXP(-1.0587+0.8836*LN(BE154)+0.284)</f>
        <v>88.339688614107573</v>
      </c>
      <c r="BG154" s="22">
        <f t="shared" ref="BG154:BG203" si="168">(BE154+BF154)*0.475*44/12</f>
        <v>821.07198100290452</v>
      </c>
      <c r="BH154" s="62">
        <f t="shared" si="116"/>
        <v>1107.8801978261699</v>
      </c>
      <c r="BI154" s="62">
        <f ca="1">AVERAGE(OFFSET($BH$3,0,0,'Données projet'!$E$11+1,1))-AVERAGE(OFFSET($H$3,0,0,'Données projet'!$E$11+1,1))</f>
        <v>570.2785736203931</v>
      </c>
      <c r="BJ154" s="62">
        <f t="shared" si="146"/>
        <v>67.677759965081719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53.754652084582844</v>
      </c>
      <c r="BQ154" s="23">
        <f>EXP(-LN(2)/25)*BQ153+(1-EXP(-LN(2)/25))/(LN(2)/25)*Calculateur!BL154*Calculateur!BN154*VLOOKUP('Données projet'!$B$11,Paramètres!$A$1:$I$88,3,0)*0.475*44/12</f>
        <v>0</v>
      </c>
      <c r="BR154" s="23">
        <f>EXP(-LN(2)/2)*BR153+(1-EXP(-LN(2)/2))/(LN(2)/2)*BL154*BO154*VLOOKUP('Données projet'!$B$11,Paramètres!$A$1:$I$88,3,0)*0.475*44/12</f>
        <v>0</v>
      </c>
      <c r="BS154" s="24">
        <f t="shared" ref="BS154:BS203" si="169">SUM(BP154:BR154)</f>
        <v>53.754652084582844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544.19999999999982</v>
      </c>
      <c r="BZ154" s="14">
        <f>BY154*VLOOKUP('Données projet'!$B$12,Paramètres!$A$1:$I$88,3,0)*VLOOKUP('Données projet'!$B$12,Paramètres!$A$1:$I$88,5,0)</f>
        <v>325.43159999999995</v>
      </c>
      <c r="CA154" s="14">
        <f t="shared" ref="CA154:CA203" si="170">EXP(-1.0587+0.8836*LN(BZ154)+0.284)</f>
        <v>76.482394221016762</v>
      </c>
      <c r="CB154" s="22">
        <f t="shared" ref="CB154:CB203" si="171">(BZ154+CA154)*0.475*44/12</f>
        <v>700.00020660160408</v>
      </c>
      <c r="CC154" s="62">
        <f t="shared" si="119"/>
        <v>986.80842342486949</v>
      </c>
      <c r="CD154" s="62">
        <f ca="1">AVERAGE(OFFSET($CC$3,0,0,'Données projet'!$E$12+1,1))-AVERAGE(OFFSET($H$3,0,0,'Données projet'!$E$12+1,1))</f>
        <v>401.1031790385295</v>
      </c>
      <c r="CE154" s="62">
        <f t="shared" si="148"/>
        <v>402.09589424130615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projet'!$B$12,Paramètres!$A$1:$I$88,3,0)*0.475*44/12</f>
        <v>3.4212840805595253</v>
      </c>
      <c r="CL154" s="23">
        <f>EXP(-LN(2)/25)*CL153+(1-EXP(-LN(2)/25))/(LN(2)/25)*Calculateur!CG154*Calculateur!CI154*VLOOKUP('Données projet'!$B$12,Paramètres!$A$1:$I$88,3,0)*0.475*44/12</f>
        <v>0</v>
      </c>
      <c r="CM154" s="23">
        <f>EXP(-LN(2)/2)*CM153+(1-EXP(-LN(2)/2))/(LN(2)/2)*CG154*CJ154*VLOOKUP('Données projet'!$B$12,Paramètres!$A$1:$I$88,3,0)*0.475*44/12</f>
        <v>8.343090545809732E-14</v>
      </c>
      <c r="CN154" s="24">
        <f t="shared" ref="CN154:CN203" si="172">SUM(CK154:CM154)</f>
        <v>3.4212840805596088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544.19999999999982</v>
      </c>
      <c r="CU154" s="18">
        <f>CT154*VLOOKUP('Données projet'!$B$13,Paramètres!$A$1:$I$88,3,0)*VLOOKUP('Données projet'!$B$13,Paramètres!$A$1:$I$88,5,0)</f>
        <v>325.43159999999995</v>
      </c>
      <c r="CV154" s="14">
        <f t="shared" ref="CV154:CV203" si="173">EXP(-1.0587+0.8836*LN(CU154)+0.284)</f>
        <v>76.482394221016762</v>
      </c>
      <c r="CW154" s="22">
        <f t="shared" ref="CW154:CW203" si="174">(CU154+CV154)*0.475*44/12</f>
        <v>700.00020660160408</v>
      </c>
      <c r="CX154" s="62">
        <f t="shared" si="122"/>
        <v>986.80842342486949</v>
      </c>
      <c r="CY154" s="62">
        <f ca="1">AVERAGE(OFFSET($CX$3,0,0,'Données projet'!$E$13+1,1))-AVERAGE(OFFSET($H$3,0,0,'Données projet'!$E$13+1,1))</f>
        <v>401.1031790385295</v>
      </c>
      <c r="CZ154" s="62">
        <f t="shared" si="150"/>
        <v>402.09589424130615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projet'!$B$13,Paramètres!$A$1:$I$88,3,0)*0.475*44/12</f>
        <v>3.4212840805595253</v>
      </c>
      <c r="DG154" s="23">
        <f>EXP(-LN(2)/25)*DG153+(1-EXP(-LN(2)/25))/(LN(2)/25)*Calculateur!DB154*Calculateur!DD154*VLOOKUP('Données projet'!$B$13,Paramètres!$A$1:$I$88,3,0)*0.475*44/12</f>
        <v>0</v>
      </c>
      <c r="DH154" s="23">
        <f>EXP(-LN(2)/2)*DH153+(1-EXP(-LN(2)/2))/(LN(2)/2)*DB154*DE154*VLOOKUP('Données projet'!$B$13,Paramètres!$A$1:$I$88,3,0)*0.475*44/12</f>
        <v>8.343090545809732E-14</v>
      </c>
      <c r="DI154" s="24">
        <f t="shared" ref="DI154:DI203" si="175">SUM(DF154:DH154)</f>
        <v>3.4212840805596088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860.00000000000023</v>
      </c>
      <c r="DP154" s="18">
        <f>DO154*VLOOKUP('Données projet'!$B$14,Paramètres!$A$1:$I$88,3,0)*VLOOKUP('Données projet'!$B$14,Paramètres!$A$1:$I$88,5,0)</f>
        <v>346.5800000000001</v>
      </c>
      <c r="DQ154" s="14">
        <f t="shared" ref="DQ154:DQ203" si="176">EXP(-1.0587+0.8836*LN(DP154)+0.284)</f>
        <v>80.857895771535127</v>
      </c>
      <c r="DR154" s="22">
        <f t="shared" ref="DR154:DR203" si="177">(DP154+DQ154)*0.475*44/12</f>
        <v>744.45433513542378</v>
      </c>
      <c r="DS154" s="62">
        <f t="shared" si="125"/>
        <v>1031.2625519586891</v>
      </c>
      <c r="DT154" s="62">
        <f ca="1">AVERAGE(OFFSET($DS$3,0,0,'Données projet'!$E$14+1,1))-AVERAGE(OFFSET($H$3,0,0,'Données projet'!$E$14+1,1))</f>
        <v>432.59662347701629</v>
      </c>
      <c r="DU154" s="62">
        <f t="shared" si="152"/>
        <v>348.67401091099748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projet'!$B$14,Paramètres!$A$1:$I$88,3,0)*0.475*44/12</f>
        <v>15.411728864343392</v>
      </c>
      <c r="EB154" s="23">
        <f>EXP(-LN(2)/25)*EB153+(1-EXP(-LN(2)/25))/(LN(2)/25)*Calculateur!DW154*Calculateur!DY154*VLOOKUP('Données projet'!$B$14,Paramètres!$A$1:$I$88,3,0)*0.475*44/12</f>
        <v>9.7108095458853736</v>
      </c>
      <c r="EC154" s="23">
        <f>EXP(-LN(2)/2)*EC153+(1-EXP(-LN(2)/2))/(LN(2)/2)*DW154*DZ154*VLOOKUP('Données projet'!$B$14,Paramètres!$A$1:$I$88,3,0)*0.475*44/12</f>
        <v>0</v>
      </c>
      <c r="ED154" s="24">
        <f t="shared" ref="ED154:ED203" si="178">SUM(EA154:EC154)</f>
        <v>25.122538410228763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1099.9999999999998</v>
      </c>
      <c r="EK154" s="18">
        <f>EJ154*VLOOKUP('Données projet'!$B$15,Paramètres!$A$1:$I$88,3,0)*VLOOKUP('Données projet'!$B$15,Paramètres!$A$1:$I$88,5,0)</f>
        <v>486.19999999999993</v>
      </c>
      <c r="EL154" s="14">
        <f t="shared" ref="EL154:EL203" si="179">EXP(-1.0587+0.8836*LN(EK154)+0.284)</f>
        <v>109.0490179035375</v>
      </c>
      <c r="EM154" s="22">
        <f t="shared" ref="EM154:EM203" si="180">(EK154+EL154)*0.475*44/12</f>
        <v>1036.725372848661</v>
      </c>
      <c r="EN154" s="62">
        <f t="shared" si="128"/>
        <v>1323.5335896719264</v>
      </c>
      <c r="EO154" s="62">
        <f ca="1">AVERAGE(OFFSET($EN$3,0,0,'Données projet'!$E$15+1,1))-AVERAGE(OFFSET($H$3,0,0,'Données projet'!$E$15+1,1))</f>
        <v>582.26951914082088</v>
      </c>
      <c r="EP154" s="62">
        <f t="shared" si="154"/>
        <v>434.80429932654715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projet'!$B$15,Paramètres!$A$1:$I$88,3,0)*0.475*44/12</f>
        <v>15.529452971674585</v>
      </c>
      <c r="EW154" s="23">
        <f>EXP(-LN(2)/25)*EW153+(1-EXP(-LN(2)/25))/(LN(2)/25)*Calculateur!ER154*Calculateur!ET154*VLOOKUP('Données projet'!$B$15,Paramètres!$A$1:$I$88,3,0)*0.475*44/12</f>
        <v>8.7259182526416375</v>
      </c>
      <c r="EX154" s="23">
        <f>EXP(-LN(2)/2)*EX153+(1-EXP(-LN(2)/2))/(LN(2)/2)*ER154*EU154*VLOOKUP('Données projet'!$B$15,Paramètres!$A$1:$I$88,3,0)*0.475*44/12</f>
        <v>0</v>
      </c>
      <c r="EY154" s="24">
        <f t="shared" ref="EY154:EY203" si="181">SUM(EV154:EX154)</f>
        <v>24.255371224316221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854.99999999999989</v>
      </c>
      <c r="FF154" s="18">
        <f>FE154*VLOOKUP('Données projet'!$B$16,Paramètres!$A$1:$I$88,3,0)*VLOOKUP('Données projet'!$B$16,Paramètres!$A$1:$I$88,5,0)</f>
        <v>400.13999999999993</v>
      </c>
      <c r="FG154" s="14">
        <f t="shared" ref="FG154:FG203" si="182">EXP(-1.0587+0.8836*LN(FF154)+0.284)</f>
        <v>91.805047494648534</v>
      </c>
      <c r="FH154" s="22">
        <f t="shared" ref="FH154:FH203" si="183">(FF154+FG154)*0.475*44/12</f>
        <v>856.80429105317944</v>
      </c>
      <c r="FI154" s="62">
        <f t="shared" si="131"/>
        <v>1143.6125078764449</v>
      </c>
      <c r="FJ154" s="62">
        <f ca="1">AVERAGE(OFFSET($FI$3,0,0,'Données projet'!$E$16+1,1))-AVERAGE(OFFSET($H$3,0,0,'Données projet'!$E$16+1,1))</f>
        <v>429.87867712133851</v>
      </c>
      <c r="FK154" s="62">
        <f t="shared" si="156"/>
        <v>182.81277865988014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projet'!$B$16,Paramètres!$A$1:$I$88,3,0)*0.475*44/12</f>
        <v>18.520731027680529</v>
      </c>
      <c r="FR154" s="23">
        <f>EXP(-LN(2)/25)*FR153+(1-EXP(-LN(2)/25))/(LN(2)/25)*Calculateur!FM154*Calculateur!FO154*VLOOKUP('Données projet'!$B$16,Paramètres!$A$1:$I$88,3,0)*0.475*44/12</f>
        <v>11.061595284220173</v>
      </c>
      <c r="FS154" s="23">
        <f>EXP(-LN(2)/2)*FS153+(1-EXP(-LN(2)/2))/(LN(2)/2)*FM154*FP154*VLOOKUP('Données projet'!$B$16,Paramètres!$A$1:$I$88,3,0)*0.475*44/12</f>
        <v>0</v>
      </c>
      <c r="FT154" s="24">
        <f t="shared" ref="FT154:FT203" si="184">SUM(FQ154:FS154)</f>
        <v>29.582326311900701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498.99999999999955</v>
      </c>
      <c r="GA154" s="18">
        <f>FZ154*VLOOKUP('Données projet'!$B$17,Paramètres!$A$1:$I$88,3,0)*VLOOKUP('Données projet'!$B$17,Paramètres!$A$1:$I$88,5,0)</f>
        <v>240.01899999999978</v>
      </c>
      <c r="GB154" s="14">
        <f t="shared" ref="GB154:GB203" si="185">EXP(-1.0587+0.8836*LN(GA154)+0.284)</f>
        <v>58.443618405936313</v>
      </c>
      <c r="GC154" s="22">
        <f t="shared" ref="GC154:GC203" si="186">(GA154+GB154)*0.475*44/12</f>
        <v>519.82239372367201</v>
      </c>
      <c r="GD154" s="62">
        <f t="shared" si="134"/>
        <v>806.63061054693731</v>
      </c>
      <c r="GE154" s="62">
        <f ca="1">AVERAGE(OFFSET($GD$3,0,0,'Données projet'!$E$17+1,1))-AVERAGE(OFFSET($H$3,0,0,'Données projet'!$E$17+1,1))</f>
        <v>273.24375559399846</v>
      </c>
      <c r="GF154" s="62">
        <f t="shared" si="158"/>
        <v>270.77718895097848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projet'!$B$17,Paramètres!$A$1:$I$88,3,0)*0.475*44/12</f>
        <v>7.930189644193991</v>
      </c>
      <c r="GM154" s="23">
        <f>EXP(-LN(2)/25)*GM153+(1-EXP(-LN(2)/25))/(LN(2)/25)*Calculateur!GH154*Calculateur!GJ154*VLOOKUP('Données projet'!$B$17,Paramètres!$A$1:$I$88,3,0)*0.475*44/12</f>
        <v>4.2559212766349193</v>
      </c>
      <c r="GN154" s="23">
        <f>EXP(-LN(2)/2)*GN153+(1-EXP(-LN(2)/2))/(LN(2)/2)*GH154*GK154*VLOOKUP('Données projet'!$B$17,Paramètres!$A$1:$I$88,3,0)*0.475*44/12</f>
        <v>0</v>
      </c>
      <c r="GO154" s="23">
        <f t="shared" ref="GO154:GO203" si="187">SUM(GL154:GN154)</f>
        <v>12.186110920828909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550.99999999999966</v>
      </c>
      <c r="O155" s="14">
        <f>N155*VLOOKUP('Données projet'!$B$9,Paramètres!$A$1:$I$88,3,0)*VLOOKUP('Données projet'!$B$9,Paramètres!$A$1:$I$88,5,0)</f>
        <v>308.00899999999979</v>
      </c>
      <c r="P155" s="14">
        <f t="shared" si="141"/>
        <v>72.852874331417695</v>
      </c>
      <c r="Q155" s="22">
        <f t="shared" si="162"/>
        <v>663.33443112721886</v>
      </c>
      <c r="R155" s="62">
        <f t="shared" si="109"/>
        <v>950.25584413395882</v>
      </c>
      <c r="S155" s="62">
        <f ca="1">AVERAGE(OFFSET($R$3,0,0,'Données projet'!$E$9+1,1))-AVERAGE(OFFSET($H$3,0,0,'Données projet'!$E$9+1,1))</f>
        <v>289.94242154211224</v>
      </c>
      <c r="T155" s="62">
        <f t="shared" si="142"/>
        <v>369.12599166143661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11.929423004172467</v>
      </c>
      <c r="AA155" s="23">
        <f>EXP(-LN(2)/25)*AA154+(1-EXP(-LN(2)/25))/(LN(2)/25)*Calculateur!V155*Calculateur!X155*VLOOKUP('Données projet'!$B$9,Paramètres!$A$1:$I$88,3,0)*0.475*44/12</f>
        <v>5.213450567636416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17.142873571808884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6.8</v>
      </c>
      <c r="AI155" s="14">
        <f>IF('Données projet'!$A$62&gt;35,AI154+AH155-AQ154,IF(A155&lt;'Données projet'!$A$62,$AF$205^A155,IF(A155='Données projet'!$A$62,'Données projet'!$B$62,AI154+AH155-AQ154)))</f>
        <v>384.60000000000025</v>
      </c>
      <c r="AJ155" s="14">
        <f>AI155*VLOOKUP('Données projet'!$B$10,Paramètres!$A$1:$I$88,3,0)*VLOOKUP('Données projet'!$B$10,Paramètres!$A$1:$I$88,5,0)</f>
        <v>347.98608000000019</v>
      </c>
      <c r="AK155" s="14">
        <f t="shared" si="164"/>
        <v>81.147685023249053</v>
      </c>
      <c r="AL155" s="22">
        <f t="shared" si="165"/>
        <v>747.40797408215906</v>
      </c>
      <c r="AM155" s="62">
        <f t="shared" si="113"/>
        <v>1034.329387088899</v>
      </c>
      <c r="AN155" s="62">
        <f ca="1">AVERAGE(OFFSET($AM$3,0,0,'Données projet'!$E$10+1,1))-AVERAGE(OFFSET($H$3,0,0,'Données projet'!$E$10+1,1))</f>
        <v>518.31628039365785</v>
      </c>
      <c r="AO155" s="62">
        <f t="shared" si="144"/>
        <v>66.435071953154761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47.025111636456316</v>
      </c>
      <c r="AV155" s="23">
        <f>EXP(-LN(2)/25)*AV154+(1-EXP(-LN(2)/25))/(LN(2)/25)*Calculateur!AQ155*Calculateur!AS155*VLOOKUP('Données projet'!$B$10,Paramètres!$A$1:$I$88,3,0)*0.475*44/12</f>
        <v>0</v>
      </c>
      <c r="AW155" s="23">
        <f>EXP(-LN(2)/2)*AW154+(1-EXP(-LN(2)/2))/(LN(2)/2)*AQ155*AT155*VLOOKUP('Données projet'!$B$10,Paramètres!$A$1:$I$88,3,0)*0.475*44/12</f>
        <v>0</v>
      </c>
      <c r="AX155" s="23">
        <f t="shared" si="166"/>
        <v>47.025111636456316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6.8</v>
      </c>
      <c r="BD155" s="13">
        <f>IF('Données projet'!$A$88&gt;35,BD154+BC155-BL154,IF(A155&lt;'Données projet'!$A$88,$BA$205^A155,IF(A155='Données projet'!$A$88,'Données projet'!$B$88,BD154+BC155-BL154)))</f>
        <v>384.60000000000025</v>
      </c>
      <c r="BE155" s="14">
        <f>BD155*VLOOKUP('Données projet'!$B$11,Paramètres!$A$1:$I$88,3,0)*VLOOKUP('Données projet'!$B$11,Paramètres!$A$1:$I$88,5,0)</f>
        <v>389.98440000000028</v>
      </c>
      <c r="BF155" s="14">
        <f t="shared" si="167"/>
        <v>89.743169083608507</v>
      </c>
      <c r="BG155" s="22">
        <f t="shared" si="168"/>
        <v>835.52551615395203</v>
      </c>
      <c r="BH155" s="62">
        <f t="shared" si="116"/>
        <v>1122.446929160692</v>
      </c>
      <c r="BI155" s="62">
        <f ca="1">AVERAGE(OFFSET($BH$3,0,0,'Données projet'!$E$11+1,1))-AVERAGE(OFFSET($H$3,0,0,'Données projet'!$E$11+1,1))</f>
        <v>570.2785736203931</v>
      </c>
      <c r="BJ155" s="62">
        <f t="shared" si="146"/>
        <v>67.677759965081719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52.700556144304485</v>
      </c>
      <c r="BQ155" s="23">
        <f>EXP(-LN(2)/25)*BQ154+(1-EXP(-LN(2)/25))/(LN(2)/25)*Calculateur!BL155*Calculateur!BN155*VLOOKUP('Données projet'!$B$11,Paramètres!$A$1:$I$88,3,0)*0.475*44/12</f>
        <v>0</v>
      </c>
      <c r="BR155" s="23">
        <f>EXP(-LN(2)/2)*BR154+(1-EXP(-LN(2)/2))/(LN(2)/2)*BL155*BO155*VLOOKUP('Données projet'!$B$11,Paramètres!$A$1:$I$88,3,0)*0.475*44/12</f>
        <v>0</v>
      </c>
      <c r="BS155" s="24">
        <f t="shared" si="169"/>
        <v>52.700556144304485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544.19999999999982</v>
      </c>
      <c r="BZ155" s="14">
        <f>BY155*VLOOKUP('Données projet'!$B$12,Paramètres!$A$1:$I$88,3,0)*VLOOKUP('Données projet'!$B$12,Paramètres!$A$1:$I$88,5,0)</f>
        <v>325.43159999999995</v>
      </c>
      <c r="CA155" s="14">
        <f t="shared" si="170"/>
        <v>76.482394221016762</v>
      </c>
      <c r="CB155" s="22">
        <f t="shared" si="171"/>
        <v>700.00020660160408</v>
      </c>
      <c r="CC155" s="62">
        <f t="shared" si="119"/>
        <v>986.92161960834392</v>
      </c>
      <c r="CD155" s="62">
        <f ca="1">AVERAGE(OFFSET($CC$3,0,0,'Données projet'!$E$12+1,1))-AVERAGE(OFFSET($H$3,0,0,'Données projet'!$E$12+1,1))</f>
        <v>401.1031790385295</v>
      </c>
      <c r="CE155" s="62">
        <f t="shared" si="148"/>
        <v>402.09589424130615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projet'!$B$12,Paramètres!$A$1:$I$88,3,0)*0.475*44/12</f>
        <v>3.3541947865169899</v>
      </c>
      <c r="CL155" s="23">
        <f>EXP(-LN(2)/25)*CL154+(1-EXP(-LN(2)/25))/(LN(2)/25)*Calculateur!CG155*Calculateur!CI155*VLOOKUP('Données projet'!$B$12,Paramètres!$A$1:$I$88,3,0)*0.475*44/12</f>
        <v>0</v>
      </c>
      <c r="CM155" s="23">
        <f>EXP(-LN(2)/2)*CM154+(1-EXP(-LN(2)/2))/(LN(2)/2)*CG155*CJ155*VLOOKUP('Données projet'!$B$12,Paramètres!$A$1:$I$88,3,0)*0.475*44/12</f>
        <v>5.8994559009954354E-14</v>
      </c>
      <c r="CN155" s="24">
        <f t="shared" si="172"/>
        <v>3.3541947865170489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544.19999999999982</v>
      </c>
      <c r="CU155" s="18">
        <f>CT155*VLOOKUP('Données projet'!$B$13,Paramètres!$A$1:$I$88,3,0)*VLOOKUP('Données projet'!$B$13,Paramètres!$A$1:$I$88,5,0)</f>
        <v>325.43159999999995</v>
      </c>
      <c r="CV155" s="14">
        <f t="shared" si="173"/>
        <v>76.482394221016762</v>
      </c>
      <c r="CW155" s="22">
        <f t="shared" si="174"/>
        <v>700.00020660160408</v>
      </c>
      <c r="CX155" s="62">
        <f t="shared" si="122"/>
        <v>986.92161960834392</v>
      </c>
      <c r="CY155" s="62">
        <f ca="1">AVERAGE(OFFSET($CX$3,0,0,'Données projet'!$E$13+1,1))-AVERAGE(OFFSET($H$3,0,0,'Données projet'!$E$13+1,1))</f>
        <v>401.1031790385295</v>
      </c>
      <c r="CZ155" s="62">
        <f t="shared" si="150"/>
        <v>402.09589424130615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projet'!$B$13,Paramètres!$A$1:$I$88,3,0)*0.475*44/12</f>
        <v>3.3541947865169899</v>
      </c>
      <c r="DG155" s="23">
        <f>EXP(-LN(2)/25)*DG154+(1-EXP(-LN(2)/25))/(LN(2)/25)*Calculateur!DB155*Calculateur!DD155*VLOOKUP('Données projet'!$B$13,Paramètres!$A$1:$I$88,3,0)*0.475*44/12</f>
        <v>0</v>
      </c>
      <c r="DH155" s="23">
        <f>EXP(-LN(2)/2)*DH154+(1-EXP(-LN(2)/2))/(LN(2)/2)*DB155*DE155*VLOOKUP('Données projet'!$B$13,Paramètres!$A$1:$I$88,3,0)*0.475*44/12</f>
        <v>5.8994559009954354E-14</v>
      </c>
      <c r="DI155" s="24">
        <f t="shared" si="175"/>
        <v>3.3541947865170489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860.00000000000023</v>
      </c>
      <c r="DP155" s="18">
        <f>DO155*VLOOKUP('Données projet'!$B$14,Paramètres!$A$1:$I$88,3,0)*VLOOKUP('Données projet'!$B$14,Paramètres!$A$1:$I$88,5,0)</f>
        <v>346.5800000000001</v>
      </c>
      <c r="DQ155" s="14">
        <f t="shared" si="176"/>
        <v>80.857895771535127</v>
      </c>
      <c r="DR155" s="22">
        <f t="shared" si="177"/>
        <v>744.45433513542378</v>
      </c>
      <c r="DS155" s="62">
        <f t="shared" si="125"/>
        <v>1031.3757481421637</v>
      </c>
      <c r="DT155" s="62">
        <f ca="1">AVERAGE(OFFSET($DS$3,0,0,'Données projet'!$E$14+1,1))-AVERAGE(OFFSET($H$3,0,0,'Données projet'!$E$14+1,1))</f>
        <v>432.59662347701629</v>
      </c>
      <c r="DU155" s="62">
        <f t="shared" si="152"/>
        <v>348.67401091099748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projet'!$B$14,Paramètres!$A$1:$I$88,3,0)*0.475*44/12</f>
        <v>15.10951426154003</v>
      </c>
      <c r="EB155" s="23">
        <f>EXP(-LN(2)/25)*EB154+(1-EXP(-LN(2)/25))/(LN(2)/25)*Calculateur!DW155*Calculateur!DY155*VLOOKUP('Données projet'!$B$14,Paramètres!$A$1:$I$88,3,0)*0.475*44/12</f>
        <v>9.4452669481838587</v>
      </c>
      <c r="EC155" s="23">
        <f>EXP(-LN(2)/2)*EC154+(1-EXP(-LN(2)/2))/(LN(2)/2)*DW155*DZ155*VLOOKUP('Données projet'!$B$14,Paramètres!$A$1:$I$88,3,0)*0.475*44/12</f>
        <v>0</v>
      </c>
      <c r="ED155" s="24">
        <f t="shared" si="178"/>
        <v>24.554781209723888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1099.9999999999998</v>
      </c>
      <c r="EK155" s="18">
        <f>EJ155*VLOOKUP('Données projet'!$B$15,Paramètres!$A$1:$I$88,3,0)*VLOOKUP('Données projet'!$B$15,Paramètres!$A$1:$I$88,5,0)</f>
        <v>486.19999999999993</v>
      </c>
      <c r="EL155" s="14">
        <f t="shared" si="179"/>
        <v>109.0490179035375</v>
      </c>
      <c r="EM155" s="22">
        <f t="shared" si="180"/>
        <v>1036.725372848661</v>
      </c>
      <c r="EN155" s="62">
        <f t="shared" si="128"/>
        <v>1323.6467858554008</v>
      </c>
      <c r="EO155" s="62">
        <f ca="1">AVERAGE(OFFSET($EN$3,0,0,'Données projet'!$E$15+1,1))-AVERAGE(OFFSET($H$3,0,0,'Données projet'!$E$15+1,1))</f>
        <v>582.26951914082088</v>
      </c>
      <c r="EP155" s="62">
        <f t="shared" si="154"/>
        <v>434.80429932654715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projet'!$B$15,Paramètres!$A$1:$I$88,3,0)*0.475*44/12</f>
        <v>15.224929870931074</v>
      </c>
      <c r="EW155" s="23">
        <f>EXP(-LN(2)/25)*EW154+(1-EXP(-LN(2)/25))/(LN(2)/25)*Calculateur!ER155*Calculateur!ET155*VLOOKUP('Données projet'!$B$15,Paramètres!$A$1:$I$88,3,0)*0.475*44/12</f>
        <v>8.4873075591470535</v>
      </c>
      <c r="EX155" s="23">
        <f>EXP(-LN(2)/2)*EX154+(1-EXP(-LN(2)/2))/(LN(2)/2)*ER155*EU155*VLOOKUP('Données projet'!$B$15,Paramètres!$A$1:$I$88,3,0)*0.475*44/12</f>
        <v>0</v>
      </c>
      <c r="EY155" s="24">
        <f t="shared" si="181"/>
        <v>23.712237430078126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854.99999999999989</v>
      </c>
      <c r="FF155" s="18">
        <f>FE155*VLOOKUP('Données projet'!$B$16,Paramètres!$A$1:$I$88,3,0)*VLOOKUP('Données projet'!$B$16,Paramètres!$A$1:$I$88,5,0)</f>
        <v>400.13999999999993</v>
      </c>
      <c r="FG155" s="14">
        <f t="shared" si="182"/>
        <v>91.805047494648534</v>
      </c>
      <c r="FH155" s="22">
        <f t="shared" si="183"/>
        <v>856.80429105317944</v>
      </c>
      <c r="FI155" s="62">
        <f t="shared" si="131"/>
        <v>1143.7257040599193</v>
      </c>
      <c r="FJ155" s="62">
        <f ca="1">AVERAGE(OFFSET($FI$3,0,0,'Données projet'!$E$16+1,1))-AVERAGE(OFFSET($H$3,0,0,'Données projet'!$E$16+1,1))</f>
        <v>429.87867712133851</v>
      </c>
      <c r="FK155" s="62">
        <f t="shared" si="156"/>
        <v>182.81277865988014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projet'!$B$16,Paramètres!$A$1:$I$88,3,0)*0.475*44/12</f>
        <v>18.157550788758201</v>
      </c>
      <c r="FR155" s="23">
        <f>EXP(-LN(2)/25)*FR154+(1-EXP(-LN(2)/25))/(LN(2)/25)*Calculateur!FM155*Calculateur!FO155*VLOOKUP('Données projet'!$B$16,Paramètres!$A$1:$I$88,3,0)*0.475*44/12</f>
        <v>10.759115379469158</v>
      </c>
      <c r="FS155" s="23">
        <f>EXP(-LN(2)/2)*FS154+(1-EXP(-LN(2)/2))/(LN(2)/2)*FM155*FP155*VLOOKUP('Données projet'!$B$16,Paramètres!$A$1:$I$88,3,0)*0.475*44/12</f>
        <v>0</v>
      </c>
      <c r="FT155" s="24">
        <f t="shared" si="184"/>
        <v>28.916666168227358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498.99999999999955</v>
      </c>
      <c r="GA155" s="18">
        <f>FZ155*VLOOKUP('Données projet'!$B$17,Paramètres!$A$1:$I$88,3,0)*VLOOKUP('Données projet'!$B$17,Paramètres!$A$1:$I$88,5,0)</f>
        <v>240.01899999999978</v>
      </c>
      <c r="GB155" s="14">
        <f t="shared" si="185"/>
        <v>58.443618405936313</v>
      </c>
      <c r="GC155" s="22">
        <f t="shared" si="186"/>
        <v>519.82239372367201</v>
      </c>
      <c r="GD155" s="62">
        <f t="shared" si="134"/>
        <v>806.74380673041196</v>
      </c>
      <c r="GE155" s="62">
        <f ca="1">AVERAGE(OFFSET($GD$3,0,0,'Données projet'!$E$17+1,1))-AVERAGE(OFFSET($H$3,0,0,'Données projet'!$E$17+1,1))</f>
        <v>273.24375559399846</v>
      </c>
      <c r="GF155" s="62">
        <f t="shared" si="158"/>
        <v>270.77718895097848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projet'!$B$17,Paramètres!$A$1:$I$88,3,0)*0.475*44/12</f>
        <v>7.7746834622094214</v>
      </c>
      <c r="GM155" s="23">
        <f>EXP(-LN(2)/25)*GM154+(1-EXP(-LN(2)/25))/(LN(2)/25)*Calculateur!GH155*Calculateur!GJ155*VLOOKUP('Données projet'!$B$17,Paramètres!$A$1:$I$88,3,0)*0.475*44/12</f>
        <v>4.1395428855161649</v>
      </c>
      <c r="GN155" s="23">
        <f>EXP(-LN(2)/2)*GN154+(1-EXP(-LN(2)/2))/(LN(2)/2)*GH155*GK155*VLOOKUP('Données projet'!$B$17,Paramètres!$A$1:$I$88,3,0)*0.475*44/12</f>
        <v>0</v>
      </c>
      <c r="GO155" s="23">
        <f t="shared" si="187"/>
        <v>11.914226347725586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550.99999999999966</v>
      </c>
      <c r="O156" s="14">
        <f>N156*VLOOKUP('Données projet'!$B$9,Paramètres!$A$1:$I$88,3,0)*VLOOKUP('Données projet'!$B$9,Paramètres!$A$1:$I$88,5,0)</f>
        <v>308.00899999999979</v>
      </c>
      <c r="P156" s="14">
        <f t="shared" si="141"/>
        <v>72.852874331417695</v>
      </c>
      <c r="Q156" s="22">
        <f t="shared" si="162"/>
        <v>663.33443112721886</v>
      </c>
      <c r="R156" s="62">
        <f t="shared" si="109"/>
        <v>950.3670766167188</v>
      </c>
      <c r="S156" s="62">
        <f ca="1">AVERAGE(OFFSET($R$3,0,0,'Données projet'!$E$9+1,1))-AVERAGE(OFFSET($H$3,0,0,'Données projet'!$E$9+1,1))</f>
        <v>289.94242154211224</v>
      </c>
      <c r="T156" s="62">
        <f t="shared" si="142"/>
        <v>369.12599166143661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11.695494295290208</v>
      </c>
      <c r="AA156" s="23">
        <f>EXP(-LN(2)/25)*AA155+(1-EXP(-LN(2)/25))/(LN(2)/25)*Calculateur!V156*Calculateur!X156*VLOOKUP('Données projet'!$B$9,Paramètres!$A$1:$I$88,3,0)*0.475*44/12</f>
        <v>5.0708884877009481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16.766382782991158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6.8</v>
      </c>
      <c r="AI156" s="14">
        <f>IF('Données projet'!$A$62&gt;35,AI155+AH156-AQ155,IF(A156&lt;'Données projet'!$A$62,$AF$205^A156,IF(A156='Données projet'!$A$62,'Données projet'!$B$62,AI155+AH156-AQ155)))</f>
        <v>391.40000000000026</v>
      </c>
      <c r="AJ156" s="14">
        <f>AI156*VLOOKUP('Données projet'!$B$10,Paramètres!$A$1:$I$88,3,0)*VLOOKUP('Données projet'!$B$10,Paramètres!$A$1:$I$88,5,0)</f>
        <v>354.13872000000026</v>
      </c>
      <c r="AK156" s="14">
        <f t="shared" si="164"/>
        <v>82.414132737296271</v>
      </c>
      <c r="AL156" s="22">
        <f t="shared" si="165"/>
        <v>760.32955185079152</v>
      </c>
      <c r="AM156" s="62">
        <f t="shared" si="113"/>
        <v>1047.3621973402915</v>
      </c>
      <c r="AN156" s="62">
        <f ca="1">AVERAGE(OFFSET($AM$3,0,0,'Données projet'!$E$10+1,1))-AVERAGE(OFFSET($H$3,0,0,'Données projet'!$E$10+1,1))</f>
        <v>518.31628039365785</v>
      </c>
      <c r="AO156" s="62">
        <f t="shared" si="144"/>
        <v>66.435071953154761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46.102977879751343</v>
      </c>
      <c r="AV156" s="23">
        <f>EXP(-LN(2)/25)*AV155+(1-EXP(-LN(2)/25))/(LN(2)/25)*Calculateur!AQ156*Calculateur!AS156*VLOOKUP('Données projet'!$B$10,Paramètres!$A$1:$I$88,3,0)*0.475*44/12</f>
        <v>0</v>
      </c>
      <c r="AW156" s="23">
        <f>EXP(-LN(2)/2)*AW155+(1-EXP(-LN(2)/2))/(LN(2)/2)*AQ156*AT156*VLOOKUP('Données projet'!$B$10,Paramètres!$A$1:$I$88,3,0)*0.475*44/12</f>
        <v>0</v>
      </c>
      <c r="AX156" s="23">
        <f t="shared" si="166"/>
        <v>46.102977879751343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6.8</v>
      </c>
      <c r="BD156" s="13">
        <f>IF('Données projet'!$A$88&gt;35,BD155+BC156-BL155,IF(A156&lt;'Données projet'!$A$88,$BA$205^A156,IF(A156='Données projet'!$A$88,'Données projet'!$B$88,BD155+BC156-BL155)))</f>
        <v>391.40000000000026</v>
      </c>
      <c r="BE156" s="14">
        <f>BD156*VLOOKUP('Données projet'!$B$11,Paramètres!$A$1:$I$88,3,0)*VLOOKUP('Données projet'!$B$11,Paramètres!$A$1:$I$88,5,0)</f>
        <v>396.87960000000027</v>
      </c>
      <c r="BF156" s="14">
        <f t="shared" si="167"/>
        <v>91.143763953378681</v>
      </c>
      <c r="BG156" s="22">
        <f t="shared" si="168"/>
        <v>849.974025552135</v>
      </c>
      <c r="BH156" s="62">
        <f t="shared" si="116"/>
        <v>1137.0066710416349</v>
      </c>
      <c r="BI156" s="62">
        <f ca="1">AVERAGE(OFFSET($BH$3,0,0,'Données projet'!$E$11+1,1))-AVERAGE(OFFSET($H$3,0,0,'Données projet'!$E$11+1,1))</f>
        <v>570.2785736203931</v>
      </c>
      <c r="BJ156" s="62">
        <f t="shared" si="146"/>
        <v>67.677759965081719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51.667130382479947</v>
      </c>
      <c r="BQ156" s="23">
        <f>EXP(-LN(2)/25)*BQ155+(1-EXP(-LN(2)/25))/(LN(2)/25)*Calculateur!BL156*Calculateur!BN156*VLOOKUP('Données projet'!$B$11,Paramètres!$A$1:$I$88,3,0)*0.475*44/12</f>
        <v>0</v>
      </c>
      <c r="BR156" s="23">
        <f>EXP(-LN(2)/2)*BR155+(1-EXP(-LN(2)/2))/(LN(2)/2)*BL156*BO156*VLOOKUP('Données projet'!$B$11,Paramètres!$A$1:$I$88,3,0)*0.475*44/12</f>
        <v>0</v>
      </c>
      <c r="BS156" s="24">
        <f t="shared" si="169"/>
        <v>51.667130382479947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544.19999999999982</v>
      </c>
      <c r="BZ156" s="14">
        <f>BY156*VLOOKUP('Données projet'!$B$12,Paramètres!$A$1:$I$88,3,0)*VLOOKUP('Données projet'!$B$12,Paramètres!$A$1:$I$88,5,0)</f>
        <v>325.43159999999995</v>
      </c>
      <c r="CA156" s="14">
        <f t="shared" si="170"/>
        <v>76.482394221016762</v>
      </c>
      <c r="CB156" s="22">
        <f t="shared" si="171"/>
        <v>700.00020660160408</v>
      </c>
      <c r="CC156" s="62">
        <f t="shared" si="119"/>
        <v>987.03285209110413</v>
      </c>
      <c r="CD156" s="62">
        <f ca="1">AVERAGE(OFFSET($CC$3,0,0,'Données projet'!$E$12+1,1))-AVERAGE(OFFSET($H$3,0,0,'Données projet'!$E$12+1,1))</f>
        <v>401.1031790385295</v>
      </c>
      <c r="CE156" s="62">
        <f t="shared" si="148"/>
        <v>402.09589424130615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projet'!$B$12,Paramètres!$A$1:$I$88,3,0)*0.475*44/12</f>
        <v>3.2884210726102001</v>
      </c>
      <c r="CL156" s="23">
        <f>EXP(-LN(2)/25)*CL155+(1-EXP(-LN(2)/25))/(LN(2)/25)*Calculateur!CG156*Calculateur!CI156*VLOOKUP('Données projet'!$B$12,Paramètres!$A$1:$I$88,3,0)*0.475*44/12</f>
        <v>0</v>
      </c>
      <c r="CM156" s="23">
        <f>EXP(-LN(2)/2)*CM155+(1-EXP(-LN(2)/2))/(LN(2)/2)*CG156*CJ156*VLOOKUP('Données projet'!$B$12,Paramètres!$A$1:$I$88,3,0)*0.475*44/12</f>
        <v>4.171545272904866E-14</v>
      </c>
      <c r="CN156" s="24">
        <f t="shared" si="172"/>
        <v>3.2884210726102419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544.19999999999982</v>
      </c>
      <c r="CU156" s="18">
        <f>CT156*VLOOKUP('Données projet'!$B$13,Paramètres!$A$1:$I$88,3,0)*VLOOKUP('Données projet'!$B$13,Paramètres!$A$1:$I$88,5,0)</f>
        <v>325.43159999999995</v>
      </c>
      <c r="CV156" s="14">
        <f t="shared" si="173"/>
        <v>76.482394221016762</v>
      </c>
      <c r="CW156" s="22">
        <f t="shared" si="174"/>
        <v>700.00020660160408</v>
      </c>
      <c r="CX156" s="62">
        <f t="shared" si="122"/>
        <v>987.03285209110413</v>
      </c>
      <c r="CY156" s="62">
        <f ca="1">AVERAGE(OFFSET($CX$3,0,0,'Données projet'!$E$13+1,1))-AVERAGE(OFFSET($H$3,0,0,'Données projet'!$E$13+1,1))</f>
        <v>401.1031790385295</v>
      </c>
      <c r="CZ156" s="62">
        <f t="shared" si="150"/>
        <v>402.09589424130615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projet'!$B$13,Paramètres!$A$1:$I$88,3,0)*0.475*44/12</f>
        <v>3.2884210726102001</v>
      </c>
      <c r="DG156" s="23">
        <f>EXP(-LN(2)/25)*DG155+(1-EXP(-LN(2)/25))/(LN(2)/25)*Calculateur!DB156*Calculateur!DD156*VLOOKUP('Données projet'!$B$13,Paramètres!$A$1:$I$88,3,0)*0.475*44/12</f>
        <v>0</v>
      </c>
      <c r="DH156" s="23">
        <f>EXP(-LN(2)/2)*DH155+(1-EXP(-LN(2)/2))/(LN(2)/2)*DB156*DE156*VLOOKUP('Données projet'!$B$13,Paramètres!$A$1:$I$88,3,0)*0.475*44/12</f>
        <v>4.171545272904866E-14</v>
      </c>
      <c r="DI156" s="24">
        <f t="shared" si="175"/>
        <v>3.2884210726102419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860.00000000000023</v>
      </c>
      <c r="DP156" s="18">
        <f>DO156*VLOOKUP('Données projet'!$B$14,Paramètres!$A$1:$I$88,3,0)*VLOOKUP('Données projet'!$B$14,Paramètres!$A$1:$I$88,5,0)</f>
        <v>346.5800000000001</v>
      </c>
      <c r="DQ156" s="14">
        <f t="shared" si="176"/>
        <v>80.857895771535127</v>
      </c>
      <c r="DR156" s="22">
        <f t="shared" si="177"/>
        <v>744.45433513542378</v>
      </c>
      <c r="DS156" s="62">
        <f t="shared" si="125"/>
        <v>1031.4869806249237</v>
      </c>
      <c r="DT156" s="62">
        <f ca="1">AVERAGE(OFFSET($DS$3,0,0,'Données projet'!$E$14+1,1))-AVERAGE(OFFSET($H$3,0,0,'Données projet'!$E$14+1,1))</f>
        <v>432.59662347701629</v>
      </c>
      <c r="DU156" s="62">
        <f t="shared" si="152"/>
        <v>348.67401091099748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projet'!$B$14,Paramètres!$A$1:$I$88,3,0)*0.475*44/12</f>
        <v>14.813225902764936</v>
      </c>
      <c r="EB156" s="23">
        <f>EXP(-LN(2)/25)*EB155+(1-EXP(-LN(2)/25))/(LN(2)/25)*Calculateur!DW156*Calculateur!DY156*VLOOKUP('Données projet'!$B$14,Paramètres!$A$1:$I$88,3,0)*0.475*44/12</f>
        <v>9.1869856267807695</v>
      </c>
      <c r="EC156" s="23">
        <f>EXP(-LN(2)/2)*EC155+(1-EXP(-LN(2)/2))/(LN(2)/2)*DW156*DZ156*VLOOKUP('Données projet'!$B$14,Paramètres!$A$1:$I$88,3,0)*0.475*44/12</f>
        <v>0</v>
      </c>
      <c r="ED156" s="24">
        <f t="shared" si="178"/>
        <v>24.000211529545705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1099.9999999999998</v>
      </c>
      <c r="EK156" s="18">
        <f>EJ156*VLOOKUP('Données projet'!$B$15,Paramètres!$A$1:$I$88,3,0)*VLOOKUP('Données projet'!$B$15,Paramètres!$A$1:$I$88,5,0)</f>
        <v>486.19999999999993</v>
      </c>
      <c r="EL156" s="14">
        <f t="shared" si="179"/>
        <v>109.0490179035375</v>
      </c>
      <c r="EM156" s="22">
        <f t="shared" si="180"/>
        <v>1036.725372848661</v>
      </c>
      <c r="EN156" s="62">
        <f t="shared" si="128"/>
        <v>1323.758018338161</v>
      </c>
      <c r="EO156" s="62">
        <f ca="1">AVERAGE(OFFSET($EN$3,0,0,'Données projet'!$E$15+1,1))-AVERAGE(OFFSET($H$3,0,0,'Données projet'!$E$15+1,1))</f>
        <v>582.26951914082088</v>
      </c>
      <c r="EP156" s="62">
        <f t="shared" si="154"/>
        <v>434.80429932654715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projet'!$B$15,Paramètres!$A$1:$I$88,3,0)*0.475*44/12</f>
        <v>14.926378282452392</v>
      </c>
      <c r="EW156" s="23">
        <f>EXP(-LN(2)/25)*EW155+(1-EXP(-LN(2)/25))/(LN(2)/25)*Calculateur!ER156*Calculateur!ET156*VLOOKUP('Données projet'!$B$15,Paramètres!$A$1:$I$88,3,0)*0.475*44/12</f>
        <v>8.2552216876140712</v>
      </c>
      <c r="EX156" s="23">
        <f>EXP(-LN(2)/2)*EX155+(1-EXP(-LN(2)/2))/(LN(2)/2)*ER156*EU156*VLOOKUP('Données projet'!$B$15,Paramètres!$A$1:$I$88,3,0)*0.475*44/12</f>
        <v>0</v>
      </c>
      <c r="EY156" s="24">
        <f t="shared" si="181"/>
        <v>23.181599970066465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854.99999999999989</v>
      </c>
      <c r="FF156" s="18">
        <f>FE156*VLOOKUP('Données projet'!$B$16,Paramètres!$A$1:$I$88,3,0)*VLOOKUP('Données projet'!$B$16,Paramètres!$A$1:$I$88,5,0)</f>
        <v>400.13999999999993</v>
      </c>
      <c r="FG156" s="14">
        <f t="shared" si="182"/>
        <v>91.805047494648534</v>
      </c>
      <c r="FH156" s="22">
        <f t="shared" si="183"/>
        <v>856.80429105317944</v>
      </c>
      <c r="FI156" s="62">
        <f t="shared" si="131"/>
        <v>1143.8369365426795</v>
      </c>
      <c r="FJ156" s="62">
        <f ca="1">AVERAGE(OFFSET($FI$3,0,0,'Données projet'!$E$16+1,1))-AVERAGE(OFFSET($H$3,0,0,'Données projet'!$E$16+1,1))</f>
        <v>429.87867712133851</v>
      </c>
      <c r="FK156" s="62">
        <f t="shared" si="156"/>
        <v>182.81277865988014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projet'!$B$16,Paramètres!$A$1:$I$88,3,0)*0.475*44/12</f>
        <v>17.801492292803069</v>
      </c>
      <c r="FR156" s="23">
        <f>EXP(-LN(2)/25)*FR155+(1-EXP(-LN(2)/25))/(LN(2)/25)*Calculateur!FM156*Calculateur!FO156*VLOOKUP('Données projet'!$B$16,Paramètres!$A$1:$I$88,3,0)*0.475*44/12</f>
        <v>10.464906803620286</v>
      </c>
      <c r="FS156" s="23">
        <f>EXP(-LN(2)/2)*FS155+(1-EXP(-LN(2)/2))/(LN(2)/2)*FM156*FP156*VLOOKUP('Données projet'!$B$16,Paramètres!$A$1:$I$88,3,0)*0.475*44/12</f>
        <v>0</v>
      </c>
      <c r="FT156" s="24">
        <f t="shared" si="184"/>
        <v>28.266399096423356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498.99999999999955</v>
      </c>
      <c r="GA156" s="18">
        <f>FZ156*VLOOKUP('Données projet'!$B$17,Paramètres!$A$1:$I$88,3,0)*VLOOKUP('Données projet'!$B$17,Paramètres!$A$1:$I$88,5,0)</f>
        <v>240.01899999999978</v>
      </c>
      <c r="GB156" s="14">
        <f t="shared" si="185"/>
        <v>58.443618405936313</v>
      </c>
      <c r="GC156" s="22">
        <f t="shared" si="186"/>
        <v>519.82239372367201</v>
      </c>
      <c r="GD156" s="62">
        <f t="shared" si="134"/>
        <v>806.85503921317195</v>
      </c>
      <c r="GE156" s="62">
        <f ca="1">AVERAGE(OFFSET($GD$3,0,0,'Données projet'!$E$17+1,1))-AVERAGE(OFFSET($H$3,0,0,'Données projet'!$E$17+1,1))</f>
        <v>273.24375559399846</v>
      </c>
      <c r="GF156" s="62">
        <f t="shared" si="158"/>
        <v>270.77718895097848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projet'!$B$17,Paramètres!$A$1:$I$88,3,0)*0.475*44/12</f>
        <v>7.6222266616041638</v>
      </c>
      <c r="GM156" s="23">
        <f>EXP(-LN(2)/25)*GM155+(1-EXP(-LN(2)/25))/(LN(2)/25)*Calculateur!GH156*Calculateur!GJ156*VLOOKUP('Données projet'!$B$17,Paramètres!$A$1:$I$88,3,0)*0.475*44/12</f>
        <v>4.0263468676226264</v>
      </c>
      <c r="GN156" s="23">
        <f>EXP(-LN(2)/2)*GN155+(1-EXP(-LN(2)/2))/(LN(2)/2)*GH156*GK156*VLOOKUP('Données projet'!$B$17,Paramètres!$A$1:$I$88,3,0)*0.475*44/12</f>
        <v>0</v>
      </c>
      <c r="GO156" s="23">
        <f t="shared" si="187"/>
        <v>11.648573529226791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550.99999999999966</v>
      </c>
      <c r="O157" s="14">
        <f>N157*VLOOKUP('Données projet'!$B$9,Paramètres!$A$1:$I$88,3,0)*VLOOKUP('Données projet'!$B$9,Paramètres!$A$1:$I$88,5,0)</f>
        <v>308.00899999999979</v>
      </c>
      <c r="P157" s="14">
        <f t="shared" si="141"/>
        <v>72.852874331417695</v>
      </c>
      <c r="Q157" s="22">
        <f t="shared" si="162"/>
        <v>663.33443112721886</v>
      </c>
      <c r="R157" s="62">
        <f t="shared" si="109"/>
        <v>950.47637946458167</v>
      </c>
      <c r="S157" s="62">
        <f ca="1">AVERAGE(OFFSET($R$3,0,0,'Données projet'!$E$9+1,1))-AVERAGE(OFFSET($H$3,0,0,'Données projet'!$E$9+1,1))</f>
        <v>289.94242154211224</v>
      </c>
      <c r="T157" s="62">
        <f t="shared" si="142"/>
        <v>369.12599166143661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11.466152785706708</v>
      </c>
      <c r="AA157" s="23">
        <f>EXP(-LN(2)/25)*AA156+(1-EXP(-LN(2)/25))/(LN(2)/25)*Calculateur!V157*Calculateur!X157*VLOOKUP('Données projet'!$B$9,Paramètres!$A$1:$I$88,3,0)*0.475*44/12</f>
        <v>4.9322247753383301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16.398377561045038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6.8</v>
      </c>
      <c r="AI157" s="14">
        <f>IF('Données projet'!$A$62&gt;35,AI156+AH157-AQ156,IF(A157&lt;'Données projet'!$A$62,$AF$205^A157,IF(A157='Données projet'!$A$62,'Données projet'!$B$62,AI156+AH157-AQ156)))</f>
        <v>398.20000000000027</v>
      </c>
      <c r="AJ157" s="14">
        <f>AI157*VLOOKUP('Données projet'!$B$10,Paramètres!$A$1:$I$88,3,0)*VLOOKUP('Données projet'!$B$10,Paramètres!$A$1:$I$88,5,0)</f>
        <v>360.29136000000022</v>
      </c>
      <c r="AK157" s="14">
        <f t="shared" si="164"/>
        <v>83.678021792543007</v>
      </c>
      <c r="AL157" s="22">
        <f t="shared" si="165"/>
        <v>773.24667328867952</v>
      </c>
      <c r="AM157" s="62">
        <f t="shared" si="113"/>
        <v>1060.3886216260423</v>
      </c>
      <c r="AN157" s="62">
        <f ca="1">AVERAGE(OFFSET($AM$3,0,0,'Données projet'!$E$10+1,1))-AVERAGE(OFFSET($H$3,0,0,'Données projet'!$E$10+1,1))</f>
        <v>518.31628039365785</v>
      </c>
      <c r="AO157" s="62">
        <f t="shared" si="144"/>
        <v>66.435071953154761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45.198926603569305</v>
      </c>
      <c r="AV157" s="23">
        <f>EXP(-LN(2)/25)*AV156+(1-EXP(-LN(2)/25))/(LN(2)/25)*Calculateur!AQ157*Calculateur!AS157*VLOOKUP('Données projet'!$B$10,Paramètres!$A$1:$I$88,3,0)*0.475*44/12</f>
        <v>0</v>
      </c>
      <c r="AW157" s="23">
        <f>EXP(-LN(2)/2)*AW156+(1-EXP(-LN(2)/2))/(LN(2)/2)*AQ157*AT157*VLOOKUP('Données projet'!$B$10,Paramètres!$A$1:$I$88,3,0)*0.475*44/12</f>
        <v>0</v>
      </c>
      <c r="AX157" s="23">
        <f t="shared" si="166"/>
        <v>45.198926603569305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6.8</v>
      </c>
      <c r="BD157" s="13">
        <f>IF('Données projet'!$A$88&gt;35,BD156+BC157-BL156,IF(A157&lt;'Données projet'!$A$88,$BA$205^A157,IF(A157='Données projet'!$A$88,'Données projet'!$B$88,BD156+BC157-BL156)))</f>
        <v>398.20000000000027</v>
      </c>
      <c r="BE157" s="14">
        <f>BD157*VLOOKUP('Données projet'!$B$11,Paramètres!$A$1:$I$88,3,0)*VLOOKUP('Données projet'!$B$11,Paramètres!$A$1:$I$88,5,0)</f>
        <v>403.77480000000037</v>
      </c>
      <c r="BF157" s="14">
        <f t="shared" si="167"/>
        <v>92.541529141078598</v>
      </c>
      <c r="BG157" s="22">
        <f t="shared" si="168"/>
        <v>864.41760658737928</v>
      </c>
      <c r="BH157" s="62">
        <f t="shared" si="116"/>
        <v>1151.5595549247421</v>
      </c>
      <c r="BI157" s="62">
        <f ca="1">AVERAGE(OFFSET($BH$3,0,0,'Données projet'!$E$11+1,1))-AVERAGE(OFFSET($H$3,0,0,'Données projet'!$E$11+1,1))</f>
        <v>570.2785736203931</v>
      </c>
      <c r="BJ157" s="62">
        <f t="shared" si="146"/>
        <v>67.677759965081719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50.653969469517314</v>
      </c>
      <c r="BQ157" s="23">
        <f>EXP(-LN(2)/25)*BQ156+(1-EXP(-LN(2)/25))/(LN(2)/25)*Calculateur!BL157*Calculateur!BN157*VLOOKUP('Données projet'!$B$11,Paramètres!$A$1:$I$88,3,0)*0.475*44/12</f>
        <v>0</v>
      </c>
      <c r="BR157" s="23">
        <f>EXP(-LN(2)/2)*BR156+(1-EXP(-LN(2)/2))/(LN(2)/2)*BL157*BO157*VLOOKUP('Données projet'!$B$11,Paramètres!$A$1:$I$88,3,0)*0.475*44/12</f>
        <v>0</v>
      </c>
      <c r="BS157" s="24">
        <f t="shared" si="169"/>
        <v>50.653969469517314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544.19999999999982</v>
      </c>
      <c r="BZ157" s="14">
        <f>BY157*VLOOKUP('Données projet'!$B$12,Paramètres!$A$1:$I$88,3,0)*VLOOKUP('Données projet'!$B$12,Paramètres!$A$1:$I$88,5,0)</f>
        <v>325.43159999999995</v>
      </c>
      <c r="CA157" s="14">
        <f t="shared" si="170"/>
        <v>76.482394221016762</v>
      </c>
      <c r="CB157" s="22">
        <f t="shared" si="171"/>
        <v>700.00020660160408</v>
      </c>
      <c r="CC157" s="62">
        <f t="shared" si="119"/>
        <v>987.14215493896677</v>
      </c>
      <c r="CD157" s="62">
        <f ca="1">AVERAGE(OFFSET($CC$3,0,0,'Données projet'!$E$12+1,1))-AVERAGE(OFFSET($H$3,0,0,'Données projet'!$E$12+1,1))</f>
        <v>401.1031790385295</v>
      </c>
      <c r="CE157" s="62">
        <f t="shared" si="148"/>
        <v>402.09589424130615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projet'!$B$12,Paramètres!$A$1:$I$88,3,0)*0.475*44/12</f>
        <v>3.2239371411151181</v>
      </c>
      <c r="CL157" s="23">
        <f>EXP(-LN(2)/25)*CL156+(1-EXP(-LN(2)/25))/(LN(2)/25)*Calculateur!CG157*Calculateur!CI157*VLOOKUP('Données projet'!$B$12,Paramètres!$A$1:$I$88,3,0)*0.475*44/12</f>
        <v>0</v>
      </c>
      <c r="CM157" s="23">
        <f>EXP(-LN(2)/2)*CM156+(1-EXP(-LN(2)/2))/(LN(2)/2)*CG157*CJ157*VLOOKUP('Données projet'!$B$12,Paramètres!$A$1:$I$88,3,0)*0.475*44/12</f>
        <v>2.9497279504977177E-14</v>
      </c>
      <c r="CN157" s="24">
        <f t="shared" si="172"/>
        <v>3.2239371411151474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544.19999999999982</v>
      </c>
      <c r="CU157" s="18">
        <f>CT157*VLOOKUP('Données projet'!$B$13,Paramètres!$A$1:$I$88,3,0)*VLOOKUP('Données projet'!$B$13,Paramètres!$A$1:$I$88,5,0)</f>
        <v>325.43159999999995</v>
      </c>
      <c r="CV157" s="14">
        <f t="shared" si="173"/>
        <v>76.482394221016762</v>
      </c>
      <c r="CW157" s="22">
        <f t="shared" si="174"/>
        <v>700.00020660160408</v>
      </c>
      <c r="CX157" s="62">
        <f t="shared" si="122"/>
        <v>987.14215493896677</v>
      </c>
      <c r="CY157" s="62">
        <f ca="1">AVERAGE(OFFSET($CX$3,0,0,'Données projet'!$E$13+1,1))-AVERAGE(OFFSET($H$3,0,0,'Données projet'!$E$13+1,1))</f>
        <v>401.1031790385295</v>
      </c>
      <c r="CZ157" s="62">
        <f t="shared" si="150"/>
        <v>402.09589424130615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projet'!$B$13,Paramètres!$A$1:$I$88,3,0)*0.475*44/12</f>
        <v>3.2239371411151181</v>
      </c>
      <c r="DG157" s="23">
        <f>EXP(-LN(2)/25)*DG156+(1-EXP(-LN(2)/25))/(LN(2)/25)*Calculateur!DB157*Calculateur!DD157*VLOOKUP('Données projet'!$B$13,Paramètres!$A$1:$I$88,3,0)*0.475*44/12</f>
        <v>0</v>
      </c>
      <c r="DH157" s="23">
        <f>EXP(-LN(2)/2)*DH156+(1-EXP(-LN(2)/2))/(LN(2)/2)*DB157*DE157*VLOOKUP('Données projet'!$B$13,Paramètres!$A$1:$I$88,3,0)*0.475*44/12</f>
        <v>2.9497279504977177E-14</v>
      </c>
      <c r="DI157" s="24">
        <f t="shared" si="175"/>
        <v>3.2239371411151474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860.00000000000023</v>
      </c>
      <c r="DP157" s="18">
        <f>DO157*VLOOKUP('Données projet'!$B$14,Paramètres!$A$1:$I$88,3,0)*VLOOKUP('Données projet'!$B$14,Paramètres!$A$1:$I$88,5,0)</f>
        <v>346.5800000000001</v>
      </c>
      <c r="DQ157" s="14">
        <f t="shared" si="176"/>
        <v>80.857895771535127</v>
      </c>
      <c r="DR157" s="22">
        <f t="shared" si="177"/>
        <v>744.45433513542378</v>
      </c>
      <c r="DS157" s="62">
        <f t="shared" si="125"/>
        <v>1031.5962834727866</v>
      </c>
      <c r="DT157" s="62">
        <f ca="1">AVERAGE(OFFSET($DS$3,0,0,'Données projet'!$E$14+1,1))-AVERAGE(OFFSET($H$3,0,0,'Données projet'!$E$14+1,1))</f>
        <v>432.59662347701629</v>
      </c>
      <c r="DU157" s="62">
        <f t="shared" si="152"/>
        <v>348.67401091099748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projet'!$B$14,Paramètres!$A$1:$I$88,3,0)*0.475*44/12</f>
        <v>14.522747577987367</v>
      </c>
      <c r="EB157" s="23">
        <f>EXP(-LN(2)/25)*EB156+(1-EXP(-LN(2)/25))/(LN(2)/25)*Calculateur!DW157*Calculateur!DY157*VLOOKUP('Données projet'!$B$14,Paramètres!$A$1:$I$88,3,0)*0.475*44/12</f>
        <v>8.9357670216938718</v>
      </c>
      <c r="EC157" s="23">
        <f>EXP(-LN(2)/2)*EC156+(1-EXP(-LN(2)/2))/(LN(2)/2)*DW157*DZ157*VLOOKUP('Données projet'!$B$14,Paramètres!$A$1:$I$88,3,0)*0.475*44/12</f>
        <v>0</v>
      </c>
      <c r="ED157" s="24">
        <f t="shared" si="178"/>
        <v>23.458514599681237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1099.9999999999998</v>
      </c>
      <c r="EK157" s="18">
        <f>EJ157*VLOOKUP('Données projet'!$B$15,Paramètres!$A$1:$I$88,3,0)*VLOOKUP('Données projet'!$B$15,Paramètres!$A$1:$I$88,5,0)</f>
        <v>486.19999999999993</v>
      </c>
      <c r="EL157" s="14">
        <f t="shared" si="179"/>
        <v>109.0490179035375</v>
      </c>
      <c r="EM157" s="22">
        <f t="shared" si="180"/>
        <v>1036.725372848661</v>
      </c>
      <c r="EN157" s="62">
        <f t="shared" si="128"/>
        <v>1323.8673211860237</v>
      </c>
      <c r="EO157" s="62">
        <f ca="1">AVERAGE(OFFSET($EN$3,0,0,'Données projet'!$E$15+1,1))-AVERAGE(OFFSET($H$3,0,0,'Données projet'!$E$15+1,1))</f>
        <v>582.26951914082088</v>
      </c>
      <c r="EP157" s="62">
        <f t="shared" si="154"/>
        <v>434.80429932654715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projet'!$B$15,Paramètres!$A$1:$I$88,3,0)*0.475*44/12</f>
        <v>14.633681108525288</v>
      </c>
      <c r="EW157" s="23">
        <f>EXP(-LN(2)/25)*EW156+(1-EXP(-LN(2)/25))/(LN(2)/25)*Calculateur!ER157*Calculateur!ET157*VLOOKUP('Données projet'!$B$15,Paramètres!$A$1:$I$88,3,0)*0.475*44/12</f>
        <v>8.0294822164430233</v>
      </c>
      <c r="EX157" s="23">
        <f>EXP(-LN(2)/2)*EX156+(1-EXP(-LN(2)/2))/(LN(2)/2)*ER157*EU157*VLOOKUP('Données projet'!$B$15,Paramètres!$A$1:$I$88,3,0)*0.475*44/12</f>
        <v>0</v>
      </c>
      <c r="EY157" s="24">
        <f t="shared" si="181"/>
        <v>22.663163324968309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854.99999999999989</v>
      </c>
      <c r="FF157" s="18">
        <f>FE157*VLOOKUP('Données projet'!$B$16,Paramètres!$A$1:$I$88,3,0)*VLOOKUP('Données projet'!$B$16,Paramètres!$A$1:$I$88,5,0)</f>
        <v>400.13999999999993</v>
      </c>
      <c r="FG157" s="14">
        <f t="shared" si="182"/>
        <v>91.805047494648534</v>
      </c>
      <c r="FH157" s="22">
        <f t="shared" si="183"/>
        <v>856.80429105317944</v>
      </c>
      <c r="FI157" s="62">
        <f t="shared" si="131"/>
        <v>1143.9462393905421</v>
      </c>
      <c r="FJ157" s="62">
        <f ca="1">AVERAGE(OFFSET($FI$3,0,0,'Données projet'!$E$16+1,1))-AVERAGE(OFFSET($H$3,0,0,'Données projet'!$E$16+1,1))</f>
        <v>429.87867712133851</v>
      </c>
      <c r="FK157" s="62">
        <f t="shared" si="156"/>
        <v>182.81277865988014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projet'!$B$16,Paramètres!$A$1:$I$88,3,0)*0.475*44/12</f>
        <v>17.452415886779377</v>
      </c>
      <c r="FR157" s="23">
        <f>EXP(-LN(2)/25)*FR156+(1-EXP(-LN(2)/25))/(LN(2)/25)*Calculateur!FM157*Calculateur!FO157*VLOOKUP('Données projet'!$B$16,Paramètres!$A$1:$I$88,3,0)*0.475*44/12</f>
        <v>10.178743376749757</v>
      </c>
      <c r="FS157" s="23">
        <f>EXP(-LN(2)/2)*FS156+(1-EXP(-LN(2)/2))/(LN(2)/2)*FM157*FP157*VLOOKUP('Données projet'!$B$16,Paramètres!$A$1:$I$88,3,0)*0.475*44/12</f>
        <v>0</v>
      </c>
      <c r="FT157" s="24">
        <f t="shared" si="184"/>
        <v>27.631159263529135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498.99999999999955</v>
      </c>
      <c r="GA157" s="18">
        <f>FZ157*VLOOKUP('Données projet'!$B$17,Paramètres!$A$1:$I$88,3,0)*VLOOKUP('Données projet'!$B$17,Paramètres!$A$1:$I$88,5,0)</f>
        <v>240.01899999999978</v>
      </c>
      <c r="GB157" s="14">
        <f t="shared" si="185"/>
        <v>58.443618405936313</v>
      </c>
      <c r="GC157" s="22">
        <f t="shared" si="186"/>
        <v>519.82239372367201</v>
      </c>
      <c r="GD157" s="62">
        <f t="shared" si="134"/>
        <v>806.96434206103481</v>
      </c>
      <c r="GE157" s="62">
        <f ca="1">AVERAGE(OFFSET($GD$3,0,0,'Données projet'!$E$17+1,1))-AVERAGE(OFFSET($H$3,0,0,'Données projet'!$E$17+1,1))</f>
        <v>273.24375559399846</v>
      </c>
      <c r="GF157" s="62">
        <f t="shared" si="158"/>
        <v>270.77718895097848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projet'!$B$17,Paramètres!$A$1:$I$88,3,0)*0.475*44/12</f>
        <v>7.4727594458693094</v>
      </c>
      <c r="GM157" s="23">
        <f>EXP(-LN(2)/25)*GM156+(1-EXP(-LN(2)/25))/(LN(2)/25)*Calculateur!GH157*Calculateur!GJ157*VLOOKUP('Données projet'!$B$17,Paramètres!$A$1:$I$88,3,0)*0.475*44/12</f>
        <v>3.9162462007911061</v>
      </c>
      <c r="GN157" s="23">
        <f>EXP(-LN(2)/2)*GN156+(1-EXP(-LN(2)/2))/(LN(2)/2)*GH157*GK157*VLOOKUP('Données projet'!$B$17,Paramètres!$A$1:$I$88,3,0)*0.475*44/12</f>
        <v>0</v>
      </c>
      <c r="GO157" s="23">
        <f t="shared" si="187"/>
        <v>11.389005646660415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550.99999999999966</v>
      </c>
      <c r="O158" s="14">
        <f>N158*VLOOKUP('Données projet'!$B$9,Paramètres!$A$1:$I$88,3,0)*VLOOKUP('Données projet'!$B$9,Paramètres!$A$1:$I$88,5,0)</f>
        <v>308.00899999999979</v>
      </c>
      <c r="P158" s="14">
        <f t="shared" si="141"/>
        <v>72.852874331417695</v>
      </c>
      <c r="Q158" s="22">
        <f t="shared" si="162"/>
        <v>663.33443112721886</v>
      </c>
      <c r="R158" s="62">
        <f t="shared" si="109"/>
        <v>950.58378615239849</v>
      </c>
      <c r="S158" s="62">
        <f ca="1">AVERAGE(OFFSET($R$3,0,0,'Données projet'!$E$9+1,1))-AVERAGE(OFFSET($H$3,0,0,'Données projet'!$E$9+1,1))</f>
        <v>289.94242154211224</v>
      </c>
      <c r="T158" s="62">
        <f t="shared" si="142"/>
        <v>369.12599166143661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11.241308523241631</v>
      </c>
      <c r="AA158" s="23">
        <f>EXP(-LN(2)/25)*AA157+(1-EXP(-LN(2)/25))/(LN(2)/25)*Calculateur!V158*Calculateur!X158*VLOOKUP('Données projet'!$B$9,Paramètres!$A$1:$I$88,3,0)*0.475*44/12</f>
        <v>4.7973528294822749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16.038661352723906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6.8</v>
      </c>
      <c r="AI158" s="14">
        <f>IF('Données projet'!$A$62&gt;35,AI157+AH158-AQ157,IF(A158&lt;'Données projet'!$A$62,$AF$205^A158,IF(A158='Données projet'!$A$62,'Données projet'!$B$62,AI157+AH158-AQ157)))</f>
        <v>405.00000000000028</v>
      </c>
      <c r="AJ158" s="14">
        <f>AI158*VLOOKUP('Données projet'!$B$10,Paramètres!$A$1:$I$88,3,0)*VLOOKUP('Données projet'!$B$10,Paramètres!$A$1:$I$88,5,0)</f>
        <v>366.44400000000024</v>
      </c>
      <c r="AK158" s="14">
        <f t="shared" si="164"/>
        <v>84.939400925097274</v>
      </c>
      <c r="AL158" s="22">
        <f t="shared" si="165"/>
        <v>786.15942327787809</v>
      </c>
      <c r="AM158" s="62">
        <f t="shared" si="113"/>
        <v>1073.4087783030577</v>
      </c>
      <c r="AN158" s="62">
        <f ca="1">AVERAGE(OFFSET($AM$3,0,0,'Données projet'!$E$10+1,1))-AVERAGE(OFFSET($H$3,0,0,'Données projet'!$E$10+1,1))</f>
        <v>518.31628039365785</v>
      </c>
      <c r="AO158" s="62">
        <f t="shared" si="144"/>
        <v>66.435071953154761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44.31260322149636</v>
      </c>
      <c r="AV158" s="23">
        <f>EXP(-LN(2)/25)*AV157+(1-EXP(-LN(2)/25))/(LN(2)/25)*Calculateur!AQ158*Calculateur!AS158*VLOOKUP('Données projet'!$B$10,Paramètres!$A$1:$I$88,3,0)*0.475*44/12</f>
        <v>0</v>
      </c>
      <c r="AW158" s="23">
        <f>EXP(-LN(2)/2)*AW157+(1-EXP(-LN(2)/2))/(LN(2)/2)*AQ158*AT158*VLOOKUP('Données projet'!$B$10,Paramètres!$A$1:$I$88,3,0)*0.475*44/12</f>
        <v>0</v>
      </c>
      <c r="AX158" s="23">
        <f t="shared" si="166"/>
        <v>44.31260322149636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6.8</v>
      </c>
      <c r="BD158" s="13">
        <f>IF('Données projet'!$A$88&gt;35,BD157+BC158-BL157,IF(A158&lt;'Données projet'!$A$88,$BA$205^A158,IF(A158='Données projet'!$A$88,'Données projet'!$B$88,BD157+BC158-BL157)))</f>
        <v>405.00000000000028</v>
      </c>
      <c r="BE158" s="14">
        <f>BD158*VLOOKUP('Données projet'!$B$11,Paramètres!$A$1:$I$88,3,0)*VLOOKUP('Données projet'!$B$11,Paramètres!$A$1:$I$88,5,0)</f>
        <v>410.6700000000003</v>
      </c>
      <c r="BF158" s="14">
        <f t="shared" si="167"/>
        <v>93.936518545137645</v>
      </c>
      <c r="BG158" s="22">
        <f t="shared" si="168"/>
        <v>878.85635313278192</v>
      </c>
      <c r="BH158" s="62">
        <f t="shared" si="116"/>
        <v>1166.1057081579615</v>
      </c>
      <c r="BI158" s="62">
        <f ca="1">AVERAGE(OFFSET($BH$3,0,0,'Données projet'!$E$11+1,1))-AVERAGE(OFFSET($H$3,0,0,'Données projet'!$E$11+1,1))</f>
        <v>570.2785736203931</v>
      </c>
      <c r="BJ158" s="62">
        <f t="shared" si="146"/>
        <v>67.677759965081719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49.660676024090741</v>
      </c>
      <c r="BQ158" s="23">
        <f>EXP(-LN(2)/25)*BQ157+(1-EXP(-LN(2)/25))/(LN(2)/25)*Calculateur!BL158*Calculateur!BN158*VLOOKUP('Données projet'!$B$11,Paramètres!$A$1:$I$88,3,0)*0.475*44/12</f>
        <v>0</v>
      </c>
      <c r="BR158" s="23">
        <f>EXP(-LN(2)/2)*BR157+(1-EXP(-LN(2)/2))/(LN(2)/2)*BL158*BO158*VLOOKUP('Données projet'!$B$11,Paramètres!$A$1:$I$88,3,0)*0.475*44/12</f>
        <v>0</v>
      </c>
      <c r="BS158" s="24">
        <f t="shared" si="169"/>
        <v>49.660676024090741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544.19999999999982</v>
      </c>
      <c r="BZ158" s="14">
        <f>BY158*VLOOKUP('Données projet'!$B$12,Paramètres!$A$1:$I$88,3,0)*VLOOKUP('Données projet'!$B$12,Paramètres!$A$1:$I$88,5,0)</f>
        <v>325.43159999999995</v>
      </c>
      <c r="CA158" s="14">
        <f t="shared" si="170"/>
        <v>76.482394221016762</v>
      </c>
      <c r="CB158" s="22">
        <f t="shared" si="171"/>
        <v>700.00020660160408</v>
      </c>
      <c r="CC158" s="62">
        <f t="shared" si="119"/>
        <v>987.24956162678382</v>
      </c>
      <c r="CD158" s="62">
        <f ca="1">AVERAGE(OFFSET($CC$3,0,0,'Données projet'!$E$12+1,1))-AVERAGE(OFFSET($H$3,0,0,'Données projet'!$E$12+1,1))</f>
        <v>401.1031790385295</v>
      </c>
      <c r="CE158" s="62">
        <f t="shared" si="148"/>
        <v>402.09589424130615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projet'!$B$12,Paramètres!$A$1:$I$88,3,0)*0.475*44/12</f>
        <v>3.1607177001853399</v>
      </c>
      <c r="CL158" s="23">
        <f>EXP(-LN(2)/25)*CL157+(1-EXP(-LN(2)/25))/(LN(2)/25)*Calculateur!CG158*Calculateur!CI158*VLOOKUP('Données projet'!$B$12,Paramètres!$A$1:$I$88,3,0)*0.475*44/12</f>
        <v>0</v>
      </c>
      <c r="CM158" s="23">
        <f>EXP(-LN(2)/2)*CM157+(1-EXP(-LN(2)/2))/(LN(2)/2)*CG158*CJ158*VLOOKUP('Données projet'!$B$12,Paramètres!$A$1:$I$88,3,0)*0.475*44/12</f>
        <v>2.085772636452433E-14</v>
      </c>
      <c r="CN158" s="24">
        <f t="shared" si="172"/>
        <v>3.1607177001853608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544.19999999999982</v>
      </c>
      <c r="CU158" s="18">
        <f>CT158*VLOOKUP('Données projet'!$B$13,Paramètres!$A$1:$I$88,3,0)*VLOOKUP('Données projet'!$B$13,Paramètres!$A$1:$I$88,5,0)</f>
        <v>325.43159999999995</v>
      </c>
      <c r="CV158" s="14">
        <f t="shared" si="173"/>
        <v>76.482394221016762</v>
      </c>
      <c r="CW158" s="22">
        <f t="shared" si="174"/>
        <v>700.00020660160408</v>
      </c>
      <c r="CX158" s="62">
        <f t="shared" si="122"/>
        <v>987.24956162678382</v>
      </c>
      <c r="CY158" s="62">
        <f ca="1">AVERAGE(OFFSET($CX$3,0,0,'Données projet'!$E$13+1,1))-AVERAGE(OFFSET($H$3,0,0,'Données projet'!$E$13+1,1))</f>
        <v>401.1031790385295</v>
      </c>
      <c r="CZ158" s="62">
        <f t="shared" si="150"/>
        <v>402.09589424130615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projet'!$B$13,Paramètres!$A$1:$I$88,3,0)*0.475*44/12</f>
        <v>3.1607177001853399</v>
      </c>
      <c r="DG158" s="23">
        <f>EXP(-LN(2)/25)*DG157+(1-EXP(-LN(2)/25))/(LN(2)/25)*Calculateur!DB158*Calculateur!DD158*VLOOKUP('Données projet'!$B$13,Paramètres!$A$1:$I$88,3,0)*0.475*44/12</f>
        <v>0</v>
      </c>
      <c r="DH158" s="23">
        <f>EXP(-LN(2)/2)*DH157+(1-EXP(-LN(2)/2))/(LN(2)/2)*DB158*DE158*VLOOKUP('Données projet'!$B$13,Paramètres!$A$1:$I$88,3,0)*0.475*44/12</f>
        <v>2.085772636452433E-14</v>
      </c>
      <c r="DI158" s="24">
        <f t="shared" si="175"/>
        <v>3.1607177001853608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860.00000000000023</v>
      </c>
      <c r="DP158" s="18">
        <f>DO158*VLOOKUP('Données projet'!$B$14,Paramètres!$A$1:$I$88,3,0)*VLOOKUP('Données projet'!$B$14,Paramètres!$A$1:$I$88,5,0)</f>
        <v>346.5800000000001</v>
      </c>
      <c r="DQ158" s="14">
        <f t="shared" si="176"/>
        <v>80.857895771535127</v>
      </c>
      <c r="DR158" s="22">
        <f t="shared" si="177"/>
        <v>744.45433513542378</v>
      </c>
      <c r="DS158" s="62">
        <f t="shared" si="125"/>
        <v>1031.7036901606034</v>
      </c>
      <c r="DT158" s="62">
        <f ca="1">AVERAGE(OFFSET($DS$3,0,0,'Données projet'!$E$14+1,1))-AVERAGE(OFFSET($H$3,0,0,'Données projet'!$E$14+1,1))</f>
        <v>432.59662347701629</v>
      </c>
      <c r="DU158" s="62">
        <f t="shared" si="152"/>
        <v>348.67401091099748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projet'!$B$14,Paramètres!$A$1:$I$88,3,0)*0.475*44/12</f>
        <v>14.237965355984402</v>
      </c>
      <c r="EB158" s="23">
        <f>EXP(-LN(2)/25)*EB157+(1-EXP(-LN(2)/25))/(LN(2)/25)*Calculateur!DW158*Calculateur!DY158*VLOOKUP('Données projet'!$B$14,Paramètres!$A$1:$I$88,3,0)*0.475*44/12</f>
        <v>8.691418002574089</v>
      </c>
      <c r="EC158" s="23">
        <f>EXP(-LN(2)/2)*EC157+(1-EXP(-LN(2)/2))/(LN(2)/2)*DW158*DZ158*VLOOKUP('Données projet'!$B$14,Paramètres!$A$1:$I$88,3,0)*0.475*44/12</f>
        <v>0</v>
      </c>
      <c r="ED158" s="24">
        <f t="shared" si="178"/>
        <v>22.929383358558489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1099.9999999999998</v>
      </c>
      <c r="EK158" s="18">
        <f>EJ158*VLOOKUP('Données projet'!$B$15,Paramètres!$A$1:$I$88,3,0)*VLOOKUP('Données projet'!$B$15,Paramètres!$A$1:$I$88,5,0)</f>
        <v>486.19999999999993</v>
      </c>
      <c r="EL158" s="14">
        <f t="shared" si="179"/>
        <v>109.0490179035375</v>
      </c>
      <c r="EM158" s="22">
        <f t="shared" si="180"/>
        <v>1036.725372848661</v>
      </c>
      <c r="EN158" s="62">
        <f t="shared" si="128"/>
        <v>1323.9747278738407</v>
      </c>
      <c r="EO158" s="62">
        <f ca="1">AVERAGE(OFFSET($EN$3,0,0,'Données projet'!$E$15+1,1))-AVERAGE(OFFSET($H$3,0,0,'Données projet'!$E$15+1,1))</f>
        <v>582.26951914082088</v>
      </c>
      <c r="EP158" s="62">
        <f t="shared" si="154"/>
        <v>434.80429932654715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projet'!$B$15,Paramètres!$A$1:$I$88,3,0)*0.475*44/12</f>
        <v>14.346723547651246</v>
      </c>
      <c r="EW158" s="23">
        <f>EXP(-LN(2)/25)*EW157+(1-EXP(-LN(2)/25))/(LN(2)/25)*Calculateur!ER158*Calculateur!ET158*VLOOKUP('Données projet'!$B$15,Paramètres!$A$1:$I$88,3,0)*0.475*44/12</f>
        <v>7.8099156029822705</v>
      </c>
      <c r="EX158" s="23">
        <f>EXP(-LN(2)/2)*EX157+(1-EXP(-LN(2)/2))/(LN(2)/2)*ER158*EU158*VLOOKUP('Données projet'!$B$15,Paramètres!$A$1:$I$88,3,0)*0.475*44/12</f>
        <v>0</v>
      </c>
      <c r="EY158" s="24">
        <f t="shared" si="181"/>
        <v>22.156639150633517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854.99999999999989</v>
      </c>
      <c r="FF158" s="18">
        <f>FE158*VLOOKUP('Données projet'!$B$16,Paramètres!$A$1:$I$88,3,0)*VLOOKUP('Données projet'!$B$16,Paramètres!$A$1:$I$88,5,0)</f>
        <v>400.13999999999993</v>
      </c>
      <c r="FG158" s="14">
        <f t="shared" si="182"/>
        <v>91.805047494648534</v>
      </c>
      <c r="FH158" s="22">
        <f t="shared" si="183"/>
        <v>856.80429105317944</v>
      </c>
      <c r="FI158" s="62">
        <f t="shared" si="131"/>
        <v>1144.0536460783592</v>
      </c>
      <c r="FJ158" s="62">
        <f ca="1">AVERAGE(OFFSET($FI$3,0,0,'Données projet'!$E$16+1,1))-AVERAGE(OFFSET($H$3,0,0,'Données projet'!$E$16+1,1))</f>
        <v>429.87867712133851</v>
      </c>
      <c r="FK158" s="62">
        <f t="shared" si="156"/>
        <v>182.81277865988014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projet'!$B$16,Paramètres!$A$1:$I$88,3,0)*0.475*44/12</f>
        <v>17.110184656162225</v>
      </c>
      <c r="FR158" s="23">
        <f>EXP(-LN(2)/25)*FR157+(1-EXP(-LN(2)/25))/(LN(2)/25)*Calculateur!FM158*Calculateur!FO158*VLOOKUP('Données projet'!$B$16,Paramètres!$A$1:$I$88,3,0)*0.475*44/12</f>
        <v>9.9004051038356842</v>
      </c>
      <c r="FS158" s="23">
        <f>EXP(-LN(2)/2)*FS157+(1-EXP(-LN(2)/2))/(LN(2)/2)*FM158*FP158*VLOOKUP('Données projet'!$B$16,Paramètres!$A$1:$I$88,3,0)*0.475*44/12</f>
        <v>0</v>
      </c>
      <c r="FT158" s="24">
        <f t="shared" si="184"/>
        <v>27.010589759997909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498.99999999999955</v>
      </c>
      <c r="GA158" s="18">
        <f>FZ158*VLOOKUP('Données projet'!$B$17,Paramètres!$A$1:$I$88,3,0)*VLOOKUP('Données projet'!$B$17,Paramètres!$A$1:$I$88,5,0)</f>
        <v>240.01899999999978</v>
      </c>
      <c r="GB158" s="14">
        <f t="shared" si="185"/>
        <v>58.443618405936313</v>
      </c>
      <c r="GC158" s="22">
        <f t="shared" si="186"/>
        <v>519.82239372367201</v>
      </c>
      <c r="GD158" s="62">
        <f t="shared" si="134"/>
        <v>807.07174874885163</v>
      </c>
      <c r="GE158" s="62">
        <f ca="1">AVERAGE(OFFSET($GD$3,0,0,'Données projet'!$E$17+1,1))-AVERAGE(OFFSET($H$3,0,0,'Données projet'!$E$17+1,1))</f>
        <v>273.24375559399846</v>
      </c>
      <c r="GF158" s="62">
        <f t="shared" si="158"/>
        <v>270.77718895097848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projet'!$B$17,Paramètres!$A$1:$I$88,3,0)*0.475*44/12</f>
        <v>7.3262231910690154</v>
      </c>
      <c r="GM158" s="23">
        <f>EXP(-LN(2)/25)*GM157+(1-EXP(-LN(2)/25))/(LN(2)/25)*Calculateur!GH158*Calculateur!GJ158*VLOOKUP('Données projet'!$B$17,Paramètres!$A$1:$I$88,3,0)*0.475*44/12</f>
        <v>3.8091562424840362</v>
      </c>
      <c r="GN158" s="23">
        <f>EXP(-LN(2)/2)*GN157+(1-EXP(-LN(2)/2))/(LN(2)/2)*GH158*GK158*VLOOKUP('Données projet'!$B$17,Paramètres!$A$1:$I$88,3,0)*0.475*44/12</f>
        <v>0</v>
      </c>
      <c r="GO158" s="23">
        <f t="shared" si="187"/>
        <v>11.135379433553052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550.99999999999966</v>
      </c>
      <c r="O159" s="14">
        <f>N159*VLOOKUP('Données projet'!$B$9,Paramètres!$A$1:$I$88,3,0)*VLOOKUP('Données projet'!$B$9,Paramètres!$A$1:$I$88,5,0)</f>
        <v>308.00899999999979</v>
      </c>
      <c r="P159" s="14">
        <f t="shared" si="141"/>
        <v>72.852874331417695</v>
      </c>
      <c r="Q159" s="22">
        <f t="shared" si="162"/>
        <v>663.33443112721886</v>
      </c>
      <c r="R159" s="62">
        <f t="shared" si="109"/>
        <v>950.68932957430718</v>
      </c>
      <c r="S159" s="62">
        <f ca="1">AVERAGE(OFFSET($R$3,0,0,'Données projet'!$E$9+1,1))-AVERAGE(OFFSET($H$3,0,0,'Données projet'!$E$9+1,1))</f>
        <v>289.94242154211224</v>
      </c>
      <c r="T159" s="62">
        <f t="shared" si="142"/>
        <v>369.12599166143661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11.020873319622037</v>
      </c>
      <c r="AA159" s="23">
        <f>EXP(-LN(2)/25)*AA158+(1-EXP(-LN(2)/25))/(LN(2)/25)*Calculateur!V159*Calculateur!X159*VLOOKUP('Données projet'!$B$9,Paramètres!$A$1:$I$88,3,0)*0.475*44/12</f>
        <v>4.6661689640782615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15.687042283700299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6.8</v>
      </c>
      <c r="AI159" s="14">
        <f>IF('Données projet'!$A$62&gt;35,AI158+AH159-AQ158,IF(A159&lt;'Données projet'!$A$62,$AF$205^A159,IF(A159='Données projet'!$A$62,'Données projet'!$B$62,AI158+AH159-AQ158)))</f>
        <v>411.8000000000003</v>
      </c>
      <c r="AJ159" s="14">
        <f>AI159*VLOOKUP('Données projet'!$B$10,Paramètres!$A$1:$I$88,3,0)*VLOOKUP('Données projet'!$B$10,Paramètres!$A$1:$I$88,5,0)</f>
        <v>372.59664000000026</v>
      </c>
      <c r="AK159" s="14">
        <f t="shared" si="164"/>
        <v>86.198317140696403</v>
      </c>
      <c r="AL159" s="22">
        <f t="shared" si="165"/>
        <v>799.06788368671334</v>
      </c>
      <c r="AM159" s="62">
        <f t="shared" si="113"/>
        <v>1086.4227821338018</v>
      </c>
      <c r="AN159" s="62">
        <f ca="1">AVERAGE(OFFSET($AM$3,0,0,'Données projet'!$E$10+1,1))-AVERAGE(OFFSET($H$3,0,0,'Données projet'!$E$10+1,1))</f>
        <v>518.31628039365785</v>
      </c>
      <c r="AO159" s="62">
        <f t="shared" si="144"/>
        <v>66.435071953154761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43.443660100341987</v>
      </c>
      <c r="AV159" s="23">
        <f>EXP(-LN(2)/25)*AV158+(1-EXP(-LN(2)/25))/(LN(2)/25)*Calculateur!AQ159*Calculateur!AS159*VLOOKUP('Données projet'!$B$10,Paramètres!$A$1:$I$88,3,0)*0.475*44/12</f>
        <v>0</v>
      </c>
      <c r="AW159" s="23">
        <f>EXP(-LN(2)/2)*AW158+(1-EXP(-LN(2)/2))/(LN(2)/2)*AQ159*AT159*VLOOKUP('Données projet'!$B$10,Paramètres!$A$1:$I$88,3,0)*0.475*44/12</f>
        <v>0</v>
      </c>
      <c r="AX159" s="23">
        <f t="shared" si="166"/>
        <v>43.443660100341987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6.8</v>
      </c>
      <c r="BD159" s="13">
        <f>IF('Données projet'!$A$88&gt;35,BD158+BC159-BL158,IF(A159&lt;'Données projet'!$A$88,$BA$205^A159,IF(A159='Données projet'!$A$88,'Données projet'!$B$88,BD158+BC159-BL158)))</f>
        <v>411.8000000000003</v>
      </c>
      <c r="BE159" s="14">
        <f>BD159*VLOOKUP('Données projet'!$B$11,Paramètres!$A$1:$I$88,3,0)*VLOOKUP('Données projet'!$B$11,Paramètres!$A$1:$I$88,5,0)</f>
        <v>417.56520000000029</v>
      </c>
      <c r="BF159" s="14">
        <f t="shared" si="167"/>
        <v>95.328784150326996</v>
      </c>
      <c r="BG159" s="22">
        <f t="shared" si="168"/>
        <v>893.29035572848659</v>
      </c>
      <c r="BH159" s="62">
        <f t="shared" si="116"/>
        <v>1180.6452541755748</v>
      </c>
      <c r="BI159" s="62">
        <f ca="1">AVERAGE(OFFSET($BH$3,0,0,'Données projet'!$E$11+1,1))-AVERAGE(OFFSET($H$3,0,0,'Données projet'!$E$11+1,1))</f>
        <v>570.2785736203931</v>
      </c>
      <c r="BJ159" s="62">
        <f t="shared" si="146"/>
        <v>67.677759965081719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48.686860457279806</v>
      </c>
      <c r="BQ159" s="23">
        <f>EXP(-LN(2)/25)*BQ158+(1-EXP(-LN(2)/25))/(LN(2)/25)*Calculateur!BL159*Calculateur!BN159*VLOOKUP('Données projet'!$B$11,Paramètres!$A$1:$I$88,3,0)*0.475*44/12</f>
        <v>0</v>
      </c>
      <c r="BR159" s="23">
        <f>EXP(-LN(2)/2)*BR158+(1-EXP(-LN(2)/2))/(LN(2)/2)*BL159*BO159*VLOOKUP('Données projet'!$B$11,Paramètres!$A$1:$I$88,3,0)*0.475*44/12</f>
        <v>0</v>
      </c>
      <c r="BS159" s="24">
        <f t="shared" si="169"/>
        <v>48.686860457279806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544.19999999999982</v>
      </c>
      <c r="BZ159" s="14">
        <f>BY159*VLOOKUP('Données projet'!$B$12,Paramètres!$A$1:$I$88,3,0)*VLOOKUP('Données projet'!$B$12,Paramètres!$A$1:$I$88,5,0)</f>
        <v>325.43159999999995</v>
      </c>
      <c r="CA159" s="14">
        <f t="shared" si="170"/>
        <v>76.482394221016762</v>
      </c>
      <c r="CB159" s="22">
        <f t="shared" si="171"/>
        <v>700.00020660160408</v>
      </c>
      <c r="CC159" s="62">
        <f t="shared" si="119"/>
        <v>987.35510504869239</v>
      </c>
      <c r="CD159" s="62">
        <f ca="1">AVERAGE(OFFSET($CC$3,0,0,'Données projet'!$E$12+1,1))-AVERAGE(OFFSET($H$3,0,0,'Données projet'!$E$12+1,1))</f>
        <v>401.1031790385295</v>
      </c>
      <c r="CE159" s="62">
        <f t="shared" si="148"/>
        <v>402.09589424130615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projet'!$B$12,Paramètres!$A$1:$I$88,3,0)*0.475*44/12</f>
        <v>3.0987379539321434</v>
      </c>
      <c r="CL159" s="23">
        <f>EXP(-LN(2)/25)*CL158+(1-EXP(-LN(2)/25))/(LN(2)/25)*Calculateur!CG159*Calculateur!CI159*VLOOKUP('Données projet'!$B$12,Paramètres!$A$1:$I$88,3,0)*0.475*44/12</f>
        <v>0</v>
      </c>
      <c r="CM159" s="23">
        <f>EXP(-LN(2)/2)*CM158+(1-EXP(-LN(2)/2))/(LN(2)/2)*CG159*CJ159*VLOOKUP('Données projet'!$B$12,Paramètres!$A$1:$I$88,3,0)*0.475*44/12</f>
        <v>1.4748639752488589E-14</v>
      </c>
      <c r="CN159" s="24">
        <f t="shared" si="172"/>
        <v>3.098737953932158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544.19999999999982</v>
      </c>
      <c r="CU159" s="18">
        <f>CT159*VLOOKUP('Données projet'!$B$13,Paramètres!$A$1:$I$88,3,0)*VLOOKUP('Données projet'!$B$13,Paramètres!$A$1:$I$88,5,0)</f>
        <v>325.43159999999995</v>
      </c>
      <c r="CV159" s="14">
        <f t="shared" si="173"/>
        <v>76.482394221016762</v>
      </c>
      <c r="CW159" s="22">
        <f t="shared" si="174"/>
        <v>700.00020660160408</v>
      </c>
      <c r="CX159" s="62">
        <f t="shared" si="122"/>
        <v>987.35510504869239</v>
      </c>
      <c r="CY159" s="62">
        <f ca="1">AVERAGE(OFFSET($CX$3,0,0,'Données projet'!$E$13+1,1))-AVERAGE(OFFSET($H$3,0,0,'Données projet'!$E$13+1,1))</f>
        <v>401.1031790385295</v>
      </c>
      <c r="CZ159" s="62">
        <f t="shared" si="150"/>
        <v>402.09589424130615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projet'!$B$13,Paramètres!$A$1:$I$88,3,0)*0.475*44/12</f>
        <v>3.0987379539321434</v>
      </c>
      <c r="DG159" s="23">
        <f>EXP(-LN(2)/25)*DG158+(1-EXP(-LN(2)/25))/(LN(2)/25)*Calculateur!DB159*Calculateur!DD159*VLOOKUP('Données projet'!$B$13,Paramètres!$A$1:$I$88,3,0)*0.475*44/12</f>
        <v>0</v>
      </c>
      <c r="DH159" s="23">
        <f>EXP(-LN(2)/2)*DH158+(1-EXP(-LN(2)/2))/(LN(2)/2)*DB159*DE159*VLOOKUP('Données projet'!$B$13,Paramètres!$A$1:$I$88,3,0)*0.475*44/12</f>
        <v>1.4748639752488589E-14</v>
      </c>
      <c r="DI159" s="24">
        <f t="shared" si="175"/>
        <v>3.098737953932158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860.00000000000023</v>
      </c>
      <c r="DP159" s="18">
        <f>DO159*VLOOKUP('Données projet'!$B$14,Paramètres!$A$1:$I$88,3,0)*VLOOKUP('Données projet'!$B$14,Paramètres!$A$1:$I$88,5,0)</f>
        <v>346.5800000000001</v>
      </c>
      <c r="DQ159" s="14">
        <f t="shared" si="176"/>
        <v>80.857895771535127</v>
      </c>
      <c r="DR159" s="22">
        <f t="shared" si="177"/>
        <v>744.45433513542378</v>
      </c>
      <c r="DS159" s="62">
        <f t="shared" si="125"/>
        <v>1031.8092335825122</v>
      </c>
      <c r="DT159" s="62">
        <f ca="1">AVERAGE(OFFSET($DS$3,0,0,'Données projet'!$E$14+1,1))-AVERAGE(OFFSET($H$3,0,0,'Données projet'!$E$14+1,1))</f>
        <v>432.59662347701629</v>
      </c>
      <c r="DU159" s="62">
        <f t="shared" si="152"/>
        <v>348.67401091099748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projet'!$B$14,Paramètres!$A$1:$I$88,3,0)*0.475*44/12</f>
        <v>13.958767539654911</v>
      </c>
      <c r="EB159" s="23">
        <f>EXP(-LN(2)/25)*EB158+(1-EXP(-LN(2)/25))/(LN(2)/25)*Calculateur!DW159*Calculateur!DY159*VLOOKUP('Données projet'!$B$14,Paramètres!$A$1:$I$88,3,0)*0.475*44/12</f>
        <v>8.4537507202318931</v>
      </c>
      <c r="EC159" s="23">
        <f>EXP(-LN(2)/2)*EC158+(1-EXP(-LN(2)/2))/(LN(2)/2)*DW159*DZ159*VLOOKUP('Données projet'!$B$14,Paramètres!$A$1:$I$88,3,0)*0.475*44/12</f>
        <v>0</v>
      </c>
      <c r="ED159" s="24">
        <f t="shared" si="178"/>
        <v>22.412518259886802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1099.9999999999998</v>
      </c>
      <c r="EK159" s="18">
        <f>EJ159*VLOOKUP('Données projet'!$B$15,Paramètres!$A$1:$I$88,3,0)*VLOOKUP('Données projet'!$B$15,Paramètres!$A$1:$I$88,5,0)</f>
        <v>486.19999999999993</v>
      </c>
      <c r="EL159" s="14">
        <f t="shared" si="179"/>
        <v>109.0490179035375</v>
      </c>
      <c r="EM159" s="22">
        <f t="shared" si="180"/>
        <v>1036.725372848661</v>
      </c>
      <c r="EN159" s="62">
        <f t="shared" si="128"/>
        <v>1324.0802712957493</v>
      </c>
      <c r="EO159" s="62">
        <f ca="1">AVERAGE(OFFSET($EN$3,0,0,'Données projet'!$E$15+1,1))-AVERAGE(OFFSET($H$3,0,0,'Données projet'!$E$15+1,1))</f>
        <v>582.26951914082088</v>
      </c>
      <c r="EP159" s="62">
        <f t="shared" si="154"/>
        <v>434.80429932654715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projet'!$B$15,Paramètres!$A$1:$I$88,3,0)*0.475*44/12</f>
        <v>14.065393049519116</v>
      </c>
      <c r="EW159" s="23">
        <f>EXP(-LN(2)/25)*EW158+(1-EXP(-LN(2)/25))/(LN(2)/25)*Calculateur!ER159*Calculateur!ET159*VLOOKUP('Données projet'!$B$15,Paramètres!$A$1:$I$88,3,0)*0.475*44/12</f>
        <v>7.5963530501131089</v>
      </c>
      <c r="EX159" s="23">
        <f>EXP(-LN(2)/2)*EX158+(1-EXP(-LN(2)/2))/(LN(2)/2)*ER159*EU159*VLOOKUP('Données projet'!$B$15,Paramètres!$A$1:$I$88,3,0)*0.475*44/12</f>
        <v>0</v>
      </c>
      <c r="EY159" s="24">
        <f t="shared" si="181"/>
        <v>21.661746099632225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854.99999999999989</v>
      </c>
      <c r="FF159" s="18">
        <f>FE159*VLOOKUP('Données projet'!$B$16,Paramètres!$A$1:$I$88,3,0)*VLOOKUP('Données projet'!$B$16,Paramètres!$A$1:$I$88,5,0)</f>
        <v>400.13999999999993</v>
      </c>
      <c r="FG159" s="14">
        <f t="shared" si="182"/>
        <v>91.805047494648534</v>
      </c>
      <c r="FH159" s="22">
        <f t="shared" si="183"/>
        <v>856.80429105317944</v>
      </c>
      <c r="FI159" s="62">
        <f t="shared" si="131"/>
        <v>1144.1591895002678</v>
      </c>
      <c r="FJ159" s="62">
        <f ca="1">AVERAGE(OFFSET($FI$3,0,0,'Données projet'!$E$16+1,1))-AVERAGE(OFFSET($H$3,0,0,'Données projet'!$E$16+1,1))</f>
        <v>429.87867712133851</v>
      </c>
      <c r="FK159" s="62">
        <f t="shared" si="156"/>
        <v>182.81277865988014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projet'!$B$16,Paramètres!$A$1:$I$88,3,0)*0.475*44/12</f>
        <v>16.774664371237037</v>
      </c>
      <c r="FR159" s="23">
        <f>EXP(-LN(2)/25)*FR158+(1-EXP(-LN(2)/25))/(LN(2)/25)*Calculateur!FM159*Calculateur!FO159*VLOOKUP('Données projet'!$B$16,Paramètres!$A$1:$I$88,3,0)*0.475*44/12</f>
        <v>9.6296780056316198</v>
      </c>
      <c r="FS159" s="23">
        <f>EXP(-LN(2)/2)*FS158+(1-EXP(-LN(2)/2))/(LN(2)/2)*FM159*FP159*VLOOKUP('Données projet'!$B$16,Paramètres!$A$1:$I$88,3,0)*0.475*44/12</f>
        <v>0</v>
      </c>
      <c r="FT159" s="24">
        <f t="shared" si="184"/>
        <v>26.404342376868655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498.99999999999955</v>
      </c>
      <c r="GA159" s="18">
        <f>FZ159*VLOOKUP('Données projet'!$B$17,Paramètres!$A$1:$I$88,3,0)*VLOOKUP('Données projet'!$B$17,Paramètres!$A$1:$I$88,5,0)</f>
        <v>240.01899999999978</v>
      </c>
      <c r="GB159" s="14">
        <f t="shared" si="185"/>
        <v>58.443618405936313</v>
      </c>
      <c r="GC159" s="22">
        <f t="shared" si="186"/>
        <v>519.82239372367201</v>
      </c>
      <c r="GD159" s="62">
        <f t="shared" si="134"/>
        <v>807.17729217076032</v>
      </c>
      <c r="GE159" s="62">
        <f ca="1">AVERAGE(OFFSET($GD$3,0,0,'Données projet'!$E$17+1,1))-AVERAGE(OFFSET($H$3,0,0,'Données projet'!$E$17+1,1))</f>
        <v>273.24375559399846</v>
      </c>
      <c r="GF159" s="62">
        <f t="shared" si="158"/>
        <v>270.77718895097848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projet'!$B$17,Paramètres!$A$1:$I$88,3,0)*0.475*44/12</f>
        <v>7.1825604228470654</v>
      </c>
      <c r="GM159" s="23">
        <f>EXP(-LN(2)/25)*GM158+(1-EXP(-LN(2)/25))/(LN(2)/25)*Calculateur!GH159*Calculateur!GJ159*VLOOKUP('Données projet'!$B$17,Paramètres!$A$1:$I$88,3,0)*0.475*44/12</f>
        <v>3.7049946647184893</v>
      </c>
      <c r="GN159" s="23">
        <f>EXP(-LN(2)/2)*GN158+(1-EXP(-LN(2)/2))/(LN(2)/2)*GH159*GK159*VLOOKUP('Données projet'!$B$17,Paramètres!$A$1:$I$88,3,0)*0.475*44/12</f>
        <v>0</v>
      </c>
      <c r="GO159" s="23">
        <f t="shared" si="187"/>
        <v>10.887555087565556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550.99999999999966</v>
      </c>
      <c r="O160" s="14">
        <f>N160*VLOOKUP('Données projet'!$B$9,Paramètres!$A$1:$I$88,3,0)*VLOOKUP('Données projet'!$B$9,Paramètres!$A$1:$I$88,5,0)</f>
        <v>308.00899999999979</v>
      </c>
      <c r="P160" s="14">
        <f t="shared" si="141"/>
        <v>72.852874331417695</v>
      </c>
      <c r="Q160" s="22">
        <f t="shared" si="162"/>
        <v>663.33443112721886</v>
      </c>
      <c r="R160" s="62">
        <f t="shared" si="109"/>
        <v>950.79304205380549</v>
      </c>
      <c r="S160" s="62">
        <f ca="1">AVERAGE(OFFSET($R$3,0,0,'Données projet'!$E$9+1,1))-AVERAGE(OFFSET($H$3,0,0,'Données projet'!$E$9+1,1))</f>
        <v>289.94242154211224</v>
      </c>
      <c r="T160" s="62">
        <f t="shared" si="142"/>
        <v>369.12599166143661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10.804760715893226</v>
      </c>
      <c r="AA160" s="23">
        <f>EXP(-LN(2)/25)*AA159+(1-EXP(-LN(2)/25))/(LN(2)/25)*Calculateur!V160*Calculateur!X160*VLOOKUP('Données projet'!$B$9,Paramètres!$A$1:$I$88,3,0)*0.475*44/12</f>
        <v>4.5385723283723802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15.343333044265606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6.8</v>
      </c>
      <c r="AI160" s="14">
        <f>IF('Données projet'!$A$62&gt;35,AI159+AH160-AQ159,IF(A160&lt;'Données projet'!$A$62,$AF$205^A160,IF(A160='Données projet'!$A$62,'Données projet'!$B$62,AI159+AH160-AQ159)))</f>
        <v>418.60000000000031</v>
      </c>
      <c r="AJ160" s="14">
        <f>AI160*VLOOKUP('Données projet'!$B$10,Paramètres!$A$1:$I$88,3,0)*VLOOKUP('Données projet'!$B$10,Paramètres!$A$1:$I$88,5,0)</f>
        <v>378.74928000000023</v>
      </c>
      <c r="AK160" s="14">
        <f t="shared" si="164"/>
        <v>87.45481580368336</v>
      </c>
      <c r="AL160" s="22">
        <f t="shared" si="165"/>
        <v>811.97213352474898</v>
      </c>
      <c r="AM160" s="62">
        <f t="shared" si="113"/>
        <v>1099.4307444513356</v>
      </c>
      <c r="AN160" s="62">
        <f ca="1">AVERAGE(OFFSET($AM$3,0,0,'Données projet'!$E$10+1,1))-AVERAGE(OFFSET($H$3,0,0,'Données projet'!$E$10+1,1))</f>
        <v>518.31628039365785</v>
      </c>
      <c r="AO160" s="62">
        <f t="shared" si="144"/>
        <v>66.435071953154761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42.591756423790478</v>
      </c>
      <c r="AV160" s="23">
        <f>EXP(-LN(2)/25)*AV159+(1-EXP(-LN(2)/25))/(LN(2)/25)*Calculateur!AQ160*Calculateur!AS160*VLOOKUP('Données projet'!$B$10,Paramètres!$A$1:$I$88,3,0)*0.475*44/12</f>
        <v>0</v>
      </c>
      <c r="AW160" s="23">
        <f>EXP(-LN(2)/2)*AW159+(1-EXP(-LN(2)/2))/(LN(2)/2)*AQ160*AT160*VLOOKUP('Données projet'!$B$10,Paramètres!$A$1:$I$88,3,0)*0.475*44/12</f>
        <v>0</v>
      </c>
      <c r="AX160" s="23">
        <f t="shared" si="166"/>
        <v>42.591756423790478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6.8</v>
      </c>
      <c r="BD160" s="13">
        <f>IF('Données projet'!$A$88&gt;35,BD159+BC160-BL159,IF(A160&lt;'Données projet'!$A$88,$BA$205^A160,IF(A160='Données projet'!$A$88,'Données projet'!$B$88,BD159+BC160-BL159)))</f>
        <v>418.60000000000031</v>
      </c>
      <c r="BE160" s="14">
        <f>BD160*VLOOKUP('Données projet'!$B$11,Paramètres!$A$1:$I$88,3,0)*VLOOKUP('Données projet'!$B$11,Paramètres!$A$1:$I$88,5,0)</f>
        <v>424.46040000000033</v>
      </c>
      <c r="BF160" s="14">
        <f t="shared" si="167"/>
        <v>96.71837612616045</v>
      </c>
      <c r="BG160" s="22">
        <f t="shared" si="168"/>
        <v>907.7197017530633</v>
      </c>
      <c r="BH160" s="62">
        <f t="shared" si="116"/>
        <v>1195.1783126796499</v>
      </c>
      <c r="BI160" s="62">
        <f ca="1">AVERAGE(OFFSET($BH$3,0,0,'Données projet'!$E$11+1,1))-AVERAGE(OFFSET($H$3,0,0,'Données projet'!$E$11+1,1))</f>
        <v>570.2785736203931</v>
      </c>
      <c r="BJ160" s="62">
        <f t="shared" si="146"/>
        <v>67.677759965081719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47.732140819765185</v>
      </c>
      <c r="BQ160" s="23">
        <f>EXP(-LN(2)/25)*BQ159+(1-EXP(-LN(2)/25))/(LN(2)/25)*Calculateur!BL160*Calculateur!BN160*VLOOKUP('Données projet'!$B$11,Paramètres!$A$1:$I$88,3,0)*0.475*44/12</f>
        <v>0</v>
      </c>
      <c r="BR160" s="23">
        <f>EXP(-LN(2)/2)*BR159+(1-EXP(-LN(2)/2))/(LN(2)/2)*BL160*BO160*VLOOKUP('Données projet'!$B$11,Paramètres!$A$1:$I$88,3,0)*0.475*44/12</f>
        <v>0</v>
      </c>
      <c r="BS160" s="24">
        <f t="shared" si="169"/>
        <v>47.732140819765185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544.19999999999982</v>
      </c>
      <c r="BZ160" s="14">
        <f>BY160*VLOOKUP('Données projet'!$B$12,Paramètres!$A$1:$I$88,3,0)*VLOOKUP('Données projet'!$B$12,Paramètres!$A$1:$I$88,5,0)</f>
        <v>325.43159999999995</v>
      </c>
      <c r="CA160" s="14">
        <f t="shared" si="170"/>
        <v>76.482394221016762</v>
      </c>
      <c r="CB160" s="22">
        <f t="shared" si="171"/>
        <v>700.00020660160408</v>
      </c>
      <c r="CC160" s="62">
        <f t="shared" si="119"/>
        <v>987.45881752819059</v>
      </c>
      <c r="CD160" s="62">
        <f ca="1">AVERAGE(OFFSET($CC$3,0,0,'Données projet'!$E$12+1,1))-AVERAGE(OFFSET($H$3,0,0,'Données projet'!$E$12+1,1))</f>
        <v>401.1031790385295</v>
      </c>
      <c r="CE160" s="62">
        <f t="shared" si="148"/>
        <v>402.09589424130615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projet'!$B$12,Paramètres!$A$1:$I$88,3,0)*0.475*44/12</f>
        <v>3.0379735926990596</v>
      </c>
      <c r="CL160" s="23">
        <f>EXP(-LN(2)/25)*CL159+(1-EXP(-LN(2)/25))/(LN(2)/25)*Calculateur!CG160*Calculateur!CI160*VLOOKUP('Données projet'!$B$12,Paramètres!$A$1:$I$88,3,0)*0.475*44/12</f>
        <v>0</v>
      </c>
      <c r="CM160" s="23">
        <f>EXP(-LN(2)/2)*CM159+(1-EXP(-LN(2)/2))/(LN(2)/2)*CG160*CJ160*VLOOKUP('Données projet'!$B$12,Paramètres!$A$1:$I$88,3,0)*0.475*44/12</f>
        <v>1.0428863182262165E-14</v>
      </c>
      <c r="CN160" s="24">
        <f t="shared" si="172"/>
        <v>3.0379735926990699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544.19999999999982</v>
      </c>
      <c r="CU160" s="18">
        <f>CT160*VLOOKUP('Données projet'!$B$13,Paramètres!$A$1:$I$88,3,0)*VLOOKUP('Données projet'!$B$13,Paramètres!$A$1:$I$88,5,0)</f>
        <v>325.43159999999995</v>
      </c>
      <c r="CV160" s="14">
        <f t="shared" si="173"/>
        <v>76.482394221016762</v>
      </c>
      <c r="CW160" s="22">
        <f t="shared" si="174"/>
        <v>700.00020660160408</v>
      </c>
      <c r="CX160" s="62">
        <f t="shared" si="122"/>
        <v>987.45881752819059</v>
      </c>
      <c r="CY160" s="62">
        <f ca="1">AVERAGE(OFFSET($CX$3,0,0,'Données projet'!$E$13+1,1))-AVERAGE(OFFSET($H$3,0,0,'Données projet'!$E$13+1,1))</f>
        <v>401.1031790385295</v>
      </c>
      <c r="CZ160" s="62">
        <f t="shared" si="150"/>
        <v>402.09589424130615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projet'!$B$13,Paramètres!$A$1:$I$88,3,0)*0.475*44/12</f>
        <v>3.0379735926990596</v>
      </c>
      <c r="DG160" s="23">
        <f>EXP(-LN(2)/25)*DG159+(1-EXP(-LN(2)/25))/(LN(2)/25)*Calculateur!DB160*Calculateur!DD160*VLOOKUP('Données projet'!$B$13,Paramètres!$A$1:$I$88,3,0)*0.475*44/12</f>
        <v>0</v>
      </c>
      <c r="DH160" s="23">
        <f>EXP(-LN(2)/2)*DH159+(1-EXP(-LN(2)/2))/(LN(2)/2)*DB160*DE160*VLOOKUP('Données projet'!$B$13,Paramètres!$A$1:$I$88,3,0)*0.475*44/12</f>
        <v>1.0428863182262165E-14</v>
      </c>
      <c r="DI160" s="24">
        <f t="shared" si="175"/>
        <v>3.0379735926990699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860.00000000000023</v>
      </c>
      <c r="DP160" s="18">
        <f>DO160*VLOOKUP('Données projet'!$B$14,Paramètres!$A$1:$I$88,3,0)*VLOOKUP('Données projet'!$B$14,Paramètres!$A$1:$I$88,5,0)</f>
        <v>346.5800000000001</v>
      </c>
      <c r="DQ160" s="14">
        <f t="shared" si="176"/>
        <v>80.857895771535127</v>
      </c>
      <c r="DR160" s="22">
        <f t="shared" si="177"/>
        <v>744.45433513542378</v>
      </c>
      <c r="DS160" s="62">
        <f t="shared" si="125"/>
        <v>1031.9129460620104</v>
      </c>
      <c r="DT160" s="62">
        <f ca="1">AVERAGE(OFFSET($DS$3,0,0,'Données projet'!$E$14+1,1))-AVERAGE(OFFSET($H$3,0,0,'Données projet'!$E$14+1,1))</f>
        <v>432.59662347701629</v>
      </c>
      <c r="DU160" s="62">
        <f t="shared" si="152"/>
        <v>348.67401091099748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projet'!$B$14,Paramètres!$A$1:$I$88,3,0)*0.475*44/12</f>
        <v>13.685044622209789</v>
      </c>
      <c r="EB160" s="23">
        <f>EXP(-LN(2)/25)*EB159+(1-EXP(-LN(2)/25))/(LN(2)/25)*Calculateur!DW160*Calculateur!DY160*VLOOKUP('Données projet'!$B$14,Paramètres!$A$1:$I$88,3,0)*0.475*44/12</f>
        <v>8.2225824622237234</v>
      </c>
      <c r="EC160" s="23">
        <f>EXP(-LN(2)/2)*EC159+(1-EXP(-LN(2)/2))/(LN(2)/2)*DW160*DZ160*VLOOKUP('Données projet'!$B$14,Paramètres!$A$1:$I$88,3,0)*0.475*44/12</f>
        <v>0</v>
      </c>
      <c r="ED160" s="24">
        <f t="shared" si="178"/>
        <v>21.907627084433514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1099.9999999999998</v>
      </c>
      <c r="EK160" s="18">
        <f>EJ160*VLOOKUP('Données projet'!$B$15,Paramètres!$A$1:$I$88,3,0)*VLOOKUP('Données projet'!$B$15,Paramètres!$A$1:$I$88,5,0)</f>
        <v>486.19999999999993</v>
      </c>
      <c r="EL160" s="14">
        <f t="shared" si="179"/>
        <v>109.0490179035375</v>
      </c>
      <c r="EM160" s="22">
        <f t="shared" si="180"/>
        <v>1036.725372848661</v>
      </c>
      <c r="EN160" s="62">
        <f t="shared" si="128"/>
        <v>1324.1839837752475</v>
      </c>
      <c r="EO160" s="62">
        <f ca="1">AVERAGE(OFFSET($EN$3,0,0,'Données projet'!$E$15+1,1))-AVERAGE(OFFSET($H$3,0,0,'Données projet'!$E$15+1,1))</f>
        <v>582.26951914082088</v>
      </c>
      <c r="EP160" s="62">
        <f t="shared" si="154"/>
        <v>434.80429932654715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projet'!$B$15,Paramètres!$A$1:$I$88,3,0)*0.475*44/12</f>
        <v>13.789579270860697</v>
      </c>
      <c r="EW160" s="23">
        <f>EXP(-LN(2)/25)*EW159+(1-EXP(-LN(2)/25))/(LN(2)/25)*Calculateur!ER160*Calculateur!ET160*VLOOKUP('Données projet'!$B$15,Paramètres!$A$1:$I$88,3,0)*0.475*44/12</f>
        <v>7.3886303764829204</v>
      </c>
      <c r="EX160" s="23">
        <f>EXP(-LN(2)/2)*EX159+(1-EXP(-LN(2)/2))/(LN(2)/2)*ER160*EU160*VLOOKUP('Données projet'!$B$15,Paramètres!$A$1:$I$88,3,0)*0.475*44/12</f>
        <v>0</v>
      </c>
      <c r="EY160" s="24">
        <f t="shared" si="181"/>
        <v>21.178209647343618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854.99999999999989</v>
      </c>
      <c r="FF160" s="18">
        <f>FE160*VLOOKUP('Données projet'!$B$16,Paramètres!$A$1:$I$88,3,0)*VLOOKUP('Données projet'!$B$16,Paramètres!$A$1:$I$88,5,0)</f>
        <v>400.13999999999993</v>
      </c>
      <c r="FG160" s="14">
        <f t="shared" si="182"/>
        <v>91.805047494648534</v>
      </c>
      <c r="FH160" s="22">
        <f t="shared" si="183"/>
        <v>856.80429105317944</v>
      </c>
      <c r="FI160" s="62">
        <f t="shared" si="131"/>
        <v>1144.262901979766</v>
      </c>
      <c r="FJ160" s="62">
        <f ca="1">AVERAGE(OFFSET($FI$3,0,0,'Données projet'!$E$16+1,1))-AVERAGE(OFFSET($H$3,0,0,'Données projet'!$E$16+1,1))</f>
        <v>429.87867712133851</v>
      </c>
      <c r="FK160" s="62">
        <f t="shared" si="156"/>
        <v>182.81277865988014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projet'!$B$16,Paramètres!$A$1:$I$88,3,0)*0.475*44/12</f>
        <v>16.445723434452066</v>
      </c>
      <c r="FR160" s="23">
        <f>EXP(-LN(2)/25)*FR159+(1-EXP(-LN(2)/25))/(LN(2)/25)*Calculateur!FM160*Calculateur!FO160*VLOOKUP('Données projet'!$B$16,Paramètres!$A$1:$I$88,3,0)*0.475*44/12</f>
        <v>9.3663539541648664</v>
      </c>
      <c r="FS160" s="23">
        <f>EXP(-LN(2)/2)*FS159+(1-EXP(-LN(2)/2))/(LN(2)/2)*FM160*FP160*VLOOKUP('Données projet'!$B$16,Paramètres!$A$1:$I$88,3,0)*0.475*44/12</f>
        <v>0</v>
      </c>
      <c r="FT160" s="24">
        <f t="shared" si="184"/>
        <v>25.812077388616935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498.99999999999955</v>
      </c>
      <c r="GA160" s="18">
        <f>FZ160*VLOOKUP('Données projet'!$B$17,Paramètres!$A$1:$I$88,3,0)*VLOOKUP('Données projet'!$B$17,Paramètres!$A$1:$I$88,5,0)</f>
        <v>240.01899999999978</v>
      </c>
      <c r="GB160" s="14">
        <f t="shared" si="185"/>
        <v>58.443618405936313</v>
      </c>
      <c r="GC160" s="22">
        <f t="shared" si="186"/>
        <v>519.82239372367201</v>
      </c>
      <c r="GD160" s="62">
        <f t="shared" si="134"/>
        <v>807.28100465025864</v>
      </c>
      <c r="GE160" s="62">
        <f ca="1">AVERAGE(OFFSET($GD$3,0,0,'Données projet'!$E$17+1,1))-AVERAGE(OFFSET($H$3,0,0,'Données projet'!$E$17+1,1))</f>
        <v>273.24375559399846</v>
      </c>
      <c r="GF160" s="62">
        <f t="shared" si="158"/>
        <v>270.77718895097848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projet'!$B$17,Paramètres!$A$1:$I$88,3,0)*0.475*44/12</f>
        <v>7.0417147938843119</v>
      </c>
      <c r="GM160" s="23">
        <f>EXP(-LN(2)/25)*GM159+(1-EXP(-LN(2)/25))/(LN(2)/25)*Calculateur!GH160*Calculateur!GJ160*VLOOKUP('Données projet'!$B$17,Paramètres!$A$1:$I$88,3,0)*0.475*44/12</f>
        <v>3.6036813907745606</v>
      </c>
      <c r="GN160" s="23">
        <f>EXP(-LN(2)/2)*GN159+(1-EXP(-LN(2)/2))/(LN(2)/2)*GH160*GK160*VLOOKUP('Données projet'!$B$17,Paramètres!$A$1:$I$88,3,0)*0.475*44/12</f>
        <v>0</v>
      </c>
      <c r="GO160" s="23">
        <f t="shared" si="187"/>
        <v>10.645396184658873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550.99999999999966</v>
      </c>
      <c r="O161" s="14">
        <f>N161*VLOOKUP('Données projet'!$B$9,Paramètres!$A$1:$I$88,3,0)*VLOOKUP('Données projet'!$B$9,Paramètres!$A$1:$I$88,5,0)</f>
        <v>308.00899999999979</v>
      </c>
      <c r="P161" s="14">
        <f t="shared" si="141"/>
        <v>72.852874331417695</v>
      </c>
      <c r="Q161" s="22">
        <f t="shared" si="162"/>
        <v>663.33443112721886</v>
      </c>
      <c r="R161" s="62">
        <f t="shared" si="109"/>
        <v>950.89495535365086</v>
      </c>
      <c r="S161" s="62">
        <f ca="1">AVERAGE(OFFSET($R$3,0,0,'Données projet'!$E$9+1,1))-AVERAGE(OFFSET($H$3,0,0,'Données projet'!$E$9+1,1))</f>
        <v>289.94242154211224</v>
      </c>
      <c r="T161" s="62">
        <f t="shared" si="142"/>
        <v>369.12599166143661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10.592885948507863</v>
      </c>
      <c r="AA161" s="23">
        <f>EXP(-LN(2)/25)*AA160+(1-EXP(-LN(2)/25))/(LN(2)/25)*Calculateur!V161*Calculateur!X161*VLOOKUP('Données projet'!$B$9,Paramètres!$A$1:$I$88,3,0)*0.475*44/12</f>
        <v>4.4144648293798916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15.007350777887755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6.8</v>
      </c>
      <c r="AI161" s="14">
        <f>IF('Données projet'!$A$62&gt;35,AI160+AH161-AQ160,IF(A161&lt;'Données projet'!$A$62,$AF$205^A161,IF(A161='Données projet'!$A$62,'Données projet'!$B$62,AI160+AH161-AQ160)))</f>
        <v>425.40000000000032</v>
      </c>
      <c r="AJ161" s="14">
        <f>AI161*VLOOKUP('Données projet'!$B$10,Paramètres!$A$1:$I$88,3,0)*VLOOKUP('Données projet'!$B$10,Paramètres!$A$1:$I$88,5,0)</f>
        <v>384.9019200000003</v>
      </c>
      <c r="AK161" s="14">
        <f t="shared" si="164"/>
        <v>88.708940720038413</v>
      </c>
      <c r="AL161" s="22">
        <f t="shared" si="165"/>
        <v>824.87224908740075</v>
      </c>
      <c r="AM161" s="62">
        <f t="shared" si="113"/>
        <v>1112.4327733138327</v>
      </c>
      <c r="AN161" s="62">
        <f ca="1">AVERAGE(OFFSET($AM$3,0,0,'Données projet'!$E$10+1,1))-AVERAGE(OFFSET($H$3,0,0,'Données projet'!$E$10+1,1))</f>
        <v>518.31628039365785</v>
      </c>
      <c r="AO161" s="62">
        <f t="shared" si="144"/>
        <v>66.435071953154761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41.756558058726213</v>
      </c>
      <c r="AV161" s="23">
        <f>EXP(-LN(2)/25)*AV160+(1-EXP(-LN(2)/25))/(LN(2)/25)*Calculateur!AQ161*Calculateur!AS161*VLOOKUP('Données projet'!$B$10,Paramètres!$A$1:$I$88,3,0)*0.475*44/12</f>
        <v>0</v>
      </c>
      <c r="AW161" s="23">
        <f>EXP(-LN(2)/2)*AW160+(1-EXP(-LN(2)/2))/(LN(2)/2)*AQ161*AT161*VLOOKUP('Données projet'!$B$10,Paramètres!$A$1:$I$88,3,0)*0.475*44/12</f>
        <v>0</v>
      </c>
      <c r="AX161" s="23">
        <f t="shared" si="166"/>
        <v>41.756558058726213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6.8</v>
      </c>
      <c r="BD161" s="13">
        <f>IF('Données projet'!$A$88&gt;35,BD160+BC161-BL160,IF(A161&lt;'Données projet'!$A$88,$BA$205^A161,IF(A161='Données projet'!$A$88,'Données projet'!$B$88,BD160+BC161-BL160)))</f>
        <v>425.40000000000032</v>
      </c>
      <c r="BE161" s="14">
        <f>BD161*VLOOKUP('Données projet'!$B$11,Paramètres!$A$1:$I$88,3,0)*VLOOKUP('Données projet'!$B$11,Paramètres!$A$1:$I$88,5,0)</f>
        <v>431.35560000000038</v>
      </c>
      <c r="BF161" s="14">
        <f t="shared" si="167"/>
        <v>98.105342918721007</v>
      </c>
      <c r="BG161" s="22">
        <f t="shared" si="168"/>
        <v>922.14447558343954</v>
      </c>
      <c r="BH161" s="62">
        <f t="shared" si="116"/>
        <v>1209.7049998098714</v>
      </c>
      <c r="BI161" s="62">
        <f ca="1">AVERAGE(OFFSET($BH$3,0,0,'Données projet'!$E$11+1,1))-AVERAGE(OFFSET($H$3,0,0,'Données projet'!$E$11+1,1))</f>
        <v>570.2785736203931</v>
      </c>
      <c r="BJ161" s="62">
        <f t="shared" si="146"/>
        <v>67.677759965081719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46.796142652020748</v>
      </c>
      <c r="BQ161" s="23">
        <f>EXP(-LN(2)/25)*BQ160+(1-EXP(-LN(2)/25))/(LN(2)/25)*Calculateur!BL161*Calculateur!BN161*VLOOKUP('Données projet'!$B$11,Paramètres!$A$1:$I$88,3,0)*0.475*44/12</f>
        <v>0</v>
      </c>
      <c r="BR161" s="23">
        <f>EXP(-LN(2)/2)*BR160+(1-EXP(-LN(2)/2))/(LN(2)/2)*BL161*BO161*VLOOKUP('Données projet'!$B$11,Paramètres!$A$1:$I$88,3,0)*0.475*44/12</f>
        <v>0</v>
      </c>
      <c r="BS161" s="24">
        <f t="shared" si="169"/>
        <v>46.796142652020748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544.19999999999982</v>
      </c>
      <c r="BZ161" s="14">
        <f>BY161*VLOOKUP('Données projet'!$B$12,Paramètres!$A$1:$I$88,3,0)*VLOOKUP('Données projet'!$B$12,Paramètres!$A$1:$I$88,5,0)</f>
        <v>325.43159999999995</v>
      </c>
      <c r="CA161" s="14">
        <f t="shared" si="170"/>
        <v>76.482394221016762</v>
      </c>
      <c r="CB161" s="22">
        <f t="shared" si="171"/>
        <v>700.00020660160408</v>
      </c>
      <c r="CC161" s="62">
        <f t="shared" si="119"/>
        <v>987.56073082803607</v>
      </c>
      <c r="CD161" s="62">
        <f ca="1">AVERAGE(OFFSET($CC$3,0,0,'Données projet'!$E$12+1,1))-AVERAGE(OFFSET($H$3,0,0,'Données projet'!$E$12+1,1))</f>
        <v>401.1031790385295</v>
      </c>
      <c r="CE161" s="62">
        <f t="shared" si="148"/>
        <v>402.09589424130615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projet'!$B$12,Paramètres!$A$1:$I$88,3,0)*0.475*44/12</f>
        <v>2.9784007835271558</v>
      </c>
      <c r="CL161" s="23">
        <f>EXP(-LN(2)/25)*CL160+(1-EXP(-LN(2)/25))/(LN(2)/25)*Calculateur!CG161*Calculateur!CI161*VLOOKUP('Données projet'!$B$12,Paramètres!$A$1:$I$88,3,0)*0.475*44/12</f>
        <v>0</v>
      </c>
      <c r="CM161" s="23">
        <f>EXP(-LN(2)/2)*CM160+(1-EXP(-LN(2)/2))/(LN(2)/2)*CG161*CJ161*VLOOKUP('Données projet'!$B$12,Paramètres!$A$1:$I$88,3,0)*0.475*44/12</f>
        <v>7.3743198762442943E-15</v>
      </c>
      <c r="CN161" s="24">
        <f t="shared" si="172"/>
        <v>2.9784007835271633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544.19999999999982</v>
      </c>
      <c r="CU161" s="18">
        <f>CT161*VLOOKUP('Données projet'!$B$13,Paramètres!$A$1:$I$88,3,0)*VLOOKUP('Données projet'!$B$13,Paramètres!$A$1:$I$88,5,0)</f>
        <v>325.43159999999995</v>
      </c>
      <c r="CV161" s="14">
        <f t="shared" si="173"/>
        <v>76.482394221016762</v>
      </c>
      <c r="CW161" s="22">
        <f t="shared" si="174"/>
        <v>700.00020660160408</v>
      </c>
      <c r="CX161" s="62">
        <f t="shared" si="122"/>
        <v>987.56073082803607</v>
      </c>
      <c r="CY161" s="62">
        <f ca="1">AVERAGE(OFFSET($CX$3,0,0,'Données projet'!$E$13+1,1))-AVERAGE(OFFSET($H$3,0,0,'Données projet'!$E$13+1,1))</f>
        <v>401.1031790385295</v>
      </c>
      <c r="CZ161" s="62">
        <f t="shared" si="150"/>
        <v>402.09589424130615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projet'!$B$13,Paramètres!$A$1:$I$88,3,0)*0.475*44/12</f>
        <v>2.9784007835271558</v>
      </c>
      <c r="DG161" s="23">
        <f>EXP(-LN(2)/25)*DG160+(1-EXP(-LN(2)/25))/(LN(2)/25)*Calculateur!DB161*Calculateur!DD161*VLOOKUP('Données projet'!$B$13,Paramètres!$A$1:$I$88,3,0)*0.475*44/12</f>
        <v>0</v>
      </c>
      <c r="DH161" s="23">
        <f>EXP(-LN(2)/2)*DH160+(1-EXP(-LN(2)/2))/(LN(2)/2)*DB161*DE161*VLOOKUP('Données projet'!$B$13,Paramètres!$A$1:$I$88,3,0)*0.475*44/12</f>
        <v>7.3743198762442943E-15</v>
      </c>
      <c r="DI161" s="24">
        <f t="shared" si="175"/>
        <v>2.9784007835271633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860.00000000000023</v>
      </c>
      <c r="DP161" s="18">
        <f>DO161*VLOOKUP('Données projet'!$B$14,Paramètres!$A$1:$I$88,3,0)*VLOOKUP('Données projet'!$B$14,Paramètres!$A$1:$I$88,5,0)</f>
        <v>346.5800000000001</v>
      </c>
      <c r="DQ161" s="14">
        <f t="shared" si="176"/>
        <v>80.857895771535127</v>
      </c>
      <c r="DR161" s="22">
        <f t="shared" si="177"/>
        <v>744.45433513542378</v>
      </c>
      <c r="DS161" s="62">
        <f t="shared" si="125"/>
        <v>1032.0148593618558</v>
      </c>
      <c r="DT161" s="62">
        <f ca="1">AVERAGE(OFFSET($DS$3,0,0,'Données projet'!$E$14+1,1))-AVERAGE(OFFSET($H$3,0,0,'Données projet'!$E$14+1,1))</f>
        <v>432.59662347701629</v>
      </c>
      <c r="DU161" s="62">
        <f t="shared" si="152"/>
        <v>348.67401091099748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projet'!$B$14,Paramètres!$A$1:$I$88,3,0)*0.475*44/12</f>
        <v>13.416689244221272</v>
      </c>
      <c r="EB161" s="23">
        <f>EXP(-LN(2)/25)*EB160+(1-EXP(-LN(2)/25))/(LN(2)/25)*Calculateur!DW161*Calculateur!DY161*VLOOKUP('Données projet'!$B$14,Paramètres!$A$1:$I$88,3,0)*0.475*44/12</f>
        <v>7.997735512387397</v>
      </c>
      <c r="EC161" s="23">
        <f>EXP(-LN(2)/2)*EC160+(1-EXP(-LN(2)/2))/(LN(2)/2)*DW161*DZ161*VLOOKUP('Données projet'!$B$14,Paramètres!$A$1:$I$88,3,0)*0.475*44/12</f>
        <v>0</v>
      </c>
      <c r="ED161" s="24">
        <f t="shared" si="178"/>
        <v>21.414424756608668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1099.9999999999998</v>
      </c>
      <c r="EK161" s="18">
        <f>EJ161*VLOOKUP('Données projet'!$B$15,Paramètres!$A$1:$I$88,3,0)*VLOOKUP('Données projet'!$B$15,Paramètres!$A$1:$I$88,5,0)</f>
        <v>486.19999999999993</v>
      </c>
      <c r="EL161" s="14">
        <f t="shared" si="179"/>
        <v>109.0490179035375</v>
      </c>
      <c r="EM161" s="22">
        <f t="shared" si="180"/>
        <v>1036.725372848661</v>
      </c>
      <c r="EN161" s="62">
        <f t="shared" si="128"/>
        <v>1324.2858970750931</v>
      </c>
      <c r="EO161" s="62">
        <f ca="1">AVERAGE(OFFSET($EN$3,0,0,'Données projet'!$E$15+1,1))-AVERAGE(OFFSET($H$3,0,0,'Données projet'!$E$15+1,1))</f>
        <v>582.26951914082088</v>
      </c>
      <c r="EP161" s="62">
        <f t="shared" si="154"/>
        <v>434.80429932654715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projet'!$B$15,Paramètres!$A$1:$I$88,3,0)*0.475*44/12</f>
        <v>13.519174032171975</v>
      </c>
      <c r="EW161" s="23">
        <f>EXP(-LN(2)/25)*EW160+(1-EXP(-LN(2)/25))/(LN(2)/25)*Calculateur!ER161*Calculateur!ET161*VLOOKUP('Données projet'!$B$15,Paramètres!$A$1:$I$88,3,0)*0.475*44/12</f>
        <v>7.1865878902868108</v>
      </c>
      <c r="EX161" s="23">
        <f>EXP(-LN(2)/2)*EX160+(1-EXP(-LN(2)/2))/(LN(2)/2)*ER161*EU161*VLOOKUP('Données projet'!$B$15,Paramètres!$A$1:$I$88,3,0)*0.475*44/12</f>
        <v>0</v>
      </c>
      <c r="EY161" s="24">
        <f t="shared" si="181"/>
        <v>20.705761922458784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854.99999999999989</v>
      </c>
      <c r="FF161" s="18">
        <f>FE161*VLOOKUP('Données projet'!$B$16,Paramètres!$A$1:$I$88,3,0)*VLOOKUP('Données projet'!$B$16,Paramètres!$A$1:$I$88,5,0)</f>
        <v>400.13999999999993</v>
      </c>
      <c r="FG161" s="14">
        <f t="shared" si="182"/>
        <v>91.805047494648534</v>
      </c>
      <c r="FH161" s="22">
        <f t="shared" si="183"/>
        <v>856.80429105317944</v>
      </c>
      <c r="FI161" s="62">
        <f t="shared" si="131"/>
        <v>1144.3648152796113</v>
      </c>
      <c r="FJ161" s="62">
        <f ca="1">AVERAGE(OFFSET($FI$3,0,0,'Données projet'!$E$16+1,1))-AVERAGE(OFFSET($H$3,0,0,'Données projet'!$E$16+1,1))</f>
        <v>429.87867712133851</v>
      </c>
      <c r="FK161" s="62">
        <f t="shared" si="156"/>
        <v>182.81277865988014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projet'!$B$16,Paramètres!$A$1:$I$88,3,0)*0.475*44/12</f>
        <v>16.123232828803289</v>
      </c>
      <c r="FR161" s="23">
        <f>EXP(-LN(2)/25)*FR160+(1-EXP(-LN(2)/25))/(LN(2)/25)*Calculateur!FM161*Calculateur!FO161*VLOOKUP('Données projet'!$B$16,Paramètres!$A$1:$I$88,3,0)*0.475*44/12</f>
        <v>9.1102305127330805</v>
      </c>
      <c r="FS161" s="23">
        <f>EXP(-LN(2)/2)*FS160+(1-EXP(-LN(2)/2))/(LN(2)/2)*FM161*FP161*VLOOKUP('Données projet'!$B$16,Paramètres!$A$1:$I$88,3,0)*0.475*44/12</f>
        <v>0</v>
      </c>
      <c r="FT161" s="24">
        <f t="shared" si="184"/>
        <v>25.233463341536371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498.99999999999955</v>
      </c>
      <c r="GA161" s="18">
        <f>FZ161*VLOOKUP('Données projet'!$B$17,Paramètres!$A$1:$I$88,3,0)*VLOOKUP('Données projet'!$B$17,Paramètres!$A$1:$I$88,5,0)</f>
        <v>240.01899999999978</v>
      </c>
      <c r="GB161" s="14">
        <f t="shared" si="185"/>
        <v>58.443618405936313</v>
      </c>
      <c r="GC161" s="22">
        <f t="shared" si="186"/>
        <v>519.82239372367201</v>
      </c>
      <c r="GD161" s="62">
        <f t="shared" si="134"/>
        <v>807.382917950104</v>
      </c>
      <c r="GE161" s="62">
        <f ca="1">AVERAGE(OFFSET($GD$3,0,0,'Données projet'!$E$17+1,1))-AVERAGE(OFFSET($H$3,0,0,'Données projet'!$E$17+1,1))</f>
        <v>273.24375559399846</v>
      </c>
      <c r="GF161" s="62">
        <f t="shared" si="158"/>
        <v>270.77718895097848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projet'!$B$17,Paramètres!$A$1:$I$88,3,0)*0.475*44/12</f>
        <v>6.9036310617981664</v>
      </c>
      <c r="GM161" s="23">
        <f>EXP(-LN(2)/25)*GM160+(1-EXP(-LN(2)/25))/(LN(2)/25)*Calculateur!GH161*Calculateur!GJ161*VLOOKUP('Données projet'!$B$17,Paramètres!$A$1:$I$88,3,0)*0.475*44/12</f>
        <v>3.505138533634462</v>
      </c>
      <c r="GN161" s="23">
        <f>EXP(-LN(2)/2)*GN160+(1-EXP(-LN(2)/2))/(LN(2)/2)*GH161*GK161*VLOOKUP('Données projet'!$B$17,Paramètres!$A$1:$I$88,3,0)*0.475*44/12</f>
        <v>0</v>
      </c>
      <c r="GO161" s="23">
        <f t="shared" si="187"/>
        <v>10.408769595432629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550.99999999999966</v>
      </c>
      <c r="O162" s="14">
        <f>N162*VLOOKUP('Données projet'!$B$9,Paramètres!$A$1:$I$88,3,0)*VLOOKUP('Données projet'!$B$9,Paramètres!$A$1:$I$88,5,0)</f>
        <v>308.00899999999979</v>
      </c>
      <c r="P162" s="14">
        <f t="shared" si="141"/>
        <v>72.852874331417695</v>
      </c>
      <c r="Q162" s="22">
        <f t="shared" si="162"/>
        <v>663.33443112721886</v>
      </c>
      <c r="R162" s="62">
        <f t="shared" si="109"/>
        <v>950.99510068558789</v>
      </c>
      <c r="S162" s="62">
        <f ca="1">AVERAGE(OFFSET($R$3,0,0,'Données projet'!$E$9+1,1))-AVERAGE(OFFSET($H$3,0,0,'Données projet'!$E$9+1,1))</f>
        <v>289.94242154211224</v>
      </c>
      <c r="T162" s="62">
        <f t="shared" si="142"/>
        <v>369.12599166143661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10.38516591608008</v>
      </c>
      <c r="AA162" s="23">
        <f>EXP(-LN(2)/25)*AA161+(1-EXP(-LN(2)/25))/(LN(2)/25)*Calculateur!V162*Calculateur!X162*VLOOKUP('Données projet'!$B$9,Paramètres!$A$1:$I$88,3,0)*0.475*44/12</f>
        <v>4.2937510564738828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14.678916972553964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6.8</v>
      </c>
      <c r="AI162" s="14">
        <f>IF('Données projet'!$A$62&gt;35,AI161+AH162-AQ161,IF(A162&lt;'Données projet'!$A$62,$AF$205^A162,IF(A162='Données projet'!$A$62,'Données projet'!$B$62,AI161+AH162-AQ161)))</f>
        <v>432.20000000000033</v>
      </c>
      <c r="AJ162" s="14">
        <f>AI162*VLOOKUP('Données projet'!$B$10,Paramètres!$A$1:$I$88,3,0)*VLOOKUP('Données projet'!$B$10,Paramètres!$A$1:$I$88,5,0)</f>
        <v>391.05456000000032</v>
      </c>
      <c r="AK162" s="14">
        <f t="shared" si="164"/>
        <v>89.960734214950293</v>
      </c>
      <c r="AL162" s="22">
        <f t="shared" si="165"/>
        <v>837.76830409103889</v>
      </c>
      <c r="AM162" s="62">
        <f t="shared" si="113"/>
        <v>1125.4289736494079</v>
      </c>
      <c r="AN162" s="62">
        <f ca="1">AVERAGE(OFFSET($AM$3,0,0,'Données projet'!$E$10+1,1))-AVERAGE(OFFSET($H$3,0,0,'Données projet'!$E$10+1,1))</f>
        <v>518.31628039365785</v>
      </c>
      <c r="AO162" s="62">
        <f t="shared" si="144"/>
        <v>66.435071953154761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40.937737424180156</v>
      </c>
      <c r="AV162" s="23">
        <f>EXP(-LN(2)/25)*AV161+(1-EXP(-LN(2)/25))/(LN(2)/25)*Calculateur!AQ162*Calculateur!AS162*VLOOKUP('Données projet'!$B$10,Paramètres!$A$1:$I$88,3,0)*0.475*44/12</f>
        <v>0</v>
      </c>
      <c r="AW162" s="23">
        <f>EXP(-LN(2)/2)*AW161+(1-EXP(-LN(2)/2))/(LN(2)/2)*AQ162*AT162*VLOOKUP('Données projet'!$B$10,Paramètres!$A$1:$I$88,3,0)*0.475*44/12</f>
        <v>0</v>
      </c>
      <c r="AX162" s="23">
        <f t="shared" si="166"/>
        <v>40.937737424180156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6.8</v>
      </c>
      <c r="BD162" s="13">
        <f>IF('Données projet'!$A$88&gt;35,BD161+BC162-BL161,IF(A162&lt;'Données projet'!$A$88,$BA$205^A162,IF(A162='Données projet'!$A$88,'Données projet'!$B$88,BD161+BC162-BL161)))</f>
        <v>432.20000000000033</v>
      </c>
      <c r="BE162" s="14">
        <f>BD162*VLOOKUP('Données projet'!$B$11,Paramètres!$A$1:$I$88,3,0)*VLOOKUP('Données projet'!$B$11,Paramètres!$A$1:$I$88,5,0)</f>
        <v>438.25080000000037</v>
      </c>
      <c r="BF162" s="14">
        <f t="shared" si="167"/>
        <v>99.489731336449168</v>
      </c>
      <c r="BG162" s="22">
        <f t="shared" si="168"/>
        <v>936.56475874431624</v>
      </c>
      <c r="BH162" s="62">
        <f t="shared" si="116"/>
        <v>1224.2254283026853</v>
      </c>
      <c r="BI162" s="62">
        <f ca="1">AVERAGE(OFFSET($BH$3,0,0,'Données projet'!$E$11+1,1))-AVERAGE(OFFSET($H$3,0,0,'Données projet'!$E$11+1,1))</f>
        <v>570.2785736203931</v>
      </c>
      <c r="BJ162" s="62">
        <f t="shared" si="146"/>
        <v>67.677759965081719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45.878498837443267</v>
      </c>
      <c r="BQ162" s="23">
        <f>EXP(-LN(2)/25)*BQ161+(1-EXP(-LN(2)/25))/(LN(2)/25)*Calculateur!BL162*Calculateur!BN162*VLOOKUP('Données projet'!$B$11,Paramètres!$A$1:$I$88,3,0)*0.475*44/12</f>
        <v>0</v>
      </c>
      <c r="BR162" s="23">
        <f>EXP(-LN(2)/2)*BR161+(1-EXP(-LN(2)/2))/(LN(2)/2)*BL162*BO162*VLOOKUP('Données projet'!$B$11,Paramètres!$A$1:$I$88,3,0)*0.475*44/12</f>
        <v>0</v>
      </c>
      <c r="BS162" s="24">
        <f t="shared" si="169"/>
        <v>45.878498837443267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544.19999999999982</v>
      </c>
      <c r="BZ162" s="14">
        <f>BY162*VLOOKUP('Données projet'!$B$12,Paramètres!$A$1:$I$88,3,0)*VLOOKUP('Données projet'!$B$12,Paramètres!$A$1:$I$88,5,0)</f>
        <v>325.43159999999995</v>
      </c>
      <c r="CA162" s="14">
        <f t="shared" si="170"/>
        <v>76.482394221016762</v>
      </c>
      <c r="CB162" s="22">
        <f t="shared" si="171"/>
        <v>700.00020660160408</v>
      </c>
      <c r="CC162" s="62">
        <f t="shared" si="119"/>
        <v>987.66087615997299</v>
      </c>
      <c r="CD162" s="62">
        <f ca="1">AVERAGE(OFFSET($CC$3,0,0,'Données projet'!$E$12+1,1))-AVERAGE(OFFSET($H$3,0,0,'Données projet'!$E$12+1,1))</f>
        <v>401.1031790385295</v>
      </c>
      <c r="CE162" s="62">
        <f t="shared" si="148"/>
        <v>402.09589424130615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projet'!$B$12,Paramètres!$A$1:$I$88,3,0)*0.475*44/12</f>
        <v>2.9199961608072873</v>
      </c>
      <c r="CL162" s="23">
        <f>EXP(-LN(2)/25)*CL161+(1-EXP(-LN(2)/25))/(LN(2)/25)*Calculateur!CG162*Calculateur!CI162*VLOOKUP('Données projet'!$B$12,Paramètres!$A$1:$I$88,3,0)*0.475*44/12</f>
        <v>0</v>
      </c>
      <c r="CM162" s="23">
        <f>EXP(-LN(2)/2)*CM161+(1-EXP(-LN(2)/2))/(LN(2)/2)*CG162*CJ162*VLOOKUP('Données projet'!$B$12,Paramètres!$A$1:$I$88,3,0)*0.475*44/12</f>
        <v>5.2144315911310825E-15</v>
      </c>
      <c r="CN162" s="24">
        <f t="shared" si="172"/>
        <v>2.9199961608072926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544.19999999999982</v>
      </c>
      <c r="CU162" s="18">
        <f>CT162*VLOOKUP('Données projet'!$B$13,Paramètres!$A$1:$I$88,3,0)*VLOOKUP('Données projet'!$B$13,Paramètres!$A$1:$I$88,5,0)</f>
        <v>325.43159999999995</v>
      </c>
      <c r="CV162" s="14">
        <f t="shared" si="173"/>
        <v>76.482394221016762</v>
      </c>
      <c r="CW162" s="22">
        <f t="shared" si="174"/>
        <v>700.00020660160408</v>
      </c>
      <c r="CX162" s="62">
        <f t="shared" si="122"/>
        <v>987.66087615997299</v>
      </c>
      <c r="CY162" s="62">
        <f ca="1">AVERAGE(OFFSET($CX$3,0,0,'Données projet'!$E$13+1,1))-AVERAGE(OFFSET($H$3,0,0,'Données projet'!$E$13+1,1))</f>
        <v>401.1031790385295</v>
      </c>
      <c r="CZ162" s="62">
        <f t="shared" si="150"/>
        <v>402.09589424130615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projet'!$B$13,Paramètres!$A$1:$I$88,3,0)*0.475*44/12</f>
        <v>2.9199961608072873</v>
      </c>
      <c r="DG162" s="23">
        <f>EXP(-LN(2)/25)*DG161+(1-EXP(-LN(2)/25))/(LN(2)/25)*Calculateur!DB162*Calculateur!DD162*VLOOKUP('Données projet'!$B$13,Paramètres!$A$1:$I$88,3,0)*0.475*44/12</f>
        <v>0</v>
      </c>
      <c r="DH162" s="23">
        <f>EXP(-LN(2)/2)*DH161+(1-EXP(-LN(2)/2))/(LN(2)/2)*DB162*DE162*VLOOKUP('Données projet'!$B$13,Paramètres!$A$1:$I$88,3,0)*0.475*44/12</f>
        <v>5.2144315911310825E-15</v>
      </c>
      <c r="DI162" s="24">
        <f t="shared" si="175"/>
        <v>2.9199961608072926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860.00000000000023</v>
      </c>
      <c r="DP162" s="18">
        <f>DO162*VLOOKUP('Données projet'!$B$14,Paramètres!$A$1:$I$88,3,0)*VLOOKUP('Données projet'!$B$14,Paramètres!$A$1:$I$88,5,0)</f>
        <v>346.5800000000001</v>
      </c>
      <c r="DQ162" s="14">
        <f t="shared" si="176"/>
        <v>80.857895771535127</v>
      </c>
      <c r="DR162" s="22">
        <f t="shared" si="177"/>
        <v>744.45433513542378</v>
      </c>
      <c r="DS162" s="62">
        <f t="shared" si="125"/>
        <v>1032.1150046937928</v>
      </c>
      <c r="DT162" s="62">
        <f ca="1">AVERAGE(OFFSET($DS$3,0,0,'Données projet'!$E$14+1,1))-AVERAGE(OFFSET($H$3,0,0,'Données projet'!$E$14+1,1))</f>
        <v>432.59662347701629</v>
      </c>
      <c r="DU162" s="62">
        <f t="shared" si="152"/>
        <v>348.67401091099748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projet'!$B$14,Paramètres!$A$1:$I$88,3,0)*0.475*44/12</f>
        <v>13.153596151514492</v>
      </c>
      <c r="EB162" s="23">
        <f>EXP(-LN(2)/25)*EB161+(1-EXP(-LN(2)/25))/(LN(2)/25)*Calculateur!DW162*Calculateur!DY162*VLOOKUP('Données projet'!$B$14,Paramètres!$A$1:$I$88,3,0)*0.475*44/12</f>
        <v>7.7790370142185319</v>
      </c>
      <c r="EC162" s="23">
        <f>EXP(-LN(2)/2)*EC161+(1-EXP(-LN(2)/2))/(LN(2)/2)*DW162*DZ162*VLOOKUP('Données projet'!$B$14,Paramètres!$A$1:$I$88,3,0)*0.475*44/12</f>
        <v>0</v>
      </c>
      <c r="ED162" s="24">
        <f t="shared" si="178"/>
        <v>20.932633165733023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1099.9999999999998</v>
      </c>
      <c r="EK162" s="18">
        <f>EJ162*VLOOKUP('Données projet'!$B$15,Paramètres!$A$1:$I$88,3,0)*VLOOKUP('Données projet'!$B$15,Paramètres!$A$1:$I$88,5,0)</f>
        <v>486.19999999999993</v>
      </c>
      <c r="EL162" s="14">
        <f t="shared" si="179"/>
        <v>109.0490179035375</v>
      </c>
      <c r="EM162" s="22">
        <f t="shared" si="180"/>
        <v>1036.725372848661</v>
      </c>
      <c r="EN162" s="62">
        <f t="shared" si="128"/>
        <v>1324.3860424070299</v>
      </c>
      <c r="EO162" s="62">
        <f ca="1">AVERAGE(OFFSET($EN$3,0,0,'Données projet'!$E$15+1,1))-AVERAGE(OFFSET($H$3,0,0,'Données projet'!$E$15+1,1))</f>
        <v>582.26951914082088</v>
      </c>
      <c r="EP162" s="62">
        <f t="shared" si="154"/>
        <v>434.80429932654715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projet'!$B$15,Paramètres!$A$1:$I$88,3,0)*0.475*44/12</f>
        <v>13.254071275283028</v>
      </c>
      <c r="EW162" s="23">
        <f>EXP(-LN(2)/25)*EW161+(1-EXP(-LN(2)/25))/(LN(2)/25)*Calculateur!ER162*Calculateur!ET162*VLOOKUP('Données projet'!$B$15,Paramètres!$A$1:$I$88,3,0)*0.475*44/12</f>
        <v>6.9900702665006857</v>
      </c>
      <c r="EX162" s="23">
        <f>EXP(-LN(2)/2)*EX161+(1-EXP(-LN(2)/2))/(LN(2)/2)*ER162*EU162*VLOOKUP('Données projet'!$B$15,Paramètres!$A$1:$I$88,3,0)*0.475*44/12</f>
        <v>0</v>
      </c>
      <c r="EY162" s="24">
        <f t="shared" si="181"/>
        <v>20.244141541783712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854.99999999999989</v>
      </c>
      <c r="FF162" s="18">
        <f>FE162*VLOOKUP('Données projet'!$B$16,Paramètres!$A$1:$I$88,3,0)*VLOOKUP('Données projet'!$B$16,Paramètres!$A$1:$I$88,5,0)</f>
        <v>400.13999999999993</v>
      </c>
      <c r="FG162" s="14">
        <f t="shared" si="182"/>
        <v>91.805047494648534</v>
      </c>
      <c r="FH162" s="22">
        <f t="shared" si="183"/>
        <v>856.80429105317944</v>
      </c>
      <c r="FI162" s="62">
        <f t="shared" si="131"/>
        <v>1144.4649606115483</v>
      </c>
      <c r="FJ162" s="62">
        <f ca="1">AVERAGE(OFFSET($FI$3,0,0,'Données projet'!$E$16+1,1))-AVERAGE(OFFSET($H$3,0,0,'Données projet'!$E$16+1,1))</f>
        <v>429.87867712133851</v>
      </c>
      <c r="FK162" s="62">
        <f t="shared" si="156"/>
        <v>182.81277865988014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projet'!$B$16,Paramètres!$A$1:$I$88,3,0)*0.475*44/12</f>
        <v>15.807066067231435</v>
      </c>
      <c r="FR162" s="23">
        <f>EXP(-LN(2)/25)*FR161+(1-EXP(-LN(2)/25))/(LN(2)/25)*Calculateur!FM162*Calculateur!FO162*VLOOKUP('Données projet'!$B$16,Paramètres!$A$1:$I$88,3,0)*0.475*44/12</f>
        <v>8.8611107802761939</v>
      </c>
      <c r="FS162" s="23">
        <f>EXP(-LN(2)/2)*FS161+(1-EXP(-LN(2)/2))/(LN(2)/2)*FM162*FP162*VLOOKUP('Données projet'!$B$16,Paramètres!$A$1:$I$88,3,0)*0.475*44/12</f>
        <v>0</v>
      </c>
      <c r="FT162" s="24">
        <f t="shared" si="184"/>
        <v>24.668176847507631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498.99999999999955</v>
      </c>
      <c r="GA162" s="18">
        <f>FZ162*VLOOKUP('Données projet'!$B$17,Paramètres!$A$1:$I$88,3,0)*VLOOKUP('Données projet'!$B$17,Paramètres!$A$1:$I$88,5,0)</f>
        <v>240.01899999999978</v>
      </c>
      <c r="GB162" s="14">
        <f t="shared" si="185"/>
        <v>58.443618405936313</v>
      </c>
      <c r="GC162" s="22">
        <f t="shared" si="186"/>
        <v>519.82239372367201</v>
      </c>
      <c r="GD162" s="62">
        <f t="shared" si="134"/>
        <v>807.48306328204103</v>
      </c>
      <c r="GE162" s="62">
        <f ca="1">AVERAGE(OFFSET($GD$3,0,0,'Données projet'!$E$17+1,1))-AVERAGE(OFFSET($H$3,0,0,'Données projet'!$E$17+1,1))</f>
        <v>273.24375559399846</v>
      </c>
      <c r="GF162" s="62">
        <f t="shared" si="158"/>
        <v>270.77718895097848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projet'!$B$17,Paramètres!$A$1:$I$88,3,0)*0.475*44/12</f>
        <v>6.7682550674754705</v>
      </c>
      <c r="GM162" s="23">
        <f>EXP(-LN(2)/25)*GM161+(1-EXP(-LN(2)/25))/(LN(2)/25)*Calculateur!GH162*Calculateur!GJ162*VLOOKUP('Données projet'!$B$17,Paramètres!$A$1:$I$88,3,0)*0.475*44/12</f>
        <v>3.4092903361050033</v>
      </c>
      <c r="GN162" s="23">
        <f>EXP(-LN(2)/2)*GN161+(1-EXP(-LN(2)/2))/(LN(2)/2)*GH162*GK162*VLOOKUP('Données projet'!$B$17,Paramètres!$A$1:$I$88,3,0)*0.475*44/12</f>
        <v>0</v>
      </c>
      <c r="GO162" s="23">
        <f t="shared" si="187"/>
        <v>10.177545403580474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550.99999999999966</v>
      </c>
      <c r="O163" s="14">
        <f>N163*VLOOKUP('Données projet'!$B$9,Paramètres!$A$1:$I$88,3,0)*VLOOKUP('Données projet'!$B$9,Paramètres!$A$1:$I$88,5,0)</f>
        <v>308.00899999999979</v>
      </c>
      <c r="P163" s="14">
        <f t="shared" si="141"/>
        <v>72.852874331417695</v>
      </c>
      <c r="Q163" s="22">
        <f t="shared" si="162"/>
        <v>663.33443112721886</v>
      </c>
      <c r="R163" s="62">
        <f t="shared" si="109"/>
        <v>951.09350871990728</v>
      </c>
      <c r="S163" s="62">
        <f ca="1">AVERAGE(OFFSET($R$3,0,0,'Données projet'!$E$9+1,1))-AVERAGE(OFFSET($H$3,0,0,'Données projet'!$E$9+1,1))</f>
        <v>289.94242154211224</v>
      </c>
      <c r="T163" s="62">
        <f t="shared" si="142"/>
        <v>369.12599166143661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10.181519146791496</v>
      </c>
      <c r="AA163" s="23">
        <f>EXP(-LN(2)/25)*AA162+(1-EXP(-LN(2)/25))/(LN(2)/25)*Calculateur!V163*Calculateur!X163*VLOOKUP('Données projet'!$B$9,Paramètres!$A$1:$I$88,3,0)*0.475*44/12</f>
        <v>4.17633820803605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14.357857354827546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>
        <f>VLOOKUP(A163,'Données projet'!$A$61:$I$81,2,0)</f>
        <v>439</v>
      </c>
      <c r="AG163" s="13">
        <f>VLOOKUP(A163,'Données projet'!$A$61:$I$81,9,0)</f>
        <v>6.8</v>
      </c>
      <c r="AH163" s="13">
        <f t="array" ref="AH163">INDEX(AG:AG,MIN(IF(ISNUMBER(AG163:AG359),ROW(AG163:AG359),"")))</f>
        <v>6.8</v>
      </c>
      <c r="AI163" s="14">
        <f>IF('Données projet'!$A$62&gt;35,AI162+AH163-AQ162,IF(A163&lt;'Données projet'!$A$62,$AF$205^A163,IF(A163='Données projet'!$A$62,'Données projet'!$B$62,AI162+AH163-AQ162)))</f>
        <v>439.00000000000034</v>
      </c>
      <c r="AJ163" s="14">
        <f>AI163*VLOOKUP('Données projet'!$B$10,Paramètres!$A$1:$I$88,3,0)*VLOOKUP('Données projet'!$B$10,Paramètres!$A$1:$I$88,5,0)</f>
        <v>397.20720000000028</v>
      </c>
      <c r="AK163" s="14">
        <f t="shared" si="164"/>
        <v>91.210237205367548</v>
      </c>
      <c r="AL163" s="22">
        <f t="shared" si="165"/>
        <v>850.66036979934904</v>
      </c>
      <c r="AM163" s="62">
        <f t="shared" si="113"/>
        <v>1138.4194473920375</v>
      </c>
      <c r="AN163" s="62">
        <f ca="1">AVERAGE(OFFSET($AM$3,0,0,'Données projet'!$E$10+1,1))-AVERAGE(OFFSET($H$3,0,0,'Données projet'!$E$10+1,1))</f>
        <v>518.31628039365785</v>
      </c>
      <c r="AO163" s="62">
        <f t="shared" si="144"/>
        <v>66.435071953154761</v>
      </c>
      <c r="AP163" s="16">
        <f>IF(ISNA(VLOOKUP(A163,'Données projet'!$A$61:$I$81,3,0)),0,VLOOKUP(A163,'Données projet'!$A$61:$I$81,3,0))</f>
        <v>18</v>
      </c>
      <c r="AQ163" s="16">
        <f>IF(ISNA(VLOOKUP(A163,'Données projet'!$A$61:$I$81,4,0)),0,VLOOKUP(A163,'Données projet'!$A$61:$I$81,4,0))</f>
        <v>51</v>
      </c>
      <c r="AR163" s="17">
        <f>IF(ISNA(VLOOKUP(A163,'Données projet'!$A$61:$I$81,5,0)),0%,VLOOKUP(A163,'Données projet'!$A$61:$I$81,5,0)*VLOOKUP('Données projet'!$B$10,Paramètres!$A$1:$I$88,7,0))</f>
        <v>0.30099999999999999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55.489497943257369</v>
      </c>
      <c r="AV163" s="23">
        <f>EXP(-LN(2)/25)*AV162+(1-EXP(-LN(2)/25))/(LN(2)/25)*Calculateur!AQ163*Calculateur!AS163*VLOOKUP('Données projet'!$B$10,Paramètres!$A$1:$I$88,3,0)*0.475*44/12</f>
        <v>0</v>
      </c>
      <c r="AW163" s="23">
        <f>EXP(-LN(2)/2)*AW162+(1-EXP(-LN(2)/2))/(LN(2)/2)*AQ163*AT163*VLOOKUP('Données projet'!$B$10,Paramètres!$A$1:$I$88,3,0)*0.475*44/12</f>
        <v>0</v>
      </c>
      <c r="AX163" s="23">
        <f t="shared" si="166"/>
        <v>55.489497943257369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>
        <f>VLOOKUP(A163,'Données projet'!$A$87:$I$107,2,0)</f>
        <v>439</v>
      </c>
      <c r="BB163" s="13">
        <f>VLOOKUP(A163,'Données projet'!$A$87:$I$107,9,0)</f>
        <v>6.8</v>
      </c>
      <c r="BC163" s="13">
        <f t="array" ref="BC163">INDEX(BB:BB,MIN(IF(ISNUMBER(BB163:BB359),ROW(BB163:BB359),"")))</f>
        <v>6.8</v>
      </c>
      <c r="BD163" s="13">
        <f>IF('Données projet'!$A$88&gt;35,BD162+BC163-BL162,IF(A163&lt;'Données projet'!$A$88,$BA$205^A163,IF(A163='Données projet'!$A$88,'Données projet'!$B$88,BD162+BC163-BL162)))</f>
        <v>439.00000000000034</v>
      </c>
      <c r="BE163" s="14">
        <f>BD163*VLOOKUP('Données projet'!$B$11,Paramètres!$A$1:$I$88,3,0)*VLOOKUP('Données projet'!$B$11,Paramètres!$A$1:$I$88,5,0)</f>
        <v>445.14600000000041</v>
      </c>
      <c r="BF163" s="14">
        <f t="shared" si="167"/>
        <v>100.87158663037863</v>
      </c>
      <c r="BG163" s="22">
        <f t="shared" si="168"/>
        <v>950.98063004791004</v>
      </c>
      <c r="BH163" s="62">
        <f t="shared" si="116"/>
        <v>1238.7397076405985</v>
      </c>
      <c r="BI163" s="62">
        <f ca="1">AVERAGE(OFFSET($BH$3,0,0,'Données projet'!$E$11+1,1))-AVERAGE(OFFSET($H$3,0,0,'Données projet'!$E$11+1,1))</f>
        <v>570.2785736203931</v>
      </c>
      <c r="BJ163" s="62">
        <f t="shared" si="146"/>
        <v>67.677759965081719</v>
      </c>
      <c r="BK163" s="16">
        <f>IF(ISNA(VLOOKUP(A163,'Données projet'!$A$87:$I$107,3,0)),0,VLOOKUP(A163,'Données projet'!$A$87:$I$107,3,0))</f>
        <v>18</v>
      </c>
      <c r="BL163" s="16">
        <f>IF(ISNA(VLOOKUP(A163,'Données projet'!$A$87:$I$107,4,0)),0,VLOOKUP(A163,'Données projet'!$A$87:$I$107,4,0))</f>
        <v>51</v>
      </c>
      <c r="BM163" s="17">
        <f>IF(ISNA(VLOOKUP(A163,'Données projet'!$A$87:$I$107,5,0)),0%,VLOOKUP(A163,'Données projet'!$A$87:$I$107,5,0)*VLOOKUP('Données projet'!$B$11,Paramètres!$A$1:$I$88,7,0))</f>
        <v>0.30099999999999999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62.186506315719456</v>
      </c>
      <c r="BQ163" s="23">
        <f>EXP(-LN(2)/25)*BQ162+(1-EXP(-LN(2)/25))/(LN(2)/25)*Calculateur!BL163*Calculateur!BN163*VLOOKUP('Données projet'!$B$11,Paramètres!$A$1:$I$88,3,0)*0.475*44/12</f>
        <v>0</v>
      </c>
      <c r="BR163" s="23">
        <f>EXP(-LN(2)/2)*BR162+(1-EXP(-LN(2)/2))/(LN(2)/2)*BL163*BO163*VLOOKUP('Données projet'!$B$11,Paramètres!$A$1:$I$88,3,0)*0.475*44/12</f>
        <v>0</v>
      </c>
      <c r="BS163" s="24">
        <f t="shared" si="169"/>
        <v>62.186506315719456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544.19999999999982</v>
      </c>
      <c r="BZ163" s="14">
        <f>BY163*VLOOKUP('Données projet'!$B$12,Paramètres!$A$1:$I$88,3,0)*VLOOKUP('Données projet'!$B$12,Paramètres!$A$1:$I$88,5,0)</f>
        <v>325.43159999999995</v>
      </c>
      <c r="CA163" s="14">
        <f t="shared" si="170"/>
        <v>76.482394221016762</v>
      </c>
      <c r="CB163" s="22">
        <f t="shared" si="171"/>
        <v>700.00020660160408</v>
      </c>
      <c r="CC163" s="62">
        <f t="shared" si="119"/>
        <v>987.75928419429238</v>
      </c>
      <c r="CD163" s="62">
        <f ca="1">AVERAGE(OFFSET($CC$3,0,0,'Données projet'!$E$12+1,1))-AVERAGE(OFFSET($H$3,0,0,'Données projet'!$E$12+1,1))</f>
        <v>401.1031790385295</v>
      </c>
      <c r="CE163" s="62">
        <f t="shared" si="148"/>
        <v>402.09589424130615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projet'!$B$12,Paramètres!$A$1:$I$88,3,0)*0.475*44/12</f>
        <v>2.8627368171156533</v>
      </c>
      <c r="CL163" s="23">
        <f>EXP(-LN(2)/25)*CL162+(1-EXP(-LN(2)/25))/(LN(2)/25)*Calculateur!CG163*Calculateur!CI163*VLOOKUP('Données projet'!$B$12,Paramètres!$A$1:$I$88,3,0)*0.475*44/12</f>
        <v>0</v>
      </c>
      <c r="CM163" s="23">
        <f>EXP(-LN(2)/2)*CM162+(1-EXP(-LN(2)/2))/(LN(2)/2)*CG163*CJ163*VLOOKUP('Données projet'!$B$12,Paramètres!$A$1:$I$88,3,0)*0.475*44/12</f>
        <v>3.6871599381221471E-15</v>
      </c>
      <c r="CN163" s="24">
        <f t="shared" si="172"/>
        <v>2.8627368171156569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544.19999999999982</v>
      </c>
      <c r="CU163" s="18">
        <f>CT163*VLOOKUP('Données projet'!$B$13,Paramètres!$A$1:$I$88,3,0)*VLOOKUP('Données projet'!$B$13,Paramètres!$A$1:$I$88,5,0)</f>
        <v>325.43159999999995</v>
      </c>
      <c r="CV163" s="14">
        <f t="shared" si="173"/>
        <v>76.482394221016762</v>
      </c>
      <c r="CW163" s="22">
        <f t="shared" si="174"/>
        <v>700.00020660160408</v>
      </c>
      <c r="CX163" s="62">
        <f t="shared" si="122"/>
        <v>987.75928419429238</v>
      </c>
      <c r="CY163" s="62">
        <f ca="1">AVERAGE(OFFSET($CX$3,0,0,'Données projet'!$E$13+1,1))-AVERAGE(OFFSET($H$3,0,0,'Données projet'!$E$13+1,1))</f>
        <v>401.1031790385295</v>
      </c>
      <c r="CZ163" s="62">
        <f t="shared" si="150"/>
        <v>402.09589424130615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projet'!$B$13,Paramètres!$A$1:$I$88,3,0)*0.475*44/12</f>
        <v>2.8627368171156533</v>
      </c>
      <c r="DG163" s="23">
        <f>EXP(-LN(2)/25)*DG162+(1-EXP(-LN(2)/25))/(LN(2)/25)*Calculateur!DB163*Calculateur!DD163*VLOOKUP('Données projet'!$B$13,Paramètres!$A$1:$I$88,3,0)*0.475*44/12</f>
        <v>0</v>
      </c>
      <c r="DH163" s="23">
        <f>EXP(-LN(2)/2)*DH162+(1-EXP(-LN(2)/2))/(LN(2)/2)*DB163*DE163*VLOOKUP('Données projet'!$B$13,Paramètres!$A$1:$I$88,3,0)*0.475*44/12</f>
        <v>3.6871599381221471E-15</v>
      </c>
      <c r="DI163" s="24">
        <f t="shared" si="175"/>
        <v>2.8627368171156569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860.00000000000023</v>
      </c>
      <c r="DP163" s="18">
        <f>DO163*VLOOKUP('Données projet'!$B$14,Paramètres!$A$1:$I$88,3,0)*VLOOKUP('Données projet'!$B$14,Paramètres!$A$1:$I$88,5,0)</f>
        <v>346.5800000000001</v>
      </c>
      <c r="DQ163" s="14">
        <f t="shared" si="176"/>
        <v>80.857895771535127</v>
      </c>
      <c r="DR163" s="22">
        <f t="shared" si="177"/>
        <v>744.45433513542378</v>
      </c>
      <c r="DS163" s="62">
        <f t="shared" si="125"/>
        <v>1032.2134127281122</v>
      </c>
      <c r="DT163" s="62">
        <f ca="1">AVERAGE(OFFSET($DS$3,0,0,'Données projet'!$E$14+1,1))-AVERAGE(OFFSET($H$3,0,0,'Données projet'!$E$14+1,1))</f>
        <v>432.59662347701629</v>
      </c>
      <c r="DU163" s="62">
        <f t="shared" si="152"/>
        <v>348.67401091099748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projet'!$B$14,Paramètres!$A$1:$I$88,3,0)*0.475*44/12</f>
        <v>12.89566215388475</v>
      </c>
      <c r="EB163" s="23">
        <f>EXP(-LN(2)/25)*EB162+(1-EXP(-LN(2)/25))/(LN(2)/25)*Calculateur!DW163*Calculateur!DY163*VLOOKUP('Données projet'!$B$14,Paramètres!$A$1:$I$88,3,0)*0.475*44/12</f>
        <v>7.5663188379829487</v>
      </c>
      <c r="EC163" s="23">
        <f>EXP(-LN(2)/2)*EC162+(1-EXP(-LN(2)/2))/(LN(2)/2)*DW163*DZ163*VLOOKUP('Données projet'!$B$14,Paramètres!$A$1:$I$88,3,0)*0.475*44/12</f>
        <v>0</v>
      </c>
      <c r="ED163" s="24">
        <f t="shared" si="178"/>
        <v>20.461980991867698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1099.9999999999998</v>
      </c>
      <c r="EK163" s="18">
        <f>EJ163*VLOOKUP('Données projet'!$B$15,Paramètres!$A$1:$I$88,3,0)*VLOOKUP('Données projet'!$B$15,Paramètres!$A$1:$I$88,5,0)</f>
        <v>486.19999999999993</v>
      </c>
      <c r="EL163" s="14">
        <f t="shared" si="179"/>
        <v>109.0490179035375</v>
      </c>
      <c r="EM163" s="22">
        <f t="shared" si="180"/>
        <v>1036.725372848661</v>
      </c>
      <c r="EN163" s="62">
        <f t="shared" si="128"/>
        <v>1324.4844504413493</v>
      </c>
      <c r="EO163" s="62">
        <f ca="1">AVERAGE(OFFSET($EN$3,0,0,'Données projet'!$E$15+1,1))-AVERAGE(OFFSET($H$3,0,0,'Données projet'!$E$15+1,1))</f>
        <v>582.26951914082088</v>
      </c>
      <c r="EP163" s="62">
        <f t="shared" si="154"/>
        <v>434.80429932654715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projet'!$B$15,Paramètres!$A$1:$I$88,3,0)*0.475*44/12</f>
        <v>12.994167021759958</v>
      </c>
      <c r="EW163" s="23">
        <f>EXP(-LN(2)/25)*EW162+(1-EXP(-LN(2)/25))/(LN(2)/25)*Calculateur!ER163*Calculateur!ET163*VLOOKUP('Données projet'!$B$15,Paramètres!$A$1:$I$88,3,0)*0.475*44/12</f>
        <v>6.7989264274714056</v>
      </c>
      <c r="EX163" s="23">
        <f>EXP(-LN(2)/2)*EX162+(1-EXP(-LN(2)/2))/(LN(2)/2)*ER163*EU163*VLOOKUP('Données projet'!$B$15,Paramètres!$A$1:$I$88,3,0)*0.475*44/12</f>
        <v>0</v>
      </c>
      <c r="EY163" s="24">
        <f t="shared" si="181"/>
        <v>19.793093449231364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854.99999999999989</v>
      </c>
      <c r="FF163" s="18">
        <f>FE163*VLOOKUP('Données projet'!$B$16,Paramètres!$A$1:$I$88,3,0)*VLOOKUP('Données projet'!$B$16,Paramètres!$A$1:$I$88,5,0)</f>
        <v>400.13999999999993</v>
      </c>
      <c r="FG163" s="14">
        <f t="shared" si="182"/>
        <v>91.805047494648534</v>
      </c>
      <c r="FH163" s="22">
        <f t="shared" si="183"/>
        <v>856.80429105317944</v>
      </c>
      <c r="FI163" s="62">
        <f t="shared" si="131"/>
        <v>1144.5633686458677</v>
      </c>
      <c r="FJ163" s="62">
        <f ca="1">AVERAGE(OFFSET($FI$3,0,0,'Données projet'!$E$16+1,1))-AVERAGE(OFFSET($H$3,0,0,'Données projet'!$E$16+1,1))</f>
        <v>429.87867712133851</v>
      </c>
      <c r="FK163" s="62">
        <f t="shared" si="156"/>
        <v>182.81277865988014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projet'!$B$16,Paramètres!$A$1:$I$88,3,0)*0.475*44/12</f>
        <v>15.497099143011322</v>
      </c>
      <c r="FR163" s="23">
        <f>EXP(-LN(2)/25)*FR162+(1-EXP(-LN(2)/25))/(LN(2)/25)*Calculateur!FM163*Calculateur!FO163*VLOOKUP('Données projet'!$B$16,Paramètres!$A$1:$I$88,3,0)*0.475*44/12</f>
        <v>8.6188032400039774</v>
      </c>
      <c r="FS163" s="23">
        <f>EXP(-LN(2)/2)*FS162+(1-EXP(-LN(2)/2))/(LN(2)/2)*FM163*FP163*VLOOKUP('Données projet'!$B$16,Paramètres!$A$1:$I$88,3,0)*0.475*44/12</f>
        <v>0</v>
      </c>
      <c r="FT163" s="24">
        <f t="shared" si="184"/>
        <v>24.1159023830153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498.99999999999955</v>
      </c>
      <c r="GA163" s="18">
        <f>FZ163*VLOOKUP('Données projet'!$B$17,Paramètres!$A$1:$I$88,3,0)*VLOOKUP('Données projet'!$B$17,Paramètres!$A$1:$I$88,5,0)</f>
        <v>240.01899999999978</v>
      </c>
      <c r="GB163" s="14">
        <f t="shared" si="185"/>
        <v>58.443618405936313</v>
      </c>
      <c r="GC163" s="22">
        <f t="shared" si="186"/>
        <v>519.82239372367201</v>
      </c>
      <c r="GD163" s="62">
        <f t="shared" si="134"/>
        <v>807.58147131636042</v>
      </c>
      <c r="GE163" s="62">
        <f ca="1">AVERAGE(OFFSET($GD$3,0,0,'Données projet'!$E$17+1,1))-AVERAGE(OFFSET($H$3,0,0,'Données projet'!$E$17+1,1))</f>
        <v>273.24375559399846</v>
      </c>
      <c r="GF163" s="62">
        <f t="shared" si="158"/>
        <v>270.77718895097848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projet'!$B$17,Paramètres!$A$1:$I$88,3,0)*0.475*44/12</f>
        <v>6.635533713830239</v>
      </c>
      <c r="GM163" s="23">
        <f>EXP(-LN(2)/25)*GM162+(1-EXP(-LN(2)/25))/(LN(2)/25)*Calculateur!GH163*Calculateur!GJ163*VLOOKUP('Données projet'!$B$17,Paramètres!$A$1:$I$88,3,0)*0.475*44/12</f>
        <v>3.3160631125774254</v>
      </c>
      <c r="GN163" s="23">
        <f>EXP(-LN(2)/2)*GN162+(1-EXP(-LN(2)/2))/(LN(2)/2)*GH163*GK163*VLOOKUP('Données projet'!$B$17,Paramètres!$A$1:$I$88,3,0)*0.475*44/12</f>
        <v>0</v>
      </c>
      <c r="GO163" s="23">
        <f t="shared" si="187"/>
        <v>9.9515968264076644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550.99999999999966</v>
      </c>
      <c r="O164" s="14">
        <f>N164*VLOOKUP('Données projet'!$B$9,Paramètres!$A$1:$I$88,3,0)*VLOOKUP('Données projet'!$B$9,Paramètres!$A$1:$I$88,5,0)</f>
        <v>308.00899999999979</v>
      </c>
      <c r="P164" s="14">
        <f t="shared" si="141"/>
        <v>72.852874331417695</v>
      </c>
      <c r="Q164" s="22">
        <f t="shared" si="162"/>
        <v>663.33443112721886</v>
      </c>
      <c r="R164" s="62">
        <f t="shared" si="109"/>
        <v>951.19020959483851</v>
      </c>
      <c r="S164" s="62">
        <f ca="1">AVERAGE(OFFSET($R$3,0,0,'Données projet'!$E$9+1,1))-AVERAGE(OFFSET($H$3,0,0,'Données projet'!$E$9+1,1))</f>
        <v>289.94242154211224</v>
      </c>
      <c r="T164" s="62">
        <f t="shared" si="142"/>
        <v>369.12599166143661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9.9818657664363961</v>
      </c>
      <c r="AA164" s="23">
        <f>EXP(-LN(2)/25)*AA163+(1-EXP(-LN(2)/25))/(LN(2)/25)*Calculateur!V164*Calculateur!X164*VLOOKUP('Données projet'!$B$9,Paramètres!$A$1:$I$88,3,0)*0.475*44/12</f>
        <v>4.0621360201132228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14.044001786549618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6.9</v>
      </c>
      <c r="AI164" s="14">
        <f>IF('Données projet'!$A$62&gt;35,AI163+AH164-AQ163,IF(A164&lt;'Données projet'!$A$62,$AF$205^A164,IF(A164='Données projet'!$A$62,'Données projet'!$B$62,AI163+AH164-AQ163)))</f>
        <v>394.90000000000032</v>
      </c>
      <c r="AJ164" s="14">
        <f>AI164*VLOOKUP('Données projet'!$B$10,Paramètres!$A$1:$I$88,3,0)*VLOOKUP('Données projet'!$B$10,Paramètres!$A$1:$I$88,5,0)</f>
        <v>357.30552000000029</v>
      </c>
      <c r="AK164" s="14">
        <f t="shared" si="164"/>
        <v>83.064980309548403</v>
      </c>
      <c r="AL164" s="22">
        <f t="shared" si="165"/>
        <v>766.97862137246386</v>
      </c>
      <c r="AM164" s="62">
        <f t="shared" si="113"/>
        <v>1054.8343998400835</v>
      </c>
      <c r="AN164" s="62">
        <f ca="1">AVERAGE(OFFSET($AM$3,0,0,'Données projet'!$E$10+1,1))-AVERAGE(OFFSET($H$3,0,0,'Données projet'!$E$10+1,1))</f>
        <v>518.31628039365785</v>
      </c>
      <c r="AO164" s="62">
        <f t="shared" si="144"/>
        <v>66.435071953154761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54.401382733841899</v>
      </c>
      <c r="AV164" s="23">
        <f>EXP(-LN(2)/25)*AV163+(1-EXP(-LN(2)/25))/(LN(2)/25)*Calculateur!AQ164*Calculateur!AS164*VLOOKUP('Données projet'!$B$10,Paramètres!$A$1:$I$88,3,0)*0.475*44/12</f>
        <v>0</v>
      </c>
      <c r="AW164" s="23">
        <f>EXP(-LN(2)/2)*AW163+(1-EXP(-LN(2)/2))/(LN(2)/2)*AQ164*AT164*VLOOKUP('Données projet'!$B$10,Paramètres!$A$1:$I$88,3,0)*0.475*44/12</f>
        <v>0</v>
      </c>
      <c r="AX164" s="23">
        <f t="shared" si="166"/>
        <v>54.401382733841899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6.9</v>
      </c>
      <c r="BD164" s="13">
        <f>IF('Données projet'!$A$88&gt;35,BD163+BC164-BL163,IF(A164&lt;'Données projet'!$A$88,$BA$205^A164,IF(A164='Données projet'!$A$88,'Données projet'!$B$88,BD163+BC164-BL163)))</f>
        <v>394.90000000000032</v>
      </c>
      <c r="BE164" s="14">
        <f>BD164*VLOOKUP('Données projet'!$B$11,Paramètres!$A$1:$I$88,3,0)*VLOOKUP('Données projet'!$B$11,Paramètres!$A$1:$I$88,5,0)</f>
        <v>400.42860000000036</v>
      </c>
      <c r="BF164" s="14">
        <f t="shared" si="167"/>
        <v>91.863551877181365</v>
      </c>
      <c r="BG164" s="22">
        <f t="shared" si="168"/>
        <v>857.40883118609145</v>
      </c>
      <c r="BH164" s="62">
        <f t="shared" si="116"/>
        <v>1145.2646096537112</v>
      </c>
      <c r="BI164" s="62">
        <f ca="1">AVERAGE(OFFSET($BH$3,0,0,'Données projet'!$E$11+1,1))-AVERAGE(OFFSET($H$3,0,0,'Données projet'!$E$11+1,1))</f>
        <v>570.2785736203931</v>
      </c>
      <c r="BJ164" s="62">
        <f t="shared" si="146"/>
        <v>67.677759965081719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60.967066856891769</v>
      </c>
      <c r="BQ164" s="23">
        <f>EXP(-LN(2)/25)*BQ163+(1-EXP(-LN(2)/25))/(LN(2)/25)*Calculateur!BL164*Calculateur!BN164*VLOOKUP('Données projet'!$B$11,Paramètres!$A$1:$I$88,3,0)*0.475*44/12</f>
        <v>0</v>
      </c>
      <c r="BR164" s="23">
        <f>EXP(-LN(2)/2)*BR163+(1-EXP(-LN(2)/2))/(LN(2)/2)*BL164*BO164*VLOOKUP('Données projet'!$B$11,Paramètres!$A$1:$I$88,3,0)*0.475*44/12</f>
        <v>0</v>
      </c>
      <c r="BS164" s="24">
        <f t="shared" si="169"/>
        <v>60.967066856891769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544.19999999999982</v>
      </c>
      <c r="BZ164" s="14">
        <f>BY164*VLOOKUP('Données projet'!$B$12,Paramètres!$A$1:$I$88,3,0)*VLOOKUP('Données projet'!$B$12,Paramètres!$A$1:$I$88,5,0)</f>
        <v>325.43159999999995</v>
      </c>
      <c r="CA164" s="14">
        <f t="shared" si="170"/>
        <v>76.482394221016762</v>
      </c>
      <c r="CB164" s="22">
        <f t="shared" si="171"/>
        <v>700.00020660160408</v>
      </c>
      <c r="CC164" s="62">
        <f t="shared" si="119"/>
        <v>987.85598506922383</v>
      </c>
      <c r="CD164" s="62">
        <f ca="1">AVERAGE(OFFSET($CC$3,0,0,'Données projet'!$E$12+1,1))-AVERAGE(OFFSET($H$3,0,0,'Données projet'!$E$12+1,1))</f>
        <v>401.1031790385295</v>
      </c>
      <c r="CE164" s="62">
        <f t="shared" si="148"/>
        <v>402.09589424130615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projet'!$B$12,Paramètres!$A$1:$I$88,3,0)*0.475*44/12</f>
        <v>2.8066002942290611</v>
      </c>
      <c r="CL164" s="23">
        <f>EXP(-LN(2)/25)*CL163+(1-EXP(-LN(2)/25))/(LN(2)/25)*Calculateur!CG164*Calculateur!CI164*VLOOKUP('Données projet'!$B$12,Paramètres!$A$1:$I$88,3,0)*0.475*44/12</f>
        <v>0</v>
      </c>
      <c r="CM164" s="23">
        <f>EXP(-LN(2)/2)*CM163+(1-EXP(-LN(2)/2))/(LN(2)/2)*CG164*CJ164*VLOOKUP('Données projet'!$B$12,Paramètres!$A$1:$I$88,3,0)*0.475*44/12</f>
        <v>2.6072157955655412E-15</v>
      </c>
      <c r="CN164" s="24">
        <f t="shared" si="172"/>
        <v>2.8066002942290638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544.19999999999982</v>
      </c>
      <c r="CU164" s="18">
        <f>CT164*VLOOKUP('Données projet'!$B$13,Paramètres!$A$1:$I$88,3,0)*VLOOKUP('Données projet'!$B$13,Paramètres!$A$1:$I$88,5,0)</f>
        <v>325.43159999999995</v>
      </c>
      <c r="CV164" s="14">
        <f t="shared" si="173"/>
        <v>76.482394221016762</v>
      </c>
      <c r="CW164" s="22">
        <f t="shared" si="174"/>
        <v>700.00020660160408</v>
      </c>
      <c r="CX164" s="62">
        <f t="shared" si="122"/>
        <v>987.85598506922383</v>
      </c>
      <c r="CY164" s="62">
        <f ca="1">AVERAGE(OFFSET($CX$3,0,0,'Données projet'!$E$13+1,1))-AVERAGE(OFFSET($H$3,0,0,'Données projet'!$E$13+1,1))</f>
        <v>401.1031790385295</v>
      </c>
      <c r="CZ164" s="62">
        <f t="shared" si="150"/>
        <v>402.09589424130615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projet'!$B$13,Paramètres!$A$1:$I$88,3,0)*0.475*44/12</f>
        <v>2.8066002942290611</v>
      </c>
      <c r="DG164" s="23">
        <f>EXP(-LN(2)/25)*DG163+(1-EXP(-LN(2)/25))/(LN(2)/25)*Calculateur!DB164*Calculateur!DD164*VLOOKUP('Données projet'!$B$13,Paramètres!$A$1:$I$88,3,0)*0.475*44/12</f>
        <v>0</v>
      </c>
      <c r="DH164" s="23">
        <f>EXP(-LN(2)/2)*DH163+(1-EXP(-LN(2)/2))/(LN(2)/2)*DB164*DE164*VLOOKUP('Données projet'!$B$13,Paramètres!$A$1:$I$88,3,0)*0.475*44/12</f>
        <v>2.6072157955655412E-15</v>
      </c>
      <c r="DI164" s="24">
        <f t="shared" si="175"/>
        <v>2.8066002942290638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860.00000000000023</v>
      </c>
      <c r="DP164" s="18">
        <f>DO164*VLOOKUP('Données projet'!$B$14,Paramètres!$A$1:$I$88,3,0)*VLOOKUP('Données projet'!$B$14,Paramètres!$A$1:$I$88,5,0)</f>
        <v>346.5800000000001</v>
      </c>
      <c r="DQ164" s="14">
        <f t="shared" si="176"/>
        <v>80.857895771535127</v>
      </c>
      <c r="DR164" s="22">
        <f t="shared" si="177"/>
        <v>744.45433513542378</v>
      </c>
      <c r="DS164" s="62">
        <f t="shared" si="125"/>
        <v>1032.3101136030434</v>
      </c>
      <c r="DT164" s="62">
        <f ca="1">AVERAGE(OFFSET($DS$3,0,0,'Données projet'!$E$14+1,1))-AVERAGE(OFFSET($H$3,0,0,'Données projet'!$E$14+1,1))</f>
        <v>432.59662347701629</v>
      </c>
      <c r="DU164" s="62">
        <f t="shared" si="152"/>
        <v>348.67401091099748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projet'!$B$14,Paramètres!$A$1:$I$88,3,0)*0.475*44/12</f>
        <v>12.642786084624323</v>
      </c>
      <c r="EB164" s="23">
        <f>EXP(-LN(2)/25)*EB163+(1-EXP(-LN(2)/25))/(LN(2)/25)*Calculateur!DW164*Calculateur!DY164*VLOOKUP('Données projet'!$B$14,Paramètres!$A$1:$I$88,3,0)*0.475*44/12</f>
        <v>7.3594174514628907</v>
      </c>
      <c r="EC164" s="23">
        <f>EXP(-LN(2)/2)*EC163+(1-EXP(-LN(2)/2))/(LN(2)/2)*DW164*DZ164*VLOOKUP('Données projet'!$B$14,Paramètres!$A$1:$I$88,3,0)*0.475*44/12</f>
        <v>0</v>
      </c>
      <c r="ED164" s="24">
        <f t="shared" si="178"/>
        <v>20.002203536087215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1099.9999999999998</v>
      </c>
      <c r="EK164" s="18">
        <f>EJ164*VLOOKUP('Données projet'!$B$15,Paramètres!$A$1:$I$88,3,0)*VLOOKUP('Données projet'!$B$15,Paramètres!$A$1:$I$88,5,0)</f>
        <v>486.19999999999993</v>
      </c>
      <c r="EL164" s="14">
        <f t="shared" si="179"/>
        <v>109.0490179035375</v>
      </c>
      <c r="EM164" s="22">
        <f t="shared" si="180"/>
        <v>1036.725372848661</v>
      </c>
      <c r="EN164" s="62">
        <f t="shared" si="128"/>
        <v>1324.5811513162807</v>
      </c>
      <c r="EO164" s="62">
        <f ca="1">AVERAGE(OFFSET($EN$3,0,0,'Données projet'!$E$15+1,1))-AVERAGE(OFFSET($H$3,0,0,'Données projet'!$E$15+1,1))</f>
        <v>582.26951914082088</v>
      </c>
      <c r="EP164" s="62">
        <f t="shared" si="154"/>
        <v>434.80429932654715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projet'!$B$15,Paramètres!$A$1:$I$88,3,0)*0.475*44/12</f>
        <v>12.739359332122534</v>
      </c>
      <c r="EW164" s="23">
        <f>EXP(-LN(2)/25)*EW163+(1-EXP(-LN(2)/25))/(LN(2)/25)*Calculateur!ER164*Calculateur!ET164*VLOOKUP('Données projet'!$B$15,Paramètres!$A$1:$I$88,3,0)*0.475*44/12</f>
        <v>6.6130094267721979</v>
      </c>
      <c r="EX164" s="23">
        <f>EXP(-LN(2)/2)*EX163+(1-EXP(-LN(2)/2))/(LN(2)/2)*ER164*EU164*VLOOKUP('Données projet'!$B$15,Paramètres!$A$1:$I$88,3,0)*0.475*44/12</f>
        <v>0</v>
      </c>
      <c r="EY164" s="24">
        <f t="shared" si="181"/>
        <v>19.352368758894734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854.99999999999989</v>
      </c>
      <c r="FF164" s="18">
        <f>FE164*VLOOKUP('Données projet'!$B$16,Paramètres!$A$1:$I$88,3,0)*VLOOKUP('Données projet'!$B$16,Paramètres!$A$1:$I$88,5,0)</f>
        <v>400.13999999999993</v>
      </c>
      <c r="FG164" s="14">
        <f t="shared" si="182"/>
        <v>91.805047494648534</v>
      </c>
      <c r="FH164" s="22">
        <f t="shared" si="183"/>
        <v>856.80429105317944</v>
      </c>
      <c r="FI164" s="62">
        <f t="shared" si="131"/>
        <v>1144.6600695207992</v>
      </c>
      <c r="FJ164" s="62">
        <f ca="1">AVERAGE(OFFSET($FI$3,0,0,'Données projet'!$E$16+1,1))-AVERAGE(OFFSET($H$3,0,0,'Données projet'!$E$16+1,1))</f>
        <v>429.87867712133851</v>
      </c>
      <c r="FK164" s="62">
        <f t="shared" si="156"/>
        <v>182.81277865988014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projet'!$B$16,Paramètres!$A$1:$I$88,3,0)*0.475*44/12</f>
        <v>15.193210481114011</v>
      </c>
      <c r="FR164" s="23">
        <f>EXP(-LN(2)/25)*FR163+(1-EXP(-LN(2)/25))/(LN(2)/25)*Calculateur!FM164*Calculateur!FO164*VLOOKUP('Données projet'!$B$16,Paramètres!$A$1:$I$88,3,0)*0.475*44/12</f>
        <v>8.3831216121629044</v>
      </c>
      <c r="FS164" s="23">
        <f>EXP(-LN(2)/2)*FS163+(1-EXP(-LN(2)/2))/(LN(2)/2)*FM164*FP164*VLOOKUP('Données projet'!$B$16,Paramètres!$A$1:$I$88,3,0)*0.475*44/12</f>
        <v>0</v>
      </c>
      <c r="FT164" s="24">
        <f t="shared" si="184"/>
        <v>23.576332093276918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498.99999999999955</v>
      </c>
      <c r="GA164" s="18">
        <f>FZ164*VLOOKUP('Données projet'!$B$17,Paramètres!$A$1:$I$88,3,0)*VLOOKUP('Données projet'!$B$17,Paramètres!$A$1:$I$88,5,0)</f>
        <v>240.01899999999978</v>
      </c>
      <c r="GB164" s="14">
        <f t="shared" si="185"/>
        <v>58.443618405936313</v>
      </c>
      <c r="GC164" s="22">
        <f t="shared" si="186"/>
        <v>519.82239372367201</v>
      </c>
      <c r="GD164" s="62">
        <f t="shared" si="134"/>
        <v>807.67817219129165</v>
      </c>
      <c r="GE164" s="62">
        <f ca="1">AVERAGE(OFFSET($GD$3,0,0,'Données projet'!$E$17+1,1))-AVERAGE(OFFSET($H$3,0,0,'Données projet'!$E$17+1,1))</f>
        <v>273.24375559399846</v>
      </c>
      <c r="GF164" s="62">
        <f t="shared" si="158"/>
        <v>270.77718895097848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projet'!$B$17,Paramètres!$A$1:$I$88,3,0)*0.475*44/12</f>
        <v>6.5054149449779581</v>
      </c>
      <c r="GM164" s="23">
        <f>EXP(-LN(2)/25)*GM163+(1-EXP(-LN(2)/25))/(LN(2)/25)*Calculateur!GH164*Calculateur!GJ164*VLOOKUP('Données projet'!$B$17,Paramètres!$A$1:$I$88,3,0)*0.475*44/12</f>
        <v>3.2253851923798154</v>
      </c>
      <c r="GN164" s="23">
        <f>EXP(-LN(2)/2)*GN163+(1-EXP(-LN(2)/2))/(LN(2)/2)*GH164*GK164*VLOOKUP('Données projet'!$B$17,Paramètres!$A$1:$I$88,3,0)*0.475*44/12</f>
        <v>0</v>
      </c>
      <c r="GO164" s="23">
        <f t="shared" si="187"/>
        <v>9.7308001373577735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550.99999999999966</v>
      </c>
      <c r="O165" s="14">
        <f>N165*VLOOKUP('Données projet'!$B$9,Paramètres!$A$1:$I$88,3,0)*VLOOKUP('Données projet'!$B$9,Paramètres!$A$1:$I$88,5,0)</f>
        <v>308.00899999999979</v>
      </c>
      <c r="P165" s="14">
        <f t="shared" si="141"/>
        <v>72.852874331417695</v>
      </c>
      <c r="Q165" s="22">
        <f t="shared" si="162"/>
        <v>663.33443112721886</v>
      </c>
      <c r="R165" s="62">
        <f t="shared" si="109"/>
        <v>951.28523292578052</v>
      </c>
      <c r="S165" s="62">
        <f ca="1">AVERAGE(OFFSET($R$3,0,0,'Données projet'!$E$9+1,1))-AVERAGE(OFFSET($H$3,0,0,'Données projet'!$E$9+1,1))</f>
        <v>289.94242154211224</v>
      </c>
      <c r="T165" s="62">
        <f t="shared" si="142"/>
        <v>369.12599166143661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9.7861274670935234</v>
      </c>
      <c r="AA165" s="23">
        <f>EXP(-LN(2)/25)*AA164+(1-EXP(-LN(2)/25))/(LN(2)/25)*Calculateur!V165*Calculateur!X165*VLOOKUP('Données projet'!$B$9,Paramètres!$A$1:$I$88,3,0)*0.475*44/12</f>
        <v>3.9510566970247778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13.7371841641183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6.9</v>
      </c>
      <c r="AI165" s="14">
        <f>IF('Données projet'!$A$62&gt;35,AI164+AH165-AQ164,IF(A165&lt;'Données projet'!$A$62,$AF$205^A165,IF(A165='Données projet'!$A$62,'Données projet'!$B$62,AI164+AH165-AQ164)))</f>
        <v>401.8000000000003</v>
      </c>
      <c r="AJ165" s="14">
        <f>AI165*VLOOKUP('Données projet'!$B$10,Paramètres!$A$1:$I$88,3,0)*VLOOKUP('Données projet'!$B$10,Paramètres!$A$1:$I$88,5,0)</f>
        <v>363.54864000000026</v>
      </c>
      <c r="AK165" s="14">
        <f t="shared" si="164"/>
        <v>84.34612037538426</v>
      </c>
      <c r="AL165" s="22">
        <f t="shared" si="165"/>
        <v>780.0833743204613</v>
      </c>
      <c r="AM165" s="62">
        <f t="shared" si="113"/>
        <v>1068.034176119023</v>
      </c>
      <c r="AN165" s="62">
        <f ca="1">AVERAGE(OFFSET($AM$3,0,0,'Données projet'!$E$10+1,1))-AVERAGE(OFFSET($H$3,0,0,'Données projet'!$E$10+1,1))</f>
        <v>518.31628039365785</v>
      </c>
      <c r="AO165" s="62">
        <f t="shared" si="144"/>
        <v>66.435071953154761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53.334604799998317</v>
      </c>
      <c r="AV165" s="23">
        <f>EXP(-LN(2)/25)*AV164+(1-EXP(-LN(2)/25))/(LN(2)/25)*Calculateur!AQ165*Calculateur!AS165*VLOOKUP('Données projet'!$B$10,Paramètres!$A$1:$I$88,3,0)*0.475*44/12</f>
        <v>0</v>
      </c>
      <c r="AW165" s="23">
        <f>EXP(-LN(2)/2)*AW164+(1-EXP(-LN(2)/2))/(LN(2)/2)*AQ165*AT165*VLOOKUP('Données projet'!$B$10,Paramètres!$A$1:$I$88,3,0)*0.475*44/12</f>
        <v>0</v>
      </c>
      <c r="AX165" s="23">
        <f t="shared" si="166"/>
        <v>53.334604799998317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6.9</v>
      </c>
      <c r="BD165" s="13">
        <f>IF('Données projet'!$A$88&gt;35,BD164+BC165-BL164,IF(A165&lt;'Données projet'!$A$88,$BA$205^A165,IF(A165='Données projet'!$A$88,'Données projet'!$B$88,BD164+BC165-BL164)))</f>
        <v>401.8000000000003</v>
      </c>
      <c r="BE165" s="14">
        <f>BD165*VLOOKUP('Données projet'!$B$11,Paramètres!$A$1:$I$88,3,0)*VLOOKUP('Données projet'!$B$11,Paramètres!$A$1:$I$88,5,0)</f>
        <v>407.4252000000003</v>
      </c>
      <c r="BF165" s="14">
        <f t="shared" si="167"/>
        <v>93.280395370808549</v>
      </c>
      <c r="BG165" s="22">
        <f t="shared" si="168"/>
        <v>872.06224527082531</v>
      </c>
      <c r="BH165" s="62">
        <f t="shared" si="116"/>
        <v>1160.0130470693871</v>
      </c>
      <c r="BI165" s="62">
        <f ca="1">AVERAGE(OFFSET($BH$3,0,0,'Données projet'!$E$11+1,1))-AVERAGE(OFFSET($H$3,0,0,'Données projet'!$E$11+1,1))</f>
        <v>570.2785736203931</v>
      </c>
      <c r="BJ165" s="62">
        <f t="shared" si="146"/>
        <v>67.677759965081719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59.771539862067065</v>
      </c>
      <c r="BQ165" s="23">
        <f>EXP(-LN(2)/25)*BQ164+(1-EXP(-LN(2)/25))/(LN(2)/25)*Calculateur!BL165*Calculateur!BN165*VLOOKUP('Données projet'!$B$11,Paramètres!$A$1:$I$88,3,0)*0.475*44/12</f>
        <v>0</v>
      </c>
      <c r="BR165" s="23">
        <f>EXP(-LN(2)/2)*BR164+(1-EXP(-LN(2)/2))/(LN(2)/2)*BL165*BO165*VLOOKUP('Données projet'!$B$11,Paramètres!$A$1:$I$88,3,0)*0.475*44/12</f>
        <v>0</v>
      </c>
      <c r="BS165" s="24">
        <f t="shared" si="169"/>
        <v>59.771539862067065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544.19999999999982</v>
      </c>
      <c r="BZ165" s="14">
        <f>BY165*VLOOKUP('Données projet'!$B$12,Paramètres!$A$1:$I$88,3,0)*VLOOKUP('Données projet'!$B$12,Paramètres!$A$1:$I$88,5,0)</f>
        <v>325.43159999999995</v>
      </c>
      <c r="CA165" s="14">
        <f t="shared" si="170"/>
        <v>76.482394221016762</v>
      </c>
      <c r="CB165" s="22">
        <f t="shared" si="171"/>
        <v>700.00020660160408</v>
      </c>
      <c r="CC165" s="62">
        <f t="shared" si="119"/>
        <v>987.95100840016585</v>
      </c>
      <c r="CD165" s="62">
        <f ca="1">AVERAGE(OFFSET($CC$3,0,0,'Données projet'!$E$12+1,1))-AVERAGE(OFFSET($H$3,0,0,'Données projet'!$E$12+1,1))</f>
        <v>401.1031790385295</v>
      </c>
      <c r="CE165" s="62">
        <f t="shared" si="148"/>
        <v>402.09589424130615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projet'!$B$12,Paramètres!$A$1:$I$88,3,0)*0.475*44/12</f>
        <v>2.7515645743163768</v>
      </c>
      <c r="CL165" s="23">
        <f>EXP(-LN(2)/25)*CL164+(1-EXP(-LN(2)/25))/(LN(2)/25)*Calculateur!CG165*Calculateur!CI165*VLOOKUP('Données projet'!$B$12,Paramètres!$A$1:$I$88,3,0)*0.475*44/12</f>
        <v>0</v>
      </c>
      <c r="CM165" s="23">
        <f>EXP(-LN(2)/2)*CM164+(1-EXP(-LN(2)/2))/(LN(2)/2)*CG165*CJ165*VLOOKUP('Données projet'!$B$12,Paramètres!$A$1:$I$88,3,0)*0.475*44/12</f>
        <v>1.8435799690610736E-15</v>
      </c>
      <c r="CN165" s="24">
        <f t="shared" si="172"/>
        <v>2.7515645743163786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544.19999999999982</v>
      </c>
      <c r="CU165" s="18">
        <f>CT165*VLOOKUP('Données projet'!$B$13,Paramètres!$A$1:$I$88,3,0)*VLOOKUP('Données projet'!$B$13,Paramètres!$A$1:$I$88,5,0)</f>
        <v>325.43159999999995</v>
      </c>
      <c r="CV165" s="14">
        <f t="shared" si="173"/>
        <v>76.482394221016762</v>
      </c>
      <c r="CW165" s="22">
        <f t="shared" si="174"/>
        <v>700.00020660160408</v>
      </c>
      <c r="CX165" s="62">
        <f t="shared" si="122"/>
        <v>987.95100840016585</v>
      </c>
      <c r="CY165" s="62">
        <f ca="1">AVERAGE(OFFSET($CX$3,0,0,'Données projet'!$E$13+1,1))-AVERAGE(OFFSET($H$3,0,0,'Données projet'!$E$13+1,1))</f>
        <v>401.1031790385295</v>
      </c>
      <c r="CZ165" s="62">
        <f t="shared" si="150"/>
        <v>402.09589424130615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projet'!$B$13,Paramètres!$A$1:$I$88,3,0)*0.475*44/12</f>
        <v>2.7515645743163768</v>
      </c>
      <c r="DG165" s="23">
        <f>EXP(-LN(2)/25)*DG164+(1-EXP(-LN(2)/25))/(LN(2)/25)*Calculateur!DB165*Calculateur!DD165*VLOOKUP('Données projet'!$B$13,Paramètres!$A$1:$I$88,3,0)*0.475*44/12</f>
        <v>0</v>
      </c>
      <c r="DH165" s="23">
        <f>EXP(-LN(2)/2)*DH164+(1-EXP(-LN(2)/2))/(LN(2)/2)*DB165*DE165*VLOOKUP('Données projet'!$B$13,Paramètres!$A$1:$I$88,3,0)*0.475*44/12</f>
        <v>1.8435799690610736E-15</v>
      </c>
      <c r="DI165" s="24">
        <f t="shared" si="175"/>
        <v>2.7515645743163786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860.00000000000023</v>
      </c>
      <c r="DP165" s="18">
        <f>DO165*VLOOKUP('Données projet'!$B$14,Paramètres!$A$1:$I$88,3,0)*VLOOKUP('Données projet'!$B$14,Paramètres!$A$1:$I$88,5,0)</f>
        <v>346.5800000000001</v>
      </c>
      <c r="DQ165" s="14">
        <f t="shared" si="176"/>
        <v>80.857895771535127</v>
      </c>
      <c r="DR165" s="22">
        <f t="shared" si="177"/>
        <v>744.45433513542378</v>
      </c>
      <c r="DS165" s="62">
        <f t="shared" si="125"/>
        <v>1032.4051369339854</v>
      </c>
      <c r="DT165" s="62">
        <f ca="1">AVERAGE(OFFSET($DS$3,0,0,'Données projet'!$E$14+1,1))-AVERAGE(OFFSET($H$3,0,0,'Données projet'!$E$14+1,1))</f>
        <v>432.59662347701629</v>
      </c>
      <c r="DU165" s="62">
        <f t="shared" si="152"/>
        <v>348.67401091099748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projet'!$B$14,Paramètres!$A$1:$I$88,3,0)*0.475*44/12</f>
        <v>12.39486876084292</v>
      </c>
      <c r="EB165" s="23">
        <f>EXP(-LN(2)/25)*EB164+(1-EXP(-LN(2)/25))/(LN(2)/25)*Calculateur!DW165*Calculateur!DY165*VLOOKUP('Données projet'!$B$14,Paramètres!$A$1:$I$88,3,0)*0.475*44/12</f>
        <v>7.158173794237694</v>
      </c>
      <c r="EC165" s="23">
        <f>EXP(-LN(2)/2)*EC164+(1-EXP(-LN(2)/2))/(LN(2)/2)*DW165*DZ165*VLOOKUP('Données projet'!$B$14,Paramètres!$A$1:$I$88,3,0)*0.475*44/12</f>
        <v>0</v>
      </c>
      <c r="ED165" s="24">
        <f t="shared" si="178"/>
        <v>19.553042555080616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1099.9999999999998</v>
      </c>
      <c r="EK165" s="18">
        <f>EJ165*VLOOKUP('Données projet'!$B$15,Paramètres!$A$1:$I$88,3,0)*VLOOKUP('Données projet'!$B$15,Paramètres!$A$1:$I$88,5,0)</f>
        <v>486.19999999999993</v>
      </c>
      <c r="EL165" s="14">
        <f t="shared" si="179"/>
        <v>109.0490179035375</v>
      </c>
      <c r="EM165" s="22">
        <f t="shared" si="180"/>
        <v>1036.725372848661</v>
      </c>
      <c r="EN165" s="62">
        <f t="shared" si="128"/>
        <v>1324.6761746472228</v>
      </c>
      <c r="EO165" s="62">
        <f ca="1">AVERAGE(OFFSET($EN$3,0,0,'Données projet'!$E$15+1,1))-AVERAGE(OFFSET($H$3,0,0,'Données projet'!$E$15+1,1))</f>
        <v>582.26951914082088</v>
      </c>
      <c r="EP165" s="62">
        <f t="shared" si="154"/>
        <v>434.80429932654715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projet'!$B$15,Paramètres!$A$1:$I$88,3,0)*0.475*44/12</f>
        <v>12.489548265861556</v>
      </c>
      <c r="EW165" s="23">
        <f>EXP(-LN(2)/25)*EW164+(1-EXP(-LN(2)/25))/(LN(2)/25)*Calculateur!ER165*Calculateur!ET165*VLOOKUP('Données projet'!$B$15,Paramètres!$A$1:$I$88,3,0)*0.475*44/12</f>
        <v>6.4321763362340603</v>
      </c>
      <c r="EX165" s="23">
        <f>EXP(-LN(2)/2)*EX164+(1-EXP(-LN(2)/2))/(LN(2)/2)*ER165*EU165*VLOOKUP('Données projet'!$B$15,Paramètres!$A$1:$I$88,3,0)*0.475*44/12</f>
        <v>0</v>
      </c>
      <c r="EY165" s="24">
        <f t="shared" si="181"/>
        <v>18.921724602095615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854.99999999999989</v>
      </c>
      <c r="FF165" s="18">
        <f>FE165*VLOOKUP('Données projet'!$B$16,Paramètres!$A$1:$I$88,3,0)*VLOOKUP('Données projet'!$B$16,Paramètres!$A$1:$I$88,5,0)</f>
        <v>400.13999999999993</v>
      </c>
      <c r="FG165" s="14">
        <f t="shared" si="182"/>
        <v>91.805047494648534</v>
      </c>
      <c r="FH165" s="22">
        <f t="shared" si="183"/>
        <v>856.80429105317944</v>
      </c>
      <c r="FI165" s="62">
        <f t="shared" si="131"/>
        <v>1144.7550928517412</v>
      </c>
      <c r="FJ165" s="62">
        <f ca="1">AVERAGE(OFFSET($FI$3,0,0,'Données projet'!$E$16+1,1))-AVERAGE(OFFSET($H$3,0,0,'Données projet'!$E$16+1,1))</f>
        <v>429.87867712133851</v>
      </c>
      <c r="FK165" s="62">
        <f t="shared" si="156"/>
        <v>182.81277865988014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projet'!$B$16,Paramètres!$A$1:$I$88,3,0)*0.475*44/12</f>
        <v>14.895280890522724</v>
      </c>
      <c r="FR165" s="23">
        <f>EXP(-LN(2)/25)*FR164+(1-EXP(-LN(2)/25))/(LN(2)/25)*Calculateur!FM165*Calculateur!FO165*VLOOKUP('Données projet'!$B$16,Paramètres!$A$1:$I$88,3,0)*0.475*44/12</f>
        <v>8.1538847108291037</v>
      </c>
      <c r="FS165" s="23">
        <f>EXP(-LN(2)/2)*FS164+(1-EXP(-LN(2)/2))/(LN(2)/2)*FM165*FP165*VLOOKUP('Données projet'!$B$16,Paramètres!$A$1:$I$88,3,0)*0.475*44/12</f>
        <v>0</v>
      </c>
      <c r="FT165" s="24">
        <f t="shared" si="184"/>
        <v>23.049165601351827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498.99999999999955</v>
      </c>
      <c r="GA165" s="18">
        <f>FZ165*VLOOKUP('Données projet'!$B$17,Paramètres!$A$1:$I$88,3,0)*VLOOKUP('Données projet'!$B$17,Paramètres!$A$1:$I$88,5,0)</f>
        <v>240.01899999999978</v>
      </c>
      <c r="GB165" s="14">
        <f t="shared" si="185"/>
        <v>58.443618405936313</v>
      </c>
      <c r="GC165" s="22">
        <f t="shared" si="186"/>
        <v>519.82239372367201</v>
      </c>
      <c r="GD165" s="62">
        <f t="shared" si="134"/>
        <v>807.77319552223366</v>
      </c>
      <c r="GE165" s="62">
        <f ca="1">AVERAGE(OFFSET($GD$3,0,0,'Données projet'!$E$17+1,1))-AVERAGE(OFFSET($H$3,0,0,'Données projet'!$E$17+1,1))</f>
        <v>273.24375559399846</v>
      </c>
      <c r="GF165" s="62">
        <f t="shared" si="158"/>
        <v>270.77718895097848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projet'!$B$17,Paramètres!$A$1:$I$88,3,0)*0.475*44/12</f>
        <v>6.377847725818258</v>
      </c>
      <c r="GM165" s="23">
        <f>EXP(-LN(2)/25)*GM164+(1-EXP(-LN(2)/25))/(LN(2)/25)*Calculateur!GH165*Calculateur!GJ165*VLOOKUP('Données projet'!$B$17,Paramètres!$A$1:$I$88,3,0)*0.475*44/12</f>
        <v>3.1371868646785539</v>
      </c>
      <c r="GN165" s="23">
        <f>EXP(-LN(2)/2)*GN164+(1-EXP(-LN(2)/2))/(LN(2)/2)*GH165*GK165*VLOOKUP('Données projet'!$B$17,Paramètres!$A$1:$I$88,3,0)*0.475*44/12</f>
        <v>0</v>
      </c>
      <c r="GO165" s="23">
        <f t="shared" si="187"/>
        <v>9.5150345904968123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550.99999999999966</v>
      </c>
      <c r="O166" s="14">
        <f>N166*VLOOKUP('Données projet'!$B$9,Paramètres!$A$1:$I$88,3,0)*VLOOKUP('Données projet'!$B$9,Paramètres!$A$1:$I$88,5,0)</f>
        <v>308.00899999999979</v>
      </c>
      <c r="P166" s="14">
        <f t="shared" si="141"/>
        <v>72.852874331417695</v>
      </c>
      <c r="Q166" s="22">
        <f t="shared" si="162"/>
        <v>663.33443112721886</v>
      </c>
      <c r="R166" s="62">
        <f t="shared" si="109"/>
        <v>951.37860781437109</v>
      </c>
      <c r="S166" s="62">
        <f ca="1">AVERAGE(OFFSET($R$3,0,0,'Données projet'!$E$9+1,1))-AVERAGE(OFFSET($H$3,0,0,'Données projet'!$E$9+1,1))</f>
        <v>289.94242154211224</v>
      </c>
      <c r="T166" s="62">
        <f t="shared" si="142"/>
        <v>369.12599166143661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9.5942274764121898</v>
      </c>
      <c r="AA166" s="23">
        <f>EXP(-LN(2)/25)*AA165+(1-EXP(-LN(2)/25))/(LN(2)/25)*Calculateur!V166*Calculateur!X166*VLOOKUP('Données projet'!$B$9,Paramètres!$A$1:$I$88,3,0)*0.475*44/12</f>
        <v>3.8430148438675937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13.437242320279783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6.9</v>
      </c>
      <c r="AI166" s="14">
        <f>IF('Données projet'!$A$62&gt;35,AI165+AH166-AQ165,IF(A166&lt;'Données projet'!$A$62,$AF$205^A166,IF(A166='Données projet'!$A$62,'Données projet'!$B$62,AI165+AH166-AQ165)))</f>
        <v>408.70000000000027</v>
      </c>
      <c r="AJ166" s="14">
        <f>AI166*VLOOKUP('Données projet'!$B$10,Paramètres!$A$1:$I$88,3,0)*VLOOKUP('Données projet'!$B$10,Paramètres!$A$1:$I$88,5,0)</f>
        <v>369.79176000000024</v>
      </c>
      <c r="AK166" s="14">
        <f t="shared" si="164"/>
        <v>85.624701988855662</v>
      </c>
      <c r="AL166" s="22">
        <f t="shared" si="165"/>
        <v>793.18367129725732</v>
      </c>
      <c r="AM166" s="62">
        <f t="shared" si="113"/>
        <v>1081.2278479844094</v>
      </c>
      <c r="AN166" s="62">
        <f ca="1">AVERAGE(OFFSET($AM$3,0,0,'Données projet'!$E$10+1,1))-AVERAGE(OFFSET($H$3,0,0,'Données projet'!$E$10+1,1))</f>
        <v>518.31628039365785</v>
      </c>
      <c r="AO166" s="62">
        <f t="shared" si="144"/>
        <v>66.435071953154761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52.288745730767118</v>
      </c>
      <c r="AV166" s="23">
        <f>EXP(-LN(2)/25)*AV165+(1-EXP(-LN(2)/25))/(LN(2)/25)*Calculateur!AQ166*Calculateur!AS166*VLOOKUP('Données projet'!$B$10,Paramètres!$A$1:$I$88,3,0)*0.475*44/12</f>
        <v>0</v>
      </c>
      <c r="AW166" s="23">
        <f>EXP(-LN(2)/2)*AW165+(1-EXP(-LN(2)/2))/(LN(2)/2)*AQ166*AT166*VLOOKUP('Données projet'!$B$10,Paramètres!$A$1:$I$88,3,0)*0.475*44/12</f>
        <v>0</v>
      </c>
      <c r="AX166" s="23">
        <f t="shared" si="166"/>
        <v>52.288745730767118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6.9</v>
      </c>
      <c r="BD166" s="13">
        <f>IF('Données projet'!$A$88&gt;35,BD165+BC166-BL165,IF(A166&lt;'Données projet'!$A$88,$BA$205^A166,IF(A166='Données projet'!$A$88,'Données projet'!$B$88,BD165+BC166-BL165)))</f>
        <v>408.70000000000027</v>
      </c>
      <c r="BE166" s="14">
        <f>BD166*VLOOKUP('Données projet'!$B$11,Paramètres!$A$1:$I$88,3,0)*VLOOKUP('Données projet'!$B$11,Paramètres!$A$1:$I$88,5,0)</f>
        <v>414.4218000000003</v>
      </c>
      <c r="BF166" s="14">
        <f t="shared" si="167"/>
        <v>94.694409410667902</v>
      </c>
      <c r="BG166" s="22">
        <f t="shared" si="168"/>
        <v>886.71073139024702</v>
      </c>
      <c r="BH166" s="62">
        <f t="shared" si="116"/>
        <v>1174.7549080773993</v>
      </c>
      <c r="BI166" s="62">
        <f ca="1">AVERAGE(OFFSET($BH$3,0,0,'Données projet'!$E$11+1,1))-AVERAGE(OFFSET($H$3,0,0,'Données projet'!$E$11+1,1))</f>
        <v>570.2785736203931</v>
      </c>
      <c r="BJ166" s="62">
        <f t="shared" si="146"/>
        <v>67.677759965081719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58.599456422411414</v>
      </c>
      <c r="BQ166" s="23">
        <f>EXP(-LN(2)/25)*BQ165+(1-EXP(-LN(2)/25))/(LN(2)/25)*Calculateur!BL166*Calculateur!BN166*VLOOKUP('Données projet'!$B$11,Paramètres!$A$1:$I$88,3,0)*0.475*44/12</f>
        <v>0</v>
      </c>
      <c r="BR166" s="23">
        <f>EXP(-LN(2)/2)*BR165+(1-EXP(-LN(2)/2))/(LN(2)/2)*BL166*BO166*VLOOKUP('Données projet'!$B$11,Paramètres!$A$1:$I$88,3,0)*0.475*44/12</f>
        <v>0</v>
      </c>
      <c r="BS166" s="24">
        <f t="shared" si="169"/>
        <v>58.599456422411414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544.19999999999982</v>
      </c>
      <c r="BZ166" s="14">
        <f>BY166*VLOOKUP('Données projet'!$B$12,Paramètres!$A$1:$I$88,3,0)*VLOOKUP('Données projet'!$B$12,Paramètres!$A$1:$I$88,5,0)</f>
        <v>325.43159999999995</v>
      </c>
      <c r="CA166" s="14">
        <f t="shared" si="170"/>
        <v>76.482394221016762</v>
      </c>
      <c r="CB166" s="22">
        <f t="shared" si="171"/>
        <v>700.00020660160408</v>
      </c>
      <c r="CC166" s="62">
        <f t="shared" si="119"/>
        <v>988.04438328875631</v>
      </c>
      <c r="CD166" s="62">
        <f ca="1">AVERAGE(OFFSET($CC$3,0,0,'Données projet'!$E$12+1,1))-AVERAGE(OFFSET($H$3,0,0,'Données projet'!$E$12+1,1))</f>
        <v>401.1031790385295</v>
      </c>
      <c r="CE166" s="62">
        <f t="shared" si="148"/>
        <v>402.09589424130615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projet'!$B$12,Paramètres!$A$1:$I$88,3,0)*0.475*44/12</f>
        <v>2.6976080713027057</v>
      </c>
      <c r="CL166" s="23">
        <f>EXP(-LN(2)/25)*CL165+(1-EXP(-LN(2)/25))/(LN(2)/25)*Calculateur!CG166*Calculateur!CI166*VLOOKUP('Données projet'!$B$12,Paramètres!$A$1:$I$88,3,0)*0.475*44/12</f>
        <v>0</v>
      </c>
      <c r="CM166" s="23">
        <f>EXP(-LN(2)/2)*CM165+(1-EXP(-LN(2)/2))/(LN(2)/2)*CG166*CJ166*VLOOKUP('Données projet'!$B$12,Paramètres!$A$1:$I$88,3,0)*0.475*44/12</f>
        <v>1.3036078977827706E-15</v>
      </c>
      <c r="CN166" s="24">
        <f t="shared" si="172"/>
        <v>2.6976080713027071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544.19999999999982</v>
      </c>
      <c r="CU166" s="18">
        <f>CT166*VLOOKUP('Données projet'!$B$13,Paramètres!$A$1:$I$88,3,0)*VLOOKUP('Données projet'!$B$13,Paramètres!$A$1:$I$88,5,0)</f>
        <v>325.43159999999995</v>
      </c>
      <c r="CV166" s="14">
        <f t="shared" si="173"/>
        <v>76.482394221016762</v>
      </c>
      <c r="CW166" s="22">
        <f t="shared" si="174"/>
        <v>700.00020660160408</v>
      </c>
      <c r="CX166" s="62">
        <f t="shared" si="122"/>
        <v>988.04438328875631</v>
      </c>
      <c r="CY166" s="62">
        <f ca="1">AVERAGE(OFFSET($CX$3,0,0,'Données projet'!$E$13+1,1))-AVERAGE(OFFSET($H$3,0,0,'Données projet'!$E$13+1,1))</f>
        <v>401.1031790385295</v>
      </c>
      <c r="CZ166" s="62">
        <f t="shared" si="150"/>
        <v>402.09589424130615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projet'!$B$13,Paramètres!$A$1:$I$88,3,0)*0.475*44/12</f>
        <v>2.6976080713027057</v>
      </c>
      <c r="DG166" s="23">
        <f>EXP(-LN(2)/25)*DG165+(1-EXP(-LN(2)/25))/(LN(2)/25)*Calculateur!DB166*Calculateur!DD166*VLOOKUP('Données projet'!$B$13,Paramètres!$A$1:$I$88,3,0)*0.475*44/12</f>
        <v>0</v>
      </c>
      <c r="DH166" s="23">
        <f>EXP(-LN(2)/2)*DH165+(1-EXP(-LN(2)/2))/(LN(2)/2)*DB166*DE166*VLOOKUP('Données projet'!$B$13,Paramètres!$A$1:$I$88,3,0)*0.475*44/12</f>
        <v>1.3036078977827706E-15</v>
      </c>
      <c r="DI166" s="24">
        <f t="shared" si="175"/>
        <v>2.6976080713027071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860.00000000000023</v>
      </c>
      <c r="DP166" s="18">
        <f>DO166*VLOOKUP('Données projet'!$B$14,Paramètres!$A$1:$I$88,3,0)*VLOOKUP('Données projet'!$B$14,Paramètres!$A$1:$I$88,5,0)</f>
        <v>346.5800000000001</v>
      </c>
      <c r="DQ166" s="14">
        <f t="shared" si="176"/>
        <v>80.857895771535127</v>
      </c>
      <c r="DR166" s="22">
        <f t="shared" si="177"/>
        <v>744.45433513542378</v>
      </c>
      <c r="DS166" s="62">
        <f t="shared" si="125"/>
        <v>1032.4985118225759</v>
      </c>
      <c r="DT166" s="62">
        <f ca="1">AVERAGE(OFFSET($DS$3,0,0,'Données projet'!$E$14+1,1))-AVERAGE(OFFSET($H$3,0,0,'Données projet'!$E$14+1,1))</f>
        <v>432.59662347701629</v>
      </c>
      <c r="DU166" s="62">
        <f t="shared" si="152"/>
        <v>348.67401091099748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projet'!$B$14,Paramètres!$A$1:$I$88,3,0)*0.475*44/12</f>
        <v>12.151812944566235</v>
      </c>
      <c r="EB166" s="23">
        <f>EXP(-LN(2)/25)*EB165+(1-EXP(-LN(2)/25))/(LN(2)/25)*Calculateur!DW166*Calculateur!DY166*VLOOKUP('Données projet'!$B$14,Paramètres!$A$1:$I$88,3,0)*0.475*44/12</f>
        <v>6.9624331554022643</v>
      </c>
      <c r="EC166" s="23">
        <f>EXP(-LN(2)/2)*EC165+(1-EXP(-LN(2)/2))/(LN(2)/2)*DW166*DZ166*VLOOKUP('Données projet'!$B$14,Paramètres!$A$1:$I$88,3,0)*0.475*44/12</f>
        <v>0</v>
      </c>
      <c r="ED166" s="24">
        <f t="shared" si="178"/>
        <v>19.114246099968497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1099.9999999999998</v>
      </c>
      <c r="EK166" s="18">
        <f>EJ166*VLOOKUP('Données projet'!$B$15,Paramètres!$A$1:$I$88,3,0)*VLOOKUP('Données projet'!$B$15,Paramètres!$A$1:$I$88,5,0)</f>
        <v>486.19999999999993</v>
      </c>
      <c r="EL166" s="14">
        <f t="shared" si="179"/>
        <v>109.0490179035375</v>
      </c>
      <c r="EM166" s="22">
        <f t="shared" si="180"/>
        <v>1036.725372848661</v>
      </c>
      <c r="EN166" s="62">
        <f t="shared" si="128"/>
        <v>1324.7695495358132</v>
      </c>
      <c r="EO166" s="62">
        <f ca="1">AVERAGE(OFFSET($EN$3,0,0,'Données projet'!$E$15+1,1))-AVERAGE(OFFSET($H$3,0,0,'Données projet'!$E$15+1,1))</f>
        <v>582.26951914082088</v>
      </c>
      <c r="EP166" s="62">
        <f t="shared" si="154"/>
        <v>434.80429932654715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projet'!$B$15,Paramètres!$A$1:$I$88,3,0)*0.475*44/12</f>
        <v>12.244635842240251</v>
      </c>
      <c r="EW166" s="23">
        <f>EXP(-LN(2)/25)*EW165+(1-EXP(-LN(2)/25))/(LN(2)/25)*Calculateur!ER166*Calculateur!ET166*VLOOKUP('Données projet'!$B$15,Paramètres!$A$1:$I$88,3,0)*0.475*44/12</f>
        <v>6.2562881360662876</v>
      </c>
      <c r="EX166" s="23">
        <f>EXP(-LN(2)/2)*EX165+(1-EXP(-LN(2)/2))/(LN(2)/2)*ER166*EU166*VLOOKUP('Données projet'!$B$15,Paramètres!$A$1:$I$88,3,0)*0.475*44/12</f>
        <v>0</v>
      </c>
      <c r="EY166" s="24">
        <f t="shared" si="181"/>
        <v>18.500923978306538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854.99999999999989</v>
      </c>
      <c r="FF166" s="18">
        <f>FE166*VLOOKUP('Données projet'!$B$16,Paramètres!$A$1:$I$88,3,0)*VLOOKUP('Données projet'!$B$16,Paramètres!$A$1:$I$88,5,0)</f>
        <v>400.13999999999993</v>
      </c>
      <c r="FG166" s="14">
        <f t="shared" si="182"/>
        <v>91.805047494648534</v>
      </c>
      <c r="FH166" s="22">
        <f t="shared" si="183"/>
        <v>856.80429105317944</v>
      </c>
      <c r="FI166" s="62">
        <f t="shared" si="131"/>
        <v>1144.8484677403317</v>
      </c>
      <c r="FJ166" s="62">
        <f ca="1">AVERAGE(OFFSET($FI$3,0,0,'Données projet'!$E$16+1,1))-AVERAGE(OFFSET($H$3,0,0,'Données projet'!$E$16+1,1))</f>
        <v>429.87867712133851</v>
      </c>
      <c r="FK166" s="62">
        <f t="shared" si="156"/>
        <v>182.81277865988014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projet'!$B$16,Paramètres!$A$1:$I$88,3,0)*0.475*44/12</f>
        <v>14.603193517483826</v>
      </c>
      <c r="FR166" s="23">
        <f>EXP(-LN(2)/25)*FR165+(1-EXP(-LN(2)/25))/(LN(2)/25)*Calculateur!FM166*Calculateur!FO166*VLOOKUP('Données projet'!$B$16,Paramètres!$A$1:$I$88,3,0)*0.475*44/12</f>
        <v>7.9309163046173206</v>
      </c>
      <c r="FS166" s="23">
        <f>EXP(-LN(2)/2)*FS165+(1-EXP(-LN(2)/2))/(LN(2)/2)*FM166*FP166*VLOOKUP('Données projet'!$B$16,Paramètres!$A$1:$I$88,3,0)*0.475*44/12</f>
        <v>0</v>
      </c>
      <c r="FT166" s="24">
        <f t="shared" si="184"/>
        <v>22.534109822101147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498.99999999999955</v>
      </c>
      <c r="GA166" s="18">
        <f>FZ166*VLOOKUP('Données projet'!$B$17,Paramètres!$A$1:$I$88,3,0)*VLOOKUP('Données projet'!$B$17,Paramètres!$A$1:$I$88,5,0)</f>
        <v>240.01899999999978</v>
      </c>
      <c r="GB166" s="14">
        <f t="shared" si="185"/>
        <v>58.443618405936313</v>
      </c>
      <c r="GC166" s="22">
        <f t="shared" si="186"/>
        <v>519.82239372367201</v>
      </c>
      <c r="GD166" s="62">
        <f t="shared" si="134"/>
        <v>807.86657041082424</v>
      </c>
      <c r="GE166" s="62">
        <f ca="1">AVERAGE(OFFSET($GD$3,0,0,'Données projet'!$E$17+1,1))-AVERAGE(OFFSET($H$3,0,0,'Données projet'!$E$17+1,1))</f>
        <v>273.24375559399846</v>
      </c>
      <c r="GF166" s="62">
        <f t="shared" si="158"/>
        <v>270.77718895097848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projet'!$B$17,Paramètres!$A$1:$I$88,3,0)*0.475*44/12</f>
        <v>6.2527820220179589</v>
      </c>
      <c r="GM166" s="23">
        <f>EXP(-LN(2)/25)*GM165+(1-EXP(-LN(2)/25))/(LN(2)/25)*Calculateur!GH166*Calculateur!GJ166*VLOOKUP('Données projet'!$B$17,Paramètres!$A$1:$I$88,3,0)*0.475*44/12</f>
        <v>3.0514003248864316</v>
      </c>
      <c r="GN166" s="23">
        <f>EXP(-LN(2)/2)*GN165+(1-EXP(-LN(2)/2))/(LN(2)/2)*GH166*GK166*VLOOKUP('Données projet'!$B$17,Paramètres!$A$1:$I$88,3,0)*0.475*44/12</f>
        <v>0</v>
      </c>
      <c r="GO166" s="23">
        <f t="shared" si="187"/>
        <v>9.3041823469043905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550.99999999999966</v>
      </c>
      <c r="O167" s="14">
        <f>N167*VLOOKUP('Données projet'!$B$9,Paramètres!$A$1:$I$88,3,0)*VLOOKUP('Données projet'!$B$9,Paramètres!$A$1:$I$88,5,0)</f>
        <v>308.00899999999979</v>
      </c>
      <c r="P167" s="14">
        <f t="shared" si="141"/>
        <v>72.852874331417695</v>
      </c>
      <c r="Q167" s="22">
        <f t="shared" si="162"/>
        <v>663.33443112721886</v>
      </c>
      <c r="R167" s="62">
        <f t="shared" si="109"/>
        <v>951.47036285739955</v>
      </c>
      <c r="S167" s="62">
        <f ca="1">AVERAGE(OFFSET($R$3,0,0,'Données projet'!$E$9+1,1))-AVERAGE(OFFSET($H$3,0,0,'Données projet'!$E$9+1,1))</f>
        <v>289.94242154211224</v>
      </c>
      <c r="T167" s="62">
        <f t="shared" si="142"/>
        <v>369.12599166143661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9.4060905275006803</v>
      </c>
      <c r="AA167" s="23">
        <f>EXP(-LN(2)/25)*AA166+(1-EXP(-LN(2)/25))/(LN(2)/25)*Calculateur!V167*Calculateur!X167*VLOOKUP('Données projet'!$B$9,Paramètres!$A$1:$I$88,3,0)*0.475*44/12</f>
        <v>3.737927400866667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13.144017928367347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6.9</v>
      </c>
      <c r="AI167" s="14">
        <f>IF('Données projet'!$A$62&gt;35,AI166+AH167-AQ166,IF(A167&lt;'Données projet'!$A$62,$AF$205^A167,IF(A167='Données projet'!$A$62,'Données projet'!$B$62,AI166+AH167-AQ166)))</f>
        <v>415.60000000000025</v>
      </c>
      <c r="AJ167" s="14">
        <f>AI167*VLOOKUP('Données projet'!$B$10,Paramètres!$A$1:$I$88,3,0)*VLOOKUP('Données projet'!$B$10,Paramètres!$A$1:$I$88,5,0)</f>
        <v>376.03488000000021</v>
      </c>
      <c r="AK167" s="14">
        <f t="shared" si="164"/>
        <v>86.900773328824684</v>
      </c>
      <c r="AL167" s="22">
        <f t="shared" si="165"/>
        <v>806.27959621437003</v>
      </c>
      <c r="AM167" s="62">
        <f t="shared" si="113"/>
        <v>1094.4155279445508</v>
      </c>
      <c r="AN167" s="62">
        <f ca="1">AVERAGE(OFFSET($AM$3,0,0,'Données projet'!$E$10+1,1))-AVERAGE(OFFSET($H$3,0,0,'Données projet'!$E$10+1,1))</f>
        <v>518.31628039365785</v>
      </c>
      <c r="AO167" s="62">
        <f t="shared" si="144"/>
        <v>66.435071953154761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51.263395319972503</v>
      </c>
      <c r="AV167" s="23">
        <f>EXP(-LN(2)/25)*AV166+(1-EXP(-LN(2)/25))/(LN(2)/25)*Calculateur!AQ167*Calculateur!AS167*VLOOKUP('Données projet'!$B$10,Paramètres!$A$1:$I$88,3,0)*0.475*44/12</f>
        <v>0</v>
      </c>
      <c r="AW167" s="23">
        <f>EXP(-LN(2)/2)*AW166+(1-EXP(-LN(2)/2))/(LN(2)/2)*AQ167*AT167*VLOOKUP('Données projet'!$B$10,Paramètres!$A$1:$I$88,3,0)*0.475*44/12</f>
        <v>0</v>
      </c>
      <c r="AX167" s="23">
        <f t="shared" si="166"/>
        <v>51.263395319972503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6.9</v>
      </c>
      <c r="BD167" s="13">
        <f>IF('Données projet'!$A$88&gt;35,BD166+BC167-BL166,IF(A167&lt;'Données projet'!$A$88,$BA$205^A167,IF(A167='Données projet'!$A$88,'Données projet'!$B$88,BD166+BC167-BL166)))</f>
        <v>415.60000000000025</v>
      </c>
      <c r="BE167" s="14">
        <f>BD167*VLOOKUP('Données projet'!$B$11,Paramètres!$A$1:$I$88,3,0)*VLOOKUP('Données projet'!$B$11,Paramètres!$A$1:$I$88,5,0)</f>
        <v>421.41840000000025</v>
      </c>
      <c r="BF167" s="14">
        <f t="shared" si="167"/>
        <v>96.105647278917246</v>
      </c>
      <c r="BG167" s="22">
        <f t="shared" si="168"/>
        <v>901.35438234411458</v>
      </c>
      <c r="BH167" s="62">
        <f t="shared" si="116"/>
        <v>1189.4903140742954</v>
      </c>
      <c r="BI167" s="62">
        <f ca="1">AVERAGE(OFFSET($BH$3,0,0,'Données projet'!$E$11+1,1))-AVERAGE(OFFSET($H$3,0,0,'Données projet'!$E$11+1,1))</f>
        <v>570.2785736203931</v>
      </c>
      <c r="BJ167" s="62">
        <f t="shared" si="146"/>
        <v>67.677759965081719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57.450356824107104</v>
      </c>
      <c r="BQ167" s="23">
        <f>EXP(-LN(2)/25)*BQ166+(1-EXP(-LN(2)/25))/(LN(2)/25)*Calculateur!BL167*Calculateur!BN167*VLOOKUP('Données projet'!$B$11,Paramètres!$A$1:$I$88,3,0)*0.475*44/12</f>
        <v>0</v>
      </c>
      <c r="BR167" s="23">
        <f>EXP(-LN(2)/2)*BR166+(1-EXP(-LN(2)/2))/(LN(2)/2)*BL167*BO167*VLOOKUP('Données projet'!$B$11,Paramètres!$A$1:$I$88,3,0)*0.475*44/12</f>
        <v>0</v>
      </c>
      <c r="BS167" s="24">
        <f t="shared" si="169"/>
        <v>57.450356824107104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544.19999999999982</v>
      </c>
      <c r="BZ167" s="14">
        <f>BY167*VLOOKUP('Données projet'!$B$12,Paramètres!$A$1:$I$88,3,0)*VLOOKUP('Données projet'!$B$12,Paramètres!$A$1:$I$88,5,0)</f>
        <v>325.43159999999995</v>
      </c>
      <c r="CA167" s="14">
        <f t="shared" si="170"/>
        <v>76.482394221016762</v>
      </c>
      <c r="CB167" s="22">
        <f t="shared" si="171"/>
        <v>700.00020660160408</v>
      </c>
      <c r="CC167" s="62">
        <f t="shared" si="119"/>
        <v>988.13613833178476</v>
      </c>
      <c r="CD167" s="62">
        <f ca="1">AVERAGE(OFFSET($CC$3,0,0,'Données projet'!$E$12+1,1))-AVERAGE(OFFSET($H$3,0,0,'Données projet'!$E$12+1,1))</f>
        <v>401.1031790385295</v>
      </c>
      <c r="CE167" s="62">
        <f t="shared" si="148"/>
        <v>402.09589424130615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projet'!$B$12,Paramètres!$A$1:$I$88,3,0)*0.475*44/12</f>
        <v>2.6447096224029156</v>
      </c>
      <c r="CL167" s="23">
        <f>EXP(-LN(2)/25)*CL166+(1-EXP(-LN(2)/25))/(LN(2)/25)*Calculateur!CG167*Calculateur!CI167*VLOOKUP('Données projet'!$B$12,Paramètres!$A$1:$I$88,3,0)*0.475*44/12</f>
        <v>0</v>
      </c>
      <c r="CM167" s="23">
        <f>EXP(-LN(2)/2)*CM166+(1-EXP(-LN(2)/2))/(LN(2)/2)*CG167*CJ167*VLOOKUP('Données projet'!$B$12,Paramètres!$A$1:$I$88,3,0)*0.475*44/12</f>
        <v>9.2178998453053678E-16</v>
      </c>
      <c r="CN167" s="24">
        <f t="shared" si="172"/>
        <v>2.6447096224029165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544.19999999999982</v>
      </c>
      <c r="CU167" s="18">
        <f>CT167*VLOOKUP('Données projet'!$B$13,Paramètres!$A$1:$I$88,3,0)*VLOOKUP('Données projet'!$B$13,Paramètres!$A$1:$I$88,5,0)</f>
        <v>325.43159999999995</v>
      </c>
      <c r="CV167" s="14">
        <f t="shared" si="173"/>
        <v>76.482394221016762</v>
      </c>
      <c r="CW167" s="22">
        <f t="shared" si="174"/>
        <v>700.00020660160408</v>
      </c>
      <c r="CX167" s="62">
        <f t="shared" si="122"/>
        <v>988.13613833178476</v>
      </c>
      <c r="CY167" s="62">
        <f ca="1">AVERAGE(OFFSET($CX$3,0,0,'Données projet'!$E$13+1,1))-AVERAGE(OFFSET($H$3,0,0,'Données projet'!$E$13+1,1))</f>
        <v>401.1031790385295</v>
      </c>
      <c r="CZ167" s="62">
        <f t="shared" si="150"/>
        <v>402.09589424130615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projet'!$B$13,Paramètres!$A$1:$I$88,3,0)*0.475*44/12</f>
        <v>2.6447096224029156</v>
      </c>
      <c r="DG167" s="23">
        <f>EXP(-LN(2)/25)*DG166+(1-EXP(-LN(2)/25))/(LN(2)/25)*Calculateur!DB167*Calculateur!DD167*VLOOKUP('Données projet'!$B$13,Paramètres!$A$1:$I$88,3,0)*0.475*44/12</f>
        <v>0</v>
      </c>
      <c r="DH167" s="23">
        <f>EXP(-LN(2)/2)*DH166+(1-EXP(-LN(2)/2))/(LN(2)/2)*DB167*DE167*VLOOKUP('Données projet'!$B$13,Paramètres!$A$1:$I$88,3,0)*0.475*44/12</f>
        <v>9.2178998453053678E-16</v>
      </c>
      <c r="DI167" s="24">
        <f t="shared" si="175"/>
        <v>2.6447096224029165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860.00000000000023</v>
      </c>
      <c r="DP167" s="18">
        <f>DO167*VLOOKUP('Données projet'!$B$14,Paramètres!$A$1:$I$88,3,0)*VLOOKUP('Données projet'!$B$14,Paramètres!$A$1:$I$88,5,0)</f>
        <v>346.5800000000001</v>
      </c>
      <c r="DQ167" s="14">
        <f t="shared" si="176"/>
        <v>80.857895771535127</v>
      </c>
      <c r="DR167" s="22">
        <f t="shared" si="177"/>
        <v>744.45433513542378</v>
      </c>
      <c r="DS167" s="62">
        <f t="shared" si="125"/>
        <v>1032.5902668656045</v>
      </c>
      <c r="DT167" s="62">
        <f ca="1">AVERAGE(OFFSET($DS$3,0,0,'Données projet'!$E$14+1,1))-AVERAGE(OFFSET($H$3,0,0,'Données projet'!$E$14+1,1))</f>
        <v>432.59662347701629</v>
      </c>
      <c r="DU167" s="62">
        <f t="shared" si="152"/>
        <v>348.67401091099748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projet'!$B$14,Paramètres!$A$1:$I$88,3,0)*0.475*44/12</f>
        <v>11.913523304597325</v>
      </c>
      <c r="EB167" s="23">
        <f>EXP(-LN(2)/25)*EB166+(1-EXP(-LN(2)/25))/(LN(2)/25)*Calculateur!DW167*Calculateur!DY167*VLOOKUP('Données projet'!$B$14,Paramètres!$A$1:$I$88,3,0)*0.475*44/12</f>
        <v>6.7720450546293423</v>
      </c>
      <c r="EC167" s="23">
        <f>EXP(-LN(2)/2)*EC166+(1-EXP(-LN(2)/2))/(LN(2)/2)*DW167*DZ167*VLOOKUP('Données projet'!$B$14,Paramètres!$A$1:$I$88,3,0)*0.475*44/12</f>
        <v>0</v>
      </c>
      <c r="ED167" s="24">
        <f t="shared" si="178"/>
        <v>18.685568359226668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1099.9999999999998</v>
      </c>
      <c r="EK167" s="18">
        <f>EJ167*VLOOKUP('Données projet'!$B$15,Paramètres!$A$1:$I$88,3,0)*VLOOKUP('Données projet'!$B$15,Paramètres!$A$1:$I$88,5,0)</f>
        <v>486.19999999999993</v>
      </c>
      <c r="EL167" s="14">
        <f t="shared" si="179"/>
        <v>109.0490179035375</v>
      </c>
      <c r="EM167" s="22">
        <f t="shared" si="180"/>
        <v>1036.725372848661</v>
      </c>
      <c r="EN167" s="62">
        <f t="shared" si="128"/>
        <v>1324.8613045788416</v>
      </c>
      <c r="EO167" s="62">
        <f ca="1">AVERAGE(OFFSET($EN$3,0,0,'Données projet'!$E$15+1,1))-AVERAGE(OFFSET($H$3,0,0,'Données projet'!$E$15+1,1))</f>
        <v>582.26951914082088</v>
      </c>
      <c r="EP167" s="62">
        <f t="shared" si="154"/>
        <v>434.80429932654715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projet'!$B$15,Paramètres!$A$1:$I$88,3,0)*0.475*44/12</f>
        <v>12.004526001864331</v>
      </c>
      <c r="EW167" s="23">
        <f>EXP(-LN(2)/25)*EW166+(1-EXP(-LN(2)/25))/(LN(2)/25)*Calculateur!ER167*Calculateur!ET167*VLOOKUP('Données projet'!$B$15,Paramètres!$A$1:$I$88,3,0)*0.475*44/12</f>
        <v>6.0852096079816604</v>
      </c>
      <c r="EX167" s="23">
        <f>EXP(-LN(2)/2)*EX166+(1-EXP(-LN(2)/2))/(LN(2)/2)*ER167*EU167*VLOOKUP('Données projet'!$B$15,Paramètres!$A$1:$I$88,3,0)*0.475*44/12</f>
        <v>0</v>
      </c>
      <c r="EY167" s="24">
        <f t="shared" si="181"/>
        <v>18.089735609845992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854.99999999999989</v>
      </c>
      <c r="FF167" s="18">
        <f>FE167*VLOOKUP('Données projet'!$B$16,Paramètres!$A$1:$I$88,3,0)*VLOOKUP('Données projet'!$B$16,Paramètres!$A$1:$I$88,5,0)</f>
        <v>400.13999999999993</v>
      </c>
      <c r="FG167" s="14">
        <f t="shared" si="182"/>
        <v>91.805047494648534</v>
      </c>
      <c r="FH167" s="22">
        <f t="shared" si="183"/>
        <v>856.80429105317944</v>
      </c>
      <c r="FI167" s="62">
        <f t="shared" si="131"/>
        <v>1144.9402227833602</v>
      </c>
      <c r="FJ167" s="62">
        <f ca="1">AVERAGE(OFFSET($FI$3,0,0,'Données projet'!$E$16+1,1))-AVERAGE(OFFSET($H$3,0,0,'Données projet'!$E$16+1,1))</f>
        <v>429.87867712133851</v>
      </c>
      <c r="FK167" s="62">
        <f t="shared" si="156"/>
        <v>182.81277865988014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projet'!$B$16,Paramètres!$A$1:$I$88,3,0)*0.475*44/12</f>
        <v>14.316833799674514</v>
      </c>
      <c r="FR167" s="23">
        <f>EXP(-LN(2)/25)*FR166+(1-EXP(-LN(2)/25))/(LN(2)/25)*Calculateur!FM167*Calculateur!FO167*VLOOKUP('Données projet'!$B$16,Paramètres!$A$1:$I$88,3,0)*0.475*44/12</f>
        <v>7.7140449811987981</v>
      </c>
      <c r="FS167" s="23">
        <f>EXP(-LN(2)/2)*FS166+(1-EXP(-LN(2)/2))/(LN(2)/2)*FM167*FP167*VLOOKUP('Données projet'!$B$16,Paramètres!$A$1:$I$88,3,0)*0.475*44/12</f>
        <v>0</v>
      </c>
      <c r="FT167" s="24">
        <f t="shared" si="184"/>
        <v>22.030878780873312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498.99999999999955</v>
      </c>
      <c r="GA167" s="18">
        <f>FZ167*VLOOKUP('Données projet'!$B$17,Paramètres!$A$1:$I$88,3,0)*VLOOKUP('Données projet'!$B$17,Paramètres!$A$1:$I$88,5,0)</f>
        <v>240.01899999999978</v>
      </c>
      <c r="GB167" s="14">
        <f t="shared" si="185"/>
        <v>58.443618405936313</v>
      </c>
      <c r="GC167" s="22">
        <f t="shared" si="186"/>
        <v>519.82239372367201</v>
      </c>
      <c r="GD167" s="62">
        <f t="shared" si="134"/>
        <v>807.95832545385269</v>
      </c>
      <c r="GE167" s="62">
        <f ca="1">AVERAGE(OFFSET($GD$3,0,0,'Données projet'!$E$17+1,1))-AVERAGE(OFFSET($H$3,0,0,'Données projet'!$E$17+1,1))</f>
        <v>273.24375559399846</v>
      </c>
      <c r="GF167" s="62">
        <f t="shared" si="158"/>
        <v>270.77718895097848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projet'!$B$17,Paramètres!$A$1:$I$88,3,0)*0.475*44/12</f>
        <v>6.1301687803866365</v>
      </c>
      <c r="GM167" s="23">
        <f>EXP(-LN(2)/25)*GM166+(1-EXP(-LN(2)/25))/(LN(2)/25)*Calculateur!GH167*Calculateur!GJ167*VLOOKUP('Données projet'!$B$17,Paramètres!$A$1:$I$88,3,0)*0.475*44/12</f>
        <v>2.967959622536243</v>
      </c>
      <c r="GN167" s="23">
        <f>EXP(-LN(2)/2)*GN166+(1-EXP(-LN(2)/2))/(LN(2)/2)*GH167*GK167*VLOOKUP('Données projet'!$B$17,Paramètres!$A$1:$I$88,3,0)*0.475*44/12</f>
        <v>0</v>
      </c>
      <c r="GO167" s="23">
        <f t="shared" si="187"/>
        <v>9.0981284029228799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550.99999999999966</v>
      </c>
      <c r="O168" s="14">
        <f>N168*VLOOKUP('Données projet'!$B$9,Paramètres!$A$1:$I$88,3,0)*VLOOKUP('Données projet'!$B$9,Paramètres!$A$1:$I$88,5,0)</f>
        <v>308.00899999999979</v>
      </c>
      <c r="P168" s="14">
        <f t="shared" si="141"/>
        <v>72.852874331417695</v>
      </c>
      <c r="Q168" s="22">
        <f t="shared" si="162"/>
        <v>663.33443112721886</v>
      </c>
      <c r="R168" s="62">
        <f t="shared" si="109"/>
        <v>951.56052615556496</v>
      </c>
      <c r="S168" s="62">
        <f ca="1">AVERAGE(OFFSET($R$3,0,0,'Données projet'!$E$9+1,1))-AVERAGE(OFFSET($H$3,0,0,'Données projet'!$E$9+1,1))</f>
        <v>289.94242154211224</v>
      </c>
      <c r="T168" s="62">
        <f t="shared" si="142"/>
        <v>369.12599166143661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9.221642829405118</v>
      </c>
      <c r="AA168" s="23">
        <f>EXP(-LN(2)/25)*AA167+(1-EXP(-LN(2)/25))/(LN(2)/25)*Calculateur!V168*Calculateur!X168*VLOOKUP('Données projet'!$B$9,Paramètres!$A$1:$I$88,3,0)*0.475*44/12</f>
        <v>3.635713579520909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12.857356408926027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6.9</v>
      </c>
      <c r="AI168" s="14">
        <f>IF('Données projet'!$A$62&gt;35,AI167+AH168-AQ167,IF(A168&lt;'Données projet'!$A$62,$AF$205^A168,IF(A168='Données projet'!$A$62,'Données projet'!$B$62,AI167+AH168-AQ167)))</f>
        <v>422.50000000000023</v>
      </c>
      <c r="AJ168" s="14">
        <f>AI168*VLOOKUP('Données projet'!$B$10,Paramètres!$A$1:$I$88,3,0)*VLOOKUP('Données projet'!$B$10,Paramètres!$A$1:$I$88,5,0)</f>
        <v>382.27800000000019</v>
      </c>
      <c r="AK168" s="14">
        <f t="shared" si="164"/>
        <v>88.174380882669126</v>
      </c>
      <c r="AL168" s="22">
        <f t="shared" si="165"/>
        <v>819.37123003731574</v>
      </c>
      <c r="AM168" s="62">
        <f t="shared" si="113"/>
        <v>1107.5973250656618</v>
      </c>
      <c r="AN168" s="62">
        <f ca="1">AVERAGE(OFFSET($AM$3,0,0,'Données projet'!$E$10+1,1))-AVERAGE(OFFSET($H$3,0,0,'Données projet'!$E$10+1,1))</f>
        <v>518.31628039365785</v>
      </c>
      <c r="AO168" s="62">
        <f t="shared" si="144"/>
        <v>66.435071953154761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50.258151405331567</v>
      </c>
      <c r="AV168" s="23">
        <f>EXP(-LN(2)/25)*AV167+(1-EXP(-LN(2)/25))/(LN(2)/25)*Calculateur!AQ168*Calculateur!AS168*VLOOKUP('Données projet'!$B$10,Paramètres!$A$1:$I$88,3,0)*0.475*44/12</f>
        <v>0</v>
      </c>
      <c r="AW168" s="23">
        <f>EXP(-LN(2)/2)*AW167+(1-EXP(-LN(2)/2))/(LN(2)/2)*AQ168*AT168*VLOOKUP('Données projet'!$B$10,Paramètres!$A$1:$I$88,3,0)*0.475*44/12</f>
        <v>0</v>
      </c>
      <c r="AX168" s="23">
        <f t="shared" si="166"/>
        <v>50.258151405331567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6.9</v>
      </c>
      <c r="BD168" s="13">
        <f>IF('Données projet'!$A$88&gt;35,BD167+BC168-BL167,IF(A168&lt;'Données projet'!$A$88,$BA$205^A168,IF(A168='Données projet'!$A$88,'Données projet'!$B$88,BD167+BC168-BL167)))</f>
        <v>422.50000000000023</v>
      </c>
      <c r="BE168" s="14">
        <f>BD168*VLOOKUP('Données projet'!$B$11,Paramètres!$A$1:$I$88,3,0)*VLOOKUP('Données projet'!$B$11,Paramètres!$A$1:$I$88,5,0)</f>
        <v>428.4150000000003</v>
      </c>
      <c r="BF168" s="14">
        <f t="shared" si="167"/>
        <v>97.514160387061779</v>
      </c>
      <c r="BG168" s="22">
        <f t="shared" si="168"/>
        <v>915.99328767413317</v>
      </c>
      <c r="BH168" s="62">
        <f t="shared" si="116"/>
        <v>1204.2193827024794</v>
      </c>
      <c r="BI168" s="62">
        <f ca="1">AVERAGE(OFFSET($BH$3,0,0,'Données projet'!$E$11+1,1))-AVERAGE(OFFSET($H$3,0,0,'Données projet'!$E$11+1,1))</f>
        <v>570.2785736203931</v>
      </c>
      <c r="BJ168" s="62">
        <f t="shared" si="146"/>
        <v>67.677759965081719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56.323790368043987</v>
      </c>
      <c r="BQ168" s="23">
        <f>EXP(-LN(2)/25)*BQ167+(1-EXP(-LN(2)/25))/(LN(2)/25)*Calculateur!BL168*Calculateur!BN168*VLOOKUP('Données projet'!$B$11,Paramètres!$A$1:$I$88,3,0)*0.475*44/12</f>
        <v>0</v>
      </c>
      <c r="BR168" s="23">
        <f>EXP(-LN(2)/2)*BR167+(1-EXP(-LN(2)/2))/(LN(2)/2)*BL168*BO168*VLOOKUP('Données projet'!$B$11,Paramètres!$A$1:$I$88,3,0)*0.475*44/12</f>
        <v>0</v>
      </c>
      <c r="BS168" s="24">
        <f t="shared" si="169"/>
        <v>56.323790368043987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544.19999999999982</v>
      </c>
      <c r="BZ168" s="14">
        <f>BY168*VLOOKUP('Données projet'!$B$12,Paramètres!$A$1:$I$88,3,0)*VLOOKUP('Données projet'!$B$12,Paramètres!$A$1:$I$88,5,0)</f>
        <v>325.43159999999995</v>
      </c>
      <c r="CA168" s="14">
        <f t="shared" si="170"/>
        <v>76.482394221016762</v>
      </c>
      <c r="CB168" s="22">
        <f t="shared" si="171"/>
        <v>700.00020660160408</v>
      </c>
      <c r="CC168" s="62">
        <f t="shared" si="119"/>
        <v>988.22630162995029</v>
      </c>
      <c r="CD168" s="62">
        <f ca="1">AVERAGE(OFFSET($CC$3,0,0,'Données projet'!$E$12+1,1))-AVERAGE(OFFSET($H$3,0,0,'Données projet'!$E$12+1,1))</f>
        <v>401.1031790385295</v>
      </c>
      <c r="CE168" s="62">
        <f t="shared" si="148"/>
        <v>402.09589424130615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projet'!$B$12,Paramètres!$A$1:$I$88,3,0)*0.475*44/12</f>
        <v>2.5928484798211824</v>
      </c>
      <c r="CL168" s="23">
        <f>EXP(-LN(2)/25)*CL167+(1-EXP(-LN(2)/25))/(LN(2)/25)*Calculateur!CG168*Calculateur!CI168*VLOOKUP('Données projet'!$B$12,Paramètres!$A$1:$I$88,3,0)*0.475*44/12</f>
        <v>0</v>
      </c>
      <c r="CM168" s="23">
        <f>EXP(-LN(2)/2)*CM167+(1-EXP(-LN(2)/2))/(LN(2)/2)*CG168*CJ168*VLOOKUP('Données projet'!$B$12,Paramètres!$A$1:$I$88,3,0)*0.475*44/12</f>
        <v>6.5180394889138531E-16</v>
      </c>
      <c r="CN168" s="24">
        <f t="shared" si="172"/>
        <v>2.5928484798211828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544.19999999999982</v>
      </c>
      <c r="CU168" s="18">
        <f>CT168*VLOOKUP('Données projet'!$B$13,Paramètres!$A$1:$I$88,3,0)*VLOOKUP('Données projet'!$B$13,Paramètres!$A$1:$I$88,5,0)</f>
        <v>325.43159999999995</v>
      </c>
      <c r="CV168" s="14">
        <f t="shared" si="173"/>
        <v>76.482394221016762</v>
      </c>
      <c r="CW168" s="22">
        <f t="shared" si="174"/>
        <v>700.00020660160408</v>
      </c>
      <c r="CX168" s="62">
        <f t="shared" si="122"/>
        <v>988.22630162995029</v>
      </c>
      <c r="CY168" s="62">
        <f ca="1">AVERAGE(OFFSET($CX$3,0,0,'Données projet'!$E$13+1,1))-AVERAGE(OFFSET($H$3,0,0,'Données projet'!$E$13+1,1))</f>
        <v>401.1031790385295</v>
      </c>
      <c r="CZ168" s="62">
        <f t="shared" si="150"/>
        <v>402.09589424130615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projet'!$B$13,Paramètres!$A$1:$I$88,3,0)*0.475*44/12</f>
        <v>2.5928484798211824</v>
      </c>
      <c r="DG168" s="23">
        <f>EXP(-LN(2)/25)*DG167+(1-EXP(-LN(2)/25))/(LN(2)/25)*Calculateur!DB168*Calculateur!DD168*VLOOKUP('Données projet'!$B$13,Paramètres!$A$1:$I$88,3,0)*0.475*44/12</f>
        <v>0</v>
      </c>
      <c r="DH168" s="23">
        <f>EXP(-LN(2)/2)*DH167+(1-EXP(-LN(2)/2))/(LN(2)/2)*DB168*DE168*VLOOKUP('Données projet'!$B$13,Paramètres!$A$1:$I$88,3,0)*0.475*44/12</f>
        <v>6.5180394889138531E-16</v>
      </c>
      <c r="DI168" s="24">
        <f t="shared" si="175"/>
        <v>2.5928484798211828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860.00000000000023</v>
      </c>
      <c r="DP168" s="18">
        <f>DO168*VLOOKUP('Données projet'!$B$14,Paramètres!$A$1:$I$88,3,0)*VLOOKUP('Données projet'!$B$14,Paramètres!$A$1:$I$88,5,0)</f>
        <v>346.5800000000001</v>
      </c>
      <c r="DQ168" s="14">
        <f t="shared" si="176"/>
        <v>80.857895771535127</v>
      </c>
      <c r="DR168" s="22">
        <f t="shared" si="177"/>
        <v>744.45433513542378</v>
      </c>
      <c r="DS168" s="62">
        <f t="shared" si="125"/>
        <v>1032.6804301637699</v>
      </c>
      <c r="DT168" s="62">
        <f ca="1">AVERAGE(OFFSET($DS$3,0,0,'Données projet'!$E$14+1,1))-AVERAGE(OFFSET($H$3,0,0,'Données projet'!$E$14+1,1))</f>
        <v>432.59662347701629</v>
      </c>
      <c r="DU168" s="62">
        <f t="shared" si="152"/>
        <v>348.67401091099748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projet'!$B$14,Paramètres!$A$1:$I$88,3,0)*0.475*44/12</f>
        <v>11.679906379125876</v>
      </c>
      <c r="EB168" s="23">
        <f>EXP(-LN(2)/25)*EB167+(1-EXP(-LN(2)/25))/(LN(2)/25)*Calculateur!DW168*Calculateur!DY168*VLOOKUP('Données projet'!$B$14,Paramètres!$A$1:$I$88,3,0)*0.475*44/12</f>
        <v>6.5868631264841309</v>
      </c>
      <c r="EC168" s="23">
        <f>EXP(-LN(2)/2)*EC167+(1-EXP(-LN(2)/2))/(LN(2)/2)*DW168*DZ168*VLOOKUP('Données projet'!$B$14,Paramètres!$A$1:$I$88,3,0)*0.475*44/12</f>
        <v>0</v>
      </c>
      <c r="ED168" s="24">
        <f t="shared" si="178"/>
        <v>18.266769505610007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1099.9999999999998</v>
      </c>
      <c r="EK168" s="18">
        <f>EJ168*VLOOKUP('Données projet'!$B$15,Paramètres!$A$1:$I$88,3,0)*VLOOKUP('Données projet'!$B$15,Paramètres!$A$1:$I$88,5,0)</f>
        <v>486.19999999999993</v>
      </c>
      <c r="EL168" s="14">
        <f t="shared" si="179"/>
        <v>109.0490179035375</v>
      </c>
      <c r="EM168" s="22">
        <f t="shared" si="180"/>
        <v>1036.725372848661</v>
      </c>
      <c r="EN168" s="62">
        <f t="shared" si="128"/>
        <v>1324.9514678770072</v>
      </c>
      <c r="EO168" s="62">
        <f ca="1">AVERAGE(OFFSET($EN$3,0,0,'Données projet'!$E$15+1,1))-AVERAGE(OFFSET($H$3,0,0,'Données projet'!$E$15+1,1))</f>
        <v>582.26951914082088</v>
      </c>
      <c r="EP168" s="62">
        <f t="shared" si="154"/>
        <v>434.80429932654715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projet'!$B$15,Paramètres!$A$1:$I$88,3,0)*0.475*44/12</f>
        <v>11.769124569005642</v>
      </c>
      <c r="EW168" s="23">
        <f>EXP(-LN(2)/25)*EW167+(1-EXP(-LN(2)/25))/(LN(2)/25)*Calculateur!ER168*Calculateur!ET168*VLOOKUP('Données projet'!$B$15,Paramètres!$A$1:$I$88,3,0)*0.475*44/12</f>
        <v>5.9188092312441363</v>
      </c>
      <c r="EX168" s="23">
        <f>EXP(-LN(2)/2)*EX167+(1-EXP(-LN(2)/2))/(LN(2)/2)*ER168*EU168*VLOOKUP('Données projet'!$B$15,Paramètres!$A$1:$I$88,3,0)*0.475*44/12</f>
        <v>0</v>
      </c>
      <c r="EY168" s="24">
        <f t="shared" si="181"/>
        <v>17.68793380024978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854.99999999999989</v>
      </c>
      <c r="FF168" s="18">
        <f>FE168*VLOOKUP('Données projet'!$B$16,Paramètres!$A$1:$I$88,3,0)*VLOOKUP('Données projet'!$B$16,Paramètres!$A$1:$I$88,5,0)</f>
        <v>400.13999999999993</v>
      </c>
      <c r="FG168" s="14">
        <f t="shared" si="182"/>
        <v>91.805047494648534</v>
      </c>
      <c r="FH168" s="22">
        <f t="shared" si="183"/>
        <v>856.80429105317944</v>
      </c>
      <c r="FI168" s="62">
        <f t="shared" si="131"/>
        <v>1145.0303860815256</v>
      </c>
      <c r="FJ168" s="62">
        <f ca="1">AVERAGE(OFFSET($FI$3,0,0,'Données projet'!$E$16+1,1))-AVERAGE(OFFSET($H$3,0,0,'Données projet'!$E$16+1,1))</f>
        <v>429.87867712133851</v>
      </c>
      <c r="FK168" s="62">
        <f t="shared" si="156"/>
        <v>182.81277865988014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projet'!$B$16,Paramètres!$A$1:$I$88,3,0)*0.475*44/12</f>
        <v>14.036089421269262</v>
      </c>
      <c r="FR168" s="23">
        <f>EXP(-LN(2)/25)*FR167+(1-EXP(-LN(2)/25))/(LN(2)/25)*Calculateur!FM168*Calculateur!FO168*VLOOKUP('Données projet'!$B$16,Paramètres!$A$1:$I$88,3,0)*0.475*44/12</f>
        <v>7.5031040155239221</v>
      </c>
      <c r="FS168" s="23">
        <f>EXP(-LN(2)/2)*FS167+(1-EXP(-LN(2)/2))/(LN(2)/2)*FM168*FP168*VLOOKUP('Données projet'!$B$16,Paramètres!$A$1:$I$88,3,0)*0.475*44/12</f>
        <v>0</v>
      </c>
      <c r="FT168" s="24">
        <f t="shared" si="184"/>
        <v>21.539193436793184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498.99999999999955</v>
      </c>
      <c r="GA168" s="18">
        <f>FZ168*VLOOKUP('Données projet'!$B$17,Paramètres!$A$1:$I$88,3,0)*VLOOKUP('Données projet'!$B$17,Paramètres!$A$1:$I$88,5,0)</f>
        <v>240.01899999999978</v>
      </c>
      <c r="GB168" s="14">
        <f t="shared" si="185"/>
        <v>58.443618405936313</v>
      </c>
      <c r="GC168" s="22">
        <f t="shared" si="186"/>
        <v>519.82239372367201</v>
      </c>
      <c r="GD168" s="62">
        <f t="shared" si="134"/>
        <v>808.0484887520181</v>
      </c>
      <c r="GE168" s="62">
        <f ca="1">AVERAGE(OFFSET($GD$3,0,0,'Données projet'!$E$17+1,1))-AVERAGE(OFFSET($H$3,0,0,'Données projet'!$E$17+1,1))</f>
        <v>273.24375559399846</v>
      </c>
      <c r="GF168" s="62">
        <f t="shared" si="158"/>
        <v>270.77718895097848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projet'!$B$17,Paramètres!$A$1:$I$88,3,0)*0.475*44/12</f>
        <v>6.0099599096370113</v>
      </c>
      <c r="GM168" s="23">
        <f>EXP(-LN(2)/25)*GM167+(1-EXP(-LN(2)/25))/(LN(2)/25)*Calculateur!GH168*Calculateur!GJ168*VLOOKUP('Données projet'!$B$17,Paramètres!$A$1:$I$88,3,0)*0.475*44/12</f>
        <v>2.8868006105797761</v>
      </c>
      <c r="GN168" s="23">
        <f>EXP(-LN(2)/2)*GN167+(1-EXP(-LN(2)/2))/(LN(2)/2)*GH168*GK168*VLOOKUP('Données projet'!$B$17,Paramètres!$A$1:$I$88,3,0)*0.475*44/12</f>
        <v>0</v>
      </c>
      <c r="GO168" s="23">
        <f t="shared" si="187"/>
        <v>8.8967605202167874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550.99999999999966</v>
      </c>
      <c r="O169" s="14">
        <f>N169*VLOOKUP('Données projet'!$B$9,Paramètres!$A$1:$I$88,3,0)*VLOOKUP('Données projet'!$B$9,Paramètres!$A$1:$I$88,5,0)</f>
        <v>308.00899999999979</v>
      </c>
      <c r="P169" s="14">
        <f t="shared" si="141"/>
        <v>72.852874331417695</v>
      </c>
      <c r="Q169" s="22">
        <f t="shared" si="162"/>
        <v>663.33443112721886</v>
      </c>
      <c r="R169" s="62">
        <f t="shared" si="109"/>
        <v>951.64912532208223</v>
      </c>
      <c r="S169" s="62">
        <f ca="1">AVERAGE(OFFSET($R$3,0,0,'Données projet'!$E$9+1,1))-AVERAGE(OFFSET($H$3,0,0,'Données projet'!$E$9+1,1))</f>
        <v>289.94242154211224</v>
      </c>
      <c r="T169" s="62">
        <f t="shared" si="142"/>
        <v>369.12599166143661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9.0408120381672212</v>
      </c>
      <c r="AA169" s="23">
        <f>EXP(-LN(2)/25)*AA168+(1-EXP(-LN(2)/25))/(LN(2)/25)*Calculateur!V169*Calculateur!X169*VLOOKUP('Données projet'!$B$9,Paramètres!$A$1:$I$88,3,0)*0.475*44/12</f>
        <v>3.5362948004950421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12.577106838662264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6.9</v>
      </c>
      <c r="AI169" s="14">
        <f>IF('Données projet'!$A$62&gt;35,AI168+AH169-AQ168,IF(A169&lt;'Données projet'!$A$62,$AF$205^A169,IF(A169='Données projet'!$A$62,'Données projet'!$B$62,AI168+AH169-AQ168)))</f>
        <v>429.4000000000002</v>
      </c>
      <c r="AJ169" s="14">
        <f>AI169*VLOOKUP('Données projet'!$B$10,Paramètres!$A$1:$I$88,3,0)*VLOOKUP('Données projet'!$B$10,Paramètres!$A$1:$I$88,5,0)</f>
        <v>388.52112000000017</v>
      </c>
      <c r="AK169" s="14">
        <f t="shared" si="164"/>
        <v>89.445569532304589</v>
      </c>
      <c r="AL169" s="22">
        <f t="shared" si="165"/>
        <v>832.4586509354308</v>
      </c>
      <c r="AM169" s="62">
        <f t="shared" si="113"/>
        <v>1120.7733451302943</v>
      </c>
      <c r="AN169" s="62">
        <f ca="1">AVERAGE(OFFSET($AM$3,0,0,'Données projet'!$E$10+1,1))-AVERAGE(OFFSET($H$3,0,0,'Données projet'!$E$10+1,1))</f>
        <v>518.31628039365785</v>
      </c>
      <c r="AO169" s="62">
        <f t="shared" si="144"/>
        <v>66.435071953154761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49.272619710718494</v>
      </c>
      <c r="AV169" s="23">
        <f>EXP(-LN(2)/25)*AV168+(1-EXP(-LN(2)/25))/(LN(2)/25)*Calculateur!AQ169*Calculateur!AS169*VLOOKUP('Données projet'!$B$10,Paramètres!$A$1:$I$88,3,0)*0.475*44/12</f>
        <v>0</v>
      </c>
      <c r="AW169" s="23">
        <f>EXP(-LN(2)/2)*AW168+(1-EXP(-LN(2)/2))/(LN(2)/2)*AQ169*AT169*VLOOKUP('Données projet'!$B$10,Paramètres!$A$1:$I$88,3,0)*0.475*44/12</f>
        <v>0</v>
      </c>
      <c r="AX169" s="23">
        <f t="shared" si="166"/>
        <v>49.272619710718494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6.9</v>
      </c>
      <c r="BD169" s="13">
        <f>IF('Données projet'!$A$88&gt;35,BD168+BC169-BL168,IF(A169&lt;'Données projet'!$A$88,$BA$205^A169,IF(A169='Données projet'!$A$88,'Données projet'!$B$88,BD168+BC169-BL168)))</f>
        <v>429.4000000000002</v>
      </c>
      <c r="BE169" s="14">
        <f>BD169*VLOOKUP('Données projet'!$B$11,Paramètres!$A$1:$I$88,3,0)*VLOOKUP('Données projet'!$B$11,Paramètres!$A$1:$I$88,5,0)</f>
        <v>435.41160000000019</v>
      </c>
      <c r="BF169" s="14">
        <f t="shared" si="167"/>
        <v>98.919998371086919</v>
      </c>
      <c r="BG169" s="22">
        <f t="shared" si="168"/>
        <v>930.62753382964331</v>
      </c>
      <c r="BH169" s="62">
        <f t="shared" si="116"/>
        <v>1218.9422280245067</v>
      </c>
      <c r="BI169" s="62">
        <f ca="1">AVERAGE(OFFSET($BH$3,0,0,'Données projet'!$E$11+1,1))-AVERAGE(OFFSET($H$3,0,0,'Données projet'!$E$11+1,1))</f>
        <v>570.2785736203931</v>
      </c>
      <c r="BJ169" s="62">
        <f t="shared" si="146"/>
        <v>67.677759965081719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55.219315193046583</v>
      </c>
      <c r="BQ169" s="23">
        <f>EXP(-LN(2)/25)*BQ168+(1-EXP(-LN(2)/25))/(LN(2)/25)*Calculateur!BL169*Calculateur!BN169*VLOOKUP('Données projet'!$B$11,Paramètres!$A$1:$I$88,3,0)*0.475*44/12</f>
        <v>0</v>
      </c>
      <c r="BR169" s="23">
        <f>EXP(-LN(2)/2)*BR168+(1-EXP(-LN(2)/2))/(LN(2)/2)*BL169*BO169*VLOOKUP('Données projet'!$B$11,Paramètres!$A$1:$I$88,3,0)*0.475*44/12</f>
        <v>0</v>
      </c>
      <c r="BS169" s="24">
        <f t="shared" si="169"/>
        <v>55.219315193046583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544.19999999999982</v>
      </c>
      <c r="BZ169" s="14">
        <f>BY169*VLOOKUP('Données projet'!$B$12,Paramètres!$A$1:$I$88,3,0)*VLOOKUP('Données projet'!$B$12,Paramètres!$A$1:$I$88,5,0)</f>
        <v>325.43159999999995</v>
      </c>
      <c r="CA169" s="14">
        <f t="shared" si="170"/>
        <v>76.482394221016762</v>
      </c>
      <c r="CB169" s="22">
        <f t="shared" si="171"/>
        <v>700.00020660160408</v>
      </c>
      <c r="CC169" s="62">
        <f t="shared" si="119"/>
        <v>988.31490079646755</v>
      </c>
      <c r="CD169" s="62">
        <f ca="1">AVERAGE(OFFSET($CC$3,0,0,'Données projet'!$E$12+1,1))-AVERAGE(OFFSET($H$3,0,0,'Données projet'!$E$12+1,1))</f>
        <v>401.1031790385295</v>
      </c>
      <c r="CE169" s="62">
        <f t="shared" si="148"/>
        <v>402.09589424130615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projet'!$B$12,Paramètres!$A$1:$I$88,3,0)*0.475*44/12</f>
        <v>2.5420043026133032</v>
      </c>
      <c r="CL169" s="23">
        <f>EXP(-LN(2)/25)*CL168+(1-EXP(-LN(2)/25))/(LN(2)/25)*Calculateur!CG169*Calculateur!CI169*VLOOKUP('Données projet'!$B$12,Paramètres!$A$1:$I$88,3,0)*0.475*44/12</f>
        <v>0</v>
      </c>
      <c r="CM169" s="23">
        <f>EXP(-LN(2)/2)*CM168+(1-EXP(-LN(2)/2))/(LN(2)/2)*CG169*CJ169*VLOOKUP('Données projet'!$B$12,Paramètres!$A$1:$I$88,3,0)*0.475*44/12</f>
        <v>4.6089499226526839E-16</v>
      </c>
      <c r="CN169" s="24">
        <f t="shared" si="172"/>
        <v>2.5420043026133037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544.19999999999982</v>
      </c>
      <c r="CU169" s="18">
        <f>CT169*VLOOKUP('Données projet'!$B$13,Paramètres!$A$1:$I$88,3,0)*VLOOKUP('Données projet'!$B$13,Paramètres!$A$1:$I$88,5,0)</f>
        <v>325.43159999999995</v>
      </c>
      <c r="CV169" s="14">
        <f t="shared" si="173"/>
        <v>76.482394221016762</v>
      </c>
      <c r="CW169" s="22">
        <f t="shared" si="174"/>
        <v>700.00020660160408</v>
      </c>
      <c r="CX169" s="62">
        <f t="shared" si="122"/>
        <v>988.31490079646755</v>
      </c>
      <c r="CY169" s="62">
        <f ca="1">AVERAGE(OFFSET($CX$3,0,0,'Données projet'!$E$13+1,1))-AVERAGE(OFFSET($H$3,0,0,'Données projet'!$E$13+1,1))</f>
        <v>401.1031790385295</v>
      </c>
      <c r="CZ169" s="62">
        <f t="shared" si="150"/>
        <v>402.09589424130615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projet'!$B$13,Paramètres!$A$1:$I$88,3,0)*0.475*44/12</f>
        <v>2.5420043026133032</v>
      </c>
      <c r="DG169" s="23">
        <f>EXP(-LN(2)/25)*DG168+(1-EXP(-LN(2)/25))/(LN(2)/25)*Calculateur!DB169*Calculateur!DD169*VLOOKUP('Données projet'!$B$13,Paramètres!$A$1:$I$88,3,0)*0.475*44/12</f>
        <v>0</v>
      </c>
      <c r="DH169" s="23">
        <f>EXP(-LN(2)/2)*DH168+(1-EXP(-LN(2)/2))/(LN(2)/2)*DB169*DE169*VLOOKUP('Données projet'!$B$13,Paramètres!$A$1:$I$88,3,0)*0.475*44/12</f>
        <v>4.6089499226526839E-16</v>
      </c>
      <c r="DI169" s="24">
        <f t="shared" si="175"/>
        <v>2.5420043026133037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860.00000000000023</v>
      </c>
      <c r="DP169" s="18">
        <f>DO169*VLOOKUP('Données projet'!$B$14,Paramètres!$A$1:$I$88,3,0)*VLOOKUP('Données projet'!$B$14,Paramètres!$A$1:$I$88,5,0)</f>
        <v>346.5800000000001</v>
      </c>
      <c r="DQ169" s="14">
        <f t="shared" si="176"/>
        <v>80.857895771535127</v>
      </c>
      <c r="DR169" s="22">
        <f t="shared" si="177"/>
        <v>744.45433513542378</v>
      </c>
      <c r="DS169" s="62">
        <f t="shared" si="125"/>
        <v>1032.7690293302871</v>
      </c>
      <c r="DT169" s="62">
        <f ca="1">AVERAGE(OFFSET($DS$3,0,0,'Données projet'!$E$14+1,1))-AVERAGE(OFFSET($H$3,0,0,'Données projet'!$E$14+1,1))</f>
        <v>432.59662347701629</v>
      </c>
      <c r="DU169" s="62">
        <f t="shared" si="152"/>
        <v>348.67401091099748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projet'!$B$14,Paramètres!$A$1:$I$88,3,0)*0.475*44/12</f>
        <v>11.450870539070669</v>
      </c>
      <c r="EB169" s="23">
        <f>EXP(-LN(2)/25)*EB168+(1-EXP(-LN(2)/25))/(LN(2)/25)*Calculateur!DW169*Calculateur!DY169*VLOOKUP('Données projet'!$B$14,Paramètres!$A$1:$I$88,3,0)*0.475*44/12</f>
        <v>6.4067450079023454</v>
      </c>
      <c r="EC169" s="23">
        <f>EXP(-LN(2)/2)*EC168+(1-EXP(-LN(2)/2))/(LN(2)/2)*DW169*DZ169*VLOOKUP('Données projet'!$B$14,Paramètres!$A$1:$I$88,3,0)*0.475*44/12</f>
        <v>0</v>
      </c>
      <c r="ED169" s="24">
        <f t="shared" si="178"/>
        <v>17.857615546973015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1099.9999999999998</v>
      </c>
      <c r="EK169" s="18">
        <f>EJ169*VLOOKUP('Données projet'!$B$15,Paramètres!$A$1:$I$88,3,0)*VLOOKUP('Données projet'!$B$15,Paramètres!$A$1:$I$88,5,0)</f>
        <v>486.19999999999993</v>
      </c>
      <c r="EL169" s="14">
        <f t="shared" si="179"/>
        <v>109.0490179035375</v>
      </c>
      <c r="EM169" s="22">
        <f t="shared" si="180"/>
        <v>1036.725372848661</v>
      </c>
      <c r="EN169" s="62">
        <f t="shared" si="128"/>
        <v>1325.0400670435245</v>
      </c>
      <c r="EO169" s="62">
        <f ca="1">AVERAGE(OFFSET($EN$3,0,0,'Données projet'!$E$15+1,1))-AVERAGE(OFFSET($H$3,0,0,'Données projet'!$E$15+1,1))</f>
        <v>582.26951914082088</v>
      </c>
      <c r="EP169" s="62">
        <f t="shared" si="154"/>
        <v>434.80429932654715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projet'!$B$15,Paramètres!$A$1:$I$88,3,0)*0.475*44/12</f>
        <v>11.538339214664616</v>
      </c>
      <c r="EW169" s="23">
        <f>EXP(-LN(2)/25)*EW168+(1-EXP(-LN(2)/25))/(LN(2)/25)*Calculateur!ER169*Calculateur!ET169*VLOOKUP('Données projet'!$B$15,Paramètres!$A$1:$I$88,3,0)*0.475*44/12</f>
        <v>5.7569590815591152</v>
      </c>
      <c r="EX169" s="23">
        <f>EXP(-LN(2)/2)*EX168+(1-EXP(-LN(2)/2))/(LN(2)/2)*ER169*EU169*VLOOKUP('Données projet'!$B$15,Paramètres!$A$1:$I$88,3,0)*0.475*44/12</f>
        <v>0</v>
      </c>
      <c r="EY169" s="24">
        <f t="shared" si="181"/>
        <v>17.295298296223731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854.99999999999989</v>
      </c>
      <c r="FF169" s="18">
        <f>FE169*VLOOKUP('Données projet'!$B$16,Paramètres!$A$1:$I$88,3,0)*VLOOKUP('Données projet'!$B$16,Paramètres!$A$1:$I$88,5,0)</f>
        <v>400.13999999999993</v>
      </c>
      <c r="FG169" s="14">
        <f t="shared" si="182"/>
        <v>91.805047494648534</v>
      </c>
      <c r="FH169" s="22">
        <f t="shared" si="183"/>
        <v>856.80429105317944</v>
      </c>
      <c r="FI169" s="62">
        <f t="shared" si="131"/>
        <v>1145.1189852480429</v>
      </c>
      <c r="FJ169" s="62">
        <f ca="1">AVERAGE(OFFSET($FI$3,0,0,'Données projet'!$E$16+1,1))-AVERAGE(OFFSET($H$3,0,0,'Données projet'!$E$16+1,1))</f>
        <v>429.87867712133851</v>
      </c>
      <c r="FK169" s="62">
        <f t="shared" si="156"/>
        <v>182.81277865988014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projet'!$B$16,Paramètres!$A$1:$I$88,3,0)*0.475*44/12</f>
        <v>13.760850268887372</v>
      </c>
      <c r="FR169" s="23">
        <f>EXP(-LN(2)/25)*FR168+(1-EXP(-LN(2)/25))/(LN(2)/25)*Calculateur!FM169*Calculateur!FO169*VLOOKUP('Données projet'!$B$16,Paramètres!$A$1:$I$88,3,0)*0.475*44/12</f>
        <v>7.2979312416483291</v>
      </c>
      <c r="FS169" s="23">
        <f>EXP(-LN(2)/2)*FS168+(1-EXP(-LN(2)/2))/(LN(2)/2)*FM169*FP169*VLOOKUP('Données projet'!$B$16,Paramètres!$A$1:$I$88,3,0)*0.475*44/12</f>
        <v>0</v>
      </c>
      <c r="FT169" s="24">
        <f t="shared" si="184"/>
        <v>21.058781510535702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498.99999999999955</v>
      </c>
      <c r="GA169" s="18">
        <f>FZ169*VLOOKUP('Données projet'!$B$17,Paramètres!$A$1:$I$88,3,0)*VLOOKUP('Données projet'!$B$17,Paramètres!$A$1:$I$88,5,0)</f>
        <v>240.01899999999978</v>
      </c>
      <c r="GB169" s="14">
        <f t="shared" si="185"/>
        <v>58.443618405936313</v>
      </c>
      <c r="GC169" s="22">
        <f t="shared" si="186"/>
        <v>519.82239372367201</v>
      </c>
      <c r="GD169" s="62">
        <f t="shared" si="134"/>
        <v>808.13708791853537</v>
      </c>
      <c r="GE169" s="62">
        <f ca="1">AVERAGE(OFFSET($GD$3,0,0,'Données projet'!$E$17+1,1))-AVERAGE(OFFSET($H$3,0,0,'Données projet'!$E$17+1,1))</f>
        <v>273.24375559399846</v>
      </c>
      <c r="GF169" s="62">
        <f t="shared" si="158"/>
        <v>270.77718895097848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projet'!$B$17,Paramètres!$A$1:$I$88,3,0)*0.475*44/12</f>
        <v>5.8921082615226155</v>
      </c>
      <c r="GM169" s="23">
        <f>EXP(-LN(2)/25)*GM168+(1-EXP(-LN(2)/25))/(LN(2)/25)*Calculateur!GH169*Calculateur!GJ169*VLOOKUP('Données projet'!$B$17,Paramètres!$A$1:$I$88,3,0)*0.475*44/12</f>
        <v>2.8078608960732261</v>
      </c>
      <c r="GN169" s="23">
        <f>EXP(-LN(2)/2)*GN168+(1-EXP(-LN(2)/2))/(LN(2)/2)*GH169*GK169*VLOOKUP('Données projet'!$B$17,Paramètres!$A$1:$I$88,3,0)*0.475*44/12</f>
        <v>0</v>
      </c>
      <c r="GO169" s="23">
        <f t="shared" si="187"/>
        <v>8.6999691575958416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550.99999999999966</v>
      </c>
      <c r="O170" s="14">
        <f>N170*VLOOKUP('Données projet'!$B$9,Paramètres!$A$1:$I$88,3,0)*VLOOKUP('Données projet'!$B$9,Paramètres!$A$1:$I$88,5,0)</f>
        <v>308.00899999999979</v>
      </c>
      <c r="P170" s="14">
        <f t="shared" si="141"/>
        <v>72.852874331417695</v>
      </c>
      <c r="Q170" s="22">
        <f t="shared" si="162"/>
        <v>663.33443112721886</v>
      </c>
      <c r="R170" s="62">
        <f t="shared" si="109"/>
        <v>951.73618749113848</v>
      </c>
      <c r="S170" s="62">
        <f ca="1">AVERAGE(OFFSET($R$3,0,0,'Données projet'!$E$9+1,1))-AVERAGE(OFFSET($H$3,0,0,'Données projet'!$E$9+1,1))</f>
        <v>289.94242154211224</v>
      </c>
      <c r="T170" s="62">
        <f t="shared" si="142"/>
        <v>369.12599166143661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8.8635272284496089</v>
      </c>
      <c r="AA170" s="23">
        <f>EXP(-LN(2)/25)*AA169+(1-EXP(-LN(2)/25))/(LN(2)/25)*Calculateur!V170*Calculateur!X170*VLOOKUP('Données projet'!$B$9,Paramètres!$A$1:$I$88,3,0)*0.475*44/12</f>
        <v>3.4395946332098437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12.303121861659452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6.9</v>
      </c>
      <c r="AI170" s="14">
        <f>IF('Données projet'!$A$62&gt;35,AI169+AH170-AQ169,IF(A170&lt;'Données projet'!$A$62,$AF$205^A170,IF(A170='Données projet'!$A$62,'Données projet'!$B$62,AI169+AH170-AQ169)))</f>
        <v>436.30000000000018</v>
      </c>
      <c r="AJ170" s="14">
        <f>AI170*VLOOKUP('Données projet'!$B$10,Paramètres!$A$1:$I$88,3,0)*VLOOKUP('Données projet'!$B$10,Paramètres!$A$1:$I$88,5,0)</f>
        <v>394.76424000000014</v>
      </c>
      <c r="AK170" s="14">
        <f t="shared" si="164"/>
        <v>90.714382634519666</v>
      </c>
      <c r="AL170" s="22">
        <f t="shared" si="165"/>
        <v>845.5419344217886</v>
      </c>
      <c r="AM170" s="62">
        <f t="shared" si="113"/>
        <v>1133.9436907857082</v>
      </c>
      <c r="AN170" s="62">
        <f ca="1">AVERAGE(OFFSET($AM$3,0,0,'Données projet'!$E$10+1,1))-AVERAGE(OFFSET($H$3,0,0,'Données projet'!$E$10+1,1))</f>
        <v>518.31628039365785</v>
      </c>
      <c r="AO170" s="62">
        <f t="shared" si="144"/>
        <v>66.435071953154761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48.306413691521811</v>
      </c>
      <c r="AV170" s="23">
        <f>EXP(-LN(2)/25)*AV169+(1-EXP(-LN(2)/25))/(LN(2)/25)*Calculateur!AQ170*Calculateur!AS170*VLOOKUP('Données projet'!$B$10,Paramètres!$A$1:$I$88,3,0)*0.475*44/12</f>
        <v>0</v>
      </c>
      <c r="AW170" s="23">
        <f>EXP(-LN(2)/2)*AW169+(1-EXP(-LN(2)/2))/(LN(2)/2)*AQ170*AT170*VLOOKUP('Données projet'!$B$10,Paramètres!$A$1:$I$88,3,0)*0.475*44/12</f>
        <v>0</v>
      </c>
      <c r="AX170" s="23">
        <f t="shared" si="166"/>
        <v>48.306413691521811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6.9</v>
      </c>
      <c r="BD170" s="13">
        <f>IF('Données projet'!$A$88&gt;35,BD169+BC170-BL169,IF(A170&lt;'Données projet'!$A$88,$BA$205^A170,IF(A170='Données projet'!$A$88,'Données projet'!$B$88,BD169+BC170-BL169)))</f>
        <v>436.30000000000018</v>
      </c>
      <c r="BE170" s="14">
        <f>BD170*VLOOKUP('Données projet'!$B$11,Paramètres!$A$1:$I$88,3,0)*VLOOKUP('Données projet'!$B$11,Paramètres!$A$1:$I$88,5,0)</f>
        <v>442.40820000000025</v>
      </c>
      <c r="BF170" s="14">
        <f t="shared" si="167"/>
        <v>100.32320918030423</v>
      </c>
      <c r="BG170" s="22">
        <f t="shared" si="168"/>
        <v>945.25720432236358</v>
      </c>
      <c r="BH170" s="62">
        <f t="shared" si="116"/>
        <v>1233.6589606862831</v>
      </c>
      <c r="BI170" s="62">
        <f ca="1">AVERAGE(OFFSET($BH$3,0,0,'Données projet'!$E$11+1,1))-AVERAGE(OFFSET($H$3,0,0,'Données projet'!$E$11+1,1))</f>
        <v>570.2785736203931</v>
      </c>
      <c r="BJ170" s="62">
        <f t="shared" si="146"/>
        <v>67.677759965081719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54.136498102567536</v>
      </c>
      <c r="BQ170" s="23">
        <f>EXP(-LN(2)/25)*BQ169+(1-EXP(-LN(2)/25))/(LN(2)/25)*Calculateur!BL170*Calculateur!BN170*VLOOKUP('Données projet'!$B$11,Paramètres!$A$1:$I$88,3,0)*0.475*44/12</f>
        <v>0</v>
      </c>
      <c r="BR170" s="23">
        <f>EXP(-LN(2)/2)*BR169+(1-EXP(-LN(2)/2))/(LN(2)/2)*BL170*BO170*VLOOKUP('Données projet'!$B$11,Paramètres!$A$1:$I$88,3,0)*0.475*44/12</f>
        <v>0</v>
      </c>
      <c r="BS170" s="24">
        <f t="shared" si="169"/>
        <v>54.136498102567536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544.19999999999982</v>
      </c>
      <c r="BZ170" s="14">
        <f>BY170*VLOOKUP('Données projet'!$B$12,Paramètres!$A$1:$I$88,3,0)*VLOOKUP('Données projet'!$B$12,Paramètres!$A$1:$I$88,5,0)</f>
        <v>325.43159999999995</v>
      </c>
      <c r="CA170" s="14">
        <f t="shared" si="170"/>
        <v>76.482394221016762</v>
      </c>
      <c r="CB170" s="22">
        <f t="shared" si="171"/>
        <v>700.00020660160408</v>
      </c>
      <c r="CC170" s="62">
        <f t="shared" si="119"/>
        <v>988.40196296552369</v>
      </c>
      <c r="CD170" s="62">
        <f ca="1">AVERAGE(OFFSET($CC$3,0,0,'Données projet'!$E$12+1,1))-AVERAGE(OFFSET($H$3,0,0,'Données projet'!$E$12+1,1))</f>
        <v>401.1031790385295</v>
      </c>
      <c r="CE170" s="62">
        <f t="shared" si="148"/>
        <v>402.09589424130615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projet'!$B$12,Paramètres!$A$1:$I$88,3,0)*0.475*44/12</f>
        <v>2.4921571487085847</v>
      </c>
      <c r="CL170" s="23">
        <f>EXP(-LN(2)/25)*CL169+(1-EXP(-LN(2)/25))/(LN(2)/25)*Calculateur!CG170*Calculateur!CI170*VLOOKUP('Données projet'!$B$12,Paramètres!$A$1:$I$88,3,0)*0.475*44/12</f>
        <v>0</v>
      </c>
      <c r="CM170" s="23">
        <f>EXP(-LN(2)/2)*CM169+(1-EXP(-LN(2)/2))/(LN(2)/2)*CG170*CJ170*VLOOKUP('Données projet'!$B$12,Paramètres!$A$1:$I$88,3,0)*0.475*44/12</f>
        <v>3.2590197444569266E-16</v>
      </c>
      <c r="CN170" s="24">
        <f t="shared" si="172"/>
        <v>2.4921571487085852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544.19999999999982</v>
      </c>
      <c r="CU170" s="18">
        <f>CT170*VLOOKUP('Données projet'!$B$13,Paramètres!$A$1:$I$88,3,0)*VLOOKUP('Données projet'!$B$13,Paramètres!$A$1:$I$88,5,0)</f>
        <v>325.43159999999995</v>
      </c>
      <c r="CV170" s="14">
        <f t="shared" si="173"/>
        <v>76.482394221016762</v>
      </c>
      <c r="CW170" s="22">
        <f t="shared" si="174"/>
        <v>700.00020660160408</v>
      </c>
      <c r="CX170" s="62">
        <f t="shared" si="122"/>
        <v>988.40196296552369</v>
      </c>
      <c r="CY170" s="62">
        <f ca="1">AVERAGE(OFFSET($CX$3,0,0,'Données projet'!$E$13+1,1))-AVERAGE(OFFSET($H$3,0,0,'Données projet'!$E$13+1,1))</f>
        <v>401.1031790385295</v>
      </c>
      <c r="CZ170" s="62">
        <f t="shared" si="150"/>
        <v>402.09589424130615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projet'!$B$13,Paramètres!$A$1:$I$88,3,0)*0.475*44/12</f>
        <v>2.4921571487085847</v>
      </c>
      <c r="DG170" s="23">
        <f>EXP(-LN(2)/25)*DG169+(1-EXP(-LN(2)/25))/(LN(2)/25)*Calculateur!DB170*Calculateur!DD170*VLOOKUP('Données projet'!$B$13,Paramètres!$A$1:$I$88,3,0)*0.475*44/12</f>
        <v>0</v>
      </c>
      <c r="DH170" s="23">
        <f>EXP(-LN(2)/2)*DH169+(1-EXP(-LN(2)/2))/(LN(2)/2)*DB170*DE170*VLOOKUP('Données projet'!$B$13,Paramètres!$A$1:$I$88,3,0)*0.475*44/12</f>
        <v>3.2590197444569266E-16</v>
      </c>
      <c r="DI170" s="24">
        <f t="shared" si="175"/>
        <v>2.4921571487085852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860.00000000000023</v>
      </c>
      <c r="DP170" s="18">
        <f>DO170*VLOOKUP('Données projet'!$B$14,Paramètres!$A$1:$I$88,3,0)*VLOOKUP('Données projet'!$B$14,Paramètres!$A$1:$I$88,5,0)</f>
        <v>346.5800000000001</v>
      </c>
      <c r="DQ170" s="14">
        <f t="shared" si="176"/>
        <v>80.857895771535127</v>
      </c>
      <c r="DR170" s="22">
        <f t="shared" si="177"/>
        <v>744.45433513542378</v>
      </c>
      <c r="DS170" s="62">
        <f t="shared" si="125"/>
        <v>1032.8560914993434</v>
      </c>
      <c r="DT170" s="62">
        <f ca="1">AVERAGE(OFFSET($DS$3,0,0,'Données projet'!$E$14+1,1))-AVERAGE(OFFSET($H$3,0,0,'Données projet'!$E$14+1,1))</f>
        <v>432.59662347701629</v>
      </c>
      <c r="DU170" s="62">
        <f t="shared" si="152"/>
        <v>348.67401091099748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projet'!$B$14,Paramètres!$A$1:$I$88,3,0)*0.475*44/12</f>
        <v>11.226325952140876</v>
      </c>
      <c r="EB170" s="23">
        <f>EXP(-LN(2)/25)*EB169+(1-EXP(-LN(2)/25))/(LN(2)/25)*Calculateur!DW170*Calculateur!DY170*VLOOKUP('Données projet'!$B$14,Paramètres!$A$1:$I$88,3,0)*0.475*44/12</f>
        <v>6.231552228745179</v>
      </c>
      <c r="EC170" s="23">
        <f>EXP(-LN(2)/2)*EC169+(1-EXP(-LN(2)/2))/(LN(2)/2)*DW170*DZ170*VLOOKUP('Données projet'!$B$14,Paramètres!$A$1:$I$88,3,0)*0.475*44/12</f>
        <v>0</v>
      </c>
      <c r="ED170" s="24">
        <f t="shared" si="178"/>
        <v>17.457878180886055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1099.9999999999998</v>
      </c>
      <c r="EK170" s="18">
        <f>EJ170*VLOOKUP('Données projet'!$B$15,Paramètres!$A$1:$I$88,3,0)*VLOOKUP('Données projet'!$B$15,Paramètres!$A$1:$I$88,5,0)</f>
        <v>486.19999999999993</v>
      </c>
      <c r="EL170" s="14">
        <f t="shared" si="179"/>
        <v>109.0490179035375</v>
      </c>
      <c r="EM170" s="22">
        <f t="shared" si="180"/>
        <v>1036.725372848661</v>
      </c>
      <c r="EN170" s="62">
        <f t="shared" si="128"/>
        <v>1325.1271292125807</v>
      </c>
      <c r="EO170" s="62">
        <f ca="1">AVERAGE(OFFSET($EN$3,0,0,'Données projet'!$E$15+1,1))-AVERAGE(OFFSET($H$3,0,0,'Données projet'!$E$15+1,1))</f>
        <v>582.26951914082088</v>
      </c>
      <c r="EP170" s="62">
        <f t="shared" si="154"/>
        <v>434.80429932654715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projet'!$B$15,Paramètres!$A$1:$I$88,3,0)*0.475*44/12</f>
        <v>11.312079420357049</v>
      </c>
      <c r="EW170" s="23">
        <f>EXP(-LN(2)/25)*EW169+(1-EXP(-LN(2)/25))/(LN(2)/25)*Calculateur!ER170*Calculateur!ET170*VLOOKUP('Données projet'!$B$15,Paramètres!$A$1:$I$88,3,0)*0.475*44/12</f>
        <v>5.5995347327285607</v>
      </c>
      <c r="EX170" s="23">
        <f>EXP(-LN(2)/2)*EX169+(1-EXP(-LN(2)/2))/(LN(2)/2)*ER170*EU170*VLOOKUP('Données projet'!$B$15,Paramètres!$A$1:$I$88,3,0)*0.475*44/12</f>
        <v>0</v>
      </c>
      <c r="EY170" s="24">
        <f t="shared" si="181"/>
        <v>16.911614153085608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854.99999999999989</v>
      </c>
      <c r="FF170" s="18">
        <f>FE170*VLOOKUP('Données projet'!$B$16,Paramètres!$A$1:$I$88,3,0)*VLOOKUP('Données projet'!$B$16,Paramètres!$A$1:$I$88,5,0)</f>
        <v>400.13999999999993</v>
      </c>
      <c r="FG170" s="14">
        <f t="shared" si="182"/>
        <v>91.805047494648534</v>
      </c>
      <c r="FH170" s="22">
        <f t="shared" si="183"/>
        <v>856.80429105317944</v>
      </c>
      <c r="FI170" s="62">
        <f t="shared" si="131"/>
        <v>1145.2060474170989</v>
      </c>
      <c r="FJ170" s="62">
        <f ca="1">AVERAGE(OFFSET($FI$3,0,0,'Données projet'!$E$16+1,1))-AVERAGE(OFFSET($H$3,0,0,'Données projet'!$E$16+1,1))</f>
        <v>429.87867712133851</v>
      </c>
      <c r="FK170" s="62">
        <f t="shared" si="156"/>
        <v>182.81277865988014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projet'!$B$16,Paramètres!$A$1:$I$88,3,0)*0.475*44/12</f>
        <v>13.491008388404387</v>
      </c>
      <c r="FR170" s="23">
        <f>EXP(-LN(2)/25)*FR169+(1-EXP(-LN(2)/25))/(LN(2)/25)*Calculateur!FM170*Calculateur!FO170*VLOOKUP('Données projet'!$B$16,Paramètres!$A$1:$I$88,3,0)*0.475*44/12</f>
        <v>7.0983689280639313</v>
      </c>
      <c r="FS170" s="23">
        <f>EXP(-LN(2)/2)*FS169+(1-EXP(-LN(2)/2))/(LN(2)/2)*FM170*FP170*VLOOKUP('Données projet'!$B$16,Paramètres!$A$1:$I$88,3,0)*0.475*44/12</f>
        <v>0</v>
      </c>
      <c r="FT170" s="24">
        <f t="shared" si="184"/>
        <v>20.589377316468319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498.99999999999955</v>
      </c>
      <c r="GA170" s="18">
        <f>FZ170*VLOOKUP('Données projet'!$B$17,Paramètres!$A$1:$I$88,3,0)*VLOOKUP('Données projet'!$B$17,Paramètres!$A$1:$I$88,5,0)</f>
        <v>240.01899999999978</v>
      </c>
      <c r="GB170" s="14">
        <f t="shared" si="185"/>
        <v>58.443618405936313</v>
      </c>
      <c r="GC170" s="22">
        <f t="shared" si="186"/>
        <v>519.82239372367201</v>
      </c>
      <c r="GD170" s="62">
        <f t="shared" si="134"/>
        <v>808.22415008759162</v>
      </c>
      <c r="GE170" s="62">
        <f ca="1">AVERAGE(OFFSET($GD$3,0,0,'Données projet'!$E$17+1,1))-AVERAGE(OFFSET($H$3,0,0,'Données projet'!$E$17+1,1))</f>
        <v>273.24375559399846</v>
      </c>
      <c r="GF170" s="62">
        <f t="shared" si="158"/>
        <v>270.77718895097848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projet'!$B$17,Paramètres!$A$1:$I$88,3,0)*0.475*44/12</f>
        <v>5.7765676123453353</v>
      </c>
      <c r="GM170" s="23">
        <f>EXP(-LN(2)/25)*GM169+(1-EXP(-LN(2)/25))/(LN(2)/25)*Calculateur!GH170*Calculateur!GJ170*VLOOKUP('Données projet'!$B$17,Paramètres!$A$1:$I$88,3,0)*0.475*44/12</f>
        <v>2.7310797922111165</v>
      </c>
      <c r="GN170" s="23">
        <f>EXP(-LN(2)/2)*GN169+(1-EXP(-LN(2)/2))/(LN(2)/2)*GH170*GK170*VLOOKUP('Données projet'!$B$17,Paramètres!$A$1:$I$88,3,0)*0.475*44/12</f>
        <v>0</v>
      </c>
      <c r="GO170" s="23">
        <f t="shared" si="187"/>
        <v>8.507647404556451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550.99999999999966</v>
      </c>
      <c r="O171" s="14">
        <f>N171*VLOOKUP('Données projet'!$B$9,Paramètres!$A$1:$I$88,3,0)*VLOOKUP('Données projet'!$B$9,Paramètres!$A$1:$I$88,5,0)</f>
        <v>308.00899999999979</v>
      </c>
      <c r="P171" s="14">
        <f t="shared" si="141"/>
        <v>72.852874331417695</v>
      </c>
      <c r="Q171" s="22">
        <f t="shared" si="162"/>
        <v>663.33443112721886</v>
      </c>
      <c r="R171" s="62">
        <f t="shared" si="109"/>
        <v>951.82173932620344</v>
      </c>
      <c r="S171" s="62">
        <f ca="1">AVERAGE(OFFSET($R$3,0,0,'Données projet'!$E$9+1,1))-AVERAGE(OFFSET($H$3,0,0,'Données projet'!$E$9+1,1))</f>
        <v>289.94242154211224</v>
      </c>
      <c r="T171" s="62">
        <f t="shared" si="142"/>
        <v>369.12599166143661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8.6897188657175022</v>
      </c>
      <c r="AA171" s="23">
        <f>EXP(-LN(2)/25)*AA170+(1-EXP(-LN(2)/25))/(LN(2)/25)*Calculateur!V171*Calculateur!X171*VLOOKUP('Données projet'!$B$9,Paramètres!$A$1:$I$88,3,0)*0.475*44/12</f>
        <v>3.3455387370843002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12.035257602801803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6.9</v>
      </c>
      <c r="AI171" s="14">
        <f>IF('Données projet'!$A$62&gt;35,AI170+AH171-AQ170,IF(A171&lt;'Données projet'!$A$62,$AF$205^A171,IF(A171='Données projet'!$A$62,'Données projet'!$B$62,AI170+AH171-AQ170)))</f>
        <v>443.20000000000016</v>
      </c>
      <c r="AJ171" s="14">
        <f>AI171*VLOOKUP('Données projet'!$B$10,Paramètres!$A$1:$I$88,3,0)*VLOOKUP('Données projet'!$B$10,Paramètres!$A$1:$I$88,5,0)</f>
        <v>401.00736000000018</v>
      </c>
      <c r="AK171" s="14">
        <f t="shared" si="164"/>
        <v>91.980862096086014</v>
      </c>
      <c r="AL171" s="22">
        <f t="shared" si="165"/>
        <v>858.62115348401676</v>
      </c>
      <c r="AM171" s="62">
        <f t="shared" si="113"/>
        <v>1147.1084616830012</v>
      </c>
      <c r="AN171" s="62">
        <f ca="1">AVERAGE(OFFSET($AM$3,0,0,'Données projet'!$E$10+1,1))-AVERAGE(OFFSET($H$3,0,0,'Données projet'!$E$10+1,1))</f>
        <v>518.31628039365785</v>
      </c>
      <c r="AO171" s="62">
        <f t="shared" si="144"/>
        <v>66.435071953154761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47.359154383034095</v>
      </c>
      <c r="AV171" s="23">
        <f>EXP(-LN(2)/25)*AV170+(1-EXP(-LN(2)/25))/(LN(2)/25)*Calculateur!AQ171*Calculateur!AS171*VLOOKUP('Données projet'!$B$10,Paramètres!$A$1:$I$88,3,0)*0.475*44/12</f>
        <v>0</v>
      </c>
      <c r="AW171" s="23">
        <f>EXP(-LN(2)/2)*AW170+(1-EXP(-LN(2)/2))/(LN(2)/2)*AQ171*AT171*VLOOKUP('Données projet'!$B$10,Paramètres!$A$1:$I$88,3,0)*0.475*44/12</f>
        <v>0</v>
      </c>
      <c r="AX171" s="23">
        <f t="shared" si="166"/>
        <v>47.359154383034095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6.9</v>
      </c>
      <c r="BD171" s="13">
        <f>IF('Données projet'!$A$88&gt;35,BD170+BC171-BL170,IF(A171&lt;'Données projet'!$A$88,$BA$205^A171,IF(A171='Données projet'!$A$88,'Données projet'!$B$88,BD170+BC171-BL170)))</f>
        <v>443.20000000000016</v>
      </c>
      <c r="BE171" s="14">
        <f>BD171*VLOOKUP('Données projet'!$B$11,Paramètres!$A$1:$I$88,3,0)*VLOOKUP('Données projet'!$B$11,Paramètres!$A$1:$I$88,5,0)</f>
        <v>449.40480000000019</v>
      </c>
      <c r="BF171" s="14">
        <f t="shared" si="167"/>
        <v>101.72383916041646</v>
      </c>
      <c r="BG171" s="22">
        <f t="shared" si="168"/>
        <v>959.88237987105902</v>
      </c>
      <c r="BH171" s="62">
        <f t="shared" si="116"/>
        <v>1248.3696880700436</v>
      </c>
      <c r="BI171" s="62">
        <f ca="1">AVERAGE(OFFSET($BH$3,0,0,'Données projet'!$E$11+1,1))-AVERAGE(OFFSET($H$3,0,0,'Données projet'!$E$11+1,1))</f>
        <v>570.2785736203931</v>
      </c>
      <c r="BJ171" s="62">
        <f t="shared" si="146"/>
        <v>67.677759965081719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53.074914394779576</v>
      </c>
      <c r="BQ171" s="23">
        <f>EXP(-LN(2)/25)*BQ170+(1-EXP(-LN(2)/25))/(LN(2)/25)*Calculateur!BL171*Calculateur!BN171*VLOOKUP('Données projet'!$B$11,Paramètres!$A$1:$I$88,3,0)*0.475*44/12</f>
        <v>0</v>
      </c>
      <c r="BR171" s="23">
        <f>EXP(-LN(2)/2)*BR170+(1-EXP(-LN(2)/2))/(LN(2)/2)*BL171*BO171*VLOOKUP('Données projet'!$B$11,Paramètres!$A$1:$I$88,3,0)*0.475*44/12</f>
        <v>0</v>
      </c>
      <c r="BS171" s="24">
        <f t="shared" si="169"/>
        <v>53.074914394779576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544.19999999999982</v>
      </c>
      <c r="BZ171" s="14">
        <f>BY171*VLOOKUP('Données projet'!$B$12,Paramètres!$A$1:$I$88,3,0)*VLOOKUP('Données projet'!$B$12,Paramètres!$A$1:$I$88,5,0)</f>
        <v>325.43159999999995</v>
      </c>
      <c r="CA171" s="14">
        <f t="shared" si="170"/>
        <v>76.482394221016762</v>
      </c>
      <c r="CB171" s="22">
        <f t="shared" si="171"/>
        <v>700.00020660160408</v>
      </c>
      <c r="CC171" s="62">
        <f t="shared" si="119"/>
        <v>988.48751480058854</v>
      </c>
      <c r="CD171" s="62">
        <f ca="1">AVERAGE(OFFSET($CC$3,0,0,'Données projet'!$E$12+1,1))-AVERAGE(OFFSET($H$3,0,0,'Données projet'!$E$12+1,1))</f>
        <v>401.1031790385295</v>
      </c>
      <c r="CE171" s="62">
        <f t="shared" si="148"/>
        <v>402.09589424130615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projet'!$B$12,Paramètres!$A$1:$I$88,3,0)*0.475*44/12</f>
        <v>2.4432874670881759</v>
      </c>
      <c r="CL171" s="23">
        <f>EXP(-LN(2)/25)*CL170+(1-EXP(-LN(2)/25))/(LN(2)/25)*Calculateur!CG171*Calculateur!CI171*VLOOKUP('Données projet'!$B$12,Paramètres!$A$1:$I$88,3,0)*0.475*44/12</f>
        <v>0</v>
      </c>
      <c r="CM171" s="23">
        <f>EXP(-LN(2)/2)*CM170+(1-EXP(-LN(2)/2))/(LN(2)/2)*CG171*CJ171*VLOOKUP('Données projet'!$B$12,Paramètres!$A$1:$I$88,3,0)*0.475*44/12</f>
        <v>2.304474961326342E-16</v>
      </c>
      <c r="CN171" s="24">
        <f t="shared" si="172"/>
        <v>2.4432874670881763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544.19999999999982</v>
      </c>
      <c r="CU171" s="18">
        <f>CT171*VLOOKUP('Données projet'!$B$13,Paramètres!$A$1:$I$88,3,0)*VLOOKUP('Données projet'!$B$13,Paramètres!$A$1:$I$88,5,0)</f>
        <v>325.43159999999995</v>
      </c>
      <c r="CV171" s="14">
        <f t="shared" si="173"/>
        <v>76.482394221016762</v>
      </c>
      <c r="CW171" s="22">
        <f t="shared" si="174"/>
        <v>700.00020660160408</v>
      </c>
      <c r="CX171" s="62">
        <f t="shared" si="122"/>
        <v>988.48751480058854</v>
      </c>
      <c r="CY171" s="62">
        <f ca="1">AVERAGE(OFFSET($CX$3,0,0,'Données projet'!$E$13+1,1))-AVERAGE(OFFSET($H$3,0,0,'Données projet'!$E$13+1,1))</f>
        <v>401.1031790385295</v>
      </c>
      <c r="CZ171" s="62">
        <f t="shared" si="150"/>
        <v>402.09589424130615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projet'!$B$13,Paramètres!$A$1:$I$88,3,0)*0.475*44/12</f>
        <v>2.4432874670881759</v>
      </c>
      <c r="DG171" s="23">
        <f>EXP(-LN(2)/25)*DG170+(1-EXP(-LN(2)/25))/(LN(2)/25)*Calculateur!DB171*Calculateur!DD171*VLOOKUP('Données projet'!$B$13,Paramètres!$A$1:$I$88,3,0)*0.475*44/12</f>
        <v>0</v>
      </c>
      <c r="DH171" s="23">
        <f>EXP(-LN(2)/2)*DH170+(1-EXP(-LN(2)/2))/(LN(2)/2)*DB171*DE171*VLOOKUP('Données projet'!$B$13,Paramètres!$A$1:$I$88,3,0)*0.475*44/12</f>
        <v>2.304474961326342E-16</v>
      </c>
      <c r="DI171" s="24">
        <f t="shared" si="175"/>
        <v>2.4432874670881763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860.00000000000023</v>
      </c>
      <c r="DP171" s="18">
        <f>DO171*VLOOKUP('Données projet'!$B$14,Paramètres!$A$1:$I$88,3,0)*VLOOKUP('Données projet'!$B$14,Paramètres!$A$1:$I$88,5,0)</f>
        <v>346.5800000000001</v>
      </c>
      <c r="DQ171" s="14">
        <f t="shared" si="176"/>
        <v>80.857895771535127</v>
      </c>
      <c r="DR171" s="22">
        <f t="shared" si="177"/>
        <v>744.45433513542378</v>
      </c>
      <c r="DS171" s="62">
        <f t="shared" si="125"/>
        <v>1032.9416433344084</v>
      </c>
      <c r="DT171" s="62">
        <f ca="1">AVERAGE(OFFSET($DS$3,0,0,'Données projet'!$E$14+1,1))-AVERAGE(OFFSET($H$3,0,0,'Données projet'!$E$14+1,1))</f>
        <v>432.59662347701629</v>
      </c>
      <c r="DU171" s="62">
        <f t="shared" si="152"/>
        <v>348.67401091099748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projet'!$B$14,Paramètres!$A$1:$I$88,3,0)*0.475*44/12</f>
        <v>11.006184547602102</v>
      </c>
      <c r="EB171" s="23">
        <f>EXP(-LN(2)/25)*EB170+(1-EXP(-LN(2)/25))/(LN(2)/25)*Calculateur!DW171*Calculateur!DY171*VLOOKUP('Données projet'!$B$14,Paramètres!$A$1:$I$88,3,0)*0.475*44/12</f>
        <v>6.0611501053470525</v>
      </c>
      <c r="EC171" s="23">
        <f>EXP(-LN(2)/2)*EC170+(1-EXP(-LN(2)/2))/(LN(2)/2)*DW171*DZ171*VLOOKUP('Données projet'!$B$14,Paramètres!$A$1:$I$88,3,0)*0.475*44/12</f>
        <v>0</v>
      </c>
      <c r="ED171" s="24">
        <f t="shared" si="178"/>
        <v>17.067334652949153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1099.9999999999998</v>
      </c>
      <c r="EK171" s="18">
        <f>EJ171*VLOOKUP('Données projet'!$B$15,Paramètres!$A$1:$I$88,3,0)*VLOOKUP('Données projet'!$B$15,Paramètres!$A$1:$I$88,5,0)</f>
        <v>486.19999999999993</v>
      </c>
      <c r="EL171" s="14">
        <f t="shared" si="179"/>
        <v>109.0490179035375</v>
      </c>
      <c r="EM171" s="22">
        <f t="shared" si="180"/>
        <v>1036.725372848661</v>
      </c>
      <c r="EN171" s="62">
        <f t="shared" si="128"/>
        <v>1325.2126810476454</v>
      </c>
      <c r="EO171" s="62">
        <f ca="1">AVERAGE(OFFSET($EN$3,0,0,'Données projet'!$E$15+1,1))-AVERAGE(OFFSET($H$3,0,0,'Données projet'!$E$15+1,1))</f>
        <v>582.26951914082088</v>
      </c>
      <c r="EP171" s="62">
        <f t="shared" si="154"/>
        <v>434.80429932654715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projet'!$B$15,Paramètres!$A$1:$I$88,3,0)*0.475*44/12</f>
        <v>11.090256442611006</v>
      </c>
      <c r="EW171" s="23">
        <f>EXP(-LN(2)/25)*EW170+(1-EXP(-LN(2)/25))/(LN(2)/25)*Calculateur!ER171*Calculateur!ET171*VLOOKUP('Données projet'!$B$15,Paramètres!$A$1:$I$88,3,0)*0.475*44/12</f>
        <v>5.4464151609953646</v>
      </c>
      <c r="EX171" s="23">
        <f>EXP(-LN(2)/2)*EX170+(1-EXP(-LN(2)/2))/(LN(2)/2)*ER171*EU171*VLOOKUP('Données projet'!$B$15,Paramètres!$A$1:$I$88,3,0)*0.475*44/12</f>
        <v>0</v>
      </c>
      <c r="EY171" s="24">
        <f t="shared" si="181"/>
        <v>16.536671603606372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854.99999999999989</v>
      </c>
      <c r="FF171" s="18">
        <f>FE171*VLOOKUP('Données projet'!$B$16,Paramètres!$A$1:$I$88,3,0)*VLOOKUP('Données projet'!$B$16,Paramètres!$A$1:$I$88,5,0)</f>
        <v>400.13999999999993</v>
      </c>
      <c r="FG171" s="14">
        <f t="shared" si="182"/>
        <v>91.805047494648534</v>
      </c>
      <c r="FH171" s="22">
        <f t="shared" si="183"/>
        <v>856.80429105317944</v>
      </c>
      <c r="FI171" s="62">
        <f t="shared" si="131"/>
        <v>1145.2915992521639</v>
      </c>
      <c r="FJ171" s="62">
        <f ca="1">AVERAGE(OFFSET($FI$3,0,0,'Données projet'!$E$16+1,1))-AVERAGE(OFFSET($H$3,0,0,'Données projet'!$E$16+1,1))</f>
        <v>429.87867712133851</v>
      </c>
      <c r="FK171" s="62">
        <f t="shared" si="156"/>
        <v>182.81277865988014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projet'!$B$16,Paramètres!$A$1:$I$88,3,0)*0.475*44/12</f>
        <v>13.226457942610377</v>
      </c>
      <c r="FR171" s="23">
        <f>EXP(-LN(2)/25)*FR170+(1-EXP(-LN(2)/25))/(LN(2)/25)*Calculateur!FM171*Calculateur!FO171*VLOOKUP('Données projet'!$B$16,Paramètres!$A$1:$I$88,3,0)*0.475*44/12</f>
        <v>6.9042636564390243</v>
      </c>
      <c r="FS171" s="23">
        <f>EXP(-LN(2)/2)*FS170+(1-EXP(-LN(2)/2))/(LN(2)/2)*FM171*FP171*VLOOKUP('Données projet'!$B$16,Paramètres!$A$1:$I$88,3,0)*0.475*44/12</f>
        <v>0</v>
      </c>
      <c r="FT171" s="24">
        <f t="shared" si="184"/>
        <v>20.130721599049402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498.99999999999955</v>
      </c>
      <c r="GA171" s="18">
        <f>FZ171*VLOOKUP('Données projet'!$B$17,Paramètres!$A$1:$I$88,3,0)*VLOOKUP('Données projet'!$B$17,Paramètres!$A$1:$I$88,5,0)</f>
        <v>240.01899999999978</v>
      </c>
      <c r="GB171" s="14">
        <f t="shared" si="185"/>
        <v>58.443618405936313</v>
      </c>
      <c r="GC171" s="22">
        <f t="shared" si="186"/>
        <v>519.82239372367201</v>
      </c>
      <c r="GD171" s="62">
        <f t="shared" si="134"/>
        <v>808.30970192265659</v>
      </c>
      <c r="GE171" s="62">
        <f ca="1">AVERAGE(OFFSET($GD$3,0,0,'Données projet'!$E$17+1,1))-AVERAGE(OFFSET($H$3,0,0,'Données projet'!$E$17+1,1))</f>
        <v>273.24375559399846</v>
      </c>
      <c r="GF171" s="62">
        <f t="shared" si="158"/>
        <v>270.77718895097848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projet'!$B$17,Paramètres!$A$1:$I$88,3,0)*0.475*44/12</f>
        <v>5.6632926448255843</v>
      </c>
      <c r="GM171" s="23">
        <f>EXP(-LN(2)/25)*GM170+(1-EXP(-LN(2)/25))/(LN(2)/25)*Calculateur!GH171*Calculateur!GJ171*VLOOKUP('Données projet'!$B$17,Paramètres!$A$1:$I$88,3,0)*0.475*44/12</f>
        <v>2.656398271671859</v>
      </c>
      <c r="GN171" s="23">
        <f>EXP(-LN(2)/2)*GN170+(1-EXP(-LN(2)/2))/(LN(2)/2)*GH171*GK171*VLOOKUP('Données projet'!$B$17,Paramètres!$A$1:$I$88,3,0)*0.475*44/12</f>
        <v>0</v>
      </c>
      <c r="GO171" s="23">
        <f t="shared" si="187"/>
        <v>8.3196909164974429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550.99999999999966</v>
      </c>
      <c r="O172" s="14">
        <f>N172*VLOOKUP('Données projet'!$B$9,Paramètres!$A$1:$I$88,3,0)*VLOOKUP('Données projet'!$B$9,Paramètres!$A$1:$I$88,5,0)</f>
        <v>308.00899999999979</v>
      </c>
      <c r="P172" s="14">
        <f t="shared" si="141"/>
        <v>72.852874331417695</v>
      </c>
      <c r="Q172" s="22">
        <f t="shared" si="162"/>
        <v>663.33443112721886</v>
      </c>
      <c r="R172" s="62">
        <f t="shared" si="109"/>
        <v>951.90580702819534</v>
      </c>
      <c r="S172" s="62">
        <f ca="1">AVERAGE(OFFSET($R$3,0,0,'Données projet'!$E$9+1,1))-AVERAGE(OFFSET($H$3,0,0,'Données projet'!$E$9+1,1))</f>
        <v>289.94242154211224</v>
      </c>
      <c r="T172" s="62">
        <f t="shared" si="142"/>
        <v>369.12599166143661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8.519318778965939</v>
      </c>
      <c r="AA172" s="23">
        <f>EXP(-LN(2)/25)*AA171+(1-EXP(-LN(2)/25))/(LN(2)/25)*Calculateur!V172*Calculateur!X172*VLOOKUP('Données projet'!$B$9,Paramètres!$A$1:$I$88,3,0)*0.475*44/12</f>
        <v>3.2540548043844941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11.773373583350434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6.9</v>
      </c>
      <c r="AI172" s="14">
        <f>IF('Données projet'!$A$62&gt;35,AI171+AH172-AQ171,IF(A172&lt;'Données projet'!$A$62,$AF$205^A172,IF(A172='Données projet'!$A$62,'Données projet'!$B$62,AI171+AH172-AQ171)))</f>
        <v>450.10000000000014</v>
      </c>
      <c r="AJ172" s="14">
        <f>AI172*VLOOKUP('Données projet'!$B$10,Paramètres!$A$1:$I$88,3,0)*VLOOKUP('Données projet'!$B$10,Paramètres!$A$1:$I$88,5,0)</f>
        <v>407.2504800000001</v>
      </c>
      <c r="AK172" s="14">
        <f t="shared" si="164"/>
        <v>93.245048444057318</v>
      </c>
      <c r="AL172" s="22">
        <f t="shared" si="165"/>
        <v>871.6963787067333</v>
      </c>
      <c r="AM172" s="62">
        <f t="shared" si="113"/>
        <v>1160.2677546077098</v>
      </c>
      <c r="AN172" s="62">
        <f ca="1">AVERAGE(OFFSET($AM$3,0,0,'Données projet'!$E$10+1,1))-AVERAGE(OFFSET($H$3,0,0,'Données projet'!$E$10+1,1))</f>
        <v>518.31628039365785</v>
      </c>
      <c r="AO172" s="62">
        <f t="shared" si="144"/>
        <v>66.435071953154761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46.43047025181469</v>
      </c>
      <c r="AV172" s="23">
        <f>EXP(-LN(2)/25)*AV171+(1-EXP(-LN(2)/25))/(LN(2)/25)*Calculateur!AQ172*Calculateur!AS172*VLOOKUP('Données projet'!$B$10,Paramètres!$A$1:$I$88,3,0)*0.475*44/12</f>
        <v>0</v>
      </c>
      <c r="AW172" s="23">
        <f>EXP(-LN(2)/2)*AW171+(1-EXP(-LN(2)/2))/(LN(2)/2)*AQ172*AT172*VLOOKUP('Données projet'!$B$10,Paramètres!$A$1:$I$88,3,0)*0.475*44/12</f>
        <v>0</v>
      </c>
      <c r="AX172" s="23">
        <f t="shared" si="166"/>
        <v>46.43047025181469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6.9</v>
      </c>
      <c r="BD172" s="13">
        <f>IF('Données projet'!$A$88&gt;35,BD171+BC172-BL171,IF(A172&lt;'Données projet'!$A$88,$BA$205^A172,IF(A172='Données projet'!$A$88,'Données projet'!$B$88,BD171+BC172-BL171)))</f>
        <v>450.10000000000014</v>
      </c>
      <c r="BE172" s="14">
        <f>BD172*VLOOKUP('Données projet'!$B$11,Paramètres!$A$1:$I$88,3,0)*VLOOKUP('Données projet'!$B$11,Paramètres!$A$1:$I$88,5,0)</f>
        <v>456.40140000000019</v>
      </c>
      <c r="BF172" s="14">
        <f t="shared" si="167"/>
        <v>103.12193313126325</v>
      </c>
      <c r="BG172" s="22">
        <f t="shared" si="168"/>
        <v>974.50313853695036</v>
      </c>
      <c r="BH172" s="62">
        <f t="shared" si="116"/>
        <v>1263.0745144379268</v>
      </c>
      <c r="BI172" s="62">
        <f ca="1">AVERAGE(OFFSET($BH$3,0,0,'Données projet'!$E$11+1,1))-AVERAGE(OFFSET($H$3,0,0,'Données projet'!$E$11+1,1))</f>
        <v>570.2785736203931</v>
      </c>
      <c r="BJ172" s="62">
        <f t="shared" si="146"/>
        <v>67.677759965081719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52.034147695999209</v>
      </c>
      <c r="BQ172" s="23">
        <f>EXP(-LN(2)/25)*BQ171+(1-EXP(-LN(2)/25))/(LN(2)/25)*Calculateur!BL172*Calculateur!BN172*VLOOKUP('Données projet'!$B$11,Paramètres!$A$1:$I$88,3,0)*0.475*44/12</f>
        <v>0</v>
      </c>
      <c r="BR172" s="23">
        <f>EXP(-LN(2)/2)*BR171+(1-EXP(-LN(2)/2))/(LN(2)/2)*BL172*BO172*VLOOKUP('Données projet'!$B$11,Paramètres!$A$1:$I$88,3,0)*0.475*44/12</f>
        <v>0</v>
      </c>
      <c r="BS172" s="24">
        <f t="shared" si="169"/>
        <v>52.034147695999209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544.19999999999982</v>
      </c>
      <c r="BZ172" s="14">
        <f>BY172*VLOOKUP('Données projet'!$B$12,Paramètres!$A$1:$I$88,3,0)*VLOOKUP('Données projet'!$B$12,Paramètres!$A$1:$I$88,5,0)</f>
        <v>325.43159999999995</v>
      </c>
      <c r="CA172" s="14">
        <f t="shared" si="170"/>
        <v>76.482394221016762</v>
      </c>
      <c r="CB172" s="22">
        <f t="shared" si="171"/>
        <v>700.00020660160408</v>
      </c>
      <c r="CC172" s="62">
        <f t="shared" si="119"/>
        <v>988.57158250258044</v>
      </c>
      <c r="CD172" s="62">
        <f ca="1">AVERAGE(OFFSET($CC$3,0,0,'Données projet'!$E$12+1,1))-AVERAGE(OFFSET($H$3,0,0,'Données projet'!$E$12+1,1))</f>
        <v>401.1031790385295</v>
      </c>
      <c r="CE172" s="62">
        <f t="shared" si="148"/>
        <v>402.09589424130615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projet'!$B$12,Paramètres!$A$1:$I$88,3,0)*0.475*44/12</f>
        <v>2.3953760901167809</v>
      </c>
      <c r="CL172" s="23">
        <f>EXP(-LN(2)/25)*CL171+(1-EXP(-LN(2)/25))/(LN(2)/25)*Calculateur!CG172*Calculateur!CI172*VLOOKUP('Données projet'!$B$12,Paramètres!$A$1:$I$88,3,0)*0.475*44/12</f>
        <v>0</v>
      </c>
      <c r="CM172" s="23">
        <f>EXP(-LN(2)/2)*CM171+(1-EXP(-LN(2)/2))/(LN(2)/2)*CG172*CJ172*VLOOKUP('Données projet'!$B$12,Paramètres!$A$1:$I$88,3,0)*0.475*44/12</f>
        <v>1.6295098722284633E-16</v>
      </c>
      <c r="CN172" s="24">
        <f t="shared" si="172"/>
        <v>2.3953760901167809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544.19999999999982</v>
      </c>
      <c r="CU172" s="18">
        <f>CT172*VLOOKUP('Données projet'!$B$13,Paramètres!$A$1:$I$88,3,0)*VLOOKUP('Données projet'!$B$13,Paramètres!$A$1:$I$88,5,0)</f>
        <v>325.43159999999995</v>
      </c>
      <c r="CV172" s="14">
        <f t="shared" si="173"/>
        <v>76.482394221016762</v>
      </c>
      <c r="CW172" s="22">
        <f t="shared" si="174"/>
        <v>700.00020660160408</v>
      </c>
      <c r="CX172" s="62">
        <f t="shared" si="122"/>
        <v>988.57158250258044</v>
      </c>
      <c r="CY172" s="62">
        <f ca="1">AVERAGE(OFFSET($CX$3,0,0,'Données projet'!$E$13+1,1))-AVERAGE(OFFSET($H$3,0,0,'Données projet'!$E$13+1,1))</f>
        <v>401.1031790385295</v>
      </c>
      <c r="CZ172" s="62">
        <f t="shared" si="150"/>
        <v>402.09589424130615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projet'!$B$13,Paramètres!$A$1:$I$88,3,0)*0.475*44/12</f>
        <v>2.3953760901167809</v>
      </c>
      <c r="DG172" s="23">
        <f>EXP(-LN(2)/25)*DG171+(1-EXP(-LN(2)/25))/(LN(2)/25)*Calculateur!DB172*Calculateur!DD172*VLOOKUP('Données projet'!$B$13,Paramètres!$A$1:$I$88,3,0)*0.475*44/12</f>
        <v>0</v>
      </c>
      <c r="DH172" s="23">
        <f>EXP(-LN(2)/2)*DH171+(1-EXP(-LN(2)/2))/(LN(2)/2)*DB172*DE172*VLOOKUP('Données projet'!$B$13,Paramètres!$A$1:$I$88,3,0)*0.475*44/12</f>
        <v>1.6295098722284633E-16</v>
      </c>
      <c r="DI172" s="24">
        <f t="shared" si="175"/>
        <v>2.3953760901167809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860.00000000000023</v>
      </c>
      <c r="DP172" s="18">
        <f>DO172*VLOOKUP('Données projet'!$B$14,Paramètres!$A$1:$I$88,3,0)*VLOOKUP('Données projet'!$B$14,Paramètres!$A$1:$I$88,5,0)</f>
        <v>346.5800000000001</v>
      </c>
      <c r="DQ172" s="14">
        <f t="shared" si="176"/>
        <v>80.857895771535127</v>
      </c>
      <c r="DR172" s="22">
        <f t="shared" si="177"/>
        <v>744.45433513542378</v>
      </c>
      <c r="DS172" s="62">
        <f t="shared" si="125"/>
        <v>1033.0257110364003</v>
      </c>
      <c r="DT172" s="62">
        <f ca="1">AVERAGE(OFFSET($DS$3,0,0,'Données projet'!$E$14+1,1))-AVERAGE(OFFSET($H$3,0,0,'Données projet'!$E$14+1,1))</f>
        <v>432.59662347701629</v>
      </c>
      <c r="DU172" s="62">
        <f t="shared" si="152"/>
        <v>348.67401091099748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projet'!$B$14,Paramètres!$A$1:$I$88,3,0)*0.475*44/12</f>
        <v>10.790359981733333</v>
      </c>
      <c r="EB172" s="23">
        <f>EXP(-LN(2)/25)*EB171+(1-EXP(-LN(2)/25))/(LN(2)/25)*Calculateur!DW172*Calculateur!DY172*VLOOKUP('Données projet'!$B$14,Paramètres!$A$1:$I$88,3,0)*0.475*44/12</f>
        <v>5.8954076369743058</v>
      </c>
      <c r="EC172" s="23">
        <f>EXP(-LN(2)/2)*EC171+(1-EXP(-LN(2)/2))/(LN(2)/2)*DW172*DZ172*VLOOKUP('Données projet'!$B$14,Paramètres!$A$1:$I$88,3,0)*0.475*44/12</f>
        <v>0</v>
      </c>
      <c r="ED172" s="24">
        <f t="shared" si="178"/>
        <v>16.68576761870764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1099.9999999999998</v>
      </c>
      <c r="EK172" s="18">
        <f>EJ172*VLOOKUP('Données projet'!$B$15,Paramètres!$A$1:$I$88,3,0)*VLOOKUP('Données projet'!$B$15,Paramètres!$A$1:$I$88,5,0)</f>
        <v>486.19999999999993</v>
      </c>
      <c r="EL172" s="14">
        <f t="shared" si="179"/>
        <v>109.0490179035375</v>
      </c>
      <c r="EM172" s="22">
        <f t="shared" si="180"/>
        <v>1036.725372848661</v>
      </c>
      <c r="EN172" s="62">
        <f t="shared" si="128"/>
        <v>1325.2967487496373</v>
      </c>
      <c r="EO172" s="62">
        <f ca="1">AVERAGE(OFFSET($EN$3,0,0,'Données projet'!$E$15+1,1))-AVERAGE(OFFSET($H$3,0,0,'Données projet'!$E$15+1,1))</f>
        <v>582.26951914082088</v>
      </c>
      <c r="EP172" s="62">
        <f t="shared" si="154"/>
        <v>434.80429932654715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projet'!$B$15,Paramètres!$A$1:$I$88,3,0)*0.475*44/12</f>
        <v>10.872783278159906</v>
      </c>
      <c r="EW172" s="23">
        <f>EXP(-LN(2)/25)*EW171+(1-EXP(-LN(2)/25))/(LN(2)/25)*Calculateur!ER172*Calculateur!ET172*VLOOKUP('Données projet'!$B$15,Paramètres!$A$1:$I$88,3,0)*0.475*44/12</f>
        <v>5.2974826520034206</v>
      </c>
      <c r="EX172" s="23">
        <f>EXP(-LN(2)/2)*EX171+(1-EXP(-LN(2)/2))/(LN(2)/2)*ER172*EU172*VLOOKUP('Données projet'!$B$15,Paramètres!$A$1:$I$88,3,0)*0.475*44/12</f>
        <v>0</v>
      </c>
      <c r="EY172" s="24">
        <f t="shared" si="181"/>
        <v>16.170265930163325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854.99999999999989</v>
      </c>
      <c r="FF172" s="18">
        <f>FE172*VLOOKUP('Données projet'!$B$16,Paramètres!$A$1:$I$88,3,0)*VLOOKUP('Données projet'!$B$16,Paramètres!$A$1:$I$88,5,0)</f>
        <v>400.13999999999993</v>
      </c>
      <c r="FG172" s="14">
        <f t="shared" si="182"/>
        <v>91.805047494648534</v>
      </c>
      <c r="FH172" s="22">
        <f t="shared" si="183"/>
        <v>856.80429105317944</v>
      </c>
      <c r="FI172" s="62">
        <f t="shared" si="131"/>
        <v>1145.3756669541558</v>
      </c>
      <c r="FJ172" s="62">
        <f ca="1">AVERAGE(OFFSET($FI$3,0,0,'Données projet'!$E$16+1,1))-AVERAGE(OFFSET($H$3,0,0,'Données projet'!$E$16+1,1))</f>
        <v>429.87867712133851</v>
      </c>
      <c r="FK172" s="62">
        <f t="shared" si="156"/>
        <v>182.81277865988014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projet'!$B$16,Paramètres!$A$1:$I$88,3,0)*0.475*44/12</f>
        <v>12.967095169698549</v>
      </c>
      <c r="FR172" s="23">
        <f>EXP(-LN(2)/25)*FR171+(1-EXP(-LN(2)/25))/(LN(2)/25)*Calculateur!FM172*Calculateur!FO172*VLOOKUP('Données projet'!$B$16,Paramètres!$A$1:$I$88,3,0)*0.475*44/12</f>
        <v>6.7154662036742536</v>
      </c>
      <c r="FS172" s="23">
        <f>EXP(-LN(2)/2)*FS171+(1-EXP(-LN(2)/2))/(LN(2)/2)*FM172*FP172*VLOOKUP('Données projet'!$B$16,Paramètres!$A$1:$I$88,3,0)*0.475*44/12</f>
        <v>0</v>
      </c>
      <c r="FT172" s="24">
        <f t="shared" si="184"/>
        <v>19.682561373372803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498.99999999999955</v>
      </c>
      <c r="GA172" s="18">
        <f>FZ172*VLOOKUP('Données projet'!$B$17,Paramètres!$A$1:$I$88,3,0)*VLOOKUP('Données projet'!$B$17,Paramètres!$A$1:$I$88,5,0)</f>
        <v>240.01899999999978</v>
      </c>
      <c r="GB172" s="14">
        <f t="shared" si="185"/>
        <v>58.443618405936313</v>
      </c>
      <c r="GC172" s="22">
        <f t="shared" si="186"/>
        <v>519.82239372367201</v>
      </c>
      <c r="GD172" s="62">
        <f t="shared" si="134"/>
        <v>808.39376962464848</v>
      </c>
      <c r="GE172" s="62">
        <f ca="1">AVERAGE(OFFSET($GD$3,0,0,'Données projet'!$E$17+1,1))-AVERAGE(OFFSET($H$3,0,0,'Données projet'!$E$17+1,1))</f>
        <v>273.24375559399846</v>
      </c>
      <c r="GF172" s="62">
        <f t="shared" si="158"/>
        <v>270.77718895097848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projet'!$B$17,Paramètres!$A$1:$I$88,3,0)*0.475*44/12</f>
        <v>5.5522389303279871</v>
      </c>
      <c r="GM172" s="23">
        <f>EXP(-LN(2)/25)*GM171+(1-EXP(-LN(2)/25))/(LN(2)/25)*Calculateur!GH172*Calculateur!GJ172*VLOOKUP('Données projet'!$B$17,Paramètres!$A$1:$I$88,3,0)*0.475*44/12</f>
        <v>2.5837589212390784</v>
      </c>
      <c r="GN172" s="23">
        <f>EXP(-LN(2)/2)*GN171+(1-EXP(-LN(2)/2))/(LN(2)/2)*GH172*GK172*VLOOKUP('Données projet'!$B$17,Paramètres!$A$1:$I$88,3,0)*0.475*44/12</f>
        <v>0</v>
      </c>
      <c r="GO172" s="23">
        <f t="shared" si="187"/>
        <v>8.1359978515670655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550.99999999999966</v>
      </c>
      <c r="O173" s="14">
        <f>N173*VLOOKUP('Données projet'!$B$9,Paramètres!$A$1:$I$88,3,0)*VLOOKUP('Données projet'!$B$9,Paramètres!$A$1:$I$88,5,0)</f>
        <v>308.00899999999979</v>
      </c>
      <c r="P173" s="14">
        <f t="shared" si="141"/>
        <v>72.852874331417695</v>
      </c>
      <c r="Q173" s="22">
        <f t="shared" si="162"/>
        <v>663.33443112721886</v>
      </c>
      <c r="R173" s="62">
        <f t="shared" si="109"/>
        <v>951.9884163435047</v>
      </c>
      <c r="S173" s="62">
        <f ca="1">AVERAGE(OFFSET($R$3,0,0,'Données projet'!$E$9+1,1))-AVERAGE(OFFSET($H$3,0,0,'Données projet'!$E$9+1,1))</f>
        <v>289.94242154211224</v>
      </c>
      <c r="T173" s="62">
        <f t="shared" si="142"/>
        <v>369.12599166143661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8.3522601339817832</v>
      </c>
      <c r="AA173" s="23">
        <f>EXP(-LN(2)/25)*AA172+(1-EXP(-LN(2)/25))/(LN(2)/25)*Calculateur!V173*Calculateur!X173*VLOOKUP('Données projet'!$B$9,Paramètres!$A$1:$I$88,3,0)*0.475*44/12</f>
        <v>3.1650725046352952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11.517332638617079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>
        <f>VLOOKUP(A173,'Données projet'!$A$61:$I$81,2,0)</f>
        <v>457</v>
      </c>
      <c r="AG173" s="13">
        <f>VLOOKUP(A173,'Données projet'!$A$61:$I$81,9,0)</f>
        <v>6.9</v>
      </c>
      <c r="AH173" s="13">
        <f t="array" ref="AH173">INDEX(AG:AG,MIN(IF(ISNUMBER(AG173:AG369),ROW(AG173:AG369),"")))</f>
        <v>6.9</v>
      </c>
      <c r="AI173" s="14">
        <f>IF('Données projet'!$A$62&gt;35,AI172+AH173-AQ172,IF(A173&lt;'Données projet'!$A$62,$AF$205^A173,IF(A173='Données projet'!$A$62,'Données projet'!$B$62,AI172+AH173-AQ172)))</f>
        <v>457.00000000000011</v>
      </c>
      <c r="AJ173" s="14">
        <f>AI173*VLOOKUP('Données projet'!$B$10,Paramètres!$A$1:$I$88,3,0)*VLOOKUP('Données projet'!$B$10,Paramètres!$A$1:$I$88,5,0)</f>
        <v>413.49360000000013</v>
      </c>
      <c r="AK173" s="14">
        <f t="shared" si="164"/>
        <v>94.506980891636218</v>
      </c>
      <c r="AL173" s="22">
        <f t="shared" si="165"/>
        <v>884.76767838626654</v>
      </c>
      <c r="AM173" s="62">
        <f t="shared" si="113"/>
        <v>1173.4216636025524</v>
      </c>
      <c r="AN173" s="62">
        <f ca="1">AVERAGE(OFFSET($AM$3,0,0,'Données projet'!$E$10+1,1))-AVERAGE(OFFSET($H$3,0,0,'Données projet'!$E$10+1,1))</f>
        <v>518.31628039365785</v>
      </c>
      <c r="AO173" s="62">
        <f t="shared" si="144"/>
        <v>66.435071953154761</v>
      </c>
      <c r="AP173" s="16">
        <f>IF(ISNA(VLOOKUP(A173,'Données projet'!$A$61:$I$81,3,0)),0,VLOOKUP(A173,'Données projet'!$A$61:$I$81,3,0))</f>
        <v>19</v>
      </c>
      <c r="AQ173" s="16">
        <f>IF(ISNA(VLOOKUP(A173,'Données projet'!$A$61:$I$81,4,0)),0,VLOOKUP(A173,'Données projet'!$A$61:$I$81,4,0))</f>
        <v>457</v>
      </c>
      <c r="AR173" s="17">
        <f>IF(ISNA(VLOOKUP(A173,'Données projet'!$A$61:$I$81,5,0)),0%,VLOOKUP(A173,'Données projet'!$A$61:$I$81,5,0)*VLOOKUP('Données projet'!$B$10,Paramètres!$A$1:$I$88,7,0))</f>
        <v>0.30099999999999999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183.10858005482731</v>
      </c>
      <c r="AV173" s="23">
        <f>EXP(-LN(2)/25)*AV172+(1-EXP(-LN(2)/25))/(LN(2)/25)*Calculateur!AQ173*Calculateur!AS173*VLOOKUP('Données projet'!$B$10,Paramètres!$A$1:$I$88,3,0)*0.475*44/12</f>
        <v>0</v>
      </c>
      <c r="AW173" s="23">
        <f>EXP(-LN(2)/2)*AW172+(1-EXP(-LN(2)/2))/(LN(2)/2)*AQ173*AT173*VLOOKUP('Données projet'!$B$10,Paramètres!$A$1:$I$88,3,0)*0.475*44/12</f>
        <v>0</v>
      </c>
      <c r="AX173" s="23">
        <f t="shared" si="166"/>
        <v>183.10858005482731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>
        <f>VLOOKUP(A173,'Données projet'!$A$87:$I$107,2,0)</f>
        <v>457</v>
      </c>
      <c r="BB173" s="13">
        <f>VLOOKUP(A173,'Données projet'!$A$87:$I$107,9,0)</f>
        <v>6.9</v>
      </c>
      <c r="BC173" s="13">
        <f t="array" ref="BC173">INDEX(BB:BB,MIN(IF(ISNUMBER(BB173:BB369),ROW(BB173:BB369),"")))</f>
        <v>6.9</v>
      </c>
      <c r="BD173" s="13">
        <f>IF('Données projet'!$A$88&gt;35,BD172+BC173-BL172,IF(A173&lt;'Données projet'!$A$88,$BA$205^A173,IF(A173='Données projet'!$A$88,'Données projet'!$B$88,BD172+BC173-BL172)))</f>
        <v>457.00000000000011</v>
      </c>
      <c r="BE173" s="14">
        <f>BD173*VLOOKUP('Données projet'!$B$11,Paramètres!$A$1:$I$88,3,0)*VLOOKUP('Données projet'!$B$11,Paramètres!$A$1:$I$88,5,0)</f>
        <v>463.39800000000014</v>
      </c>
      <c r="BF173" s="14">
        <f t="shared" si="167"/>
        <v>104.51753445966499</v>
      </c>
      <c r="BG173" s="22">
        <f t="shared" si="168"/>
        <v>989.1195558505832</v>
      </c>
      <c r="BH173" s="62">
        <f t="shared" si="116"/>
        <v>1277.773541066869</v>
      </c>
      <c r="BI173" s="62">
        <f ca="1">AVERAGE(OFFSET($BH$3,0,0,'Données projet'!$E$11+1,1))-AVERAGE(OFFSET($H$3,0,0,'Données projet'!$E$11+1,1))</f>
        <v>570.2785736203931</v>
      </c>
      <c r="BJ173" s="62">
        <f t="shared" si="146"/>
        <v>67.677759965081719</v>
      </c>
      <c r="BK173" s="16">
        <f>IF(ISNA(VLOOKUP(A173,'Données projet'!$A$87:$I$107,3,0)),0,VLOOKUP(A173,'Données projet'!$A$87:$I$107,3,0))</f>
        <v>19</v>
      </c>
      <c r="BL173" s="16">
        <f>IF(ISNA(VLOOKUP(A173,'Données projet'!$A$87:$I$107,4,0)),0,VLOOKUP(A173,'Données projet'!$A$87:$I$107,4,0))</f>
        <v>457</v>
      </c>
      <c r="BM173" s="17">
        <f>IF(ISNA(VLOOKUP(A173,'Données projet'!$A$87:$I$107,5,0)),0%,VLOOKUP(A173,'Données projet'!$A$87:$I$107,5,0)*VLOOKUP('Données projet'!$B$11,Paramètres!$A$1:$I$88,7,0))</f>
        <v>0.30099999999999999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205.20789144075474</v>
      </c>
      <c r="BQ173" s="23">
        <f>EXP(-LN(2)/25)*BQ172+(1-EXP(-LN(2)/25))/(LN(2)/25)*Calculateur!BL173*Calculateur!BN173*VLOOKUP('Données projet'!$B$11,Paramètres!$A$1:$I$88,3,0)*0.475*44/12</f>
        <v>0</v>
      </c>
      <c r="BR173" s="23">
        <f>EXP(-LN(2)/2)*BR172+(1-EXP(-LN(2)/2))/(LN(2)/2)*BL173*BO173*VLOOKUP('Données projet'!$B$11,Paramètres!$A$1:$I$88,3,0)*0.475*44/12</f>
        <v>0</v>
      </c>
      <c r="BS173" s="24">
        <f t="shared" si="169"/>
        <v>205.20789144075474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544.19999999999982</v>
      </c>
      <c r="BZ173" s="14">
        <f>BY173*VLOOKUP('Données projet'!$B$12,Paramètres!$A$1:$I$88,3,0)*VLOOKUP('Données projet'!$B$12,Paramètres!$A$1:$I$88,5,0)</f>
        <v>325.43159999999995</v>
      </c>
      <c r="CA173" s="14">
        <f t="shared" si="170"/>
        <v>76.482394221016762</v>
      </c>
      <c r="CB173" s="22">
        <f t="shared" si="171"/>
        <v>700.00020660160408</v>
      </c>
      <c r="CC173" s="62">
        <f t="shared" si="119"/>
        <v>988.65419181789002</v>
      </c>
      <c r="CD173" s="62">
        <f ca="1">AVERAGE(OFFSET($CC$3,0,0,'Données projet'!$E$12+1,1))-AVERAGE(OFFSET($H$3,0,0,'Données projet'!$E$12+1,1))</f>
        <v>401.1031790385295</v>
      </c>
      <c r="CE173" s="62">
        <f t="shared" si="148"/>
        <v>402.09589424130615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projet'!$B$12,Paramètres!$A$1:$I$88,3,0)*0.475*44/12</f>
        <v>2.3484042260247406</v>
      </c>
      <c r="CL173" s="23">
        <f>EXP(-LN(2)/25)*CL172+(1-EXP(-LN(2)/25))/(LN(2)/25)*Calculateur!CG173*Calculateur!CI173*VLOOKUP('Données projet'!$B$12,Paramètres!$A$1:$I$88,3,0)*0.475*44/12</f>
        <v>0</v>
      </c>
      <c r="CM173" s="23">
        <f>EXP(-LN(2)/2)*CM172+(1-EXP(-LN(2)/2))/(LN(2)/2)*CG173*CJ173*VLOOKUP('Données projet'!$B$12,Paramètres!$A$1:$I$88,3,0)*0.475*44/12</f>
        <v>1.152237480663171E-16</v>
      </c>
      <c r="CN173" s="24">
        <f t="shared" si="172"/>
        <v>2.3484042260247406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544.19999999999982</v>
      </c>
      <c r="CU173" s="18">
        <f>CT173*VLOOKUP('Données projet'!$B$13,Paramètres!$A$1:$I$88,3,0)*VLOOKUP('Données projet'!$B$13,Paramètres!$A$1:$I$88,5,0)</f>
        <v>325.43159999999995</v>
      </c>
      <c r="CV173" s="14">
        <f t="shared" si="173"/>
        <v>76.482394221016762</v>
      </c>
      <c r="CW173" s="22">
        <f t="shared" si="174"/>
        <v>700.00020660160408</v>
      </c>
      <c r="CX173" s="62">
        <f t="shared" si="122"/>
        <v>988.65419181789002</v>
      </c>
      <c r="CY173" s="62">
        <f ca="1">AVERAGE(OFFSET($CX$3,0,0,'Données projet'!$E$13+1,1))-AVERAGE(OFFSET($H$3,0,0,'Données projet'!$E$13+1,1))</f>
        <v>401.1031790385295</v>
      </c>
      <c r="CZ173" s="62">
        <f t="shared" si="150"/>
        <v>402.09589424130615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projet'!$B$13,Paramètres!$A$1:$I$88,3,0)*0.475*44/12</f>
        <v>2.3484042260247406</v>
      </c>
      <c r="DG173" s="23">
        <f>EXP(-LN(2)/25)*DG172+(1-EXP(-LN(2)/25))/(LN(2)/25)*Calculateur!DB173*Calculateur!DD173*VLOOKUP('Données projet'!$B$13,Paramètres!$A$1:$I$88,3,0)*0.475*44/12</f>
        <v>0</v>
      </c>
      <c r="DH173" s="23">
        <f>EXP(-LN(2)/2)*DH172+(1-EXP(-LN(2)/2))/(LN(2)/2)*DB173*DE173*VLOOKUP('Données projet'!$B$13,Paramètres!$A$1:$I$88,3,0)*0.475*44/12</f>
        <v>1.152237480663171E-16</v>
      </c>
      <c r="DI173" s="24">
        <f t="shared" si="175"/>
        <v>2.3484042260247406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860.00000000000023</v>
      </c>
      <c r="DP173" s="18">
        <f>DO173*VLOOKUP('Données projet'!$B$14,Paramètres!$A$1:$I$88,3,0)*VLOOKUP('Données projet'!$B$14,Paramètres!$A$1:$I$88,5,0)</f>
        <v>346.5800000000001</v>
      </c>
      <c r="DQ173" s="14">
        <f t="shared" si="176"/>
        <v>80.857895771535127</v>
      </c>
      <c r="DR173" s="22">
        <f t="shared" si="177"/>
        <v>744.45433513542378</v>
      </c>
      <c r="DS173" s="62">
        <f t="shared" si="125"/>
        <v>1033.1083203517096</v>
      </c>
      <c r="DT173" s="62">
        <f ca="1">AVERAGE(OFFSET($DS$3,0,0,'Données projet'!$E$14+1,1))-AVERAGE(OFFSET($H$3,0,0,'Données projet'!$E$14+1,1))</f>
        <v>432.59662347701629</v>
      </c>
      <c r="DU173" s="62">
        <f t="shared" si="152"/>
        <v>348.67401091099748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projet'!$B$14,Paramètres!$A$1:$I$88,3,0)*0.475*44/12</f>
        <v>10.578767603961266</v>
      </c>
      <c r="EB173" s="23">
        <f>EXP(-LN(2)/25)*EB172+(1-EXP(-LN(2)/25))/(LN(2)/25)*Calculateur!DW173*Calculateur!DY173*VLOOKUP('Données projet'!$B$14,Paramètres!$A$1:$I$88,3,0)*0.475*44/12</f>
        <v>5.7341974051152302</v>
      </c>
      <c r="EC173" s="23">
        <f>EXP(-LN(2)/2)*EC172+(1-EXP(-LN(2)/2))/(LN(2)/2)*DW173*DZ173*VLOOKUP('Données projet'!$B$14,Paramètres!$A$1:$I$88,3,0)*0.475*44/12</f>
        <v>0</v>
      </c>
      <c r="ED173" s="24">
        <f t="shared" si="178"/>
        <v>16.312965009076496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1099.9999999999998</v>
      </c>
      <c r="EK173" s="18">
        <f>EJ173*VLOOKUP('Données projet'!$B$15,Paramètres!$A$1:$I$88,3,0)*VLOOKUP('Données projet'!$B$15,Paramètres!$A$1:$I$88,5,0)</f>
        <v>486.19999999999993</v>
      </c>
      <c r="EL173" s="14">
        <f t="shared" si="179"/>
        <v>109.0490179035375</v>
      </c>
      <c r="EM173" s="22">
        <f t="shared" si="180"/>
        <v>1036.725372848661</v>
      </c>
      <c r="EN173" s="62">
        <f t="shared" si="128"/>
        <v>1325.3793580649469</v>
      </c>
      <c r="EO173" s="62">
        <f ca="1">AVERAGE(OFFSET($EN$3,0,0,'Données projet'!$E$15+1,1))-AVERAGE(OFFSET($H$3,0,0,'Données projet'!$E$15+1,1))</f>
        <v>582.26951914082088</v>
      </c>
      <c r="EP173" s="62">
        <f t="shared" si="154"/>
        <v>434.80429932654715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projet'!$B$15,Paramètres!$A$1:$I$88,3,0)*0.475*44/12</f>
        <v>10.65957462981816</v>
      </c>
      <c r="EW173" s="23">
        <f>EXP(-LN(2)/25)*EW172+(1-EXP(-LN(2)/25))/(LN(2)/25)*Calculateur!ER173*Calculateur!ET173*VLOOKUP('Données projet'!$B$15,Paramètres!$A$1:$I$88,3,0)*0.475*44/12</f>
        <v>5.1526227103018822</v>
      </c>
      <c r="EX173" s="23">
        <f>EXP(-LN(2)/2)*EX172+(1-EXP(-LN(2)/2))/(LN(2)/2)*ER173*EU173*VLOOKUP('Données projet'!$B$15,Paramètres!$A$1:$I$88,3,0)*0.475*44/12</f>
        <v>0</v>
      </c>
      <c r="EY173" s="24">
        <f t="shared" si="181"/>
        <v>15.812197340120042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854.99999999999989</v>
      </c>
      <c r="FF173" s="18">
        <f>FE173*VLOOKUP('Données projet'!$B$16,Paramètres!$A$1:$I$88,3,0)*VLOOKUP('Données projet'!$B$16,Paramètres!$A$1:$I$88,5,0)</f>
        <v>400.13999999999993</v>
      </c>
      <c r="FG173" s="14">
        <f t="shared" si="182"/>
        <v>91.805047494648534</v>
      </c>
      <c r="FH173" s="22">
        <f t="shared" si="183"/>
        <v>856.80429105317944</v>
      </c>
      <c r="FI173" s="62">
        <f t="shared" si="131"/>
        <v>1145.4582762694654</v>
      </c>
      <c r="FJ173" s="62">
        <f ca="1">AVERAGE(OFFSET($FI$3,0,0,'Données projet'!$E$16+1,1))-AVERAGE(OFFSET($H$3,0,0,'Données projet'!$E$16+1,1))</f>
        <v>429.87867712133851</v>
      </c>
      <c r="FK173" s="62">
        <f t="shared" si="156"/>
        <v>182.81277865988014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projet'!$B$16,Paramètres!$A$1:$I$88,3,0)*0.475*44/12</f>
        <v>12.71281834256785</v>
      </c>
      <c r="FR173" s="23">
        <f>EXP(-LN(2)/25)*FR172+(1-EXP(-LN(2)/25))/(LN(2)/25)*Calculateur!FM173*Calculateur!FO173*VLOOKUP('Données projet'!$B$16,Paramètres!$A$1:$I$88,3,0)*0.475*44/12</f>
        <v>6.5318314271837616</v>
      </c>
      <c r="FS173" s="23">
        <f>EXP(-LN(2)/2)*FS172+(1-EXP(-LN(2)/2))/(LN(2)/2)*FM173*FP173*VLOOKUP('Données projet'!$B$16,Paramètres!$A$1:$I$88,3,0)*0.475*44/12</f>
        <v>0</v>
      </c>
      <c r="FT173" s="24">
        <f t="shared" si="184"/>
        <v>19.244649769751611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498.99999999999955</v>
      </c>
      <c r="GA173" s="18">
        <f>FZ173*VLOOKUP('Données projet'!$B$17,Paramètres!$A$1:$I$88,3,0)*VLOOKUP('Données projet'!$B$17,Paramètres!$A$1:$I$88,5,0)</f>
        <v>240.01899999999978</v>
      </c>
      <c r="GB173" s="14">
        <f t="shared" si="185"/>
        <v>58.443618405936313</v>
      </c>
      <c r="GC173" s="22">
        <f t="shared" si="186"/>
        <v>519.82239372367201</v>
      </c>
      <c r="GD173" s="62">
        <f t="shared" si="134"/>
        <v>808.47637893995784</v>
      </c>
      <c r="GE173" s="62">
        <f ca="1">AVERAGE(OFFSET($GD$3,0,0,'Données projet'!$E$17+1,1))-AVERAGE(OFFSET($H$3,0,0,'Données projet'!$E$17+1,1))</f>
        <v>273.24375559399846</v>
      </c>
      <c r="GF173" s="62">
        <f t="shared" si="158"/>
        <v>270.77718895097848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projet'!$B$17,Paramètres!$A$1:$I$88,3,0)*0.475*44/12</f>
        <v>5.443362911435611</v>
      </c>
      <c r="GM173" s="23">
        <f>EXP(-LN(2)/25)*GM172+(1-EXP(-LN(2)/25))/(LN(2)/25)*Calculateur!GH173*Calculateur!GJ173*VLOOKUP('Données projet'!$B$17,Paramètres!$A$1:$I$88,3,0)*0.475*44/12</f>
        <v>2.5131058976638192</v>
      </c>
      <c r="GN173" s="23">
        <f>EXP(-LN(2)/2)*GN172+(1-EXP(-LN(2)/2))/(LN(2)/2)*GH173*GK173*VLOOKUP('Données projet'!$B$17,Paramètres!$A$1:$I$88,3,0)*0.475*44/12</f>
        <v>0</v>
      </c>
      <c r="GO173" s="23">
        <f t="shared" si="187"/>
        <v>7.9564688090994302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550.99999999999966</v>
      </c>
      <c r="O174" s="14">
        <f>N174*VLOOKUP('Données projet'!$B$9,Paramètres!$A$1:$I$88,3,0)*VLOOKUP('Données projet'!$B$9,Paramètres!$A$1:$I$88,5,0)</f>
        <v>308.00899999999979</v>
      </c>
      <c r="P174" s="14">
        <f t="shared" si="141"/>
        <v>72.852874331417695</v>
      </c>
      <c r="Q174" s="22">
        <f t="shared" si="162"/>
        <v>663.33443112721886</v>
      </c>
      <c r="R174" s="62">
        <f t="shared" si="109"/>
        <v>952.06959257188032</v>
      </c>
      <c r="S174" s="62">
        <f ca="1">AVERAGE(OFFSET($R$3,0,0,'Données projet'!$E$9+1,1))-AVERAGE(OFFSET($H$3,0,0,'Données projet'!$E$9+1,1))</f>
        <v>289.94242154211224</v>
      </c>
      <c r="T174" s="62">
        <f t="shared" si="142"/>
        <v>369.12599166143661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8.1884774071300548</v>
      </c>
      <c r="AA174" s="23">
        <f>EXP(-LN(2)/25)*AA173+(1-EXP(-LN(2)/25))/(LN(2)/25)*Calculateur!V174*Calculateur!X174*VLOOKUP('Données projet'!$B$9,Paramètres!$A$1:$I$88,3,0)*0.475*44/12</f>
        <v>3.0785234305521141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11.267000837682168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projet'!$B$10,Paramètres!$A$1:$I$88,3,0)*VLOOKUP('Données projet'!$B$10,Paramètres!$A$1:$I$88,5,0)</f>
        <v>1.0286385077051818E-13</v>
      </c>
      <c r="AK174" s="14">
        <f t="shared" si="164"/>
        <v>1.5402366592183556E-12</v>
      </c>
      <c r="AL174" s="22">
        <f t="shared" si="165"/>
        <v>2.8617333882306215E-12</v>
      </c>
      <c r="AM174" s="62">
        <f t="shared" si="113"/>
        <v>288.73516144466436</v>
      </c>
      <c r="AN174" s="62">
        <f ca="1">AVERAGE(OFFSET($AM$3,0,0,'Données projet'!$E$10+1,1))-AVERAGE(OFFSET($H$3,0,0,'Données projet'!$E$10+1,1))</f>
        <v>518.31628039365785</v>
      </c>
      <c r="AO174" s="62">
        <f t="shared" si="144"/>
        <v>66.435071953154761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179.51793248515798</v>
      </c>
      <c r="AV174" s="23">
        <f>EXP(-LN(2)/25)*AV173+(1-EXP(-LN(2)/25))/(LN(2)/25)*Calculateur!AQ174*Calculateur!AS174*VLOOKUP('Données projet'!$B$10,Paramètres!$A$1:$I$88,3,0)*0.475*44/12</f>
        <v>0</v>
      </c>
      <c r="AW174" s="23">
        <f>EXP(-LN(2)/2)*AW173+(1-EXP(-LN(2)/2))/(LN(2)/2)*AQ174*AT174*VLOOKUP('Données projet'!$B$10,Paramètres!$A$1:$I$88,3,0)*0.475*44/12</f>
        <v>0</v>
      </c>
      <c r="AX174" s="23">
        <f t="shared" si="166"/>
        <v>179.51793248515798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projet'!$B$11,Paramètres!$A$1:$I$88,3,0)*VLOOKUP('Données projet'!$B$11,Paramètres!$A$1:$I$88,5,0)</f>
        <v>1.1527845344971866E-13</v>
      </c>
      <c r="BF174" s="14">
        <f t="shared" si="167"/>
        <v>1.7033846239409443E-12</v>
      </c>
      <c r="BG174" s="22">
        <f t="shared" si="168"/>
        <v>3.1675048597887374E-12</v>
      </c>
      <c r="BH174" s="62">
        <f t="shared" si="116"/>
        <v>288.7351614446647</v>
      </c>
      <c r="BI174" s="62">
        <f ca="1">AVERAGE(OFFSET($BH$3,0,0,'Données projet'!$E$11+1,1))-AVERAGE(OFFSET($H$3,0,0,'Données projet'!$E$11+1,1))</f>
        <v>570.2785736203931</v>
      </c>
      <c r="BJ174" s="62">
        <f t="shared" si="146"/>
        <v>67.677759965081719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201.18388985405636</v>
      </c>
      <c r="BQ174" s="23">
        <f>EXP(-LN(2)/25)*BQ173+(1-EXP(-LN(2)/25))/(LN(2)/25)*Calculateur!BL174*Calculateur!BN174*VLOOKUP('Données projet'!$B$11,Paramètres!$A$1:$I$88,3,0)*0.475*44/12</f>
        <v>0</v>
      </c>
      <c r="BR174" s="23">
        <f>EXP(-LN(2)/2)*BR173+(1-EXP(-LN(2)/2))/(LN(2)/2)*BL174*BO174*VLOOKUP('Données projet'!$B$11,Paramètres!$A$1:$I$88,3,0)*0.475*44/12</f>
        <v>0</v>
      </c>
      <c r="BS174" s="24">
        <f t="shared" si="169"/>
        <v>201.18388985405636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544.19999999999982</v>
      </c>
      <c r="BZ174" s="14">
        <f>BY174*VLOOKUP('Données projet'!$B$12,Paramètres!$A$1:$I$88,3,0)*VLOOKUP('Données projet'!$B$12,Paramètres!$A$1:$I$88,5,0)</f>
        <v>325.43159999999995</v>
      </c>
      <c r="CA174" s="14">
        <f t="shared" si="170"/>
        <v>76.482394221016762</v>
      </c>
      <c r="CB174" s="22">
        <f t="shared" si="171"/>
        <v>700.00020660160408</v>
      </c>
      <c r="CC174" s="62">
        <f t="shared" si="119"/>
        <v>988.73536804626565</v>
      </c>
      <c r="CD174" s="62">
        <f ca="1">AVERAGE(OFFSET($CC$3,0,0,'Données projet'!$E$12+1,1))-AVERAGE(OFFSET($H$3,0,0,'Données projet'!$E$12+1,1))</f>
        <v>401.1031790385295</v>
      </c>
      <c r="CE174" s="62">
        <f t="shared" si="148"/>
        <v>402.09589424130615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projet'!$B$12,Paramètres!$A$1:$I$88,3,0)*0.475*44/12</f>
        <v>2.3023534515375372</v>
      </c>
      <c r="CL174" s="23">
        <f>EXP(-LN(2)/25)*CL173+(1-EXP(-LN(2)/25))/(LN(2)/25)*Calculateur!CG174*Calculateur!CI174*VLOOKUP('Données projet'!$B$12,Paramètres!$A$1:$I$88,3,0)*0.475*44/12</f>
        <v>0</v>
      </c>
      <c r="CM174" s="23">
        <f>EXP(-LN(2)/2)*CM173+(1-EXP(-LN(2)/2))/(LN(2)/2)*CG174*CJ174*VLOOKUP('Données projet'!$B$12,Paramètres!$A$1:$I$88,3,0)*0.475*44/12</f>
        <v>8.1475493611423164E-17</v>
      </c>
      <c r="CN174" s="24">
        <f t="shared" si="172"/>
        <v>2.3023534515375372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544.19999999999982</v>
      </c>
      <c r="CU174" s="18">
        <f>CT174*VLOOKUP('Données projet'!$B$13,Paramètres!$A$1:$I$88,3,0)*VLOOKUP('Données projet'!$B$13,Paramètres!$A$1:$I$88,5,0)</f>
        <v>325.43159999999995</v>
      </c>
      <c r="CV174" s="14">
        <f t="shared" si="173"/>
        <v>76.482394221016762</v>
      </c>
      <c r="CW174" s="22">
        <f t="shared" si="174"/>
        <v>700.00020660160408</v>
      </c>
      <c r="CX174" s="62">
        <f t="shared" si="122"/>
        <v>988.73536804626565</v>
      </c>
      <c r="CY174" s="62">
        <f ca="1">AVERAGE(OFFSET($CX$3,0,0,'Données projet'!$E$13+1,1))-AVERAGE(OFFSET($H$3,0,0,'Données projet'!$E$13+1,1))</f>
        <v>401.1031790385295</v>
      </c>
      <c r="CZ174" s="62">
        <f t="shared" si="150"/>
        <v>402.09589424130615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projet'!$B$13,Paramètres!$A$1:$I$88,3,0)*0.475*44/12</f>
        <v>2.3023534515375372</v>
      </c>
      <c r="DG174" s="23">
        <f>EXP(-LN(2)/25)*DG173+(1-EXP(-LN(2)/25))/(LN(2)/25)*Calculateur!DB174*Calculateur!DD174*VLOOKUP('Données projet'!$B$13,Paramètres!$A$1:$I$88,3,0)*0.475*44/12</f>
        <v>0</v>
      </c>
      <c r="DH174" s="23">
        <f>EXP(-LN(2)/2)*DH173+(1-EXP(-LN(2)/2))/(LN(2)/2)*DB174*DE174*VLOOKUP('Données projet'!$B$13,Paramètres!$A$1:$I$88,3,0)*0.475*44/12</f>
        <v>8.1475493611423164E-17</v>
      </c>
      <c r="DI174" s="24">
        <f t="shared" si="175"/>
        <v>2.3023534515375372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860.00000000000023</v>
      </c>
      <c r="DP174" s="18">
        <f>DO174*VLOOKUP('Données projet'!$B$14,Paramètres!$A$1:$I$88,3,0)*VLOOKUP('Données projet'!$B$14,Paramètres!$A$1:$I$88,5,0)</f>
        <v>346.5800000000001</v>
      </c>
      <c r="DQ174" s="14">
        <f t="shared" si="176"/>
        <v>80.857895771535127</v>
      </c>
      <c r="DR174" s="22">
        <f t="shared" si="177"/>
        <v>744.45433513542378</v>
      </c>
      <c r="DS174" s="62">
        <f t="shared" si="125"/>
        <v>1033.1894965800852</v>
      </c>
      <c r="DT174" s="62">
        <f ca="1">AVERAGE(OFFSET($DS$3,0,0,'Données projet'!$E$14+1,1))-AVERAGE(OFFSET($H$3,0,0,'Données projet'!$E$14+1,1))</f>
        <v>432.59662347701629</v>
      </c>
      <c r="DU174" s="62">
        <f t="shared" si="152"/>
        <v>348.67401091099748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projet'!$B$14,Paramètres!$A$1:$I$88,3,0)*0.475*44/12</f>
        <v>10.371324423658701</v>
      </c>
      <c r="EB174" s="23">
        <f>EXP(-LN(2)/25)*EB173+(1-EXP(-LN(2)/25))/(LN(2)/25)*Calculateur!DW174*Calculateur!DY174*VLOOKUP('Données projet'!$B$14,Paramètres!$A$1:$I$88,3,0)*0.475*44/12</f>
        <v>5.5773954755240185</v>
      </c>
      <c r="EC174" s="23">
        <f>EXP(-LN(2)/2)*EC173+(1-EXP(-LN(2)/2))/(LN(2)/2)*DW174*DZ174*VLOOKUP('Données projet'!$B$14,Paramètres!$A$1:$I$88,3,0)*0.475*44/12</f>
        <v>0</v>
      </c>
      <c r="ED174" s="24">
        <f t="shared" si="178"/>
        <v>15.94871989918272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1099.9999999999998</v>
      </c>
      <c r="EK174" s="18">
        <f>EJ174*VLOOKUP('Données projet'!$B$15,Paramètres!$A$1:$I$88,3,0)*VLOOKUP('Données projet'!$B$15,Paramètres!$A$1:$I$88,5,0)</f>
        <v>486.19999999999993</v>
      </c>
      <c r="EL174" s="14">
        <f t="shared" si="179"/>
        <v>109.0490179035375</v>
      </c>
      <c r="EM174" s="22">
        <f t="shared" si="180"/>
        <v>1036.725372848661</v>
      </c>
      <c r="EN174" s="62">
        <f t="shared" si="128"/>
        <v>1325.4605342933226</v>
      </c>
      <c r="EO174" s="62">
        <f ca="1">AVERAGE(OFFSET($EN$3,0,0,'Données projet'!$E$15+1,1))-AVERAGE(OFFSET($H$3,0,0,'Données projet'!$E$15+1,1))</f>
        <v>582.26951914082088</v>
      </c>
      <c r="EP174" s="62">
        <f t="shared" si="154"/>
        <v>434.80429932654715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projet'!$B$15,Paramètres!$A$1:$I$88,3,0)*0.475*44/12</f>
        <v>10.45054687302596</v>
      </c>
      <c r="EW174" s="23">
        <f>EXP(-LN(2)/25)*EW173+(1-EXP(-LN(2)/25))/(LN(2)/25)*Calculateur!ER174*Calculateur!ET174*VLOOKUP('Données projet'!$B$15,Paramètres!$A$1:$I$88,3,0)*0.475*44/12</f>
        <v>5.0117239713240256</v>
      </c>
      <c r="EX174" s="23">
        <f>EXP(-LN(2)/2)*EX173+(1-EXP(-LN(2)/2))/(LN(2)/2)*ER174*EU174*VLOOKUP('Données projet'!$B$15,Paramètres!$A$1:$I$88,3,0)*0.475*44/12</f>
        <v>0</v>
      </c>
      <c r="EY174" s="24">
        <f t="shared" si="181"/>
        <v>15.462270844349986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854.99999999999989</v>
      </c>
      <c r="FF174" s="18">
        <f>FE174*VLOOKUP('Données projet'!$B$16,Paramètres!$A$1:$I$88,3,0)*VLOOKUP('Données projet'!$B$16,Paramètres!$A$1:$I$88,5,0)</f>
        <v>400.13999999999993</v>
      </c>
      <c r="FG174" s="14">
        <f t="shared" si="182"/>
        <v>91.805047494648534</v>
      </c>
      <c r="FH174" s="22">
        <f t="shared" si="183"/>
        <v>856.80429105317944</v>
      </c>
      <c r="FI174" s="62">
        <f t="shared" si="131"/>
        <v>1145.539452497841</v>
      </c>
      <c r="FJ174" s="62">
        <f ca="1">AVERAGE(OFFSET($FI$3,0,0,'Données projet'!$E$16+1,1))-AVERAGE(OFFSET($H$3,0,0,'Données projet'!$E$16+1,1))</f>
        <v>429.87867712133851</v>
      </c>
      <c r="FK174" s="62">
        <f t="shared" si="156"/>
        <v>182.81277865988014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projet'!$B$16,Paramètres!$A$1:$I$88,3,0)*0.475*44/12</f>
        <v>12.463527728923633</v>
      </c>
      <c r="FR174" s="23">
        <f>EXP(-LN(2)/25)*FR173+(1-EXP(-LN(2)/25))/(LN(2)/25)*Calculateur!FM174*Calculateur!FO174*VLOOKUP('Données projet'!$B$16,Paramètres!$A$1:$I$88,3,0)*0.475*44/12</f>
        <v>6.3532181533133354</v>
      </c>
      <c r="FS174" s="23">
        <f>EXP(-LN(2)/2)*FS173+(1-EXP(-LN(2)/2))/(LN(2)/2)*FM174*FP174*VLOOKUP('Données projet'!$B$16,Paramètres!$A$1:$I$88,3,0)*0.475*44/12</f>
        <v>0</v>
      </c>
      <c r="FT174" s="24">
        <f t="shared" si="184"/>
        <v>18.816745882236969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498.99999999999955</v>
      </c>
      <c r="GA174" s="18">
        <f>FZ174*VLOOKUP('Données projet'!$B$17,Paramètres!$A$1:$I$88,3,0)*VLOOKUP('Données projet'!$B$17,Paramètres!$A$1:$I$88,5,0)</f>
        <v>240.01899999999978</v>
      </c>
      <c r="GB174" s="14">
        <f t="shared" si="185"/>
        <v>58.443618405936313</v>
      </c>
      <c r="GC174" s="22">
        <f t="shared" si="186"/>
        <v>519.82239372367201</v>
      </c>
      <c r="GD174" s="62">
        <f t="shared" si="134"/>
        <v>808.55755516833347</v>
      </c>
      <c r="GE174" s="62">
        <f ca="1">AVERAGE(OFFSET($GD$3,0,0,'Données projet'!$E$17+1,1))-AVERAGE(OFFSET($H$3,0,0,'Données projet'!$E$17+1,1))</f>
        <v>273.24375559399846</v>
      </c>
      <c r="GF174" s="62">
        <f t="shared" si="158"/>
        <v>270.77718895097848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projet'!$B$17,Paramètres!$A$1:$I$88,3,0)*0.475*44/12</f>
        <v>5.3366218848658997</v>
      </c>
      <c r="GM174" s="23">
        <f>EXP(-LN(2)/25)*GM173+(1-EXP(-LN(2)/25))/(LN(2)/25)*Calculateur!GH174*Calculateur!GJ174*VLOOKUP('Données projet'!$B$17,Paramètres!$A$1:$I$88,3,0)*0.475*44/12</f>
        <v>2.4443848847337066</v>
      </c>
      <c r="GN174" s="23">
        <f>EXP(-LN(2)/2)*GN173+(1-EXP(-LN(2)/2))/(LN(2)/2)*GH174*GK174*VLOOKUP('Données projet'!$B$17,Paramètres!$A$1:$I$88,3,0)*0.475*44/12</f>
        <v>0</v>
      </c>
      <c r="GO174" s="23">
        <f t="shared" si="187"/>
        <v>7.7810067695996068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550.99999999999966</v>
      </c>
      <c r="O175" s="14">
        <f>N175*VLOOKUP('Données projet'!$B$9,Paramètres!$A$1:$I$88,3,0)*VLOOKUP('Données projet'!$B$9,Paramètres!$A$1:$I$88,5,0)</f>
        <v>308.00899999999979</v>
      </c>
      <c r="P175" s="14">
        <f t="shared" si="141"/>
        <v>72.852874331417695</v>
      </c>
      <c r="Q175" s="22">
        <f t="shared" si="162"/>
        <v>663.33443112721886</v>
      </c>
      <c r="R175" s="62">
        <f t="shared" si="109"/>
        <v>952.14936057417651</v>
      </c>
      <c r="S175" s="62">
        <f ca="1">AVERAGE(OFFSET($R$3,0,0,'Données projet'!$E$9+1,1))-AVERAGE(OFFSET($H$3,0,0,'Données projet'!$E$9+1,1))</f>
        <v>289.94242154211224</v>
      </c>
      <c r="T175" s="62">
        <f t="shared" si="142"/>
        <v>369.12599166143661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8.0279063596542883</v>
      </c>
      <c r="AA175" s="23">
        <f>EXP(-LN(2)/25)*AA174+(1-EXP(-LN(2)/25))/(LN(2)/25)*Calculateur!V175*Calculateur!X175*VLOOKUP('Données projet'!$B$9,Paramètres!$A$1:$I$88,3,0)*0.475*44/12</f>
        <v>2.9943410454511552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11.022247405105443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projet'!$B$10,Paramètres!$A$1:$I$88,3,0)*VLOOKUP('Données projet'!$B$10,Paramètres!$A$1:$I$88,5,0)</f>
        <v>1.0286385077051818E-13</v>
      </c>
      <c r="AK175" s="14">
        <f t="shared" si="164"/>
        <v>1.5402366592183556E-12</v>
      </c>
      <c r="AL175" s="22">
        <f t="shared" si="165"/>
        <v>2.8617333882306215E-12</v>
      </c>
      <c r="AM175" s="62">
        <f t="shared" si="113"/>
        <v>288.81492944696049</v>
      </c>
      <c r="AN175" s="62">
        <f ca="1">AVERAGE(OFFSET($AM$3,0,0,'Données projet'!$E$10+1,1))-AVERAGE(OFFSET($H$3,0,0,'Données projet'!$E$10+1,1))</f>
        <v>518.31628039365785</v>
      </c>
      <c r="AO175" s="62">
        <f t="shared" si="144"/>
        <v>66.435071953154761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175.99769532425111</v>
      </c>
      <c r="AV175" s="23">
        <f>EXP(-LN(2)/25)*AV174+(1-EXP(-LN(2)/25))/(LN(2)/25)*Calculateur!AQ175*Calculateur!AS175*VLOOKUP('Données projet'!$B$10,Paramètres!$A$1:$I$88,3,0)*0.475*44/12</f>
        <v>0</v>
      </c>
      <c r="AW175" s="23">
        <f>EXP(-LN(2)/2)*AW174+(1-EXP(-LN(2)/2))/(LN(2)/2)*AQ175*AT175*VLOOKUP('Données projet'!$B$10,Paramètres!$A$1:$I$88,3,0)*0.475*44/12</f>
        <v>0</v>
      </c>
      <c r="AX175" s="23">
        <f t="shared" si="166"/>
        <v>175.99769532425111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projet'!$B$11,Paramètres!$A$1:$I$88,3,0)*VLOOKUP('Données projet'!$B$11,Paramètres!$A$1:$I$88,5,0)</f>
        <v>1.1527845344971866E-13</v>
      </c>
      <c r="BF175" s="14">
        <f t="shared" si="167"/>
        <v>1.7033846239409443E-12</v>
      </c>
      <c r="BG175" s="22">
        <f t="shared" si="168"/>
        <v>3.1675048597887374E-12</v>
      </c>
      <c r="BH175" s="62">
        <f t="shared" si="116"/>
        <v>288.81492944696083</v>
      </c>
      <c r="BI175" s="62">
        <f ca="1">AVERAGE(OFFSET($BH$3,0,0,'Données projet'!$E$11+1,1))-AVERAGE(OFFSET($H$3,0,0,'Données projet'!$E$11+1,1))</f>
        <v>570.2785736203931</v>
      </c>
      <c r="BJ175" s="62">
        <f t="shared" si="146"/>
        <v>67.677759965081719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197.23879648407453</v>
      </c>
      <c r="BQ175" s="23">
        <f>EXP(-LN(2)/25)*BQ174+(1-EXP(-LN(2)/25))/(LN(2)/25)*Calculateur!BL175*Calculateur!BN175*VLOOKUP('Données projet'!$B$11,Paramètres!$A$1:$I$88,3,0)*0.475*44/12</f>
        <v>0</v>
      </c>
      <c r="BR175" s="23">
        <f>EXP(-LN(2)/2)*BR174+(1-EXP(-LN(2)/2))/(LN(2)/2)*BL175*BO175*VLOOKUP('Données projet'!$B$11,Paramètres!$A$1:$I$88,3,0)*0.475*44/12</f>
        <v>0</v>
      </c>
      <c r="BS175" s="24">
        <f t="shared" si="169"/>
        <v>197.23879648407453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544.19999999999982</v>
      </c>
      <c r="BZ175" s="14">
        <f>BY175*VLOOKUP('Données projet'!$B$12,Paramètres!$A$1:$I$88,3,0)*VLOOKUP('Données projet'!$B$12,Paramètres!$A$1:$I$88,5,0)</f>
        <v>325.43159999999995</v>
      </c>
      <c r="CA175" s="14">
        <f t="shared" si="170"/>
        <v>76.482394221016762</v>
      </c>
      <c r="CB175" s="22">
        <f t="shared" si="171"/>
        <v>700.00020660160408</v>
      </c>
      <c r="CC175" s="62">
        <f t="shared" si="119"/>
        <v>988.81513604856173</v>
      </c>
      <c r="CD175" s="62">
        <f ca="1">AVERAGE(OFFSET($CC$3,0,0,'Données projet'!$E$12+1,1))-AVERAGE(OFFSET($H$3,0,0,'Données projet'!$E$12+1,1))</f>
        <v>401.1031790385295</v>
      </c>
      <c r="CE175" s="62">
        <f t="shared" si="148"/>
        <v>402.09589424130615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projet'!$B$12,Paramètres!$A$1:$I$88,3,0)*0.475*44/12</f>
        <v>2.2572057046498286</v>
      </c>
      <c r="CL175" s="23">
        <f>EXP(-LN(2)/25)*CL174+(1-EXP(-LN(2)/25))/(LN(2)/25)*Calculateur!CG175*Calculateur!CI175*VLOOKUP('Données projet'!$B$12,Paramètres!$A$1:$I$88,3,0)*0.475*44/12</f>
        <v>0</v>
      </c>
      <c r="CM175" s="23">
        <f>EXP(-LN(2)/2)*CM174+(1-EXP(-LN(2)/2))/(LN(2)/2)*CG175*CJ175*VLOOKUP('Données projet'!$B$12,Paramètres!$A$1:$I$88,3,0)*0.475*44/12</f>
        <v>5.7611874033158549E-17</v>
      </c>
      <c r="CN175" s="24">
        <f t="shared" si="172"/>
        <v>2.2572057046498286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544.19999999999982</v>
      </c>
      <c r="CU175" s="18">
        <f>CT175*VLOOKUP('Données projet'!$B$13,Paramètres!$A$1:$I$88,3,0)*VLOOKUP('Données projet'!$B$13,Paramètres!$A$1:$I$88,5,0)</f>
        <v>325.43159999999995</v>
      </c>
      <c r="CV175" s="14">
        <f t="shared" si="173"/>
        <v>76.482394221016762</v>
      </c>
      <c r="CW175" s="22">
        <f t="shared" si="174"/>
        <v>700.00020660160408</v>
      </c>
      <c r="CX175" s="62">
        <f t="shared" si="122"/>
        <v>988.81513604856173</v>
      </c>
      <c r="CY175" s="62">
        <f ca="1">AVERAGE(OFFSET($CX$3,0,0,'Données projet'!$E$13+1,1))-AVERAGE(OFFSET($H$3,0,0,'Données projet'!$E$13+1,1))</f>
        <v>401.1031790385295</v>
      </c>
      <c r="CZ175" s="62">
        <f t="shared" si="150"/>
        <v>402.09589424130615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projet'!$B$13,Paramètres!$A$1:$I$88,3,0)*0.475*44/12</f>
        <v>2.2572057046498286</v>
      </c>
      <c r="DG175" s="23">
        <f>EXP(-LN(2)/25)*DG174+(1-EXP(-LN(2)/25))/(LN(2)/25)*Calculateur!DB175*Calculateur!DD175*VLOOKUP('Données projet'!$B$13,Paramètres!$A$1:$I$88,3,0)*0.475*44/12</f>
        <v>0</v>
      </c>
      <c r="DH175" s="23">
        <f>EXP(-LN(2)/2)*DH174+(1-EXP(-LN(2)/2))/(LN(2)/2)*DB175*DE175*VLOOKUP('Données projet'!$B$13,Paramètres!$A$1:$I$88,3,0)*0.475*44/12</f>
        <v>5.7611874033158549E-17</v>
      </c>
      <c r="DI175" s="24">
        <f t="shared" si="175"/>
        <v>2.2572057046498286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860.00000000000023</v>
      </c>
      <c r="DP175" s="18">
        <f>DO175*VLOOKUP('Données projet'!$B$14,Paramètres!$A$1:$I$88,3,0)*VLOOKUP('Données projet'!$B$14,Paramètres!$A$1:$I$88,5,0)</f>
        <v>346.5800000000001</v>
      </c>
      <c r="DQ175" s="14">
        <f t="shared" si="176"/>
        <v>80.857895771535127</v>
      </c>
      <c r="DR175" s="22">
        <f t="shared" si="177"/>
        <v>744.45433513542378</v>
      </c>
      <c r="DS175" s="62">
        <f t="shared" si="125"/>
        <v>1033.2692645823813</v>
      </c>
      <c r="DT175" s="62">
        <f ca="1">AVERAGE(OFFSET($DS$3,0,0,'Données projet'!$E$14+1,1))-AVERAGE(OFFSET($H$3,0,0,'Données projet'!$E$14+1,1))</f>
        <v>432.59662347701629</v>
      </c>
      <c r="DU175" s="62">
        <f t="shared" si="152"/>
        <v>348.67401091099748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projet'!$B$14,Paramètres!$A$1:$I$88,3,0)*0.475*44/12</f>
        <v>10.167949077594022</v>
      </c>
      <c r="EB175" s="23">
        <f>EXP(-LN(2)/25)*EB174+(1-EXP(-LN(2)/25))/(LN(2)/25)*Calculateur!DW175*Calculateur!DY175*VLOOKUP('Données projet'!$B$14,Paramètres!$A$1:$I$88,3,0)*0.475*44/12</f>
        <v>5.4248813029433336</v>
      </c>
      <c r="EC175" s="23">
        <f>EXP(-LN(2)/2)*EC174+(1-EXP(-LN(2)/2))/(LN(2)/2)*DW175*DZ175*VLOOKUP('Données projet'!$B$14,Paramètres!$A$1:$I$88,3,0)*0.475*44/12</f>
        <v>0</v>
      </c>
      <c r="ED175" s="24">
        <f t="shared" si="178"/>
        <v>15.592830380537356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1099.9999999999998</v>
      </c>
      <c r="EK175" s="18">
        <f>EJ175*VLOOKUP('Données projet'!$B$15,Paramètres!$A$1:$I$88,3,0)*VLOOKUP('Données projet'!$B$15,Paramètres!$A$1:$I$88,5,0)</f>
        <v>486.19999999999993</v>
      </c>
      <c r="EL175" s="14">
        <f t="shared" si="179"/>
        <v>109.0490179035375</v>
      </c>
      <c r="EM175" s="22">
        <f t="shared" si="180"/>
        <v>1036.725372848661</v>
      </c>
      <c r="EN175" s="62">
        <f t="shared" si="128"/>
        <v>1325.5403022956186</v>
      </c>
      <c r="EO175" s="62">
        <f ca="1">AVERAGE(OFFSET($EN$3,0,0,'Données projet'!$E$15+1,1))-AVERAGE(OFFSET($H$3,0,0,'Données projet'!$E$15+1,1))</f>
        <v>582.26951914082088</v>
      </c>
      <c r="EP175" s="62">
        <f t="shared" si="154"/>
        <v>434.80429932654715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projet'!$B$15,Paramètres!$A$1:$I$88,3,0)*0.475*44/12</f>
        <v>10.245618023050113</v>
      </c>
      <c r="EW175" s="23">
        <f>EXP(-LN(2)/25)*EW174+(1-EXP(-LN(2)/25))/(LN(2)/25)*Calculateur!ER175*Calculateur!ET175*VLOOKUP('Données projet'!$B$15,Paramètres!$A$1:$I$88,3,0)*0.475*44/12</f>
        <v>4.8746781157730608</v>
      </c>
      <c r="EX175" s="23">
        <f>EXP(-LN(2)/2)*EX174+(1-EXP(-LN(2)/2))/(LN(2)/2)*ER175*EU175*VLOOKUP('Données projet'!$B$15,Paramètres!$A$1:$I$88,3,0)*0.475*44/12</f>
        <v>0</v>
      </c>
      <c r="EY175" s="24">
        <f t="shared" si="181"/>
        <v>15.120296138823175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854.99999999999989</v>
      </c>
      <c r="FF175" s="18">
        <f>FE175*VLOOKUP('Données projet'!$B$16,Paramètres!$A$1:$I$88,3,0)*VLOOKUP('Données projet'!$B$16,Paramètres!$A$1:$I$88,5,0)</f>
        <v>400.13999999999993</v>
      </c>
      <c r="FG175" s="14">
        <f t="shared" si="182"/>
        <v>91.805047494648534</v>
      </c>
      <c r="FH175" s="22">
        <f t="shared" si="183"/>
        <v>856.80429105317944</v>
      </c>
      <c r="FI175" s="62">
        <f t="shared" si="131"/>
        <v>1145.6192205001371</v>
      </c>
      <c r="FJ175" s="62">
        <f ca="1">AVERAGE(OFFSET($FI$3,0,0,'Données projet'!$E$16+1,1))-AVERAGE(OFFSET($H$3,0,0,'Données projet'!$E$16+1,1))</f>
        <v>429.87867712133851</v>
      </c>
      <c r="FK175" s="62">
        <f t="shared" si="156"/>
        <v>182.81277865988014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projet'!$B$16,Paramètres!$A$1:$I$88,3,0)*0.475*44/12</f>
        <v>12.219125552160721</v>
      </c>
      <c r="FR175" s="23">
        <f>EXP(-LN(2)/25)*FR174+(1-EXP(-LN(2)/25))/(LN(2)/25)*Calculateur!FM175*Calculateur!FO175*VLOOKUP('Données projet'!$B$16,Paramètres!$A$1:$I$88,3,0)*0.475*44/12</f>
        <v>6.1794890688097599</v>
      </c>
      <c r="FS175" s="23">
        <f>EXP(-LN(2)/2)*FS174+(1-EXP(-LN(2)/2))/(LN(2)/2)*FM175*FP175*VLOOKUP('Données projet'!$B$16,Paramètres!$A$1:$I$88,3,0)*0.475*44/12</f>
        <v>0</v>
      </c>
      <c r="FT175" s="24">
        <f t="shared" si="184"/>
        <v>18.398614620970481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498.99999999999955</v>
      </c>
      <c r="GA175" s="18">
        <f>FZ175*VLOOKUP('Données projet'!$B$17,Paramètres!$A$1:$I$88,3,0)*VLOOKUP('Données projet'!$B$17,Paramètres!$A$1:$I$88,5,0)</f>
        <v>240.01899999999978</v>
      </c>
      <c r="GB175" s="14">
        <f t="shared" si="185"/>
        <v>58.443618405936313</v>
      </c>
      <c r="GC175" s="22">
        <f t="shared" si="186"/>
        <v>519.82239372367201</v>
      </c>
      <c r="GD175" s="62">
        <f t="shared" si="134"/>
        <v>808.63732317062966</v>
      </c>
      <c r="GE175" s="62">
        <f ca="1">AVERAGE(OFFSET($GD$3,0,0,'Données projet'!$E$17+1,1))-AVERAGE(OFFSET($H$3,0,0,'Données projet'!$E$17+1,1))</f>
        <v>273.24375559399846</v>
      </c>
      <c r="GF175" s="62">
        <f t="shared" si="158"/>
        <v>270.77718895097848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projet'!$B$17,Paramètres!$A$1:$I$88,3,0)*0.475*44/12</f>
        <v>5.2319739847216225</v>
      </c>
      <c r="GM175" s="23">
        <f>EXP(-LN(2)/25)*GM174+(1-EXP(-LN(2)/25))/(LN(2)/25)*Calculateur!GH175*Calculateur!GJ175*VLOOKUP('Données projet'!$B$17,Paramètres!$A$1:$I$88,3,0)*0.475*44/12</f>
        <v>2.3775430515160489</v>
      </c>
      <c r="GN175" s="23">
        <f>EXP(-LN(2)/2)*GN174+(1-EXP(-LN(2)/2))/(LN(2)/2)*GH175*GK175*VLOOKUP('Données projet'!$B$17,Paramètres!$A$1:$I$88,3,0)*0.475*44/12</f>
        <v>0</v>
      </c>
      <c r="GO175" s="23">
        <f t="shared" si="187"/>
        <v>7.609517036237671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550.99999999999966</v>
      </c>
      <c r="O176" s="14">
        <f>N176*VLOOKUP('Données projet'!$B$9,Paramètres!$A$1:$I$88,3,0)*VLOOKUP('Données projet'!$B$9,Paramètres!$A$1:$I$88,5,0)</f>
        <v>308.00899999999979</v>
      </c>
      <c r="P176" s="14">
        <f t="shared" si="141"/>
        <v>72.852874331417695</v>
      </c>
      <c r="Q176" s="22">
        <f t="shared" si="162"/>
        <v>663.33443112721886</v>
      </c>
      <c r="R176" s="62">
        <f t="shared" si="109"/>
        <v>952.22774477996734</v>
      </c>
      <c r="S176" s="62">
        <f ca="1">AVERAGE(OFFSET($R$3,0,0,'Données projet'!$E$9+1,1))-AVERAGE(OFFSET($H$3,0,0,'Données projet'!$E$9+1,1))</f>
        <v>289.94242154211224</v>
      </c>
      <c r="T176" s="62">
        <f t="shared" si="142"/>
        <v>369.12599166143661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7.8704840124808539</v>
      </c>
      <c r="AA176" s="23">
        <f>EXP(-LN(2)/25)*AA175+(1-EXP(-LN(2)/25))/(LN(2)/25)*Calculateur!V176*Calculateur!X176*VLOOKUP('Données projet'!$B$9,Paramètres!$A$1:$I$88,3,0)*0.475*44/12</f>
        <v>2.9124606320977415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10.782944644578595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projet'!$B$10,Paramètres!$A$1:$I$88,3,0)*VLOOKUP('Données projet'!$B$10,Paramètres!$A$1:$I$88,5,0)</f>
        <v>1.0286385077051818E-13</v>
      </c>
      <c r="AK176" s="14">
        <f t="shared" si="164"/>
        <v>1.5402366592183556E-12</v>
      </c>
      <c r="AL176" s="22">
        <f t="shared" si="165"/>
        <v>2.8617333882306215E-12</v>
      </c>
      <c r="AM176" s="62">
        <f t="shared" si="113"/>
        <v>288.89331365275132</v>
      </c>
      <c r="AN176" s="62">
        <f ca="1">AVERAGE(OFFSET($AM$3,0,0,'Données projet'!$E$10+1,1))-AVERAGE(OFFSET($H$3,0,0,'Données projet'!$E$10+1,1))</f>
        <v>518.31628039365785</v>
      </c>
      <c r="AO176" s="62">
        <f t="shared" si="144"/>
        <v>66.435071953154761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172.54648786693696</v>
      </c>
      <c r="AV176" s="23">
        <f>EXP(-LN(2)/25)*AV175+(1-EXP(-LN(2)/25))/(LN(2)/25)*Calculateur!AQ176*Calculateur!AS176*VLOOKUP('Données projet'!$B$10,Paramètres!$A$1:$I$88,3,0)*0.475*44/12</f>
        <v>0</v>
      </c>
      <c r="AW176" s="23">
        <f>EXP(-LN(2)/2)*AW175+(1-EXP(-LN(2)/2))/(LN(2)/2)*AQ176*AT176*VLOOKUP('Données projet'!$B$10,Paramètres!$A$1:$I$88,3,0)*0.475*44/12</f>
        <v>0</v>
      </c>
      <c r="AX176" s="23">
        <f t="shared" si="166"/>
        <v>172.54648786693696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projet'!$B$11,Paramètres!$A$1:$I$88,3,0)*VLOOKUP('Données projet'!$B$11,Paramètres!$A$1:$I$88,5,0)</f>
        <v>1.1527845344971866E-13</v>
      </c>
      <c r="BF176" s="14">
        <f t="shared" si="167"/>
        <v>1.7033846239409443E-12</v>
      </c>
      <c r="BG176" s="22">
        <f t="shared" si="168"/>
        <v>3.1675048597887374E-12</v>
      </c>
      <c r="BH176" s="62">
        <f t="shared" si="116"/>
        <v>288.89331365275166</v>
      </c>
      <c r="BI176" s="62">
        <f ca="1">AVERAGE(OFFSET($BH$3,0,0,'Données projet'!$E$11+1,1))-AVERAGE(OFFSET($H$3,0,0,'Données projet'!$E$11+1,1))</f>
        <v>570.2785736203931</v>
      </c>
      <c r="BJ176" s="62">
        <f t="shared" si="146"/>
        <v>67.677759965081719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193.37106398880866</v>
      </c>
      <c r="BQ176" s="23">
        <f>EXP(-LN(2)/25)*BQ175+(1-EXP(-LN(2)/25))/(LN(2)/25)*Calculateur!BL176*Calculateur!BN176*VLOOKUP('Données projet'!$B$11,Paramètres!$A$1:$I$88,3,0)*0.475*44/12</f>
        <v>0</v>
      </c>
      <c r="BR176" s="23">
        <f>EXP(-LN(2)/2)*BR175+(1-EXP(-LN(2)/2))/(LN(2)/2)*BL176*BO176*VLOOKUP('Données projet'!$B$11,Paramètres!$A$1:$I$88,3,0)*0.475*44/12</f>
        <v>0</v>
      </c>
      <c r="BS176" s="24">
        <f t="shared" si="169"/>
        <v>193.37106398880866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544.19999999999982</v>
      </c>
      <c r="BZ176" s="14">
        <f>BY176*VLOOKUP('Données projet'!$B$12,Paramètres!$A$1:$I$88,3,0)*VLOOKUP('Données projet'!$B$12,Paramètres!$A$1:$I$88,5,0)</f>
        <v>325.43159999999995</v>
      </c>
      <c r="CA176" s="14">
        <f t="shared" si="170"/>
        <v>76.482394221016762</v>
      </c>
      <c r="CB176" s="22">
        <f t="shared" si="171"/>
        <v>700.00020660160408</v>
      </c>
      <c r="CC176" s="62">
        <f t="shared" si="119"/>
        <v>988.89352025435255</v>
      </c>
      <c r="CD176" s="62">
        <f ca="1">AVERAGE(OFFSET($CC$3,0,0,'Données projet'!$E$12+1,1))-AVERAGE(OFFSET($H$3,0,0,'Données projet'!$E$12+1,1))</f>
        <v>401.1031790385295</v>
      </c>
      <c r="CE176" s="62">
        <f t="shared" si="148"/>
        <v>402.09589424130615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projet'!$B$12,Paramètres!$A$1:$I$88,3,0)*0.475*44/12</f>
        <v>2.2129432775411817</v>
      </c>
      <c r="CL176" s="23">
        <f>EXP(-LN(2)/25)*CL175+(1-EXP(-LN(2)/25))/(LN(2)/25)*Calculateur!CG176*Calculateur!CI176*VLOOKUP('Données projet'!$B$12,Paramètres!$A$1:$I$88,3,0)*0.475*44/12</f>
        <v>0</v>
      </c>
      <c r="CM176" s="23">
        <f>EXP(-LN(2)/2)*CM175+(1-EXP(-LN(2)/2))/(LN(2)/2)*CG176*CJ176*VLOOKUP('Données projet'!$B$12,Paramètres!$A$1:$I$88,3,0)*0.475*44/12</f>
        <v>4.0737746805711582E-17</v>
      </c>
      <c r="CN176" s="24">
        <f t="shared" si="172"/>
        <v>2.2129432775411817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544.19999999999982</v>
      </c>
      <c r="CU176" s="18">
        <f>CT176*VLOOKUP('Données projet'!$B$13,Paramètres!$A$1:$I$88,3,0)*VLOOKUP('Données projet'!$B$13,Paramètres!$A$1:$I$88,5,0)</f>
        <v>325.43159999999995</v>
      </c>
      <c r="CV176" s="14">
        <f t="shared" si="173"/>
        <v>76.482394221016762</v>
      </c>
      <c r="CW176" s="22">
        <f t="shared" si="174"/>
        <v>700.00020660160408</v>
      </c>
      <c r="CX176" s="62">
        <f t="shared" si="122"/>
        <v>988.89352025435255</v>
      </c>
      <c r="CY176" s="62">
        <f ca="1">AVERAGE(OFFSET($CX$3,0,0,'Données projet'!$E$13+1,1))-AVERAGE(OFFSET($H$3,0,0,'Données projet'!$E$13+1,1))</f>
        <v>401.1031790385295</v>
      </c>
      <c r="CZ176" s="62">
        <f t="shared" si="150"/>
        <v>402.09589424130615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projet'!$B$13,Paramètres!$A$1:$I$88,3,0)*0.475*44/12</f>
        <v>2.2129432775411817</v>
      </c>
      <c r="DG176" s="23">
        <f>EXP(-LN(2)/25)*DG175+(1-EXP(-LN(2)/25))/(LN(2)/25)*Calculateur!DB176*Calculateur!DD176*VLOOKUP('Données projet'!$B$13,Paramètres!$A$1:$I$88,3,0)*0.475*44/12</f>
        <v>0</v>
      </c>
      <c r="DH176" s="23">
        <f>EXP(-LN(2)/2)*DH175+(1-EXP(-LN(2)/2))/(LN(2)/2)*DB176*DE176*VLOOKUP('Données projet'!$B$13,Paramètres!$A$1:$I$88,3,0)*0.475*44/12</f>
        <v>4.0737746805711582E-17</v>
      </c>
      <c r="DI176" s="24">
        <f t="shared" si="175"/>
        <v>2.2129432775411817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860.00000000000023</v>
      </c>
      <c r="DP176" s="18">
        <f>DO176*VLOOKUP('Données projet'!$B$14,Paramètres!$A$1:$I$88,3,0)*VLOOKUP('Données projet'!$B$14,Paramètres!$A$1:$I$88,5,0)</f>
        <v>346.5800000000001</v>
      </c>
      <c r="DQ176" s="14">
        <f t="shared" si="176"/>
        <v>80.857895771535127</v>
      </c>
      <c r="DR176" s="22">
        <f t="shared" si="177"/>
        <v>744.45433513542378</v>
      </c>
      <c r="DS176" s="62">
        <f t="shared" si="125"/>
        <v>1033.3476487881721</v>
      </c>
      <c r="DT176" s="62">
        <f ca="1">AVERAGE(OFFSET($DS$3,0,0,'Données projet'!$E$14+1,1))-AVERAGE(OFFSET($H$3,0,0,'Données projet'!$E$14+1,1))</f>
        <v>432.59662347701629</v>
      </c>
      <c r="DU176" s="62">
        <f t="shared" si="152"/>
        <v>348.67401091099748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projet'!$B$14,Paramètres!$A$1:$I$88,3,0)*0.475*44/12</f>
        <v>9.9685617980189605</v>
      </c>
      <c r="EB176" s="23">
        <f>EXP(-LN(2)/25)*EB175+(1-EXP(-LN(2)/25))/(LN(2)/25)*Calculateur!DW176*Calculateur!DY176*VLOOKUP('Données projet'!$B$14,Paramètres!$A$1:$I$88,3,0)*0.475*44/12</f>
        <v>5.2765376384322389</v>
      </c>
      <c r="EC176" s="23">
        <f>EXP(-LN(2)/2)*EC175+(1-EXP(-LN(2)/2))/(LN(2)/2)*DW176*DZ176*VLOOKUP('Données projet'!$B$14,Paramètres!$A$1:$I$88,3,0)*0.475*44/12</f>
        <v>0</v>
      </c>
      <c r="ED176" s="24">
        <f t="shared" si="178"/>
        <v>15.245099436451198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1099.9999999999998</v>
      </c>
      <c r="EK176" s="18">
        <f>EJ176*VLOOKUP('Données projet'!$B$15,Paramètres!$A$1:$I$88,3,0)*VLOOKUP('Données projet'!$B$15,Paramètres!$A$1:$I$88,5,0)</f>
        <v>486.19999999999993</v>
      </c>
      <c r="EL176" s="14">
        <f t="shared" si="179"/>
        <v>109.0490179035375</v>
      </c>
      <c r="EM176" s="22">
        <f t="shared" si="180"/>
        <v>1036.725372848661</v>
      </c>
      <c r="EN176" s="62">
        <f t="shared" si="128"/>
        <v>1325.6186865014095</v>
      </c>
      <c r="EO176" s="62">
        <f ca="1">AVERAGE(OFFSET($EN$3,0,0,'Données projet'!$E$15+1,1))-AVERAGE(OFFSET($H$3,0,0,'Données projet'!$E$15+1,1))</f>
        <v>582.26951914082088</v>
      </c>
      <c r="EP176" s="62">
        <f t="shared" si="154"/>
        <v>434.80429932654715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projet'!$B$15,Paramètres!$A$1:$I$88,3,0)*0.475*44/12</f>
        <v>10.044707702828036</v>
      </c>
      <c r="EW176" s="23">
        <f>EXP(-LN(2)/25)*EW175+(1-EXP(-LN(2)/25))/(LN(2)/25)*Calculateur!ER176*Calculateur!ET176*VLOOKUP('Données projet'!$B$15,Paramètres!$A$1:$I$88,3,0)*0.475*44/12</f>
        <v>4.7413797863490652</v>
      </c>
      <c r="EX176" s="23">
        <f>EXP(-LN(2)/2)*EX175+(1-EXP(-LN(2)/2))/(LN(2)/2)*ER176*EU176*VLOOKUP('Données projet'!$B$15,Paramètres!$A$1:$I$88,3,0)*0.475*44/12</f>
        <v>0</v>
      </c>
      <c r="EY176" s="24">
        <f t="shared" si="181"/>
        <v>14.786087489177103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854.99999999999989</v>
      </c>
      <c r="FF176" s="18">
        <f>FE176*VLOOKUP('Données projet'!$B$16,Paramètres!$A$1:$I$88,3,0)*VLOOKUP('Données projet'!$B$16,Paramètres!$A$1:$I$88,5,0)</f>
        <v>400.13999999999993</v>
      </c>
      <c r="FG176" s="14">
        <f t="shared" si="182"/>
        <v>91.805047494648534</v>
      </c>
      <c r="FH176" s="22">
        <f t="shared" si="183"/>
        <v>856.80429105317944</v>
      </c>
      <c r="FI176" s="62">
        <f t="shared" si="131"/>
        <v>1145.6976047059279</v>
      </c>
      <c r="FJ176" s="62">
        <f ca="1">AVERAGE(OFFSET($FI$3,0,0,'Données projet'!$E$16+1,1))-AVERAGE(OFFSET($H$3,0,0,'Données projet'!$E$16+1,1))</f>
        <v>429.87867712133851</v>
      </c>
      <c r="FK176" s="62">
        <f t="shared" si="156"/>
        <v>182.81277865988014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projet'!$B$16,Paramètres!$A$1:$I$88,3,0)*0.475*44/12</f>
        <v>11.97951595301352</v>
      </c>
      <c r="FR176" s="23">
        <f>EXP(-LN(2)/25)*FR175+(1-EXP(-LN(2)/25))/(LN(2)/25)*Calculateur!FM176*Calculateur!FO176*VLOOKUP('Données projet'!$B$16,Paramètres!$A$1:$I$88,3,0)*0.475*44/12</f>
        <v>6.0105106152579504</v>
      </c>
      <c r="FS176" s="23">
        <f>EXP(-LN(2)/2)*FS175+(1-EXP(-LN(2)/2))/(LN(2)/2)*FM176*FP176*VLOOKUP('Données projet'!$B$16,Paramètres!$A$1:$I$88,3,0)*0.475*44/12</f>
        <v>0</v>
      </c>
      <c r="FT176" s="24">
        <f t="shared" si="184"/>
        <v>17.990026568271471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498.99999999999955</v>
      </c>
      <c r="GA176" s="18">
        <f>FZ176*VLOOKUP('Données projet'!$B$17,Paramètres!$A$1:$I$88,3,0)*VLOOKUP('Données projet'!$B$17,Paramètres!$A$1:$I$88,5,0)</f>
        <v>240.01899999999978</v>
      </c>
      <c r="GB176" s="14">
        <f t="shared" si="185"/>
        <v>58.443618405936313</v>
      </c>
      <c r="GC176" s="22">
        <f t="shared" si="186"/>
        <v>519.82239372367201</v>
      </c>
      <c r="GD176" s="62">
        <f t="shared" si="134"/>
        <v>808.71570737642048</v>
      </c>
      <c r="GE176" s="62">
        <f ca="1">AVERAGE(OFFSET($GD$3,0,0,'Données projet'!$E$17+1,1))-AVERAGE(OFFSET($H$3,0,0,'Données projet'!$E$17+1,1))</f>
        <v>273.24375559399846</v>
      </c>
      <c r="GF176" s="62">
        <f t="shared" si="158"/>
        <v>270.77718895097848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projet'!$B$17,Paramètres!$A$1:$I$88,3,0)*0.475*44/12</f>
        <v>5.129378166070258</v>
      </c>
      <c r="GM176" s="23">
        <f>EXP(-LN(2)/25)*GM175+(1-EXP(-LN(2)/25))/(LN(2)/25)*Calculateur!GH176*Calculateur!GJ176*VLOOKUP('Données projet'!$B$17,Paramètres!$A$1:$I$88,3,0)*0.475*44/12</f>
        <v>2.3125290117427872</v>
      </c>
      <c r="GN176" s="23">
        <f>EXP(-LN(2)/2)*GN175+(1-EXP(-LN(2)/2))/(LN(2)/2)*GH176*GK176*VLOOKUP('Données projet'!$B$17,Paramètres!$A$1:$I$88,3,0)*0.475*44/12</f>
        <v>0</v>
      </c>
      <c r="GO176" s="23">
        <f t="shared" si="187"/>
        <v>7.4419071778130448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550.99999999999966</v>
      </c>
      <c r="O177" s="14">
        <f>N177*VLOOKUP('Données projet'!$B$9,Paramètres!$A$1:$I$88,3,0)*VLOOKUP('Données projet'!$B$9,Paramètres!$A$1:$I$88,5,0)</f>
        <v>308.00899999999979</v>
      </c>
      <c r="P177" s="14">
        <f t="shared" si="141"/>
        <v>72.852874331417695</v>
      </c>
      <c r="Q177" s="22">
        <f t="shared" si="162"/>
        <v>663.33443112721886</v>
      </c>
      <c r="R177" s="62">
        <f t="shared" si="109"/>
        <v>952.3047691950286</v>
      </c>
      <c r="S177" s="62">
        <f ca="1">AVERAGE(OFFSET($R$3,0,0,'Données projet'!$E$9+1,1))-AVERAGE(OFFSET($H$3,0,0,'Données projet'!$E$9+1,1))</f>
        <v>289.94242154211224</v>
      </c>
      <c r="T177" s="62">
        <f t="shared" si="142"/>
        <v>369.12599166143661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7.7161486215173403</v>
      </c>
      <c r="AA177" s="23">
        <f>EXP(-LN(2)/25)*AA176+(1-EXP(-LN(2)/25))/(LN(2)/25)*Calculateur!V177*Calculateur!X177*VLOOKUP('Données projet'!$B$9,Paramètres!$A$1:$I$88,3,0)*0.475*44/12</f>
        <v>2.8328192429533807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10.548967864470722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projet'!$B$10,Paramètres!$A$1:$I$88,3,0)*VLOOKUP('Données projet'!$B$10,Paramètres!$A$1:$I$88,5,0)</f>
        <v>1.0286385077051818E-13</v>
      </c>
      <c r="AK177" s="14">
        <f t="shared" si="164"/>
        <v>1.5402366592183556E-12</v>
      </c>
      <c r="AL177" s="22">
        <f t="shared" si="165"/>
        <v>2.8617333882306215E-12</v>
      </c>
      <c r="AM177" s="62">
        <f t="shared" si="113"/>
        <v>288.97033806781258</v>
      </c>
      <c r="AN177" s="62">
        <f ca="1">AVERAGE(OFFSET($AM$3,0,0,'Données projet'!$E$10+1,1))-AVERAGE(OFFSET($H$3,0,0,'Données projet'!$E$10+1,1))</f>
        <v>518.31628039365785</v>
      </c>
      <c r="AO177" s="62">
        <f t="shared" si="144"/>
        <v>66.435071953154761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169.16295648283204</v>
      </c>
      <c r="AV177" s="23">
        <f>EXP(-LN(2)/25)*AV176+(1-EXP(-LN(2)/25))/(LN(2)/25)*Calculateur!AQ177*Calculateur!AS177*VLOOKUP('Données projet'!$B$10,Paramètres!$A$1:$I$88,3,0)*0.475*44/12</f>
        <v>0</v>
      </c>
      <c r="AW177" s="23">
        <f>EXP(-LN(2)/2)*AW176+(1-EXP(-LN(2)/2))/(LN(2)/2)*AQ177*AT177*VLOOKUP('Données projet'!$B$10,Paramètres!$A$1:$I$88,3,0)*0.475*44/12</f>
        <v>0</v>
      </c>
      <c r="AX177" s="23">
        <f t="shared" si="166"/>
        <v>169.16295648283204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projet'!$B$11,Paramètres!$A$1:$I$88,3,0)*VLOOKUP('Données projet'!$B$11,Paramètres!$A$1:$I$88,5,0)</f>
        <v>1.1527845344971866E-13</v>
      </c>
      <c r="BF177" s="14">
        <f t="shared" si="167"/>
        <v>1.7033846239409443E-12</v>
      </c>
      <c r="BG177" s="22">
        <f t="shared" si="168"/>
        <v>3.1675048597887374E-12</v>
      </c>
      <c r="BH177" s="62">
        <f t="shared" si="116"/>
        <v>288.97033806781292</v>
      </c>
      <c r="BI177" s="62">
        <f ca="1">AVERAGE(OFFSET($BH$3,0,0,'Données projet'!$E$11+1,1))-AVERAGE(OFFSET($H$3,0,0,'Données projet'!$E$11+1,1))</f>
        <v>570.2785736203931</v>
      </c>
      <c r="BJ177" s="62">
        <f t="shared" si="146"/>
        <v>67.677759965081719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189.57917536869107</v>
      </c>
      <c r="BQ177" s="23">
        <f>EXP(-LN(2)/25)*BQ176+(1-EXP(-LN(2)/25))/(LN(2)/25)*Calculateur!BL177*Calculateur!BN177*VLOOKUP('Données projet'!$B$11,Paramètres!$A$1:$I$88,3,0)*0.475*44/12</f>
        <v>0</v>
      </c>
      <c r="BR177" s="23">
        <f>EXP(-LN(2)/2)*BR176+(1-EXP(-LN(2)/2))/(LN(2)/2)*BL177*BO177*VLOOKUP('Données projet'!$B$11,Paramètres!$A$1:$I$88,3,0)*0.475*44/12</f>
        <v>0</v>
      </c>
      <c r="BS177" s="24">
        <f t="shared" si="169"/>
        <v>189.57917536869107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544.19999999999982</v>
      </c>
      <c r="BZ177" s="14">
        <f>BY177*VLOOKUP('Données projet'!$B$12,Paramètres!$A$1:$I$88,3,0)*VLOOKUP('Données projet'!$B$12,Paramètres!$A$1:$I$88,5,0)</f>
        <v>325.43159999999995</v>
      </c>
      <c r="CA177" s="14">
        <f t="shared" si="170"/>
        <v>76.482394221016762</v>
      </c>
      <c r="CB177" s="22">
        <f t="shared" si="171"/>
        <v>700.00020660160408</v>
      </c>
      <c r="CC177" s="62">
        <f t="shared" si="119"/>
        <v>988.97054466941381</v>
      </c>
      <c r="CD177" s="62">
        <f ca="1">AVERAGE(OFFSET($CC$3,0,0,'Données projet'!$E$12+1,1))-AVERAGE(OFFSET($H$3,0,0,'Données projet'!$E$12+1,1))</f>
        <v>401.1031790385295</v>
      </c>
      <c r="CE177" s="62">
        <f t="shared" si="148"/>
        <v>402.09589424130615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projet'!$B$12,Paramètres!$A$1:$I$88,3,0)*0.475*44/12</f>
        <v>2.1695488096307205</v>
      </c>
      <c r="CL177" s="23">
        <f>EXP(-LN(2)/25)*CL176+(1-EXP(-LN(2)/25))/(LN(2)/25)*Calculateur!CG177*Calculateur!CI177*VLOOKUP('Données projet'!$B$12,Paramètres!$A$1:$I$88,3,0)*0.475*44/12</f>
        <v>0</v>
      </c>
      <c r="CM177" s="23">
        <f>EXP(-LN(2)/2)*CM176+(1-EXP(-LN(2)/2))/(LN(2)/2)*CG177*CJ177*VLOOKUP('Données projet'!$B$12,Paramètres!$A$1:$I$88,3,0)*0.475*44/12</f>
        <v>2.8805937016579275E-17</v>
      </c>
      <c r="CN177" s="24">
        <f t="shared" si="172"/>
        <v>2.1695488096307205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544.19999999999982</v>
      </c>
      <c r="CU177" s="18">
        <f>CT177*VLOOKUP('Données projet'!$B$13,Paramètres!$A$1:$I$88,3,0)*VLOOKUP('Données projet'!$B$13,Paramètres!$A$1:$I$88,5,0)</f>
        <v>325.43159999999995</v>
      </c>
      <c r="CV177" s="14">
        <f t="shared" si="173"/>
        <v>76.482394221016762</v>
      </c>
      <c r="CW177" s="22">
        <f t="shared" si="174"/>
        <v>700.00020660160408</v>
      </c>
      <c r="CX177" s="62">
        <f t="shared" si="122"/>
        <v>988.97054466941381</v>
      </c>
      <c r="CY177" s="62">
        <f ca="1">AVERAGE(OFFSET($CX$3,0,0,'Données projet'!$E$13+1,1))-AVERAGE(OFFSET($H$3,0,0,'Données projet'!$E$13+1,1))</f>
        <v>401.1031790385295</v>
      </c>
      <c r="CZ177" s="62">
        <f t="shared" si="150"/>
        <v>402.09589424130615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projet'!$B$13,Paramètres!$A$1:$I$88,3,0)*0.475*44/12</f>
        <v>2.1695488096307205</v>
      </c>
      <c r="DG177" s="23">
        <f>EXP(-LN(2)/25)*DG176+(1-EXP(-LN(2)/25))/(LN(2)/25)*Calculateur!DB177*Calculateur!DD177*VLOOKUP('Données projet'!$B$13,Paramètres!$A$1:$I$88,3,0)*0.475*44/12</f>
        <v>0</v>
      </c>
      <c r="DH177" s="23">
        <f>EXP(-LN(2)/2)*DH176+(1-EXP(-LN(2)/2))/(LN(2)/2)*DB177*DE177*VLOOKUP('Données projet'!$B$13,Paramètres!$A$1:$I$88,3,0)*0.475*44/12</f>
        <v>2.8805937016579275E-17</v>
      </c>
      <c r="DI177" s="24">
        <f t="shared" si="175"/>
        <v>2.1695488096307205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860.00000000000023</v>
      </c>
      <c r="DP177" s="18">
        <f>DO177*VLOOKUP('Données projet'!$B$14,Paramètres!$A$1:$I$88,3,0)*VLOOKUP('Données projet'!$B$14,Paramètres!$A$1:$I$88,5,0)</f>
        <v>346.5800000000001</v>
      </c>
      <c r="DQ177" s="14">
        <f t="shared" si="176"/>
        <v>80.857895771535127</v>
      </c>
      <c r="DR177" s="22">
        <f t="shared" si="177"/>
        <v>744.45433513542378</v>
      </c>
      <c r="DS177" s="62">
        <f t="shared" si="125"/>
        <v>1033.4246732032334</v>
      </c>
      <c r="DT177" s="62">
        <f ca="1">AVERAGE(OFFSET($DS$3,0,0,'Données projet'!$E$14+1,1))-AVERAGE(OFFSET($H$3,0,0,'Données projet'!$E$14+1,1))</f>
        <v>432.59662347701629</v>
      </c>
      <c r="DU177" s="62">
        <f t="shared" si="152"/>
        <v>348.67401091099748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projet'!$B$14,Paramètres!$A$1:$I$88,3,0)*0.475*44/12</f>
        <v>9.7730843813821338</v>
      </c>
      <c r="EB177" s="23">
        <f>EXP(-LN(2)/25)*EB176+(1-EXP(-LN(2)/25))/(LN(2)/25)*Calculateur!DW177*Calculateur!DY177*VLOOKUP('Données projet'!$B$14,Paramètres!$A$1:$I$88,3,0)*0.475*44/12</f>
        <v>5.1322504392282546</v>
      </c>
      <c r="EC177" s="23">
        <f>EXP(-LN(2)/2)*EC176+(1-EXP(-LN(2)/2))/(LN(2)/2)*DW177*DZ177*VLOOKUP('Données projet'!$B$14,Paramètres!$A$1:$I$88,3,0)*0.475*44/12</f>
        <v>0</v>
      </c>
      <c r="ED177" s="24">
        <f t="shared" si="178"/>
        <v>14.905334820610388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1099.9999999999998</v>
      </c>
      <c r="EK177" s="18">
        <f>EJ177*VLOOKUP('Données projet'!$B$15,Paramètres!$A$1:$I$88,3,0)*VLOOKUP('Données projet'!$B$15,Paramètres!$A$1:$I$88,5,0)</f>
        <v>486.19999999999993</v>
      </c>
      <c r="EL177" s="14">
        <f t="shared" si="179"/>
        <v>109.0490179035375</v>
      </c>
      <c r="EM177" s="22">
        <f t="shared" si="180"/>
        <v>1036.725372848661</v>
      </c>
      <c r="EN177" s="62">
        <f t="shared" si="128"/>
        <v>1325.6957109164707</v>
      </c>
      <c r="EO177" s="62">
        <f ca="1">AVERAGE(OFFSET($EN$3,0,0,'Données projet'!$E$15+1,1))-AVERAGE(OFFSET($H$3,0,0,'Données projet'!$E$15+1,1))</f>
        <v>582.26951914082088</v>
      </c>
      <c r="EP177" s="62">
        <f t="shared" si="154"/>
        <v>434.80429932654715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projet'!$B$15,Paramètres!$A$1:$I$88,3,0)*0.475*44/12</f>
        <v>9.8477371114423189</v>
      </c>
      <c r="EW177" s="23">
        <f>EXP(-LN(2)/25)*EW176+(1-EXP(-LN(2)/25))/(LN(2)/25)*Calculateur!ER177*Calculateur!ET177*VLOOKUP('Données projet'!$B$15,Paramètres!$A$1:$I$88,3,0)*0.475*44/12</f>
        <v>4.6117265067530235</v>
      </c>
      <c r="EX177" s="23">
        <f>EXP(-LN(2)/2)*EX176+(1-EXP(-LN(2)/2))/(LN(2)/2)*ER177*EU177*VLOOKUP('Données projet'!$B$15,Paramètres!$A$1:$I$88,3,0)*0.475*44/12</f>
        <v>0</v>
      </c>
      <c r="EY177" s="24">
        <f t="shared" si="181"/>
        <v>14.459463618195343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854.99999999999989</v>
      </c>
      <c r="FF177" s="18">
        <f>FE177*VLOOKUP('Données projet'!$B$16,Paramètres!$A$1:$I$88,3,0)*VLOOKUP('Données projet'!$B$16,Paramètres!$A$1:$I$88,5,0)</f>
        <v>400.13999999999993</v>
      </c>
      <c r="FG177" s="14">
        <f t="shared" si="182"/>
        <v>91.805047494648534</v>
      </c>
      <c r="FH177" s="22">
        <f t="shared" si="183"/>
        <v>856.80429105317944</v>
      </c>
      <c r="FI177" s="62">
        <f t="shared" si="131"/>
        <v>1145.7746291209892</v>
      </c>
      <c r="FJ177" s="62">
        <f ca="1">AVERAGE(OFFSET($FI$3,0,0,'Données projet'!$E$16+1,1))-AVERAGE(OFFSET($H$3,0,0,'Données projet'!$E$16+1,1))</f>
        <v>429.87867712133851</v>
      </c>
      <c r="FK177" s="62">
        <f t="shared" si="156"/>
        <v>182.81277865988014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projet'!$B$16,Paramètres!$A$1:$I$88,3,0)*0.475*44/12</f>
        <v>11.744604951958172</v>
      </c>
      <c r="FR177" s="23">
        <f>EXP(-LN(2)/25)*FR176+(1-EXP(-LN(2)/25))/(LN(2)/25)*Calculateur!FM177*Calculateur!FO177*VLOOKUP('Données projet'!$B$16,Paramètres!$A$1:$I$88,3,0)*0.475*44/12</f>
        <v>5.8461528864047061</v>
      </c>
      <c r="FS177" s="23">
        <f>EXP(-LN(2)/2)*FS176+(1-EXP(-LN(2)/2))/(LN(2)/2)*FM177*FP177*VLOOKUP('Données projet'!$B$16,Paramètres!$A$1:$I$88,3,0)*0.475*44/12</f>
        <v>0</v>
      </c>
      <c r="FT177" s="24">
        <f t="shared" si="184"/>
        <v>17.590757838362876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498.99999999999955</v>
      </c>
      <c r="GA177" s="18">
        <f>FZ177*VLOOKUP('Données projet'!$B$17,Paramètres!$A$1:$I$88,3,0)*VLOOKUP('Données projet'!$B$17,Paramètres!$A$1:$I$88,5,0)</f>
        <v>240.01899999999978</v>
      </c>
      <c r="GB177" s="14">
        <f t="shared" si="185"/>
        <v>58.443618405936313</v>
      </c>
      <c r="GC177" s="22">
        <f t="shared" si="186"/>
        <v>519.82239372367201</v>
      </c>
      <c r="GD177" s="62">
        <f t="shared" si="134"/>
        <v>808.79273179148174</v>
      </c>
      <c r="GE177" s="62">
        <f ca="1">AVERAGE(OFFSET($GD$3,0,0,'Données projet'!$E$17+1,1))-AVERAGE(OFFSET($H$3,0,0,'Données projet'!$E$17+1,1))</f>
        <v>273.24375559399846</v>
      </c>
      <c r="GF177" s="62">
        <f t="shared" si="158"/>
        <v>270.77718895097848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projet'!$B$17,Paramètres!$A$1:$I$88,3,0)*0.475*44/12</f>
        <v>5.0287941888453771</v>
      </c>
      <c r="GM177" s="23">
        <f>EXP(-LN(2)/25)*GM176+(1-EXP(-LN(2)/25))/(LN(2)/25)*Calculateur!GH177*Calculateur!GJ177*VLOOKUP('Données projet'!$B$17,Paramètres!$A$1:$I$88,3,0)*0.475*44/12</f>
        <v>2.2492927843060655</v>
      </c>
      <c r="GN177" s="23">
        <f>EXP(-LN(2)/2)*GN176+(1-EXP(-LN(2)/2))/(LN(2)/2)*GH177*GK177*VLOOKUP('Données projet'!$B$17,Paramètres!$A$1:$I$88,3,0)*0.475*44/12</f>
        <v>0</v>
      </c>
      <c r="GO177" s="23">
        <f t="shared" si="187"/>
        <v>7.2780869731514422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550.99999999999966</v>
      </c>
      <c r="O178" s="14">
        <f>N178*VLOOKUP('Données projet'!$B$9,Paramètres!$A$1:$I$88,3,0)*VLOOKUP('Données projet'!$B$9,Paramètres!$A$1:$I$88,5,0)</f>
        <v>308.00899999999979</v>
      </c>
      <c r="P178" s="14">
        <f t="shared" si="141"/>
        <v>72.852874331417695</v>
      </c>
      <c r="Q178" s="22">
        <f t="shared" si="162"/>
        <v>663.33443112721886</v>
      </c>
      <c r="R178" s="62">
        <f t="shared" si="109"/>
        <v>952.38045740868927</v>
      </c>
      <c r="S178" s="62">
        <f ca="1">AVERAGE(OFFSET($R$3,0,0,'Données projet'!$E$9+1,1))-AVERAGE(OFFSET($H$3,0,0,'Données projet'!$E$9+1,1))</f>
        <v>289.94242154211224</v>
      </c>
      <c r="T178" s="62">
        <f t="shared" si="142"/>
        <v>369.12599166143661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7.5648396534353273</v>
      </c>
      <c r="AA178" s="23">
        <f>EXP(-LN(2)/25)*AA177+(1-EXP(-LN(2)/25))/(LN(2)/25)*Calculateur!V178*Calculateur!X178*VLOOKUP('Données projet'!$B$9,Paramètres!$A$1:$I$88,3,0)*0.475*44/12</f>
        <v>2.7553556517833311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10.320195305218657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projet'!$B$10,Paramètres!$A$1:$I$88,3,0)*VLOOKUP('Données projet'!$B$10,Paramètres!$A$1:$I$88,5,0)</f>
        <v>1.0286385077051818E-13</v>
      </c>
      <c r="AK178" s="14">
        <f t="shared" si="164"/>
        <v>1.5402366592183556E-12</v>
      </c>
      <c r="AL178" s="22">
        <f t="shared" si="165"/>
        <v>2.8617333882306215E-12</v>
      </c>
      <c r="AM178" s="62">
        <f t="shared" si="113"/>
        <v>289.04602628147325</v>
      </c>
      <c r="AN178" s="62">
        <f ca="1">AVERAGE(OFFSET($AM$3,0,0,'Données projet'!$E$10+1,1))-AVERAGE(OFFSET($H$3,0,0,'Données projet'!$E$10+1,1))</f>
        <v>518.31628039365785</v>
      </c>
      <c r="AO178" s="62">
        <f t="shared" si="144"/>
        <v>66.435071953154761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165.84577408541907</v>
      </c>
      <c r="AV178" s="23">
        <f>EXP(-LN(2)/25)*AV177+(1-EXP(-LN(2)/25))/(LN(2)/25)*Calculateur!AQ178*Calculateur!AS178*VLOOKUP('Données projet'!$B$10,Paramètres!$A$1:$I$88,3,0)*0.475*44/12</f>
        <v>0</v>
      </c>
      <c r="AW178" s="23">
        <f>EXP(-LN(2)/2)*AW177+(1-EXP(-LN(2)/2))/(LN(2)/2)*AQ178*AT178*VLOOKUP('Données projet'!$B$10,Paramètres!$A$1:$I$88,3,0)*0.475*44/12</f>
        <v>0</v>
      </c>
      <c r="AX178" s="23">
        <f t="shared" si="166"/>
        <v>165.84577408541907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projet'!$B$11,Paramètres!$A$1:$I$88,3,0)*VLOOKUP('Données projet'!$B$11,Paramètres!$A$1:$I$88,5,0)</f>
        <v>1.1527845344971866E-13</v>
      </c>
      <c r="BF178" s="14">
        <f t="shared" si="167"/>
        <v>1.7033846239409443E-12</v>
      </c>
      <c r="BG178" s="22">
        <f t="shared" si="168"/>
        <v>3.1675048597887374E-12</v>
      </c>
      <c r="BH178" s="62">
        <f t="shared" si="116"/>
        <v>289.04602628147359</v>
      </c>
      <c r="BI178" s="62">
        <f ca="1">AVERAGE(OFFSET($BH$3,0,0,'Données projet'!$E$11+1,1))-AVERAGE(OFFSET($H$3,0,0,'Données projet'!$E$11+1,1))</f>
        <v>570.2785736203931</v>
      </c>
      <c r="BJ178" s="62">
        <f t="shared" si="146"/>
        <v>67.677759965081719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185.8616433715903</v>
      </c>
      <c r="BQ178" s="23">
        <f>EXP(-LN(2)/25)*BQ177+(1-EXP(-LN(2)/25))/(LN(2)/25)*Calculateur!BL178*Calculateur!BN178*VLOOKUP('Données projet'!$B$11,Paramètres!$A$1:$I$88,3,0)*0.475*44/12</f>
        <v>0</v>
      </c>
      <c r="BR178" s="23">
        <f>EXP(-LN(2)/2)*BR177+(1-EXP(-LN(2)/2))/(LN(2)/2)*BL178*BO178*VLOOKUP('Données projet'!$B$11,Paramètres!$A$1:$I$88,3,0)*0.475*44/12</f>
        <v>0</v>
      </c>
      <c r="BS178" s="24">
        <f t="shared" si="169"/>
        <v>185.8616433715903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544.19999999999982</v>
      </c>
      <c r="BZ178" s="14">
        <f>BY178*VLOOKUP('Données projet'!$B$12,Paramètres!$A$1:$I$88,3,0)*VLOOKUP('Données projet'!$B$12,Paramètres!$A$1:$I$88,5,0)</f>
        <v>325.43159999999995</v>
      </c>
      <c r="CA178" s="14">
        <f t="shared" si="170"/>
        <v>76.482394221016762</v>
      </c>
      <c r="CB178" s="22">
        <f t="shared" si="171"/>
        <v>700.00020660160408</v>
      </c>
      <c r="CC178" s="62">
        <f t="shared" si="119"/>
        <v>989.04623288307448</v>
      </c>
      <c r="CD178" s="62">
        <f ca="1">AVERAGE(OFFSET($CC$3,0,0,'Données projet'!$E$12+1,1))-AVERAGE(OFFSET($H$3,0,0,'Données projet'!$E$12+1,1))</f>
        <v>401.1031790385295</v>
      </c>
      <c r="CE178" s="62">
        <f t="shared" si="148"/>
        <v>402.09589424130615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projet'!$B$12,Paramètres!$A$1:$I$88,3,0)*0.475*44/12</f>
        <v>2.1270052807679716</v>
      </c>
      <c r="CL178" s="23">
        <f>EXP(-LN(2)/25)*CL177+(1-EXP(-LN(2)/25))/(LN(2)/25)*Calculateur!CG178*Calculateur!CI178*VLOOKUP('Données projet'!$B$12,Paramètres!$A$1:$I$88,3,0)*0.475*44/12</f>
        <v>0</v>
      </c>
      <c r="CM178" s="23">
        <f>EXP(-LN(2)/2)*CM177+(1-EXP(-LN(2)/2))/(LN(2)/2)*CG178*CJ178*VLOOKUP('Données projet'!$B$12,Paramètres!$A$1:$I$88,3,0)*0.475*44/12</f>
        <v>2.0368873402855791E-17</v>
      </c>
      <c r="CN178" s="24">
        <f t="shared" si="172"/>
        <v>2.1270052807679716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544.19999999999982</v>
      </c>
      <c r="CU178" s="18">
        <f>CT178*VLOOKUP('Données projet'!$B$13,Paramètres!$A$1:$I$88,3,0)*VLOOKUP('Données projet'!$B$13,Paramètres!$A$1:$I$88,5,0)</f>
        <v>325.43159999999995</v>
      </c>
      <c r="CV178" s="14">
        <f t="shared" si="173"/>
        <v>76.482394221016762</v>
      </c>
      <c r="CW178" s="22">
        <f t="shared" si="174"/>
        <v>700.00020660160408</v>
      </c>
      <c r="CX178" s="62">
        <f t="shared" si="122"/>
        <v>989.04623288307448</v>
      </c>
      <c r="CY178" s="62">
        <f ca="1">AVERAGE(OFFSET($CX$3,0,0,'Données projet'!$E$13+1,1))-AVERAGE(OFFSET($H$3,0,0,'Données projet'!$E$13+1,1))</f>
        <v>401.1031790385295</v>
      </c>
      <c r="CZ178" s="62">
        <f t="shared" si="150"/>
        <v>402.09589424130615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projet'!$B$13,Paramètres!$A$1:$I$88,3,0)*0.475*44/12</f>
        <v>2.1270052807679716</v>
      </c>
      <c r="DG178" s="23">
        <f>EXP(-LN(2)/25)*DG177+(1-EXP(-LN(2)/25))/(LN(2)/25)*Calculateur!DB178*Calculateur!DD178*VLOOKUP('Données projet'!$B$13,Paramètres!$A$1:$I$88,3,0)*0.475*44/12</f>
        <v>0</v>
      </c>
      <c r="DH178" s="23">
        <f>EXP(-LN(2)/2)*DH177+(1-EXP(-LN(2)/2))/(LN(2)/2)*DB178*DE178*VLOOKUP('Données projet'!$B$13,Paramètres!$A$1:$I$88,3,0)*0.475*44/12</f>
        <v>2.0368873402855791E-17</v>
      </c>
      <c r="DI178" s="24">
        <f t="shared" si="175"/>
        <v>2.1270052807679716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860.00000000000023</v>
      </c>
      <c r="DP178" s="18">
        <f>DO178*VLOOKUP('Données projet'!$B$14,Paramètres!$A$1:$I$88,3,0)*VLOOKUP('Données projet'!$B$14,Paramètres!$A$1:$I$88,5,0)</f>
        <v>346.5800000000001</v>
      </c>
      <c r="DQ178" s="14">
        <f t="shared" si="176"/>
        <v>80.857895771535127</v>
      </c>
      <c r="DR178" s="22">
        <f t="shared" si="177"/>
        <v>744.45433513542378</v>
      </c>
      <c r="DS178" s="62">
        <f t="shared" si="125"/>
        <v>1033.5003614168941</v>
      </c>
      <c r="DT178" s="62">
        <f ca="1">AVERAGE(OFFSET($DS$3,0,0,'Données projet'!$E$14+1,1))-AVERAGE(OFFSET($H$3,0,0,'Données projet'!$E$14+1,1))</f>
        <v>432.59662347701629</v>
      </c>
      <c r="DU178" s="62">
        <f t="shared" si="152"/>
        <v>348.67401091099748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projet'!$B$14,Paramètres!$A$1:$I$88,3,0)*0.475*44/12</f>
        <v>9.5814401576561039</v>
      </c>
      <c r="EB178" s="23">
        <f>EXP(-LN(2)/25)*EB177+(1-EXP(-LN(2)/25))/(LN(2)/25)*Calculateur!DW178*Calculateur!DY178*VLOOKUP('Données projet'!$B$14,Paramètres!$A$1:$I$88,3,0)*0.475*44/12</f>
        <v>4.9919087810742377</v>
      </c>
      <c r="EC178" s="23">
        <f>EXP(-LN(2)/2)*EC177+(1-EXP(-LN(2)/2))/(LN(2)/2)*DW178*DZ178*VLOOKUP('Données projet'!$B$14,Paramètres!$A$1:$I$88,3,0)*0.475*44/12</f>
        <v>0</v>
      </c>
      <c r="ED178" s="24">
        <f t="shared" si="178"/>
        <v>14.573348938730341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1099.9999999999998</v>
      </c>
      <c r="EK178" s="18">
        <f>EJ178*VLOOKUP('Données projet'!$B$15,Paramètres!$A$1:$I$88,3,0)*VLOOKUP('Données projet'!$B$15,Paramètres!$A$1:$I$88,5,0)</f>
        <v>486.19999999999993</v>
      </c>
      <c r="EL178" s="14">
        <f t="shared" si="179"/>
        <v>109.0490179035375</v>
      </c>
      <c r="EM178" s="22">
        <f t="shared" si="180"/>
        <v>1036.725372848661</v>
      </c>
      <c r="EN178" s="62">
        <f t="shared" si="128"/>
        <v>1325.7713991301314</v>
      </c>
      <c r="EO178" s="62">
        <f ca="1">AVERAGE(OFFSET($EN$3,0,0,'Données projet'!$E$15+1,1))-AVERAGE(OFFSET($H$3,0,0,'Données projet'!$E$15+1,1))</f>
        <v>582.26951914082088</v>
      </c>
      <c r="EP178" s="62">
        <f t="shared" si="154"/>
        <v>434.80429932654715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projet'!$B$15,Paramètres!$A$1:$I$88,3,0)*0.475*44/12</f>
        <v>9.6546289932134783</v>
      </c>
      <c r="EW178" s="23">
        <f>EXP(-LN(2)/25)*EW177+(1-EXP(-LN(2)/25))/(LN(2)/25)*Calculateur!ER178*Calculateur!ET178*VLOOKUP('Données projet'!$B$15,Paramètres!$A$1:$I$88,3,0)*0.475*44/12</f>
        <v>4.4856186029057055</v>
      </c>
      <c r="EX178" s="23">
        <f>EXP(-LN(2)/2)*EX177+(1-EXP(-LN(2)/2))/(LN(2)/2)*ER178*EU178*VLOOKUP('Données projet'!$B$15,Paramètres!$A$1:$I$88,3,0)*0.475*44/12</f>
        <v>0</v>
      </c>
      <c r="EY178" s="24">
        <f t="shared" si="181"/>
        <v>14.140247596119185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854.99999999999989</v>
      </c>
      <c r="FF178" s="18">
        <f>FE178*VLOOKUP('Données projet'!$B$16,Paramètres!$A$1:$I$88,3,0)*VLOOKUP('Données projet'!$B$16,Paramètres!$A$1:$I$88,5,0)</f>
        <v>400.13999999999993</v>
      </c>
      <c r="FG178" s="14">
        <f t="shared" si="182"/>
        <v>91.805047494648534</v>
      </c>
      <c r="FH178" s="22">
        <f t="shared" si="183"/>
        <v>856.80429105317944</v>
      </c>
      <c r="FI178" s="62">
        <f t="shared" si="131"/>
        <v>1145.8503173346498</v>
      </c>
      <c r="FJ178" s="62">
        <f ca="1">AVERAGE(OFFSET($FI$3,0,0,'Données projet'!$E$16+1,1))-AVERAGE(OFFSET($H$3,0,0,'Données projet'!$E$16+1,1))</f>
        <v>429.87867712133851</v>
      </c>
      <c r="FK178" s="62">
        <f t="shared" si="156"/>
        <v>182.81277865988014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projet'!$B$16,Paramètres!$A$1:$I$88,3,0)*0.475*44/12</f>
        <v>11.514300412351956</v>
      </c>
      <c r="FR178" s="23">
        <f>EXP(-LN(2)/25)*FR177+(1-EXP(-LN(2)/25))/(LN(2)/25)*Calculateur!FM178*Calculateur!FO178*VLOOKUP('Données projet'!$B$16,Paramètres!$A$1:$I$88,3,0)*0.475*44/12</f>
        <v>5.6862895282901507</v>
      </c>
      <c r="FS178" s="23">
        <f>EXP(-LN(2)/2)*FS177+(1-EXP(-LN(2)/2))/(LN(2)/2)*FM178*FP178*VLOOKUP('Données projet'!$B$16,Paramètres!$A$1:$I$88,3,0)*0.475*44/12</f>
        <v>0</v>
      </c>
      <c r="FT178" s="24">
        <f t="shared" si="184"/>
        <v>17.200589940642107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498.99999999999955</v>
      </c>
      <c r="GA178" s="18">
        <f>FZ178*VLOOKUP('Données projet'!$B$17,Paramètres!$A$1:$I$88,3,0)*VLOOKUP('Données projet'!$B$17,Paramètres!$A$1:$I$88,5,0)</f>
        <v>240.01899999999978</v>
      </c>
      <c r="GB178" s="14">
        <f t="shared" si="185"/>
        <v>58.443618405936313</v>
      </c>
      <c r="GC178" s="22">
        <f t="shared" si="186"/>
        <v>519.82239372367201</v>
      </c>
      <c r="GD178" s="62">
        <f t="shared" si="134"/>
        <v>808.86842000514241</v>
      </c>
      <c r="GE178" s="62">
        <f ca="1">AVERAGE(OFFSET($GD$3,0,0,'Données projet'!$E$17+1,1))-AVERAGE(OFFSET($H$3,0,0,'Données projet'!$E$17+1,1))</f>
        <v>273.24375559399846</v>
      </c>
      <c r="GF178" s="62">
        <f t="shared" si="158"/>
        <v>270.77718895097848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projet'!$B$17,Paramètres!$A$1:$I$88,3,0)*0.475*44/12</f>
        <v>4.9301826020637076</v>
      </c>
      <c r="GM178" s="23">
        <f>EXP(-LN(2)/25)*GM177+(1-EXP(-LN(2)/25))/(LN(2)/25)*Calculateur!GH178*Calculateur!GJ178*VLOOKUP('Données projet'!$B$17,Paramètres!$A$1:$I$88,3,0)*0.475*44/12</f>
        <v>2.1877857548340494</v>
      </c>
      <c r="GN178" s="23">
        <f>EXP(-LN(2)/2)*GN177+(1-EXP(-LN(2)/2))/(LN(2)/2)*GH178*GK178*VLOOKUP('Données projet'!$B$17,Paramètres!$A$1:$I$88,3,0)*0.475*44/12</f>
        <v>0</v>
      </c>
      <c r="GO178" s="23">
        <f t="shared" si="187"/>
        <v>7.117968356897757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550.99999999999966</v>
      </c>
      <c r="O179" s="14">
        <f>N179*VLOOKUP('Données projet'!$B$9,Paramètres!$A$1:$I$88,3,0)*VLOOKUP('Données projet'!$B$9,Paramètres!$A$1:$I$88,5,0)</f>
        <v>308.00899999999979</v>
      </c>
      <c r="P179" s="14">
        <f t="shared" si="141"/>
        <v>72.852874331417695</v>
      </c>
      <c r="Q179" s="22">
        <f t="shared" si="162"/>
        <v>663.33443112721886</v>
      </c>
      <c r="R179" s="62">
        <f t="shared" si="109"/>
        <v>952.45483260105652</v>
      </c>
      <c r="S179" s="62">
        <f ca="1">AVERAGE(OFFSET($R$3,0,0,'Données projet'!$E$9+1,1))-AVERAGE(OFFSET($H$3,0,0,'Données projet'!$E$9+1,1))</f>
        <v>289.94242154211224</v>
      </c>
      <c r="T179" s="62">
        <f t="shared" si="142"/>
        <v>369.12599166143661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7.4164977619280448</v>
      </c>
      <c r="AA179" s="23">
        <f>EXP(-LN(2)/25)*AA178+(1-EXP(-LN(2)/25))/(LN(2)/25)*Calculateur!V179*Calculateur!X179*VLOOKUP('Données projet'!$B$9,Paramètres!$A$1:$I$88,3,0)*0.475*44/12</f>
        <v>2.6800103065874596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10.096508068515504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projet'!$B$10,Paramètres!$A$1:$I$88,3,0)*VLOOKUP('Données projet'!$B$10,Paramètres!$A$1:$I$88,5,0)</f>
        <v>1.0286385077051818E-13</v>
      </c>
      <c r="AK179" s="14">
        <f t="shared" si="164"/>
        <v>1.5402366592183556E-12</v>
      </c>
      <c r="AL179" s="22">
        <f t="shared" si="165"/>
        <v>2.8617333882306215E-12</v>
      </c>
      <c r="AM179" s="62">
        <f t="shared" si="113"/>
        <v>289.12040147384045</v>
      </c>
      <c r="AN179" s="62">
        <f ca="1">AVERAGE(OFFSET($AM$3,0,0,'Données projet'!$E$10+1,1))-AVERAGE(OFFSET($H$3,0,0,'Données projet'!$E$10+1,1))</f>
        <v>518.31628039365785</v>
      </c>
      <c r="AO179" s="62">
        <f t="shared" si="144"/>
        <v>66.435071953154761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162.59363961153787</v>
      </c>
      <c r="AV179" s="23">
        <f>EXP(-LN(2)/25)*AV178+(1-EXP(-LN(2)/25))/(LN(2)/25)*Calculateur!AQ179*Calculateur!AS179*VLOOKUP('Données projet'!$B$10,Paramètres!$A$1:$I$88,3,0)*0.475*44/12</f>
        <v>0</v>
      </c>
      <c r="AW179" s="23">
        <f>EXP(-LN(2)/2)*AW178+(1-EXP(-LN(2)/2))/(LN(2)/2)*AQ179*AT179*VLOOKUP('Données projet'!$B$10,Paramètres!$A$1:$I$88,3,0)*0.475*44/12</f>
        <v>0</v>
      </c>
      <c r="AX179" s="23">
        <f t="shared" si="166"/>
        <v>162.59363961153787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projet'!$B$11,Paramètres!$A$1:$I$88,3,0)*VLOOKUP('Données projet'!$B$11,Paramètres!$A$1:$I$88,5,0)</f>
        <v>1.1527845344971866E-13</v>
      </c>
      <c r="BF179" s="14">
        <f t="shared" si="167"/>
        <v>1.7033846239409443E-12</v>
      </c>
      <c r="BG179" s="22">
        <f t="shared" si="168"/>
        <v>3.1675048597887374E-12</v>
      </c>
      <c r="BH179" s="62">
        <f t="shared" si="116"/>
        <v>289.12040147384079</v>
      </c>
      <c r="BI179" s="62">
        <f ca="1">AVERAGE(OFFSET($BH$3,0,0,'Données projet'!$E$11+1,1))-AVERAGE(OFFSET($H$3,0,0,'Données projet'!$E$11+1,1))</f>
        <v>570.2785736203931</v>
      </c>
      <c r="BJ179" s="62">
        <f t="shared" si="146"/>
        <v>67.677759965081719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182.21700990948207</v>
      </c>
      <c r="BQ179" s="23">
        <f>EXP(-LN(2)/25)*BQ178+(1-EXP(-LN(2)/25))/(LN(2)/25)*Calculateur!BL179*Calculateur!BN179*VLOOKUP('Données projet'!$B$11,Paramètres!$A$1:$I$88,3,0)*0.475*44/12</f>
        <v>0</v>
      </c>
      <c r="BR179" s="23">
        <f>EXP(-LN(2)/2)*BR178+(1-EXP(-LN(2)/2))/(LN(2)/2)*BL179*BO179*VLOOKUP('Données projet'!$B$11,Paramètres!$A$1:$I$88,3,0)*0.475*44/12</f>
        <v>0</v>
      </c>
      <c r="BS179" s="24">
        <f t="shared" si="169"/>
        <v>182.21700990948207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544.19999999999982</v>
      </c>
      <c r="BZ179" s="14">
        <f>BY179*VLOOKUP('Données projet'!$B$12,Paramètres!$A$1:$I$88,3,0)*VLOOKUP('Données projet'!$B$12,Paramètres!$A$1:$I$88,5,0)</f>
        <v>325.43159999999995</v>
      </c>
      <c r="CA179" s="14">
        <f t="shared" si="170"/>
        <v>76.482394221016762</v>
      </c>
      <c r="CB179" s="22">
        <f t="shared" si="171"/>
        <v>700.00020660160408</v>
      </c>
      <c r="CC179" s="62">
        <f t="shared" si="119"/>
        <v>989.12060807544162</v>
      </c>
      <c r="CD179" s="62">
        <f ca="1">AVERAGE(OFFSET($CC$3,0,0,'Données projet'!$E$12+1,1))-AVERAGE(OFFSET($H$3,0,0,'Données projet'!$E$12+1,1))</f>
        <v>401.1031790385295</v>
      </c>
      <c r="CE179" s="62">
        <f t="shared" si="148"/>
        <v>402.09589424130615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projet'!$B$12,Paramètres!$A$1:$I$88,3,0)*0.475*44/12</f>
        <v>2.0852960045572306</v>
      </c>
      <c r="CL179" s="23">
        <f>EXP(-LN(2)/25)*CL178+(1-EXP(-LN(2)/25))/(LN(2)/25)*Calculateur!CG179*Calculateur!CI179*VLOOKUP('Données projet'!$B$12,Paramètres!$A$1:$I$88,3,0)*0.475*44/12</f>
        <v>0</v>
      </c>
      <c r="CM179" s="23">
        <f>EXP(-LN(2)/2)*CM178+(1-EXP(-LN(2)/2))/(LN(2)/2)*CG179*CJ179*VLOOKUP('Données projet'!$B$12,Paramètres!$A$1:$I$88,3,0)*0.475*44/12</f>
        <v>1.4402968508289637E-17</v>
      </c>
      <c r="CN179" s="24">
        <f t="shared" si="172"/>
        <v>2.0852960045572306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544.19999999999982</v>
      </c>
      <c r="CU179" s="18">
        <f>CT179*VLOOKUP('Données projet'!$B$13,Paramètres!$A$1:$I$88,3,0)*VLOOKUP('Données projet'!$B$13,Paramètres!$A$1:$I$88,5,0)</f>
        <v>325.43159999999995</v>
      </c>
      <c r="CV179" s="14">
        <f t="shared" si="173"/>
        <v>76.482394221016762</v>
      </c>
      <c r="CW179" s="22">
        <f t="shared" si="174"/>
        <v>700.00020660160408</v>
      </c>
      <c r="CX179" s="62">
        <f t="shared" si="122"/>
        <v>989.12060807544162</v>
      </c>
      <c r="CY179" s="62">
        <f ca="1">AVERAGE(OFFSET($CX$3,0,0,'Données projet'!$E$13+1,1))-AVERAGE(OFFSET($H$3,0,0,'Données projet'!$E$13+1,1))</f>
        <v>401.1031790385295</v>
      </c>
      <c r="CZ179" s="62">
        <f t="shared" si="150"/>
        <v>402.09589424130615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projet'!$B$13,Paramètres!$A$1:$I$88,3,0)*0.475*44/12</f>
        <v>2.0852960045572306</v>
      </c>
      <c r="DG179" s="23">
        <f>EXP(-LN(2)/25)*DG178+(1-EXP(-LN(2)/25))/(LN(2)/25)*Calculateur!DB179*Calculateur!DD179*VLOOKUP('Données projet'!$B$13,Paramètres!$A$1:$I$88,3,0)*0.475*44/12</f>
        <v>0</v>
      </c>
      <c r="DH179" s="23">
        <f>EXP(-LN(2)/2)*DH178+(1-EXP(-LN(2)/2))/(LN(2)/2)*DB179*DE179*VLOOKUP('Données projet'!$B$13,Paramètres!$A$1:$I$88,3,0)*0.475*44/12</f>
        <v>1.4402968508289637E-17</v>
      </c>
      <c r="DI179" s="24">
        <f t="shared" si="175"/>
        <v>2.0852960045572306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860.00000000000023</v>
      </c>
      <c r="DP179" s="18">
        <f>DO179*VLOOKUP('Données projet'!$B$14,Paramètres!$A$1:$I$88,3,0)*VLOOKUP('Données projet'!$B$14,Paramètres!$A$1:$I$88,5,0)</f>
        <v>346.5800000000001</v>
      </c>
      <c r="DQ179" s="14">
        <f t="shared" si="176"/>
        <v>80.857895771535127</v>
      </c>
      <c r="DR179" s="22">
        <f t="shared" si="177"/>
        <v>744.45433513542378</v>
      </c>
      <c r="DS179" s="62">
        <f t="shared" si="125"/>
        <v>1033.5747366092614</v>
      </c>
      <c r="DT179" s="62">
        <f ca="1">AVERAGE(OFFSET($DS$3,0,0,'Données projet'!$E$14+1,1))-AVERAGE(OFFSET($H$3,0,0,'Données projet'!$E$14+1,1))</f>
        <v>432.59662347701629</v>
      </c>
      <c r="DU179" s="62">
        <f t="shared" si="152"/>
        <v>348.67401091099748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projet'!$B$14,Paramètres!$A$1:$I$88,3,0)*0.475*44/12</f>
        <v>9.3935539602659066</v>
      </c>
      <c r="EB179" s="23">
        <f>EXP(-LN(2)/25)*EB178+(1-EXP(-LN(2)/25))/(LN(2)/25)*Calculateur!DW179*Calculateur!DY179*VLOOKUP('Données projet'!$B$14,Paramètres!$A$1:$I$88,3,0)*0.475*44/12</f>
        <v>4.8554047729426895</v>
      </c>
      <c r="EC179" s="23">
        <f>EXP(-LN(2)/2)*EC178+(1-EXP(-LN(2)/2))/(LN(2)/2)*DW179*DZ179*VLOOKUP('Données projet'!$B$14,Paramètres!$A$1:$I$88,3,0)*0.475*44/12</f>
        <v>0</v>
      </c>
      <c r="ED179" s="24">
        <f t="shared" si="178"/>
        <v>14.248958733208596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1099.9999999999998</v>
      </c>
      <c r="EK179" s="18">
        <f>EJ179*VLOOKUP('Données projet'!$B$15,Paramètres!$A$1:$I$88,3,0)*VLOOKUP('Données projet'!$B$15,Paramètres!$A$1:$I$88,5,0)</f>
        <v>486.19999999999993</v>
      </c>
      <c r="EL179" s="14">
        <f t="shared" si="179"/>
        <v>109.0490179035375</v>
      </c>
      <c r="EM179" s="22">
        <f t="shared" si="180"/>
        <v>1036.725372848661</v>
      </c>
      <c r="EN179" s="62">
        <f t="shared" si="128"/>
        <v>1325.8457743224985</v>
      </c>
      <c r="EO179" s="62">
        <f ca="1">AVERAGE(OFFSET($EN$3,0,0,'Données projet'!$E$15+1,1))-AVERAGE(OFFSET($H$3,0,0,'Données projet'!$E$15+1,1))</f>
        <v>582.26951914082088</v>
      </c>
      <c r="EP179" s="62">
        <f t="shared" si="154"/>
        <v>434.80429932654715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projet'!$B$15,Paramètres!$A$1:$I$88,3,0)*0.475*44/12</f>
        <v>9.465307607398783</v>
      </c>
      <c r="EW179" s="23">
        <f>EXP(-LN(2)/25)*EW178+(1-EXP(-LN(2)/25))/(LN(2)/25)*Calculateur!ER179*Calculateur!ET179*VLOOKUP('Données projet'!$B$15,Paramètres!$A$1:$I$88,3,0)*0.475*44/12</f>
        <v>4.3629591263208187</v>
      </c>
      <c r="EX179" s="23">
        <f>EXP(-LN(2)/2)*EX178+(1-EXP(-LN(2)/2))/(LN(2)/2)*ER179*EU179*VLOOKUP('Données projet'!$B$15,Paramètres!$A$1:$I$88,3,0)*0.475*44/12</f>
        <v>0</v>
      </c>
      <c r="EY179" s="24">
        <f t="shared" si="181"/>
        <v>13.828266733719602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854.99999999999989</v>
      </c>
      <c r="FF179" s="18">
        <f>FE179*VLOOKUP('Données projet'!$B$16,Paramètres!$A$1:$I$88,3,0)*VLOOKUP('Données projet'!$B$16,Paramètres!$A$1:$I$88,5,0)</f>
        <v>400.13999999999993</v>
      </c>
      <c r="FG179" s="14">
        <f t="shared" si="182"/>
        <v>91.805047494648534</v>
      </c>
      <c r="FH179" s="22">
        <f t="shared" si="183"/>
        <v>856.80429105317944</v>
      </c>
      <c r="FI179" s="62">
        <f t="shared" si="131"/>
        <v>1145.924692527017</v>
      </c>
      <c r="FJ179" s="62">
        <f ca="1">AVERAGE(OFFSET($FI$3,0,0,'Données projet'!$E$16+1,1))-AVERAGE(OFFSET($H$3,0,0,'Données projet'!$E$16+1,1))</f>
        <v>429.87867712133851</v>
      </c>
      <c r="FK179" s="62">
        <f t="shared" si="156"/>
        <v>182.81277865988014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projet'!$B$16,Paramètres!$A$1:$I$88,3,0)*0.475*44/12</f>
        <v>11.288512004295519</v>
      </c>
      <c r="FR179" s="23">
        <f>EXP(-LN(2)/25)*FR178+(1-EXP(-LN(2)/25))/(LN(2)/25)*Calculateur!FM179*Calculateur!FO179*VLOOKUP('Données projet'!$B$16,Paramètres!$A$1:$I$88,3,0)*0.475*44/12</f>
        <v>5.5307976421100866</v>
      </c>
      <c r="FS179" s="23">
        <f>EXP(-LN(2)/2)*FS178+(1-EXP(-LN(2)/2))/(LN(2)/2)*FM179*FP179*VLOOKUP('Données projet'!$B$16,Paramètres!$A$1:$I$88,3,0)*0.475*44/12</f>
        <v>0</v>
      </c>
      <c r="FT179" s="24">
        <f t="shared" si="184"/>
        <v>16.819309646405607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498.99999999999955</v>
      </c>
      <c r="GA179" s="18">
        <f>FZ179*VLOOKUP('Données projet'!$B$17,Paramètres!$A$1:$I$88,3,0)*VLOOKUP('Données projet'!$B$17,Paramètres!$A$1:$I$88,5,0)</f>
        <v>240.01899999999978</v>
      </c>
      <c r="GB179" s="14">
        <f t="shared" si="185"/>
        <v>58.443618405936313</v>
      </c>
      <c r="GC179" s="22">
        <f t="shared" si="186"/>
        <v>519.82239372367201</v>
      </c>
      <c r="GD179" s="62">
        <f t="shared" si="134"/>
        <v>808.94279519750967</v>
      </c>
      <c r="GE179" s="62">
        <f ca="1">AVERAGE(OFFSET($GD$3,0,0,'Données projet'!$E$17+1,1))-AVERAGE(OFFSET($H$3,0,0,'Données projet'!$E$17+1,1))</f>
        <v>273.24375559399846</v>
      </c>
      <c r="GF179" s="62">
        <f t="shared" si="158"/>
        <v>270.77718895097848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projet'!$B$17,Paramètres!$A$1:$I$88,3,0)*0.475*44/12</f>
        <v>4.8335047283516976</v>
      </c>
      <c r="GM179" s="23">
        <f>EXP(-LN(2)/25)*GM178+(1-EXP(-LN(2)/25))/(LN(2)/25)*Calculateur!GH179*Calculateur!GJ179*VLOOKUP('Données projet'!$B$17,Paramètres!$A$1:$I$88,3,0)*0.475*44/12</f>
        <v>2.1279606383174596</v>
      </c>
      <c r="GN179" s="23">
        <f>EXP(-LN(2)/2)*GN178+(1-EXP(-LN(2)/2))/(LN(2)/2)*GH179*GK179*VLOOKUP('Données projet'!$B$17,Paramètres!$A$1:$I$88,3,0)*0.475*44/12</f>
        <v>0</v>
      </c>
      <c r="GO179" s="23">
        <f t="shared" si="187"/>
        <v>6.9614653666691577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550.99999999999966</v>
      </c>
      <c r="O180" s="14">
        <f>N180*VLOOKUP('Données projet'!$B$9,Paramètres!$A$1:$I$88,3,0)*VLOOKUP('Données projet'!$B$9,Paramètres!$A$1:$I$88,5,0)</f>
        <v>308.00899999999979</v>
      </c>
      <c r="P180" s="14">
        <f t="shared" si="141"/>
        <v>72.852874331417695</v>
      </c>
      <c r="Q180" s="22">
        <f t="shared" si="162"/>
        <v>663.33443112721886</v>
      </c>
      <c r="R180" s="62">
        <f t="shared" si="109"/>
        <v>952.52791755011413</v>
      </c>
      <c r="S180" s="62">
        <f ca="1">AVERAGE(OFFSET($R$3,0,0,'Données projet'!$E$9+1,1))-AVERAGE(OFFSET($H$3,0,0,'Données projet'!$E$9+1,1))</f>
        <v>289.94242154211224</v>
      </c>
      <c r="T180" s="62">
        <f t="shared" si="142"/>
        <v>369.12599166143661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7.2710647644336008</v>
      </c>
      <c r="AA180" s="23">
        <f>EXP(-LN(2)/25)*AA179+(1-EXP(-LN(2)/25))/(LN(2)/25)*Calculateur!V180*Calculateur!X180*VLOOKUP('Données projet'!$B$9,Paramètres!$A$1:$I$88,3,0)*0.475*44/12</f>
        <v>2.6067252838182089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9.8777900482518106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projet'!$B$10,Paramètres!$A$1:$I$88,3,0)*VLOOKUP('Données projet'!$B$10,Paramètres!$A$1:$I$88,5,0)</f>
        <v>1.0286385077051818E-13</v>
      </c>
      <c r="AK180" s="14">
        <f t="shared" si="164"/>
        <v>1.5402366592183556E-12</v>
      </c>
      <c r="AL180" s="22">
        <f t="shared" si="165"/>
        <v>2.8617333882306215E-12</v>
      </c>
      <c r="AM180" s="62">
        <f t="shared" si="113"/>
        <v>289.1934864228981</v>
      </c>
      <c r="AN180" s="62">
        <f ca="1">AVERAGE(OFFSET($AM$3,0,0,'Données projet'!$E$10+1,1))-AVERAGE(OFFSET($H$3,0,0,'Données projet'!$E$10+1,1))</f>
        <v>518.31628039365785</v>
      </c>
      <c r="AO180" s="62">
        <f t="shared" si="144"/>
        <v>66.435071953154761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159.40527751108331</v>
      </c>
      <c r="AV180" s="23">
        <f>EXP(-LN(2)/25)*AV179+(1-EXP(-LN(2)/25))/(LN(2)/25)*Calculateur!AQ180*Calculateur!AS180*VLOOKUP('Données projet'!$B$10,Paramètres!$A$1:$I$88,3,0)*0.475*44/12</f>
        <v>0</v>
      </c>
      <c r="AW180" s="23">
        <f>EXP(-LN(2)/2)*AW179+(1-EXP(-LN(2)/2))/(LN(2)/2)*AQ180*AT180*VLOOKUP('Données projet'!$B$10,Paramètres!$A$1:$I$88,3,0)*0.475*44/12</f>
        <v>0</v>
      </c>
      <c r="AX180" s="23">
        <f t="shared" si="166"/>
        <v>159.40527751108331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projet'!$B$11,Paramètres!$A$1:$I$88,3,0)*VLOOKUP('Données projet'!$B$11,Paramètres!$A$1:$I$88,5,0)</f>
        <v>1.1527845344971866E-13</v>
      </c>
      <c r="BF180" s="14">
        <f t="shared" si="167"/>
        <v>1.7033846239409443E-12</v>
      </c>
      <c r="BG180" s="22">
        <f t="shared" si="168"/>
        <v>3.1675048597887374E-12</v>
      </c>
      <c r="BH180" s="62">
        <f t="shared" si="116"/>
        <v>289.19348642289845</v>
      </c>
      <c r="BI180" s="62">
        <f ca="1">AVERAGE(OFFSET($BH$3,0,0,'Données projet'!$E$11+1,1))-AVERAGE(OFFSET($H$3,0,0,'Données projet'!$E$11+1,1))</f>
        <v>570.2785736203931</v>
      </c>
      <c r="BJ180" s="62">
        <f t="shared" si="146"/>
        <v>67.677759965081719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178.64384548655886</v>
      </c>
      <c r="BQ180" s="23">
        <f>EXP(-LN(2)/25)*BQ179+(1-EXP(-LN(2)/25))/(LN(2)/25)*Calculateur!BL180*Calculateur!BN180*VLOOKUP('Données projet'!$B$11,Paramètres!$A$1:$I$88,3,0)*0.475*44/12</f>
        <v>0</v>
      </c>
      <c r="BR180" s="23">
        <f>EXP(-LN(2)/2)*BR179+(1-EXP(-LN(2)/2))/(LN(2)/2)*BL180*BO180*VLOOKUP('Données projet'!$B$11,Paramètres!$A$1:$I$88,3,0)*0.475*44/12</f>
        <v>0</v>
      </c>
      <c r="BS180" s="24">
        <f t="shared" si="169"/>
        <v>178.64384548655886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544.19999999999982</v>
      </c>
      <c r="BZ180" s="14">
        <f>BY180*VLOOKUP('Données projet'!$B$12,Paramètres!$A$1:$I$88,3,0)*VLOOKUP('Données projet'!$B$12,Paramètres!$A$1:$I$88,5,0)</f>
        <v>325.43159999999995</v>
      </c>
      <c r="CA180" s="14">
        <f t="shared" si="170"/>
        <v>76.482394221016762</v>
      </c>
      <c r="CB180" s="22">
        <f t="shared" si="171"/>
        <v>700.00020660160408</v>
      </c>
      <c r="CC180" s="62">
        <f t="shared" si="119"/>
        <v>989.19369302449934</v>
      </c>
      <c r="CD180" s="62">
        <f ca="1">AVERAGE(OFFSET($CC$3,0,0,'Données projet'!$E$12+1,1))-AVERAGE(OFFSET($H$3,0,0,'Données projet'!$E$12+1,1))</f>
        <v>401.1031790385295</v>
      </c>
      <c r="CE180" s="62">
        <f t="shared" si="148"/>
        <v>402.09589424130615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projet'!$B$12,Paramètres!$A$1:$I$88,3,0)*0.475*44/12</f>
        <v>2.044404621812836</v>
      </c>
      <c r="CL180" s="23">
        <f>EXP(-LN(2)/25)*CL179+(1-EXP(-LN(2)/25))/(LN(2)/25)*Calculateur!CG180*Calculateur!CI180*VLOOKUP('Données projet'!$B$12,Paramètres!$A$1:$I$88,3,0)*0.475*44/12</f>
        <v>0</v>
      </c>
      <c r="CM180" s="23">
        <f>EXP(-LN(2)/2)*CM179+(1-EXP(-LN(2)/2))/(LN(2)/2)*CG180*CJ180*VLOOKUP('Données projet'!$B$12,Paramètres!$A$1:$I$88,3,0)*0.475*44/12</f>
        <v>1.0184436701427895E-17</v>
      </c>
      <c r="CN180" s="24">
        <f t="shared" si="172"/>
        <v>2.044404621812836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544.19999999999982</v>
      </c>
      <c r="CU180" s="18">
        <f>CT180*VLOOKUP('Données projet'!$B$13,Paramètres!$A$1:$I$88,3,0)*VLOOKUP('Données projet'!$B$13,Paramètres!$A$1:$I$88,5,0)</f>
        <v>325.43159999999995</v>
      </c>
      <c r="CV180" s="14">
        <f t="shared" si="173"/>
        <v>76.482394221016762</v>
      </c>
      <c r="CW180" s="22">
        <f t="shared" si="174"/>
        <v>700.00020660160408</v>
      </c>
      <c r="CX180" s="62">
        <f t="shared" si="122"/>
        <v>989.19369302449934</v>
      </c>
      <c r="CY180" s="62">
        <f ca="1">AVERAGE(OFFSET($CX$3,0,0,'Données projet'!$E$13+1,1))-AVERAGE(OFFSET($H$3,0,0,'Données projet'!$E$13+1,1))</f>
        <v>401.1031790385295</v>
      </c>
      <c r="CZ180" s="62">
        <f t="shared" si="150"/>
        <v>402.09589424130615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projet'!$B$13,Paramètres!$A$1:$I$88,3,0)*0.475*44/12</f>
        <v>2.044404621812836</v>
      </c>
      <c r="DG180" s="23">
        <f>EXP(-LN(2)/25)*DG179+(1-EXP(-LN(2)/25))/(LN(2)/25)*Calculateur!DB180*Calculateur!DD180*VLOOKUP('Données projet'!$B$13,Paramètres!$A$1:$I$88,3,0)*0.475*44/12</f>
        <v>0</v>
      </c>
      <c r="DH180" s="23">
        <f>EXP(-LN(2)/2)*DH179+(1-EXP(-LN(2)/2))/(LN(2)/2)*DB180*DE180*VLOOKUP('Données projet'!$B$13,Paramètres!$A$1:$I$88,3,0)*0.475*44/12</f>
        <v>1.0184436701427895E-17</v>
      </c>
      <c r="DI180" s="24">
        <f t="shared" si="175"/>
        <v>2.044404621812836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860.00000000000023</v>
      </c>
      <c r="DP180" s="18">
        <f>DO180*VLOOKUP('Données projet'!$B$14,Paramètres!$A$1:$I$88,3,0)*VLOOKUP('Données projet'!$B$14,Paramètres!$A$1:$I$88,5,0)</f>
        <v>346.5800000000001</v>
      </c>
      <c r="DQ180" s="14">
        <f t="shared" si="176"/>
        <v>80.857895771535127</v>
      </c>
      <c r="DR180" s="22">
        <f t="shared" si="177"/>
        <v>744.45433513542378</v>
      </c>
      <c r="DS180" s="62">
        <f t="shared" si="125"/>
        <v>1033.647821558319</v>
      </c>
      <c r="DT180" s="62">
        <f ca="1">AVERAGE(OFFSET($DS$3,0,0,'Données projet'!$E$14+1,1))-AVERAGE(OFFSET($H$3,0,0,'Données projet'!$E$14+1,1))</f>
        <v>432.59662347701629</v>
      </c>
      <c r="DU180" s="62">
        <f t="shared" si="152"/>
        <v>348.67401091099748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projet'!$B$14,Paramètres!$A$1:$I$88,3,0)*0.475*44/12</f>
        <v>9.2093520966072671</v>
      </c>
      <c r="EB180" s="23">
        <f>EXP(-LN(2)/25)*EB179+(1-EXP(-LN(2)/25))/(LN(2)/25)*Calculateur!DW180*Calculateur!DY180*VLOOKUP('Données projet'!$B$14,Paramètres!$A$1:$I$88,3,0)*0.475*44/12</f>
        <v>4.722633474091932</v>
      </c>
      <c r="EC180" s="23">
        <f>EXP(-LN(2)/2)*EC179+(1-EXP(-LN(2)/2))/(LN(2)/2)*DW180*DZ180*VLOOKUP('Données projet'!$B$14,Paramètres!$A$1:$I$88,3,0)*0.475*44/12</f>
        <v>0</v>
      </c>
      <c r="ED180" s="24">
        <f t="shared" si="178"/>
        <v>13.931985570699199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1099.9999999999998</v>
      </c>
      <c r="EK180" s="18">
        <f>EJ180*VLOOKUP('Données projet'!$B$15,Paramètres!$A$1:$I$88,3,0)*VLOOKUP('Données projet'!$B$15,Paramètres!$A$1:$I$88,5,0)</f>
        <v>486.19999999999993</v>
      </c>
      <c r="EL180" s="14">
        <f t="shared" si="179"/>
        <v>109.0490179035375</v>
      </c>
      <c r="EM180" s="22">
        <f t="shared" si="180"/>
        <v>1036.725372848661</v>
      </c>
      <c r="EN180" s="62">
        <f t="shared" si="128"/>
        <v>1325.9188592715564</v>
      </c>
      <c r="EO180" s="62">
        <f ca="1">AVERAGE(OFFSET($EN$3,0,0,'Données projet'!$E$15+1,1))-AVERAGE(OFFSET($H$3,0,0,'Données projet'!$E$15+1,1))</f>
        <v>582.26951914082088</v>
      </c>
      <c r="EP180" s="62">
        <f t="shared" si="154"/>
        <v>434.80429932654715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projet'!$B$15,Paramètres!$A$1:$I$88,3,0)*0.475*44/12</f>
        <v>9.2796986984852712</v>
      </c>
      <c r="EW180" s="23">
        <f>EXP(-LN(2)/25)*EW179+(1-EXP(-LN(2)/25))/(LN(2)/25)*Calculateur!ER180*Calculateur!ET180*VLOOKUP('Données projet'!$B$15,Paramètres!$A$1:$I$88,3,0)*0.475*44/12</f>
        <v>4.2436537795735267</v>
      </c>
      <c r="EX180" s="23">
        <f>EXP(-LN(2)/2)*EX179+(1-EXP(-LN(2)/2))/(LN(2)/2)*ER180*EU180*VLOOKUP('Données projet'!$B$15,Paramètres!$A$1:$I$88,3,0)*0.475*44/12</f>
        <v>0</v>
      </c>
      <c r="EY180" s="24">
        <f t="shared" si="181"/>
        <v>13.523352478058797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854.99999999999989</v>
      </c>
      <c r="FF180" s="18">
        <f>FE180*VLOOKUP('Données projet'!$B$16,Paramètres!$A$1:$I$88,3,0)*VLOOKUP('Données projet'!$B$16,Paramètres!$A$1:$I$88,5,0)</f>
        <v>400.13999999999993</v>
      </c>
      <c r="FG180" s="14">
        <f t="shared" si="182"/>
        <v>91.805047494648534</v>
      </c>
      <c r="FH180" s="22">
        <f t="shared" si="183"/>
        <v>856.80429105317944</v>
      </c>
      <c r="FI180" s="62">
        <f t="shared" si="131"/>
        <v>1145.9977774760746</v>
      </c>
      <c r="FJ180" s="62">
        <f ca="1">AVERAGE(OFFSET($FI$3,0,0,'Données projet'!$E$16+1,1))-AVERAGE(OFFSET($H$3,0,0,'Données projet'!$E$16+1,1))</f>
        <v>429.87867712133851</v>
      </c>
      <c r="FK180" s="62">
        <f t="shared" si="156"/>
        <v>182.81277865988014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projet'!$B$16,Paramètres!$A$1:$I$88,3,0)*0.475*44/12</f>
        <v>11.067151169203738</v>
      </c>
      <c r="FR180" s="23">
        <f>EXP(-LN(2)/25)*FR179+(1-EXP(-LN(2)/25))/(LN(2)/25)*Calculateur!FM180*Calculateur!FO180*VLOOKUP('Données projet'!$B$16,Paramètres!$A$1:$I$88,3,0)*0.475*44/12</f>
        <v>5.3795576897345789</v>
      </c>
      <c r="FS180" s="23">
        <f>EXP(-LN(2)/2)*FS179+(1-EXP(-LN(2)/2))/(LN(2)/2)*FM180*FP180*VLOOKUP('Données projet'!$B$16,Paramètres!$A$1:$I$88,3,0)*0.475*44/12</f>
        <v>0</v>
      </c>
      <c r="FT180" s="24">
        <f t="shared" si="184"/>
        <v>16.446708858938315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498.99999999999955</v>
      </c>
      <c r="GA180" s="18">
        <f>FZ180*VLOOKUP('Données projet'!$B$17,Paramètres!$A$1:$I$88,3,0)*VLOOKUP('Données projet'!$B$17,Paramètres!$A$1:$I$88,5,0)</f>
        <v>240.01899999999978</v>
      </c>
      <c r="GB180" s="14">
        <f t="shared" si="185"/>
        <v>58.443618405936313</v>
      </c>
      <c r="GC180" s="22">
        <f t="shared" si="186"/>
        <v>519.82239372367201</v>
      </c>
      <c r="GD180" s="62">
        <f t="shared" si="134"/>
        <v>809.01588014656727</v>
      </c>
      <c r="GE180" s="62">
        <f ca="1">AVERAGE(OFFSET($GD$3,0,0,'Données projet'!$E$17+1,1))-AVERAGE(OFFSET($H$3,0,0,'Données projet'!$E$17+1,1))</f>
        <v>273.24375559399846</v>
      </c>
      <c r="GF180" s="62">
        <f t="shared" si="158"/>
        <v>270.77718895097848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projet'!$B$17,Paramètres!$A$1:$I$88,3,0)*0.475*44/12</f>
        <v>4.7387226487755001</v>
      </c>
      <c r="GM180" s="23">
        <f>EXP(-LN(2)/25)*GM179+(1-EXP(-LN(2)/25))/(LN(2)/25)*Calculateur!GH180*Calculateur!GJ180*VLOOKUP('Données projet'!$B$17,Paramètres!$A$1:$I$88,3,0)*0.475*44/12</f>
        <v>2.0697714427580824</v>
      </c>
      <c r="GN180" s="23">
        <f>EXP(-LN(2)/2)*GN179+(1-EXP(-LN(2)/2))/(LN(2)/2)*GH180*GK180*VLOOKUP('Données projet'!$B$17,Paramètres!$A$1:$I$88,3,0)*0.475*44/12</f>
        <v>0</v>
      </c>
      <c r="GO180" s="23">
        <f t="shared" si="187"/>
        <v>6.8084940915335821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550.99999999999966</v>
      </c>
      <c r="O181" s="14">
        <f>N181*VLOOKUP('Données projet'!$B$9,Paramètres!$A$1:$I$88,3,0)*VLOOKUP('Données projet'!$B$9,Paramètres!$A$1:$I$88,5,0)</f>
        <v>308.00899999999979</v>
      </c>
      <c r="P181" s="14">
        <f t="shared" si="141"/>
        <v>72.852874331417695</v>
      </c>
      <c r="Q181" s="22">
        <f t="shared" si="162"/>
        <v>663.33443112721886</v>
      </c>
      <c r="R181" s="62">
        <f t="shared" si="109"/>
        <v>952.59973463869903</v>
      </c>
      <c r="S181" s="62">
        <f ca="1">AVERAGE(OFFSET($R$3,0,0,'Données projet'!$E$9+1,1))-AVERAGE(OFFSET($H$3,0,0,'Données projet'!$E$9+1,1))</f>
        <v>289.94242154211224</v>
      </c>
      <c r="T181" s="62">
        <f t="shared" si="142"/>
        <v>369.12599166143661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7.128483619314653</v>
      </c>
      <c r="AA181" s="23">
        <f>EXP(-LN(2)/25)*AA180+(1-EXP(-LN(2)/25))/(LN(2)/25)*Calculateur!V181*Calculateur!X181*VLOOKUP('Données projet'!$B$9,Paramètres!$A$1:$I$88,3,0)*0.475*44/12</f>
        <v>2.535444243850475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9.663927863165128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projet'!$B$10,Paramètres!$A$1:$I$88,3,0)*VLOOKUP('Données projet'!$B$10,Paramètres!$A$1:$I$88,5,0)</f>
        <v>1.0286385077051818E-13</v>
      </c>
      <c r="AK181" s="14">
        <f t="shared" si="164"/>
        <v>1.5402366592183556E-12</v>
      </c>
      <c r="AL181" s="22">
        <f t="shared" si="165"/>
        <v>2.8617333882306215E-12</v>
      </c>
      <c r="AM181" s="62">
        <f t="shared" si="113"/>
        <v>289.26530351148301</v>
      </c>
      <c r="AN181" s="62">
        <f ca="1">AVERAGE(OFFSET($AM$3,0,0,'Données projet'!$E$10+1,1))-AVERAGE(OFFSET($H$3,0,0,'Données projet'!$E$10+1,1))</f>
        <v>518.31628039365785</v>
      </c>
      <c r="AO181" s="62">
        <f t="shared" si="144"/>
        <v>66.435071953154761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156.27943724670982</v>
      </c>
      <c r="AV181" s="23">
        <f>EXP(-LN(2)/25)*AV180+(1-EXP(-LN(2)/25))/(LN(2)/25)*Calculateur!AQ181*Calculateur!AS181*VLOOKUP('Données projet'!$B$10,Paramètres!$A$1:$I$88,3,0)*0.475*44/12</f>
        <v>0</v>
      </c>
      <c r="AW181" s="23">
        <f>EXP(-LN(2)/2)*AW180+(1-EXP(-LN(2)/2))/(LN(2)/2)*AQ181*AT181*VLOOKUP('Données projet'!$B$10,Paramètres!$A$1:$I$88,3,0)*0.475*44/12</f>
        <v>0</v>
      </c>
      <c r="AX181" s="23">
        <f t="shared" si="166"/>
        <v>156.27943724670982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projet'!$B$11,Paramètres!$A$1:$I$88,3,0)*VLOOKUP('Données projet'!$B$11,Paramètres!$A$1:$I$88,5,0)</f>
        <v>1.1527845344971866E-13</v>
      </c>
      <c r="BF181" s="14">
        <f t="shared" si="167"/>
        <v>1.7033846239409443E-12</v>
      </c>
      <c r="BG181" s="22">
        <f t="shared" si="168"/>
        <v>3.1675048597887374E-12</v>
      </c>
      <c r="BH181" s="62">
        <f t="shared" si="116"/>
        <v>289.26530351148335</v>
      </c>
      <c r="BI181" s="62">
        <f ca="1">AVERAGE(OFFSET($BH$3,0,0,'Données projet'!$E$11+1,1))-AVERAGE(OFFSET($H$3,0,0,'Données projet'!$E$11+1,1))</f>
        <v>570.2785736203931</v>
      </c>
      <c r="BJ181" s="62">
        <f t="shared" si="146"/>
        <v>67.677759965081719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175.14074863855407</v>
      </c>
      <c r="BQ181" s="23">
        <f>EXP(-LN(2)/25)*BQ180+(1-EXP(-LN(2)/25))/(LN(2)/25)*Calculateur!BL181*Calculateur!BN181*VLOOKUP('Données projet'!$B$11,Paramètres!$A$1:$I$88,3,0)*0.475*44/12</f>
        <v>0</v>
      </c>
      <c r="BR181" s="23">
        <f>EXP(-LN(2)/2)*BR180+(1-EXP(-LN(2)/2))/(LN(2)/2)*BL181*BO181*VLOOKUP('Données projet'!$B$11,Paramètres!$A$1:$I$88,3,0)*0.475*44/12</f>
        <v>0</v>
      </c>
      <c r="BS181" s="24">
        <f t="shared" si="169"/>
        <v>175.14074863855407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544.19999999999982</v>
      </c>
      <c r="BZ181" s="14">
        <f>BY181*VLOOKUP('Données projet'!$B$12,Paramètres!$A$1:$I$88,3,0)*VLOOKUP('Données projet'!$B$12,Paramètres!$A$1:$I$88,5,0)</f>
        <v>325.43159999999995</v>
      </c>
      <c r="CA181" s="14">
        <f t="shared" si="170"/>
        <v>76.482394221016762</v>
      </c>
      <c r="CB181" s="22">
        <f t="shared" si="171"/>
        <v>700.00020660160408</v>
      </c>
      <c r="CC181" s="62">
        <f t="shared" si="119"/>
        <v>989.26551011308425</v>
      </c>
      <c r="CD181" s="62">
        <f ca="1">AVERAGE(OFFSET($CC$3,0,0,'Données projet'!$E$12+1,1))-AVERAGE(OFFSET($H$3,0,0,'Données projet'!$E$12+1,1))</f>
        <v>401.1031790385295</v>
      </c>
      <c r="CE181" s="62">
        <f t="shared" si="148"/>
        <v>402.09589424130615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projet'!$B$12,Paramètres!$A$1:$I$88,3,0)*0.475*44/12</f>
        <v>2.0043150941427781</v>
      </c>
      <c r="CL181" s="23">
        <f>EXP(-LN(2)/25)*CL180+(1-EXP(-LN(2)/25))/(LN(2)/25)*Calculateur!CG181*Calculateur!CI181*VLOOKUP('Données projet'!$B$12,Paramètres!$A$1:$I$88,3,0)*0.475*44/12</f>
        <v>0</v>
      </c>
      <c r="CM181" s="23">
        <f>EXP(-LN(2)/2)*CM180+(1-EXP(-LN(2)/2))/(LN(2)/2)*CG181*CJ181*VLOOKUP('Données projet'!$B$12,Paramètres!$A$1:$I$88,3,0)*0.475*44/12</f>
        <v>7.2014842541448186E-18</v>
      </c>
      <c r="CN181" s="24">
        <f t="shared" si="172"/>
        <v>2.0043150941427781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544.19999999999982</v>
      </c>
      <c r="CU181" s="18">
        <f>CT181*VLOOKUP('Données projet'!$B$13,Paramètres!$A$1:$I$88,3,0)*VLOOKUP('Données projet'!$B$13,Paramètres!$A$1:$I$88,5,0)</f>
        <v>325.43159999999995</v>
      </c>
      <c r="CV181" s="14">
        <f t="shared" si="173"/>
        <v>76.482394221016762</v>
      </c>
      <c r="CW181" s="22">
        <f t="shared" si="174"/>
        <v>700.00020660160408</v>
      </c>
      <c r="CX181" s="62">
        <f t="shared" si="122"/>
        <v>989.26551011308425</v>
      </c>
      <c r="CY181" s="62">
        <f ca="1">AVERAGE(OFFSET($CX$3,0,0,'Données projet'!$E$13+1,1))-AVERAGE(OFFSET($H$3,0,0,'Données projet'!$E$13+1,1))</f>
        <v>401.1031790385295</v>
      </c>
      <c r="CZ181" s="62">
        <f t="shared" si="150"/>
        <v>402.09589424130615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projet'!$B$13,Paramètres!$A$1:$I$88,3,0)*0.475*44/12</f>
        <v>2.0043150941427781</v>
      </c>
      <c r="DG181" s="23">
        <f>EXP(-LN(2)/25)*DG180+(1-EXP(-LN(2)/25))/(LN(2)/25)*Calculateur!DB181*Calculateur!DD181*VLOOKUP('Données projet'!$B$13,Paramètres!$A$1:$I$88,3,0)*0.475*44/12</f>
        <v>0</v>
      </c>
      <c r="DH181" s="23">
        <f>EXP(-LN(2)/2)*DH180+(1-EXP(-LN(2)/2))/(LN(2)/2)*DB181*DE181*VLOOKUP('Données projet'!$B$13,Paramètres!$A$1:$I$88,3,0)*0.475*44/12</f>
        <v>7.2014842541448186E-18</v>
      </c>
      <c r="DI181" s="24">
        <f t="shared" si="175"/>
        <v>2.0043150941427781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860.00000000000023</v>
      </c>
      <c r="DP181" s="18">
        <f>DO181*VLOOKUP('Données projet'!$B$14,Paramètres!$A$1:$I$88,3,0)*VLOOKUP('Données projet'!$B$14,Paramètres!$A$1:$I$88,5,0)</f>
        <v>346.5800000000001</v>
      </c>
      <c r="DQ181" s="14">
        <f t="shared" si="176"/>
        <v>80.857895771535127</v>
      </c>
      <c r="DR181" s="22">
        <f t="shared" si="177"/>
        <v>744.45433513542378</v>
      </c>
      <c r="DS181" s="62">
        <f t="shared" si="125"/>
        <v>1033.7196386469041</v>
      </c>
      <c r="DT181" s="62">
        <f ca="1">AVERAGE(OFFSET($DS$3,0,0,'Données projet'!$E$14+1,1))-AVERAGE(OFFSET($H$3,0,0,'Données projet'!$E$14+1,1))</f>
        <v>432.59662347701629</v>
      </c>
      <c r="DU181" s="62">
        <f t="shared" si="152"/>
        <v>348.67401091099748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projet'!$B$14,Paramètres!$A$1:$I$88,3,0)*0.475*44/12</f>
        <v>9.0287623191429294</v>
      </c>
      <c r="EB181" s="23">
        <f>EXP(-LN(2)/25)*EB180+(1-EXP(-LN(2)/25))/(LN(2)/25)*Calculateur!DW181*Calculateur!DY181*VLOOKUP('Données projet'!$B$14,Paramètres!$A$1:$I$88,3,0)*0.475*44/12</f>
        <v>4.5934928133903874</v>
      </c>
      <c r="EC181" s="23">
        <f>EXP(-LN(2)/2)*EC180+(1-EXP(-LN(2)/2))/(LN(2)/2)*DW181*DZ181*VLOOKUP('Données projet'!$B$14,Paramètres!$A$1:$I$88,3,0)*0.475*44/12</f>
        <v>0</v>
      </c>
      <c r="ED181" s="24">
        <f t="shared" si="178"/>
        <v>13.622255132533317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1099.9999999999998</v>
      </c>
      <c r="EK181" s="18">
        <f>EJ181*VLOOKUP('Données projet'!$B$15,Paramètres!$A$1:$I$88,3,0)*VLOOKUP('Données projet'!$B$15,Paramètres!$A$1:$I$88,5,0)</f>
        <v>486.19999999999993</v>
      </c>
      <c r="EL181" s="14">
        <f t="shared" si="179"/>
        <v>109.0490179035375</v>
      </c>
      <c r="EM181" s="22">
        <f t="shared" si="180"/>
        <v>1036.725372848661</v>
      </c>
      <c r="EN181" s="62">
        <f t="shared" si="128"/>
        <v>1325.9906763601412</v>
      </c>
      <c r="EO181" s="62">
        <f ca="1">AVERAGE(OFFSET($EN$3,0,0,'Données projet'!$E$15+1,1))-AVERAGE(OFFSET($H$3,0,0,'Données projet'!$E$15+1,1))</f>
        <v>582.26951914082088</v>
      </c>
      <c r="EP181" s="62">
        <f t="shared" si="154"/>
        <v>434.80429932654715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projet'!$B$15,Paramètres!$A$1:$I$88,3,0)*0.475*44/12</f>
        <v>9.0977294670652977</v>
      </c>
      <c r="EW181" s="23">
        <f>EXP(-LN(2)/25)*EW180+(1-EXP(-LN(2)/25))/(LN(2)/25)*Calculateur!ER181*Calculateur!ET181*VLOOKUP('Données projet'!$B$15,Paramètres!$A$1:$I$88,3,0)*0.475*44/12</f>
        <v>4.1276108438070356</v>
      </c>
      <c r="EX181" s="23">
        <f>EXP(-LN(2)/2)*EX180+(1-EXP(-LN(2)/2))/(LN(2)/2)*ER181*EU181*VLOOKUP('Données projet'!$B$15,Paramètres!$A$1:$I$88,3,0)*0.475*44/12</f>
        <v>0</v>
      </c>
      <c r="EY181" s="24">
        <f t="shared" si="181"/>
        <v>13.225340310872333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854.99999999999989</v>
      </c>
      <c r="FF181" s="18">
        <f>FE181*VLOOKUP('Données projet'!$B$16,Paramètres!$A$1:$I$88,3,0)*VLOOKUP('Données projet'!$B$16,Paramètres!$A$1:$I$88,5,0)</f>
        <v>400.13999999999993</v>
      </c>
      <c r="FG181" s="14">
        <f t="shared" si="182"/>
        <v>91.805047494648534</v>
      </c>
      <c r="FH181" s="22">
        <f t="shared" si="183"/>
        <v>856.80429105317944</v>
      </c>
      <c r="FI181" s="62">
        <f t="shared" si="131"/>
        <v>1146.0695945646596</v>
      </c>
      <c r="FJ181" s="62">
        <f ca="1">AVERAGE(OFFSET($FI$3,0,0,'Données projet'!$E$16+1,1))-AVERAGE(OFFSET($H$3,0,0,'Données projet'!$E$16+1,1))</f>
        <v>429.87867712133851</v>
      </c>
      <c r="FK181" s="62">
        <f t="shared" si="156"/>
        <v>182.81277865988014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projet'!$B$16,Paramètres!$A$1:$I$88,3,0)*0.475*44/12</f>
        <v>10.850131085071329</v>
      </c>
      <c r="FR181" s="23">
        <f>EXP(-LN(2)/25)*FR180+(1-EXP(-LN(2)/25))/(LN(2)/25)*Calculateur!FM181*Calculateur!FO181*VLOOKUP('Données projet'!$B$16,Paramètres!$A$1:$I$88,3,0)*0.475*44/12</f>
        <v>5.232453401810143</v>
      </c>
      <c r="FS181" s="23">
        <f>EXP(-LN(2)/2)*FS180+(1-EXP(-LN(2)/2))/(LN(2)/2)*FM181*FP181*VLOOKUP('Données projet'!$B$16,Paramètres!$A$1:$I$88,3,0)*0.475*44/12</f>
        <v>0</v>
      </c>
      <c r="FT181" s="24">
        <f t="shared" si="184"/>
        <v>16.082584486881473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498.99999999999955</v>
      </c>
      <c r="GA181" s="18">
        <f>FZ181*VLOOKUP('Données projet'!$B$17,Paramètres!$A$1:$I$88,3,0)*VLOOKUP('Données projet'!$B$17,Paramètres!$A$1:$I$88,5,0)</f>
        <v>240.01899999999978</v>
      </c>
      <c r="GB181" s="14">
        <f t="shared" si="185"/>
        <v>58.443618405936313</v>
      </c>
      <c r="GC181" s="22">
        <f t="shared" si="186"/>
        <v>519.82239372367201</v>
      </c>
      <c r="GD181" s="62">
        <f t="shared" si="134"/>
        <v>809.08769723515218</v>
      </c>
      <c r="GE181" s="62">
        <f ca="1">AVERAGE(OFFSET($GD$3,0,0,'Données projet'!$E$17+1,1))-AVERAGE(OFFSET($H$3,0,0,'Données projet'!$E$17+1,1))</f>
        <v>273.24375559399846</v>
      </c>
      <c r="GF181" s="62">
        <f t="shared" si="158"/>
        <v>270.77718895097848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projet'!$B$17,Paramètres!$A$1:$I$88,3,0)*0.475*44/12</f>
        <v>4.6457991879684313</v>
      </c>
      <c r="GM181" s="23">
        <f>EXP(-LN(2)/25)*GM180+(1-EXP(-LN(2)/25))/(LN(2)/25)*Calculateur!GH181*Calculateur!GJ181*VLOOKUP('Données projet'!$B$17,Paramètres!$A$1:$I$88,3,0)*0.475*44/12</f>
        <v>2.0131734338113132</v>
      </c>
      <c r="GN181" s="23">
        <f>EXP(-LN(2)/2)*GN180+(1-EXP(-LN(2)/2))/(LN(2)/2)*GH181*GK181*VLOOKUP('Données projet'!$B$17,Paramètres!$A$1:$I$88,3,0)*0.475*44/12</f>
        <v>0</v>
      </c>
      <c r="GO181" s="23">
        <f t="shared" si="187"/>
        <v>6.6589726217797445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550.99999999999966</v>
      </c>
      <c r="O182" s="14">
        <f>N182*VLOOKUP('Données projet'!$B$9,Paramètres!$A$1:$I$88,3,0)*VLOOKUP('Données projet'!$B$9,Paramètres!$A$1:$I$88,5,0)</f>
        <v>308.00899999999979</v>
      </c>
      <c r="P182" s="14">
        <f t="shared" si="141"/>
        <v>72.852874331417695</v>
      </c>
      <c r="Q182" s="22">
        <f t="shared" si="162"/>
        <v>663.33443112721886</v>
      </c>
      <c r="R182" s="62">
        <f t="shared" si="109"/>
        <v>952.67030586135593</v>
      </c>
      <c r="S182" s="62">
        <f ca="1">AVERAGE(OFFSET($R$3,0,0,'Données projet'!$E$9+1,1))-AVERAGE(OFFSET($H$3,0,0,'Données projet'!$E$9+1,1))</f>
        <v>289.94242154211224</v>
      </c>
      <c r="T182" s="62">
        <f t="shared" si="142"/>
        <v>369.12599166143661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6.9886984034855768</v>
      </c>
      <c r="AA182" s="23">
        <f>EXP(-LN(2)/25)*AA181+(1-EXP(-LN(2)/25))/(LN(2)/25)*Calculateur!V182*Calculateur!X182*VLOOKUP('Données projet'!$B$9,Paramètres!$A$1:$I$88,3,0)*0.475*44/12</f>
        <v>2.466112387669166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9.4548107911547419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projet'!$B$10,Paramètres!$A$1:$I$88,3,0)*VLOOKUP('Données projet'!$B$10,Paramètres!$A$1:$I$88,5,0)</f>
        <v>1.0286385077051818E-13</v>
      </c>
      <c r="AK182" s="14">
        <f t="shared" si="164"/>
        <v>1.5402366592183556E-12</v>
      </c>
      <c r="AL182" s="22">
        <f t="shared" si="165"/>
        <v>2.8617333882306215E-12</v>
      </c>
      <c r="AM182" s="62">
        <f t="shared" si="113"/>
        <v>289.33587473413996</v>
      </c>
      <c r="AN182" s="62">
        <f ca="1">AVERAGE(OFFSET($AM$3,0,0,'Données projet'!$E$10+1,1))-AVERAGE(OFFSET($H$3,0,0,'Données projet'!$E$10+1,1))</f>
        <v>518.31628039365785</v>
      </c>
      <c r="AO182" s="62">
        <f t="shared" si="144"/>
        <v>66.435071953154761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153.2148928033464</v>
      </c>
      <c r="AV182" s="23">
        <f>EXP(-LN(2)/25)*AV181+(1-EXP(-LN(2)/25))/(LN(2)/25)*Calculateur!AQ182*Calculateur!AS182*VLOOKUP('Données projet'!$B$10,Paramètres!$A$1:$I$88,3,0)*0.475*44/12</f>
        <v>0</v>
      </c>
      <c r="AW182" s="23">
        <f>EXP(-LN(2)/2)*AW181+(1-EXP(-LN(2)/2))/(LN(2)/2)*AQ182*AT182*VLOOKUP('Données projet'!$B$10,Paramètres!$A$1:$I$88,3,0)*0.475*44/12</f>
        <v>0</v>
      </c>
      <c r="AX182" s="23">
        <f t="shared" si="166"/>
        <v>153.2148928033464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projet'!$B$11,Paramètres!$A$1:$I$88,3,0)*VLOOKUP('Données projet'!$B$11,Paramètres!$A$1:$I$88,5,0)</f>
        <v>1.1527845344971866E-13</v>
      </c>
      <c r="BF182" s="14">
        <f t="shared" si="167"/>
        <v>1.7033846239409443E-12</v>
      </c>
      <c r="BG182" s="22">
        <f t="shared" si="168"/>
        <v>3.1675048597887374E-12</v>
      </c>
      <c r="BH182" s="62">
        <f t="shared" si="116"/>
        <v>289.3358747341403</v>
      </c>
      <c r="BI182" s="62">
        <f ca="1">AVERAGE(OFFSET($BH$3,0,0,'Données projet'!$E$11+1,1))-AVERAGE(OFFSET($H$3,0,0,'Données projet'!$E$11+1,1))</f>
        <v>570.2785736203931</v>
      </c>
      <c r="BJ182" s="62">
        <f t="shared" si="146"/>
        <v>67.677759965081719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171.70634538306058</v>
      </c>
      <c r="BQ182" s="23">
        <f>EXP(-LN(2)/25)*BQ181+(1-EXP(-LN(2)/25))/(LN(2)/25)*Calculateur!BL182*Calculateur!BN182*VLOOKUP('Données projet'!$B$11,Paramètres!$A$1:$I$88,3,0)*0.475*44/12</f>
        <v>0</v>
      </c>
      <c r="BR182" s="23">
        <f>EXP(-LN(2)/2)*BR181+(1-EXP(-LN(2)/2))/(LN(2)/2)*BL182*BO182*VLOOKUP('Données projet'!$B$11,Paramètres!$A$1:$I$88,3,0)*0.475*44/12</f>
        <v>0</v>
      </c>
      <c r="BS182" s="24">
        <f t="shared" si="169"/>
        <v>171.70634538306058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544.19999999999982</v>
      </c>
      <c r="BZ182" s="14">
        <f>BY182*VLOOKUP('Données projet'!$B$12,Paramètres!$A$1:$I$88,3,0)*VLOOKUP('Données projet'!$B$12,Paramètres!$A$1:$I$88,5,0)</f>
        <v>325.43159999999995</v>
      </c>
      <c r="CA182" s="14">
        <f t="shared" si="170"/>
        <v>76.482394221016762</v>
      </c>
      <c r="CB182" s="22">
        <f t="shared" si="171"/>
        <v>700.00020660160408</v>
      </c>
      <c r="CC182" s="62">
        <f t="shared" si="119"/>
        <v>989.33608133574126</v>
      </c>
      <c r="CD182" s="62">
        <f ca="1">AVERAGE(OFFSET($CC$3,0,0,'Données projet'!$E$12+1,1))-AVERAGE(OFFSET($H$3,0,0,'Données projet'!$E$12+1,1))</f>
        <v>401.1031790385295</v>
      </c>
      <c r="CE182" s="62">
        <f t="shared" si="148"/>
        <v>402.09589424130615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projet'!$B$12,Paramètres!$A$1:$I$88,3,0)*0.475*44/12</f>
        <v>1.9650116976581327</v>
      </c>
      <c r="CL182" s="23">
        <f>EXP(-LN(2)/25)*CL181+(1-EXP(-LN(2)/25))/(LN(2)/25)*Calculateur!CG182*Calculateur!CI182*VLOOKUP('Données projet'!$B$12,Paramètres!$A$1:$I$88,3,0)*0.475*44/12</f>
        <v>0</v>
      </c>
      <c r="CM182" s="23">
        <f>EXP(-LN(2)/2)*CM181+(1-EXP(-LN(2)/2))/(LN(2)/2)*CG182*CJ182*VLOOKUP('Données projet'!$B$12,Paramètres!$A$1:$I$88,3,0)*0.475*44/12</f>
        <v>5.0922183507139477E-18</v>
      </c>
      <c r="CN182" s="24">
        <f t="shared" si="172"/>
        <v>1.9650116976581327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544.19999999999982</v>
      </c>
      <c r="CU182" s="18">
        <f>CT182*VLOOKUP('Données projet'!$B$13,Paramètres!$A$1:$I$88,3,0)*VLOOKUP('Données projet'!$B$13,Paramètres!$A$1:$I$88,5,0)</f>
        <v>325.43159999999995</v>
      </c>
      <c r="CV182" s="14">
        <f t="shared" si="173"/>
        <v>76.482394221016762</v>
      </c>
      <c r="CW182" s="22">
        <f t="shared" si="174"/>
        <v>700.00020660160408</v>
      </c>
      <c r="CX182" s="62">
        <f t="shared" si="122"/>
        <v>989.33608133574126</v>
      </c>
      <c r="CY182" s="62">
        <f ca="1">AVERAGE(OFFSET($CX$3,0,0,'Données projet'!$E$13+1,1))-AVERAGE(OFFSET($H$3,0,0,'Données projet'!$E$13+1,1))</f>
        <v>401.1031790385295</v>
      </c>
      <c r="CZ182" s="62">
        <f t="shared" si="150"/>
        <v>402.09589424130615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projet'!$B$13,Paramètres!$A$1:$I$88,3,0)*0.475*44/12</f>
        <v>1.9650116976581327</v>
      </c>
      <c r="DG182" s="23">
        <f>EXP(-LN(2)/25)*DG181+(1-EXP(-LN(2)/25))/(LN(2)/25)*Calculateur!DB182*Calculateur!DD182*VLOOKUP('Données projet'!$B$13,Paramètres!$A$1:$I$88,3,0)*0.475*44/12</f>
        <v>0</v>
      </c>
      <c r="DH182" s="23">
        <f>EXP(-LN(2)/2)*DH181+(1-EXP(-LN(2)/2))/(LN(2)/2)*DB182*DE182*VLOOKUP('Données projet'!$B$13,Paramètres!$A$1:$I$88,3,0)*0.475*44/12</f>
        <v>5.0922183507139477E-18</v>
      </c>
      <c r="DI182" s="24">
        <f t="shared" si="175"/>
        <v>1.9650116976581327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860.00000000000023</v>
      </c>
      <c r="DP182" s="18">
        <f>DO182*VLOOKUP('Données projet'!$B$14,Paramètres!$A$1:$I$88,3,0)*VLOOKUP('Données projet'!$B$14,Paramètres!$A$1:$I$88,5,0)</f>
        <v>346.5800000000001</v>
      </c>
      <c r="DQ182" s="14">
        <f t="shared" si="176"/>
        <v>80.857895771535127</v>
      </c>
      <c r="DR182" s="22">
        <f t="shared" si="177"/>
        <v>744.45433513542378</v>
      </c>
      <c r="DS182" s="62">
        <f t="shared" si="125"/>
        <v>1033.7902098695608</v>
      </c>
      <c r="DT182" s="62">
        <f ca="1">AVERAGE(OFFSET($DS$3,0,0,'Données projet'!$E$14+1,1))-AVERAGE(OFFSET($H$3,0,0,'Données projet'!$E$14+1,1))</f>
        <v>432.59662347701629</v>
      </c>
      <c r="DU182" s="62">
        <f t="shared" si="152"/>
        <v>348.67401091099748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projet'!$B$14,Paramètres!$A$1:$I$88,3,0)*0.475*44/12</f>
        <v>8.8517137970657807</v>
      </c>
      <c r="EB182" s="23">
        <f>EXP(-LN(2)/25)*EB181+(1-EXP(-LN(2)/25))/(LN(2)/25)*Calculateur!DW182*Calculateur!DY182*VLOOKUP('Données projet'!$B$14,Paramètres!$A$1:$I$88,3,0)*0.475*44/12</f>
        <v>4.4678835108469386</v>
      </c>
      <c r="EC182" s="23">
        <f>EXP(-LN(2)/2)*EC181+(1-EXP(-LN(2)/2))/(LN(2)/2)*DW182*DZ182*VLOOKUP('Données projet'!$B$14,Paramètres!$A$1:$I$88,3,0)*0.475*44/12</f>
        <v>0</v>
      </c>
      <c r="ED182" s="24">
        <f t="shared" si="178"/>
        <v>13.319597307912719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1099.9999999999998</v>
      </c>
      <c r="EK182" s="18">
        <f>EJ182*VLOOKUP('Données projet'!$B$15,Paramètres!$A$1:$I$88,3,0)*VLOOKUP('Données projet'!$B$15,Paramètres!$A$1:$I$88,5,0)</f>
        <v>486.19999999999993</v>
      </c>
      <c r="EL182" s="14">
        <f t="shared" si="179"/>
        <v>109.0490179035375</v>
      </c>
      <c r="EM182" s="22">
        <f t="shared" si="180"/>
        <v>1036.725372848661</v>
      </c>
      <c r="EN182" s="62">
        <f t="shared" si="128"/>
        <v>1326.0612475827982</v>
      </c>
      <c r="EO182" s="62">
        <f ca="1">AVERAGE(OFFSET($EN$3,0,0,'Données projet'!$E$15+1,1))-AVERAGE(OFFSET($H$3,0,0,'Données projet'!$E$15+1,1))</f>
        <v>582.26951914082088</v>
      </c>
      <c r="EP182" s="62">
        <f t="shared" si="154"/>
        <v>434.80429932654715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projet'!$B$15,Paramètres!$A$1:$I$88,3,0)*0.475*44/12</f>
        <v>8.919328541283198</v>
      </c>
      <c r="EW182" s="23">
        <f>EXP(-LN(2)/25)*EW181+(1-EXP(-LN(2)/25))/(LN(2)/25)*Calculateur!ER182*Calculateur!ET182*VLOOKUP('Données projet'!$B$15,Paramètres!$A$1:$I$88,3,0)*0.475*44/12</f>
        <v>4.0147411082215116</v>
      </c>
      <c r="EX182" s="23">
        <f>EXP(-LN(2)/2)*EX181+(1-EXP(-LN(2)/2))/(LN(2)/2)*ER182*EU182*VLOOKUP('Données projet'!$B$15,Paramètres!$A$1:$I$88,3,0)*0.475*44/12</f>
        <v>0</v>
      </c>
      <c r="EY182" s="24">
        <f t="shared" si="181"/>
        <v>12.93406964950471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854.99999999999989</v>
      </c>
      <c r="FF182" s="18">
        <f>FE182*VLOOKUP('Données projet'!$B$16,Paramètres!$A$1:$I$88,3,0)*VLOOKUP('Données projet'!$B$16,Paramètres!$A$1:$I$88,5,0)</f>
        <v>400.13999999999993</v>
      </c>
      <c r="FG182" s="14">
        <f t="shared" si="182"/>
        <v>91.805047494648534</v>
      </c>
      <c r="FH182" s="22">
        <f t="shared" si="183"/>
        <v>856.80429105317944</v>
      </c>
      <c r="FI182" s="62">
        <f t="shared" si="131"/>
        <v>1146.1401657873166</v>
      </c>
      <c r="FJ182" s="62">
        <f ca="1">AVERAGE(OFFSET($FI$3,0,0,'Données projet'!$E$16+1,1))-AVERAGE(OFFSET($H$3,0,0,'Données projet'!$E$16+1,1))</f>
        <v>429.87867712133851</v>
      </c>
      <c r="FK182" s="62">
        <f t="shared" si="156"/>
        <v>182.81277865988014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projet'!$B$16,Paramètres!$A$1:$I$88,3,0)*0.475*44/12</f>
        <v>10.637366632419576</v>
      </c>
      <c r="FR182" s="23">
        <f>EXP(-LN(2)/25)*FR181+(1-EXP(-LN(2)/25))/(LN(2)/25)*Calculateur!FM182*Calculateur!FO182*VLOOKUP('Données projet'!$B$16,Paramètres!$A$1:$I$88,3,0)*0.475*44/12</f>
        <v>5.0893716883748787</v>
      </c>
      <c r="FS182" s="23">
        <f>EXP(-LN(2)/2)*FS181+(1-EXP(-LN(2)/2))/(LN(2)/2)*FM182*FP182*VLOOKUP('Données projet'!$B$16,Paramètres!$A$1:$I$88,3,0)*0.475*44/12</f>
        <v>0</v>
      </c>
      <c r="FT182" s="24">
        <f t="shared" si="184"/>
        <v>15.726738320794455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498.99999999999955</v>
      </c>
      <c r="GA182" s="18">
        <f>FZ182*VLOOKUP('Données projet'!$B$17,Paramètres!$A$1:$I$88,3,0)*VLOOKUP('Données projet'!$B$17,Paramètres!$A$1:$I$88,5,0)</f>
        <v>240.01899999999978</v>
      </c>
      <c r="GB182" s="14">
        <f t="shared" si="185"/>
        <v>58.443618405936313</v>
      </c>
      <c r="GC182" s="22">
        <f t="shared" si="186"/>
        <v>519.82239372367201</v>
      </c>
      <c r="GD182" s="62">
        <f t="shared" si="134"/>
        <v>809.15826845780907</v>
      </c>
      <c r="GE182" s="62">
        <f ca="1">AVERAGE(OFFSET($GD$3,0,0,'Données projet'!$E$17+1,1))-AVERAGE(OFFSET($H$3,0,0,'Données projet'!$E$17+1,1))</f>
        <v>273.24375559399846</v>
      </c>
      <c r="GF182" s="62">
        <f t="shared" si="158"/>
        <v>270.77718895097848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projet'!$B$17,Paramètres!$A$1:$I$88,3,0)*0.475*44/12</f>
        <v>4.5546978995500744</v>
      </c>
      <c r="GM182" s="23">
        <f>EXP(-LN(2)/25)*GM181+(1-EXP(-LN(2)/25))/(LN(2)/25)*Calculateur!GH182*Calculateur!GJ182*VLOOKUP('Données projet'!$B$17,Paramètres!$A$1:$I$88,3,0)*0.475*44/12</f>
        <v>1.958123100395553</v>
      </c>
      <c r="GN182" s="23">
        <f>EXP(-LN(2)/2)*GN181+(1-EXP(-LN(2)/2))/(LN(2)/2)*GH182*GK182*VLOOKUP('Données projet'!$B$17,Paramètres!$A$1:$I$88,3,0)*0.475*44/12</f>
        <v>0</v>
      </c>
      <c r="GO182" s="23">
        <f t="shared" si="187"/>
        <v>6.5128209999456272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550.99999999999966</v>
      </c>
      <c r="O183" s="14">
        <f>N183*VLOOKUP('Données projet'!$B$9,Paramètres!$A$1:$I$88,3,0)*VLOOKUP('Données projet'!$B$9,Paramètres!$A$1:$I$88,5,0)</f>
        <v>308.00899999999979</v>
      </c>
      <c r="P183" s="14">
        <f t="shared" si="141"/>
        <v>72.852874331417695</v>
      </c>
      <c r="Q183" s="22">
        <f t="shared" si="162"/>
        <v>663.33443112721886</v>
      </c>
      <c r="R183" s="62">
        <f t="shared" si="109"/>
        <v>952.7396528310735</v>
      </c>
      <c r="S183" s="62">
        <f ca="1">AVERAGE(OFFSET($R$3,0,0,'Données projet'!$E$9+1,1))-AVERAGE(OFFSET($H$3,0,0,'Données projet'!$E$9+1,1))</f>
        <v>289.94242154211224</v>
      </c>
      <c r="T183" s="62">
        <f t="shared" si="142"/>
        <v>369.12599166143661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6.8516542904783453</v>
      </c>
      <c r="AA183" s="23">
        <f>EXP(-LN(2)/25)*AA182+(1-EXP(-LN(2)/25))/(LN(2)/25)*Calculateur!V183*Calculateur!X183*VLOOKUP('Données projet'!$B$9,Paramètres!$A$1:$I$88,3,0)*0.475*44/12</f>
        <v>2.3986764147411384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9.2503307052194828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projet'!$B$10,Paramètres!$A$1:$I$88,3,0)*VLOOKUP('Données projet'!$B$10,Paramètres!$A$1:$I$88,5,0)</f>
        <v>1.0286385077051818E-13</v>
      </c>
      <c r="AK183" s="14">
        <f t="shared" si="164"/>
        <v>1.5402366592183556E-12</v>
      </c>
      <c r="AL183" s="22">
        <f t="shared" si="165"/>
        <v>2.8617333882306215E-12</v>
      </c>
      <c r="AM183" s="62">
        <f t="shared" si="113"/>
        <v>289.40522170385748</v>
      </c>
      <c r="AN183" s="62">
        <f ca="1">AVERAGE(OFFSET($AM$3,0,0,'Données projet'!$E$10+1,1))-AVERAGE(OFFSET($H$3,0,0,'Données projet'!$E$10+1,1))</f>
        <v>518.31628039365785</v>
      </c>
      <c r="AO183" s="62">
        <f t="shared" si="144"/>
        <v>66.435071953154761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150.21044220732978</v>
      </c>
      <c r="AV183" s="23">
        <f>EXP(-LN(2)/25)*AV182+(1-EXP(-LN(2)/25))/(LN(2)/25)*Calculateur!AQ183*Calculateur!AS183*VLOOKUP('Données projet'!$B$10,Paramètres!$A$1:$I$88,3,0)*0.475*44/12</f>
        <v>0</v>
      </c>
      <c r="AW183" s="23">
        <f>EXP(-LN(2)/2)*AW182+(1-EXP(-LN(2)/2))/(LN(2)/2)*AQ183*AT183*VLOOKUP('Données projet'!$B$10,Paramètres!$A$1:$I$88,3,0)*0.475*44/12</f>
        <v>0</v>
      </c>
      <c r="AX183" s="23">
        <f t="shared" si="166"/>
        <v>150.21044220732978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projet'!$B$11,Paramètres!$A$1:$I$88,3,0)*VLOOKUP('Données projet'!$B$11,Paramètres!$A$1:$I$88,5,0)</f>
        <v>1.1527845344971866E-13</v>
      </c>
      <c r="BF183" s="14">
        <f t="shared" si="167"/>
        <v>1.7033846239409443E-12</v>
      </c>
      <c r="BG183" s="22">
        <f t="shared" si="168"/>
        <v>3.1675048597887374E-12</v>
      </c>
      <c r="BH183" s="62">
        <f t="shared" si="116"/>
        <v>289.40522170385782</v>
      </c>
      <c r="BI183" s="62">
        <f ca="1">AVERAGE(OFFSET($BH$3,0,0,'Données projet'!$E$11+1,1))-AVERAGE(OFFSET($H$3,0,0,'Données projet'!$E$11+1,1))</f>
        <v>570.2785736203931</v>
      </c>
      <c r="BJ183" s="62">
        <f t="shared" si="146"/>
        <v>67.677759965081719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168.33928868062816</v>
      </c>
      <c r="BQ183" s="23">
        <f>EXP(-LN(2)/25)*BQ182+(1-EXP(-LN(2)/25))/(LN(2)/25)*Calculateur!BL183*Calculateur!BN183*VLOOKUP('Données projet'!$B$11,Paramètres!$A$1:$I$88,3,0)*0.475*44/12</f>
        <v>0</v>
      </c>
      <c r="BR183" s="23">
        <f>EXP(-LN(2)/2)*BR182+(1-EXP(-LN(2)/2))/(LN(2)/2)*BL183*BO183*VLOOKUP('Données projet'!$B$11,Paramètres!$A$1:$I$88,3,0)*0.475*44/12</f>
        <v>0</v>
      </c>
      <c r="BS183" s="24">
        <f t="shared" si="169"/>
        <v>168.33928868062816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544.19999999999982</v>
      </c>
      <c r="BZ183" s="14">
        <f>BY183*VLOOKUP('Données projet'!$B$12,Paramètres!$A$1:$I$88,3,0)*VLOOKUP('Données projet'!$B$12,Paramètres!$A$1:$I$88,5,0)</f>
        <v>325.43159999999995</v>
      </c>
      <c r="CA183" s="14">
        <f t="shared" si="170"/>
        <v>76.482394221016762</v>
      </c>
      <c r="CB183" s="22">
        <f t="shared" si="171"/>
        <v>700.00020660160408</v>
      </c>
      <c r="CC183" s="62">
        <f t="shared" si="119"/>
        <v>989.40542830545871</v>
      </c>
      <c r="CD183" s="62">
        <f ca="1">AVERAGE(OFFSET($CC$3,0,0,'Données projet'!$E$12+1,1))-AVERAGE(OFFSET($H$3,0,0,'Données projet'!$E$12+1,1))</f>
        <v>401.1031790385295</v>
      </c>
      <c r="CE183" s="62">
        <f t="shared" si="148"/>
        <v>402.09589424130615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projet'!$B$12,Paramètres!$A$1:$I$88,3,0)*0.475*44/12</f>
        <v>1.9264790168058463</v>
      </c>
      <c r="CL183" s="23">
        <f>EXP(-LN(2)/25)*CL182+(1-EXP(-LN(2)/25))/(LN(2)/25)*Calculateur!CG183*Calculateur!CI183*VLOOKUP('Données projet'!$B$12,Paramètres!$A$1:$I$88,3,0)*0.475*44/12</f>
        <v>0</v>
      </c>
      <c r="CM183" s="23">
        <f>EXP(-LN(2)/2)*CM182+(1-EXP(-LN(2)/2))/(LN(2)/2)*CG183*CJ183*VLOOKUP('Données projet'!$B$12,Paramètres!$A$1:$I$88,3,0)*0.475*44/12</f>
        <v>3.6007421270724093E-18</v>
      </c>
      <c r="CN183" s="24">
        <f t="shared" si="172"/>
        <v>1.9264790168058463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544.19999999999982</v>
      </c>
      <c r="CU183" s="18">
        <f>CT183*VLOOKUP('Données projet'!$B$13,Paramètres!$A$1:$I$88,3,0)*VLOOKUP('Données projet'!$B$13,Paramètres!$A$1:$I$88,5,0)</f>
        <v>325.43159999999995</v>
      </c>
      <c r="CV183" s="14">
        <f t="shared" si="173"/>
        <v>76.482394221016762</v>
      </c>
      <c r="CW183" s="22">
        <f t="shared" si="174"/>
        <v>700.00020660160408</v>
      </c>
      <c r="CX183" s="62">
        <f t="shared" si="122"/>
        <v>989.40542830545871</v>
      </c>
      <c r="CY183" s="62">
        <f ca="1">AVERAGE(OFFSET($CX$3,0,0,'Données projet'!$E$13+1,1))-AVERAGE(OFFSET($H$3,0,0,'Données projet'!$E$13+1,1))</f>
        <v>401.1031790385295</v>
      </c>
      <c r="CZ183" s="62">
        <f t="shared" si="150"/>
        <v>402.09589424130615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projet'!$B$13,Paramètres!$A$1:$I$88,3,0)*0.475*44/12</f>
        <v>1.9264790168058463</v>
      </c>
      <c r="DG183" s="23">
        <f>EXP(-LN(2)/25)*DG182+(1-EXP(-LN(2)/25))/(LN(2)/25)*Calculateur!DB183*Calculateur!DD183*VLOOKUP('Données projet'!$B$13,Paramètres!$A$1:$I$88,3,0)*0.475*44/12</f>
        <v>0</v>
      </c>
      <c r="DH183" s="23">
        <f>EXP(-LN(2)/2)*DH182+(1-EXP(-LN(2)/2))/(LN(2)/2)*DB183*DE183*VLOOKUP('Données projet'!$B$13,Paramètres!$A$1:$I$88,3,0)*0.475*44/12</f>
        <v>3.6007421270724093E-18</v>
      </c>
      <c r="DI183" s="24">
        <f t="shared" si="175"/>
        <v>1.9264790168058463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860.00000000000023</v>
      </c>
      <c r="DP183" s="18">
        <f>DO183*VLOOKUP('Données projet'!$B$14,Paramètres!$A$1:$I$88,3,0)*VLOOKUP('Données projet'!$B$14,Paramètres!$A$1:$I$88,5,0)</f>
        <v>346.5800000000001</v>
      </c>
      <c r="DQ183" s="14">
        <f t="shared" si="176"/>
        <v>80.857895771535127</v>
      </c>
      <c r="DR183" s="22">
        <f t="shared" si="177"/>
        <v>744.45433513542378</v>
      </c>
      <c r="DS183" s="62">
        <f t="shared" si="125"/>
        <v>1033.8595568392784</v>
      </c>
      <c r="DT183" s="62">
        <f ca="1">AVERAGE(OFFSET($DS$3,0,0,'Données projet'!$E$14+1,1))-AVERAGE(OFFSET($H$3,0,0,'Données projet'!$E$14+1,1))</f>
        <v>432.59662347701629</v>
      </c>
      <c r="DU183" s="62">
        <f t="shared" si="152"/>
        <v>348.67401091099748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projet'!$B$14,Paramètres!$A$1:$I$88,3,0)*0.475*44/12</f>
        <v>8.6781370885176283</v>
      </c>
      <c r="EB183" s="23">
        <f>EXP(-LN(2)/25)*EB182+(1-EXP(-LN(2)/25))/(LN(2)/25)*Calculateur!DW183*Calculateur!DY183*VLOOKUP('Données projet'!$B$14,Paramètres!$A$1:$I$88,3,0)*0.475*44/12</f>
        <v>4.3457090012870463</v>
      </c>
      <c r="EC183" s="23">
        <f>EXP(-LN(2)/2)*EC182+(1-EXP(-LN(2)/2))/(LN(2)/2)*DW183*DZ183*VLOOKUP('Données projet'!$B$14,Paramètres!$A$1:$I$88,3,0)*0.475*44/12</f>
        <v>0</v>
      </c>
      <c r="ED183" s="24">
        <f t="shared" si="178"/>
        <v>13.023846089804675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1099.9999999999998</v>
      </c>
      <c r="EK183" s="18">
        <f>EJ183*VLOOKUP('Données projet'!$B$15,Paramètres!$A$1:$I$88,3,0)*VLOOKUP('Données projet'!$B$15,Paramètres!$A$1:$I$88,5,0)</f>
        <v>486.19999999999993</v>
      </c>
      <c r="EL183" s="14">
        <f t="shared" si="179"/>
        <v>109.0490179035375</v>
      </c>
      <c r="EM183" s="22">
        <f t="shared" si="180"/>
        <v>1036.725372848661</v>
      </c>
      <c r="EN183" s="62">
        <f t="shared" si="128"/>
        <v>1326.1305945525155</v>
      </c>
      <c r="EO183" s="62">
        <f ca="1">AVERAGE(OFFSET($EN$3,0,0,'Données projet'!$E$15+1,1))-AVERAGE(OFFSET($H$3,0,0,'Données projet'!$E$15+1,1))</f>
        <v>582.26951914082088</v>
      </c>
      <c r="EP183" s="62">
        <f t="shared" si="154"/>
        <v>434.80429932654715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projet'!$B$15,Paramètres!$A$1:$I$88,3,0)*0.475*44/12</f>
        <v>8.7444259488418634</v>
      </c>
      <c r="EW183" s="23">
        <f>EXP(-LN(2)/25)*EW182+(1-EXP(-LN(2)/25))/(LN(2)/25)*Calculateur!ER183*Calculateur!ET183*VLOOKUP('Données projet'!$B$15,Paramètres!$A$1:$I$88,3,0)*0.475*44/12</f>
        <v>3.9049578014911352</v>
      </c>
      <c r="EX183" s="23">
        <f>EXP(-LN(2)/2)*EX182+(1-EXP(-LN(2)/2))/(LN(2)/2)*ER183*EU183*VLOOKUP('Données projet'!$B$15,Paramètres!$A$1:$I$88,3,0)*0.475*44/12</f>
        <v>0</v>
      </c>
      <c r="EY183" s="24">
        <f t="shared" si="181"/>
        <v>12.649383750332998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854.99999999999989</v>
      </c>
      <c r="FF183" s="18">
        <f>FE183*VLOOKUP('Données projet'!$B$16,Paramètres!$A$1:$I$88,3,0)*VLOOKUP('Données projet'!$B$16,Paramètres!$A$1:$I$88,5,0)</f>
        <v>400.13999999999993</v>
      </c>
      <c r="FG183" s="14">
        <f t="shared" si="182"/>
        <v>91.805047494648534</v>
      </c>
      <c r="FH183" s="22">
        <f t="shared" si="183"/>
        <v>856.80429105317944</v>
      </c>
      <c r="FI183" s="62">
        <f t="shared" si="131"/>
        <v>1146.2095127570342</v>
      </c>
      <c r="FJ183" s="62">
        <f ca="1">AVERAGE(OFFSET($FI$3,0,0,'Données projet'!$E$16+1,1))-AVERAGE(OFFSET($H$3,0,0,'Données projet'!$E$16+1,1))</f>
        <v>429.87867712133851</v>
      </c>
      <c r="FK183" s="62">
        <f t="shared" si="156"/>
        <v>182.81277865988014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projet'!$B$16,Paramètres!$A$1:$I$88,3,0)*0.475*44/12</f>
        <v>10.428774360910822</v>
      </c>
      <c r="FR183" s="23">
        <f>EXP(-LN(2)/25)*FR182+(1-EXP(-LN(2)/25))/(LN(2)/25)*Calculateur!FM183*Calculateur!FO183*VLOOKUP('Données projet'!$B$16,Paramètres!$A$1:$I$88,3,0)*0.475*44/12</f>
        <v>4.9502025519178421</v>
      </c>
      <c r="FS183" s="23">
        <f>EXP(-LN(2)/2)*FS182+(1-EXP(-LN(2)/2))/(LN(2)/2)*FM183*FP183*VLOOKUP('Données projet'!$B$16,Paramètres!$A$1:$I$88,3,0)*0.475*44/12</f>
        <v>0</v>
      </c>
      <c r="FT183" s="24">
        <f t="shared" si="184"/>
        <v>15.378976912828664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498.99999999999955</v>
      </c>
      <c r="GA183" s="18">
        <f>FZ183*VLOOKUP('Données projet'!$B$17,Paramètres!$A$1:$I$88,3,0)*VLOOKUP('Données projet'!$B$17,Paramètres!$A$1:$I$88,5,0)</f>
        <v>240.01899999999978</v>
      </c>
      <c r="GB183" s="14">
        <f t="shared" si="185"/>
        <v>58.443618405936313</v>
      </c>
      <c r="GC183" s="22">
        <f t="shared" si="186"/>
        <v>519.82239372367201</v>
      </c>
      <c r="GD183" s="62">
        <f t="shared" si="134"/>
        <v>809.22761542752664</v>
      </c>
      <c r="GE183" s="62">
        <f ca="1">AVERAGE(OFFSET($GD$3,0,0,'Données projet'!$E$17+1,1))-AVERAGE(OFFSET($H$3,0,0,'Données projet'!$E$17+1,1))</f>
        <v>273.24375559399846</v>
      </c>
      <c r="GF183" s="62">
        <f t="shared" si="158"/>
        <v>270.77718895097848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projet'!$B$17,Paramètres!$A$1:$I$88,3,0)*0.475*44/12</f>
        <v>4.465383051831302</v>
      </c>
      <c r="GM183" s="23">
        <f>EXP(-LN(2)/25)*GM182+(1-EXP(-LN(2)/25))/(LN(2)/25)*Calculateur!GH183*Calculateur!GJ183*VLOOKUP('Données projet'!$B$17,Paramètres!$A$1:$I$88,3,0)*0.475*44/12</f>
        <v>1.9045781212420181</v>
      </c>
      <c r="GN183" s="23">
        <f>EXP(-LN(2)/2)*GN182+(1-EXP(-LN(2)/2))/(LN(2)/2)*GH183*GK183*VLOOKUP('Données projet'!$B$17,Paramètres!$A$1:$I$88,3,0)*0.475*44/12</f>
        <v>0</v>
      </c>
      <c r="GO183" s="23">
        <f t="shared" si="187"/>
        <v>6.3699611730733201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550.99999999999966</v>
      </c>
      <c r="O184" s="14">
        <f>N184*VLOOKUP('Données projet'!$B$9,Paramètres!$A$1:$I$88,3,0)*VLOOKUP('Données projet'!$B$9,Paramètres!$A$1:$I$88,5,0)</f>
        <v>308.00899999999979</v>
      </c>
      <c r="P184" s="14">
        <f t="shared" si="141"/>
        <v>72.852874331417695</v>
      </c>
      <c r="Q184" s="22">
        <f t="shared" si="162"/>
        <v>663.33443112721886</v>
      </c>
      <c r="R184" s="62">
        <f t="shared" si="109"/>
        <v>952.80779678590295</v>
      </c>
      <c r="S184" s="62">
        <f ca="1">AVERAGE(OFFSET($R$3,0,0,'Données projet'!$E$9+1,1))-AVERAGE(OFFSET($H$3,0,0,'Données projet'!$E$9+1,1))</f>
        <v>289.94242154211224</v>
      </c>
      <c r="T184" s="62">
        <f t="shared" si="142"/>
        <v>369.12599166143661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6.7172975289385306</v>
      </c>
      <c r="AA184" s="23">
        <f>EXP(-LN(2)/25)*AA183+(1-EXP(-LN(2)/25))/(LN(2)/25)*Calculateur!V184*Calculateur!X184*VLOOKUP('Données projet'!$B$9,Paramètres!$A$1:$I$88,3,0)*0.475*44/12</f>
        <v>2.3330844820391317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9.0503820109776623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projet'!$B$10,Paramètres!$A$1:$I$88,3,0)*VLOOKUP('Données projet'!$B$10,Paramètres!$A$1:$I$88,5,0)</f>
        <v>1.0286385077051818E-13</v>
      </c>
      <c r="AK184" s="14">
        <f t="shared" si="164"/>
        <v>1.5402366592183556E-12</v>
      </c>
      <c r="AL184" s="22">
        <f t="shared" si="165"/>
        <v>2.8617333882306215E-12</v>
      </c>
      <c r="AM184" s="62">
        <f t="shared" si="113"/>
        <v>289.47336565868693</v>
      </c>
      <c r="AN184" s="62">
        <f ca="1">AVERAGE(OFFSET($AM$3,0,0,'Données projet'!$E$10+1,1))-AVERAGE(OFFSET($H$3,0,0,'Données projet'!$E$10+1,1))</f>
        <v>518.31628039365785</v>
      </c>
      <c r="AO184" s="62">
        <f t="shared" si="144"/>
        <v>66.435071953154761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147.26490705496713</v>
      </c>
      <c r="AV184" s="23">
        <f>EXP(-LN(2)/25)*AV183+(1-EXP(-LN(2)/25))/(LN(2)/25)*Calculateur!AQ184*Calculateur!AS184*VLOOKUP('Données projet'!$B$10,Paramètres!$A$1:$I$88,3,0)*0.475*44/12</f>
        <v>0</v>
      </c>
      <c r="AW184" s="23">
        <f>EXP(-LN(2)/2)*AW183+(1-EXP(-LN(2)/2))/(LN(2)/2)*AQ184*AT184*VLOOKUP('Données projet'!$B$10,Paramètres!$A$1:$I$88,3,0)*0.475*44/12</f>
        <v>0</v>
      </c>
      <c r="AX184" s="23">
        <f t="shared" si="166"/>
        <v>147.26490705496713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projet'!$B$11,Paramètres!$A$1:$I$88,3,0)*VLOOKUP('Données projet'!$B$11,Paramètres!$A$1:$I$88,5,0)</f>
        <v>1.1527845344971866E-13</v>
      </c>
      <c r="BF184" s="14">
        <f t="shared" si="167"/>
        <v>1.7033846239409443E-12</v>
      </c>
      <c r="BG184" s="22">
        <f t="shared" si="168"/>
        <v>3.1675048597887374E-12</v>
      </c>
      <c r="BH184" s="62">
        <f t="shared" si="116"/>
        <v>289.47336565868727</v>
      </c>
      <c r="BI184" s="62">
        <f ca="1">AVERAGE(OFFSET($BH$3,0,0,'Données projet'!$E$11+1,1))-AVERAGE(OFFSET($H$3,0,0,'Données projet'!$E$11+1,1))</f>
        <v>570.2785736203931</v>
      </c>
      <c r="BJ184" s="62">
        <f t="shared" si="146"/>
        <v>67.677759965081719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165.03825790642864</v>
      </c>
      <c r="BQ184" s="23">
        <f>EXP(-LN(2)/25)*BQ183+(1-EXP(-LN(2)/25))/(LN(2)/25)*Calculateur!BL184*Calculateur!BN184*VLOOKUP('Données projet'!$B$11,Paramètres!$A$1:$I$88,3,0)*0.475*44/12</f>
        <v>0</v>
      </c>
      <c r="BR184" s="23">
        <f>EXP(-LN(2)/2)*BR183+(1-EXP(-LN(2)/2))/(LN(2)/2)*BL184*BO184*VLOOKUP('Données projet'!$B$11,Paramètres!$A$1:$I$88,3,0)*0.475*44/12</f>
        <v>0</v>
      </c>
      <c r="BS184" s="24">
        <f t="shared" si="169"/>
        <v>165.03825790642864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544.19999999999982</v>
      </c>
      <c r="BZ184" s="14">
        <f>BY184*VLOOKUP('Données projet'!$B$12,Paramètres!$A$1:$I$88,3,0)*VLOOKUP('Données projet'!$B$12,Paramètres!$A$1:$I$88,5,0)</f>
        <v>325.43159999999995</v>
      </c>
      <c r="CA184" s="14">
        <f t="shared" si="170"/>
        <v>76.482394221016762</v>
      </c>
      <c r="CB184" s="22">
        <f t="shared" si="171"/>
        <v>700.00020660160408</v>
      </c>
      <c r="CC184" s="62">
        <f t="shared" si="119"/>
        <v>989.47357226028817</v>
      </c>
      <c r="CD184" s="62">
        <f ca="1">AVERAGE(OFFSET($CC$3,0,0,'Données projet'!$E$12+1,1))-AVERAGE(OFFSET($H$3,0,0,'Données projet'!$E$12+1,1))</f>
        <v>401.1031790385295</v>
      </c>
      <c r="CE184" s="62">
        <f t="shared" si="148"/>
        <v>402.09589424130615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projet'!$B$12,Paramètres!$A$1:$I$88,3,0)*0.475*44/12</f>
        <v>1.8887019383224588</v>
      </c>
      <c r="CL184" s="23">
        <f>EXP(-LN(2)/25)*CL183+(1-EXP(-LN(2)/25))/(LN(2)/25)*Calculateur!CG184*Calculateur!CI184*VLOOKUP('Données projet'!$B$12,Paramètres!$A$1:$I$88,3,0)*0.475*44/12</f>
        <v>0</v>
      </c>
      <c r="CM184" s="23">
        <f>EXP(-LN(2)/2)*CM183+(1-EXP(-LN(2)/2))/(LN(2)/2)*CG184*CJ184*VLOOKUP('Données projet'!$B$12,Paramètres!$A$1:$I$88,3,0)*0.475*44/12</f>
        <v>2.5461091753569739E-18</v>
      </c>
      <c r="CN184" s="24">
        <f t="shared" si="172"/>
        <v>1.8887019383224588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544.19999999999982</v>
      </c>
      <c r="CU184" s="18">
        <f>CT184*VLOOKUP('Données projet'!$B$13,Paramètres!$A$1:$I$88,3,0)*VLOOKUP('Données projet'!$B$13,Paramètres!$A$1:$I$88,5,0)</f>
        <v>325.43159999999995</v>
      </c>
      <c r="CV184" s="14">
        <f t="shared" si="173"/>
        <v>76.482394221016762</v>
      </c>
      <c r="CW184" s="22">
        <f t="shared" si="174"/>
        <v>700.00020660160408</v>
      </c>
      <c r="CX184" s="62">
        <f t="shared" si="122"/>
        <v>989.47357226028817</v>
      </c>
      <c r="CY184" s="62">
        <f ca="1">AVERAGE(OFFSET($CX$3,0,0,'Données projet'!$E$13+1,1))-AVERAGE(OFFSET($H$3,0,0,'Données projet'!$E$13+1,1))</f>
        <v>401.1031790385295</v>
      </c>
      <c r="CZ184" s="62">
        <f t="shared" si="150"/>
        <v>402.09589424130615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projet'!$B$13,Paramètres!$A$1:$I$88,3,0)*0.475*44/12</f>
        <v>1.8887019383224588</v>
      </c>
      <c r="DG184" s="23">
        <f>EXP(-LN(2)/25)*DG183+(1-EXP(-LN(2)/25))/(LN(2)/25)*Calculateur!DB184*Calculateur!DD184*VLOOKUP('Données projet'!$B$13,Paramètres!$A$1:$I$88,3,0)*0.475*44/12</f>
        <v>0</v>
      </c>
      <c r="DH184" s="23">
        <f>EXP(-LN(2)/2)*DH183+(1-EXP(-LN(2)/2))/(LN(2)/2)*DB184*DE184*VLOOKUP('Données projet'!$B$13,Paramètres!$A$1:$I$88,3,0)*0.475*44/12</f>
        <v>2.5461091753569739E-18</v>
      </c>
      <c r="DI184" s="24">
        <f t="shared" si="175"/>
        <v>1.8887019383224588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860.00000000000023</v>
      </c>
      <c r="DP184" s="18">
        <f>DO184*VLOOKUP('Données projet'!$B$14,Paramètres!$A$1:$I$88,3,0)*VLOOKUP('Données projet'!$B$14,Paramètres!$A$1:$I$88,5,0)</f>
        <v>346.5800000000001</v>
      </c>
      <c r="DQ184" s="14">
        <f t="shared" si="176"/>
        <v>80.857895771535127</v>
      </c>
      <c r="DR184" s="22">
        <f t="shared" si="177"/>
        <v>744.45433513542378</v>
      </c>
      <c r="DS184" s="62">
        <f t="shared" si="125"/>
        <v>1033.9277007941077</v>
      </c>
      <c r="DT184" s="62">
        <f ca="1">AVERAGE(OFFSET($DS$3,0,0,'Données projet'!$E$14+1,1))-AVERAGE(OFFSET($H$3,0,0,'Données projet'!$E$14+1,1))</f>
        <v>432.59662347701629</v>
      </c>
      <c r="DU184" s="62">
        <f t="shared" si="152"/>
        <v>348.67401091099748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projet'!$B$14,Paramètres!$A$1:$I$88,3,0)*0.475*44/12</f>
        <v>8.5079641133527666</v>
      </c>
      <c r="EB184" s="23">
        <f>EXP(-LN(2)/25)*EB183+(1-EXP(-LN(2)/25))/(LN(2)/25)*Calculateur!DW184*Calculateur!DY184*VLOOKUP('Données projet'!$B$14,Paramètres!$A$1:$I$88,3,0)*0.475*44/12</f>
        <v>4.2268753601159474</v>
      </c>
      <c r="EC184" s="23">
        <f>EXP(-LN(2)/2)*EC183+(1-EXP(-LN(2)/2))/(LN(2)/2)*DW184*DZ184*VLOOKUP('Données projet'!$B$14,Paramètres!$A$1:$I$88,3,0)*0.475*44/12</f>
        <v>0</v>
      </c>
      <c r="ED184" s="24">
        <f t="shared" si="178"/>
        <v>12.734839473468714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1099.9999999999998</v>
      </c>
      <c r="EK184" s="18">
        <f>EJ184*VLOOKUP('Données projet'!$B$15,Paramètres!$A$1:$I$88,3,0)*VLOOKUP('Données projet'!$B$15,Paramètres!$A$1:$I$88,5,0)</f>
        <v>486.19999999999993</v>
      </c>
      <c r="EL184" s="14">
        <f t="shared" si="179"/>
        <v>109.0490179035375</v>
      </c>
      <c r="EM184" s="22">
        <f t="shared" si="180"/>
        <v>1036.725372848661</v>
      </c>
      <c r="EN184" s="62">
        <f t="shared" si="128"/>
        <v>1326.1987385073451</v>
      </c>
      <c r="EO184" s="62">
        <f ca="1">AVERAGE(OFFSET($EN$3,0,0,'Données projet'!$E$15+1,1))-AVERAGE(OFFSET($H$3,0,0,'Données projet'!$E$15+1,1))</f>
        <v>582.26951914082088</v>
      </c>
      <c r="EP184" s="62">
        <f t="shared" si="154"/>
        <v>434.80429932654715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projet'!$B$15,Paramètres!$A$1:$I$88,3,0)*0.475*44/12</f>
        <v>8.572953089558256</v>
      </c>
      <c r="EW184" s="23">
        <f>EXP(-LN(2)/25)*EW183+(1-EXP(-LN(2)/25))/(LN(2)/25)*Calculateur!ER184*Calculateur!ET184*VLOOKUP('Données projet'!$B$15,Paramètres!$A$1:$I$88,3,0)*0.475*44/12</f>
        <v>3.7981765250565545</v>
      </c>
      <c r="EX184" s="23">
        <f>EXP(-LN(2)/2)*EX183+(1-EXP(-LN(2)/2))/(LN(2)/2)*ER184*EU184*VLOOKUP('Données projet'!$B$15,Paramètres!$A$1:$I$88,3,0)*0.475*44/12</f>
        <v>0</v>
      </c>
      <c r="EY184" s="24">
        <f t="shared" si="181"/>
        <v>12.37112961461481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854.99999999999989</v>
      </c>
      <c r="FF184" s="18">
        <f>FE184*VLOOKUP('Données projet'!$B$16,Paramètres!$A$1:$I$88,3,0)*VLOOKUP('Données projet'!$B$16,Paramètres!$A$1:$I$88,5,0)</f>
        <v>400.13999999999993</v>
      </c>
      <c r="FG184" s="14">
        <f t="shared" si="182"/>
        <v>91.805047494648534</v>
      </c>
      <c r="FH184" s="22">
        <f t="shared" si="183"/>
        <v>856.80429105317944</v>
      </c>
      <c r="FI184" s="62">
        <f t="shared" si="131"/>
        <v>1146.2776567118635</v>
      </c>
      <c r="FJ184" s="62">
        <f ca="1">AVERAGE(OFFSET($FI$3,0,0,'Données projet'!$E$16+1,1))-AVERAGE(OFFSET($H$3,0,0,'Données projet'!$E$16+1,1))</f>
        <v>429.87867712133851</v>
      </c>
      <c r="FK184" s="62">
        <f t="shared" si="156"/>
        <v>182.81277865988014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projet'!$B$16,Paramètres!$A$1:$I$88,3,0)*0.475*44/12</f>
        <v>10.224272456617632</v>
      </c>
      <c r="FR184" s="23">
        <f>EXP(-LN(2)/25)*FR183+(1-EXP(-LN(2)/25))/(LN(2)/25)*Calculateur!FM184*Calculateur!FO184*VLOOKUP('Données projet'!$B$16,Paramètres!$A$1:$I$88,3,0)*0.475*44/12</f>
        <v>4.8148390028158099</v>
      </c>
      <c r="FS184" s="23">
        <f>EXP(-LN(2)/2)*FS183+(1-EXP(-LN(2)/2))/(LN(2)/2)*FM184*FP184*VLOOKUP('Données projet'!$B$16,Paramètres!$A$1:$I$88,3,0)*0.475*44/12</f>
        <v>0</v>
      </c>
      <c r="FT184" s="24">
        <f t="shared" si="184"/>
        <v>15.039111459433443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498.99999999999955</v>
      </c>
      <c r="GA184" s="18">
        <f>FZ184*VLOOKUP('Données projet'!$B$17,Paramètres!$A$1:$I$88,3,0)*VLOOKUP('Données projet'!$B$17,Paramètres!$A$1:$I$88,5,0)</f>
        <v>240.01899999999978</v>
      </c>
      <c r="GB184" s="14">
        <f t="shared" si="185"/>
        <v>58.443618405936313</v>
      </c>
      <c r="GC184" s="22">
        <f t="shared" si="186"/>
        <v>519.82239372367201</v>
      </c>
      <c r="GD184" s="62">
        <f t="shared" si="134"/>
        <v>809.2957593823561</v>
      </c>
      <c r="GE184" s="62">
        <f ca="1">AVERAGE(OFFSET($GD$3,0,0,'Données projet'!$E$17+1,1))-AVERAGE(OFFSET($H$3,0,0,'Données projet'!$E$17+1,1))</f>
        <v>273.24375559399846</v>
      </c>
      <c r="GF184" s="62">
        <f t="shared" si="158"/>
        <v>270.77718895097848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projet'!$B$17,Paramètres!$A$1:$I$88,3,0)*0.475*44/12</f>
        <v>4.377819613799617</v>
      </c>
      <c r="GM184" s="23">
        <f>EXP(-LN(2)/25)*GM183+(1-EXP(-LN(2)/25))/(LN(2)/25)*Calculateur!GH184*Calculateur!GJ184*VLOOKUP('Données projet'!$B$17,Paramètres!$A$1:$I$88,3,0)*0.475*44/12</f>
        <v>1.8524973323592446</v>
      </c>
      <c r="GN184" s="23">
        <f>EXP(-LN(2)/2)*GN183+(1-EXP(-LN(2)/2))/(LN(2)/2)*GH184*GK184*VLOOKUP('Données projet'!$B$17,Paramètres!$A$1:$I$88,3,0)*0.475*44/12</f>
        <v>0</v>
      </c>
      <c r="GO184" s="23">
        <f t="shared" si="187"/>
        <v>6.2303169461588617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550.99999999999966</v>
      </c>
      <c r="O185" s="14">
        <f>N185*VLOOKUP('Données projet'!$B$9,Paramètres!$A$1:$I$88,3,0)*VLOOKUP('Données projet'!$B$9,Paramètres!$A$1:$I$88,5,0)</f>
        <v>308.00899999999979</v>
      </c>
      <c r="P185" s="14">
        <f t="shared" si="141"/>
        <v>72.852874331417695</v>
      </c>
      <c r="Q185" s="22">
        <f t="shared" si="162"/>
        <v>663.33443112721886</v>
      </c>
      <c r="R185" s="62">
        <f t="shared" si="109"/>
        <v>952.87475859546328</v>
      </c>
      <c r="S185" s="62">
        <f ca="1">AVERAGE(OFFSET($R$3,0,0,'Données projet'!$E$9+1,1))-AVERAGE(OFFSET($H$3,0,0,'Données projet'!$E$9+1,1))</f>
        <v>289.94242154211224</v>
      </c>
      <c r="T185" s="62">
        <f t="shared" si="142"/>
        <v>369.12599166143661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6.5855754215429787</v>
      </c>
      <c r="AA185" s="23">
        <f>EXP(-LN(2)/25)*AA184+(1-EXP(-LN(2)/25))/(LN(2)/25)*Calculateur!V185*Calculateur!X185*VLOOKUP('Données projet'!$B$9,Paramètres!$A$1:$I$88,3,0)*0.475*44/12</f>
        <v>2.269286164186191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8.8548615857291697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projet'!$B$10,Paramètres!$A$1:$I$88,3,0)*VLOOKUP('Données projet'!$B$10,Paramètres!$A$1:$I$88,5,0)</f>
        <v>1.0286385077051818E-13</v>
      </c>
      <c r="AK185" s="14">
        <f t="shared" si="164"/>
        <v>1.5402366592183556E-12</v>
      </c>
      <c r="AL185" s="22">
        <f t="shared" si="165"/>
        <v>2.8617333882306215E-12</v>
      </c>
      <c r="AM185" s="62">
        <f t="shared" si="113"/>
        <v>289.54032746824726</v>
      </c>
      <c r="AN185" s="62">
        <f ca="1">AVERAGE(OFFSET($AM$3,0,0,'Données projet'!$E$10+1,1))-AVERAGE(OFFSET($H$3,0,0,'Données projet'!$E$10+1,1))</f>
        <v>518.31628039365785</v>
      </c>
      <c r="AO185" s="62">
        <f t="shared" si="144"/>
        <v>66.435071953154761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144.37713205034328</v>
      </c>
      <c r="AV185" s="23">
        <f>EXP(-LN(2)/25)*AV184+(1-EXP(-LN(2)/25))/(LN(2)/25)*Calculateur!AQ185*Calculateur!AS185*VLOOKUP('Données projet'!$B$10,Paramètres!$A$1:$I$88,3,0)*0.475*44/12</f>
        <v>0</v>
      </c>
      <c r="AW185" s="23">
        <f>EXP(-LN(2)/2)*AW184+(1-EXP(-LN(2)/2))/(LN(2)/2)*AQ185*AT185*VLOOKUP('Données projet'!$B$10,Paramètres!$A$1:$I$88,3,0)*0.475*44/12</f>
        <v>0</v>
      </c>
      <c r="AX185" s="23">
        <f t="shared" si="166"/>
        <v>144.37713205034328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projet'!$B$11,Paramètres!$A$1:$I$88,3,0)*VLOOKUP('Données projet'!$B$11,Paramètres!$A$1:$I$88,5,0)</f>
        <v>1.1527845344971866E-13</v>
      </c>
      <c r="BF185" s="14">
        <f t="shared" si="167"/>
        <v>1.7033846239409443E-12</v>
      </c>
      <c r="BG185" s="22">
        <f t="shared" si="168"/>
        <v>3.1675048597887374E-12</v>
      </c>
      <c r="BH185" s="62">
        <f t="shared" si="116"/>
        <v>289.5403274682476</v>
      </c>
      <c r="BI185" s="62">
        <f ca="1">AVERAGE(OFFSET($BH$3,0,0,'Données projet'!$E$11+1,1))-AVERAGE(OFFSET($H$3,0,0,'Données projet'!$E$11+1,1))</f>
        <v>570.2785736203931</v>
      </c>
      <c r="BJ185" s="62">
        <f t="shared" si="146"/>
        <v>67.677759965081719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161.8019583322812</v>
      </c>
      <c r="BQ185" s="23">
        <f>EXP(-LN(2)/25)*BQ184+(1-EXP(-LN(2)/25))/(LN(2)/25)*Calculateur!BL185*Calculateur!BN185*VLOOKUP('Données projet'!$B$11,Paramètres!$A$1:$I$88,3,0)*0.475*44/12</f>
        <v>0</v>
      </c>
      <c r="BR185" s="23">
        <f>EXP(-LN(2)/2)*BR184+(1-EXP(-LN(2)/2))/(LN(2)/2)*BL185*BO185*VLOOKUP('Données projet'!$B$11,Paramètres!$A$1:$I$88,3,0)*0.475*44/12</f>
        <v>0</v>
      </c>
      <c r="BS185" s="24">
        <f t="shared" si="169"/>
        <v>161.8019583322812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544.19999999999982</v>
      </c>
      <c r="BZ185" s="14">
        <f>BY185*VLOOKUP('Données projet'!$B$12,Paramètres!$A$1:$I$88,3,0)*VLOOKUP('Données projet'!$B$12,Paramètres!$A$1:$I$88,5,0)</f>
        <v>325.43159999999995</v>
      </c>
      <c r="CA185" s="14">
        <f t="shared" si="170"/>
        <v>76.482394221016762</v>
      </c>
      <c r="CB185" s="22">
        <f t="shared" si="171"/>
        <v>700.00020660160408</v>
      </c>
      <c r="CC185" s="62">
        <f t="shared" si="119"/>
        <v>989.54053406984849</v>
      </c>
      <c r="CD185" s="62">
        <f ca="1">AVERAGE(OFFSET($CC$3,0,0,'Données projet'!$E$12+1,1))-AVERAGE(OFFSET($H$3,0,0,'Données projet'!$E$12+1,1))</f>
        <v>401.1031790385295</v>
      </c>
      <c r="CE185" s="62">
        <f t="shared" si="148"/>
        <v>402.09589424130615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projet'!$B$12,Paramètres!$A$1:$I$88,3,0)*0.475*44/12</f>
        <v>1.8516656453063878</v>
      </c>
      <c r="CL185" s="23">
        <f>EXP(-LN(2)/25)*CL184+(1-EXP(-LN(2)/25))/(LN(2)/25)*Calculateur!CG185*Calculateur!CI185*VLOOKUP('Données projet'!$B$12,Paramètres!$A$1:$I$88,3,0)*0.475*44/12</f>
        <v>0</v>
      </c>
      <c r="CM185" s="23">
        <f>EXP(-LN(2)/2)*CM184+(1-EXP(-LN(2)/2))/(LN(2)/2)*CG185*CJ185*VLOOKUP('Données projet'!$B$12,Paramètres!$A$1:$I$88,3,0)*0.475*44/12</f>
        <v>1.8003710635362047E-18</v>
      </c>
      <c r="CN185" s="24">
        <f t="shared" si="172"/>
        <v>1.8516656453063878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544.19999999999982</v>
      </c>
      <c r="CU185" s="18">
        <f>CT185*VLOOKUP('Données projet'!$B$13,Paramètres!$A$1:$I$88,3,0)*VLOOKUP('Données projet'!$B$13,Paramètres!$A$1:$I$88,5,0)</f>
        <v>325.43159999999995</v>
      </c>
      <c r="CV185" s="14">
        <f t="shared" si="173"/>
        <v>76.482394221016762</v>
      </c>
      <c r="CW185" s="22">
        <f t="shared" si="174"/>
        <v>700.00020660160408</v>
      </c>
      <c r="CX185" s="62">
        <f t="shared" si="122"/>
        <v>989.54053406984849</v>
      </c>
      <c r="CY185" s="62">
        <f ca="1">AVERAGE(OFFSET($CX$3,0,0,'Données projet'!$E$13+1,1))-AVERAGE(OFFSET($H$3,0,0,'Données projet'!$E$13+1,1))</f>
        <v>401.1031790385295</v>
      </c>
      <c r="CZ185" s="62">
        <f t="shared" si="150"/>
        <v>402.09589424130615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projet'!$B$13,Paramètres!$A$1:$I$88,3,0)*0.475*44/12</f>
        <v>1.8516656453063878</v>
      </c>
      <c r="DG185" s="23">
        <f>EXP(-LN(2)/25)*DG184+(1-EXP(-LN(2)/25))/(LN(2)/25)*Calculateur!DB185*Calculateur!DD185*VLOOKUP('Données projet'!$B$13,Paramètres!$A$1:$I$88,3,0)*0.475*44/12</f>
        <v>0</v>
      </c>
      <c r="DH185" s="23">
        <f>EXP(-LN(2)/2)*DH184+(1-EXP(-LN(2)/2))/(LN(2)/2)*DB185*DE185*VLOOKUP('Données projet'!$B$13,Paramètres!$A$1:$I$88,3,0)*0.475*44/12</f>
        <v>1.8003710635362047E-18</v>
      </c>
      <c r="DI185" s="24">
        <f t="shared" si="175"/>
        <v>1.8516656453063878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860.00000000000023</v>
      </c>
      <c r="DP185" s="18">
        <f>DO185*VLOOKUP('Données projet'!$B$14,Paramètres!$A$1:$I$88,3,0)*VLOOKUP('Données projet'!$B$14,Paramètres!$A$1:$I$88,5,0)</f>
        <v>346.5800000000001</v>
      </c>
      <c r="DQ185" s="14">
        <f t="shared" si="176"/>
        <v>80.857895771535127</v>
      </c>
      <c r="DR185" s="22">
        <f t="shared" si="177"/>
        <v>744.45433513542378</v>
      </c>
      <c r="DS185" s="62">
        <f t="shared" si="125"/>
        <v>1033.9946626036681</v>
      </c>
      <c r="DT185" s="62">
        <f ca="1">AVERAGE(OFFSET($DS$3,0,0,'Données projet'!$E$14+1,1))-AVERAGE(OFFSET($H$3,0,0,'Données projet'!$E$14+1,1))</f>
        <v>432.59662347701629</v>
      </c>
      <c r="DU185" s="62">
        <f t="shared" si="152"/>
        <v>348.67401091099748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projet'!$B$14,Paramètres!$A$1:$I$88,3,0)*0.475*44/12</f>
        <v>8.3411281264356223</v>
      </c>
      <c r="EB185" s="23">
        <f>EXP(-LN(2)/25)*EB184+(1-EXP(-LN(2)/25))/(LN(2)/25)*Calculateur!DW185*Calculateur!DY185*VLOOKUP('Données projet'!$B$14,Paramètres!$A$1:$I$88,3,0)*0.475*44/12</f>
        <v>4.1112912311118626</v>
      </c>
      <c r="EC185" s="23">
        <f>EXP(-LN(2)/2)*EC184+(1-EXP(-LN(2)/2))/(LN(2)/2)*DW185*DZ185*VLOOKUP('Données projet'!$B$14,Paramètres!$A$1:$I$88,3,0)*0.475*44/12</f>
        <v>0</v>
      </c>
      <c r="ED185" s="24">
        <f t="shared" si="178"/>
        <v>12.452419357547484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1099.9999999999998</v>
      </c>
      <c r="EK185" s="18">
        <f>EJ185*VLOOKUP('Données projet'!$B$15,Paramètres!$A$1:$I$88,3,0)*VLOOKUP('Données projet'!$B$15,Paramètres!$A$1:$I$88,5,0)</f>
        <v>486.19999999999993</v>
      </c>
      <c r="EL185" s="14">
        <f t="shared" si="179"/>
        <v>109.0490179035375</v>
      </c>
      <c r="EM185" s="22">
        <f t="shared" si="180"/>
        <v>1036.725372848661</v>
      </c>
      <c r="EN185" s="62">
        <f t="shared" si="128"/>
        <v>1326.2657003169054</v>
      </c>
      <c r="EO185" s="62">
        <f ca="1">AVERAGE(OFFSET($EN$3,0,0,'Données projet'!$E$15+1,1))-AVERAGE(OFFSET($H$3,0,0,'Données projet'!$E$15+1,1))</f>
        <v>582.26951914082088</v>
      </c>
      <c r="EP185" s="62">
        <f t="shared" si="154"/>
        <v>434.80429932654715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projet'!$B$15,Paramètres!$A$1:$I$88,3,0)*0.475*44/12</f>
        <v>8.4048427084570836</v>
      </c>
      <c r="EW185" s="23">
        <f>EXP(-LN(2)/25)*EW184+(1-EXP(-LN(2)/25))/(LN(2)/25)*Calculateur!ER185*Calculateur!ET185*VLOOKUP('Données projet'!$B$15,Paramètres!$A$1:$I$88,3,0)*0.475*44/12</f>
        <v>3.6943151882414602</v>
      </c>
      <c r="EX185" s="23">
        <f>EXP(-LN(2)/2)*EX184+(1-EXP(-LN(2)/2))/(LN(2)/2)*ER185*EU185*VLOOKUP('Données projet'!$B$15,Paramètres!$A$1:$I$88,3,0)*0.475*44/12</f>
        <v>0</v>
      </c>
      <c r="EY185" s="24">
        <f t="shared" si="181"/>
        <v>12.099157896698543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854.99999999999989</v>
      </c>
      <c r="FF185" s="18">
        <f>FE185*VLOOKUP('Données projet'!$B$16,Paramètres!$A$1:$I$88,3,0)*VLOOKUP('Données projet'!$B$16,Paramètres!$A$1:$I$88,5,0)</f>
        <v>400.13999999999993</v>
      </c>
      <c r="FG185" s="14">
        <f t="shared" si="182"/>
        <v>91.805047494648534</v>
      </c>
      <c r="FH185" s="22">
        <f t="shared" si="183"/>
        <v>856.80429105317944</v>
      </c>
      <c r="FI185" s="62">
        <f t="shared" si="131"/>
        <v>1146.3446185214239</v>
      </c>
      <c r="FJ185" s="62">
        <f ca="1">AVERAGE(OFFSET($FI$3,0,0,'Données projet'!$E$16+1,1))-AVERAGE(OFFSET($H$3,0,0,'Données projet'!$E$16+1,1))</f>
        <v>429.87867712133851</v>
      </c>
      <c r="FK185" s="62">
        <f t="shared" si="156"/>
        <v>182.81277865988014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projet'!$B$16,Paramètres!$A$1:$I$88,3,0)*0.475*44/12</f>
        <v>10.023780709933785</v>
      </c>
      <c r="FR185" s="23">
        <f>EXP(-LN(2)/25)*FR184+(1-EXP(-LN(2)/25))/(LN(2)/25)*Calculateur!FM185*Calculateur!FO185*VLOOKUP('Données projet'!$B$16,Paramètres!$A$1:$I$88,3,0)*0.475*44/12</f>
        <v>4.6831769770824332</v>
      </c>
      <c r="FS185" s="23">
        <f>EXP(-LN(2)/2)*FS184+(1-EXP(-LN(2)/2))/(LN(2)/2)*FM185*FP185*VLOOKUP('Données projet'!$B$16,Paramètres!$A$1:$I$88,3,0)*0.475*44/12</f>
        <v>0</v>
      </c>
      <c r="FT185" s="24">
        <f t="shared" si="184"/>
        <v>14.706957687016217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498.99999999999955</v>
      </c>
      <c r="GA185" s="18">
        <f>FZ185*VLOOKUP('Données projet'!$B$17,Paramètres!$A$1:$I$88,3,0)*VLOOKUP('Données projet'!$B$17,Paramètres!$A$1:$I$88,5,0)</f>
        <v>240.01899999999978</v>
      </c>
      <c r="GB185" s="14">
        <f t="shared" si="185"/>
        <v>58.443618405936313</v>
      </c>
      <c r="GC185" s="22">
        <f t="shared" si="186"/>
        <v>519.82239372367201</v>
      </c>
      <c r="GD185" s="62">
        <f t="shared" si="134"/>
        <v>809.36272119191642</v>
      </c>
      <c r="GE185" s="62">
        <f ca="1">AVERAGE(OFFSET($GD$3,0,0,'Données projet'!$E$17+1,1))-AVERAGE(OFFSET($H$3,0,0,'Données projet'!$E$17+1,1))</f>
        <v>273.24375559399846</v>
      </c>
      <c r="GF185" s="62">
        <f t="shared" si="158"/>
        <v>270.77718895097848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projet'!$B$17,Paramètres!$A$1:$I$88,3,0)*0.475*44/12</f>
        <v>4.2919732413793099</v>
      </c>
      <c r="GM185" s="23">
        <f>EXP(-LN(2)/25)*GM184+(1-EXP(-LN(2)/25))/(LN(2)/25)*Calculateur!GH185*Calculateur!GJ185*VLOOKUP('Données projet'!$B$17,Paramètres!$A$1:$I$88,3,0)*0.475*44/12</f>
        <v>1.8018406953872803</v>
      </c>
      <c r="GN185" s="23">
        <f>EXP(-LN(2)/2)*GN184+(1-EXP(-LN(2)/2))/(LN(2)/2)*GH185*GK185*VLOOKUP('Données projet'!$B$17,Paramètres!$A$1:$I$88,3,0)*0.475*44/12</f>
        <v>0</v>
      </c>
      <c r="GO185" s="23">
        <f t="shared" si="187"/>
        <v>6.0938139367665904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550.99999999999966</v>
      </c>
      <c r="O186" s="14">
        <f>N186*VLOOKUP('Données projet'!$B$9,Paramètres!$A$1:$I$88,3,0)*VLOOKUP('Données projet'!$B$9,Paramètres!$A$1:$I$88,5,0)</f>
        <v>308.00899999999979</v>
      </c>
      <c r="P186" s="14">
        <f t="shared" si="141"/>
        <v>72.852874331417695</v>
      </c>
      <c r="Q186" s="22">
        <f t="shared" si="162"/>
        <v>663.33443112721886</v>
      </c>
      <c r="R186" s="62">
        <f t="shared" si="109"/>
        <v>952.94055876733182</v>
      </c>
      <c r="S186" s="62">
        <f ca="1">AVERAGE(OFFSET($R$3,0,0,'Données projet'!$E$9+1,1))-AVERAGE(OFFSET($H$3,0,0,'Données projet'!$E$9+1,1))</f>
        <v>289.94242154211224</v>
      </c>
      <c r="T186" s="62">
        <f t="shared" si="142"/>
        <v>369.12599166143661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6.4564363043309019</v>
      </c>
      <c r="AA186" s="23">
        <f>EXP(-LN(2)/25)*AA185+(1-EXP(-LN(2)/25))/(LN(2)/25)*Calculateur!V186*Calculateur!X186*VLOOKUP('Données projet'!$B$9,Paramètres!$A$1:$I$88,3,0)*0.475*44/12</f>
        <v>2.2072324146899467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8.6636687190208477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projet'!$B$10,Paramètres!$A$1:$I$88,3,0)*VLOOKUP('Données projet'!$B$10,Paramètres!$A$1:$I$88,5,0)</f>
        <v>1.0286385077051818E-13</v>
      </c>
      <c r="AK186" s="14">
        <f t="shared" si="164"/>
        <v>1.5402366592183556E-12</v>
      </c>
      <c r="AL186" s="22">
        <f t="shared" si="165"/>
        <v>2.8617333882306215E-12</v>
      </c>
      <c r="AM186" s="62">
        <f t="shared" si="113"/>
        <v>289.6061276401158</v>
      </c>
      <c r="AN186" s="62">
        <f ca="1">AVERAGE(OFFSET($AM$3,0,0,'Données projet'!$E$10+1,1))-AVERAGE(OFFSET($H$3,0,0,'Données projet'!$E$10+1,1))</f>
        <v>518.31628039365785</v>
      </c>
      <c r="AO186" s="62">
        <f t="shared" si="144"/>
        <v>66.435071953154761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141.54598455219127</v>
      </c>
      <c r="AV186" s="23">
        <f>EXP(-LN(2)/25)*AV185+(1-EXP(-LN(2)/25))/(LN(2)/25)*Calculateur!AQ186*Calculateur!AS186*VLOOKUP('Données projet'!$B$10,Paramètres!$A$1:$I$88,3,0)*0.475*44/12</f>
        <v>0</v>
      </c>
      <c r="AW186" s="23">
        <f>EXP(-LN(2)/2)*AW185+(1-EXP(-LN(2)/2))/(LN(2)/2)*AQ186*AT186*VLOOKUP('Données projet'!$B$10,Paramètres!$A$1:$I$88,3,0)*0.475*44/12</f>
        <v>0</v>
      </c>
      <c r="AX186" s="23">
        <f t="shared" si="166"/>
        <v>141.54598455219127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projet'!$B$11,Paramètres!$A$1:$I$88,3,0)*VLOOKUP('Données projet'!$B$11,Paramètres!$A$1:$I$88,5,0)</f>
        <v>1.1527845344971866E-13</v>
      </c>
      <c r="BF186" s="14">
        <f t="shared" si="167"/>
        <v>1.7033846239409443E-12</v>
      </c>
      <c r="BG186" s="22">
        <f t="shared" si="168"/>
        <v>3.1675048597887374E-12</v>
      </c>
      <c r="BH186" s="62">
        <f t="shared" si="116"/>
        <v>289.60612764011614</v>
      </c>
      <c r="BI186" s="62">
        <f ca="1">AVERAGE(OFFSET($BH$3,0,0,'Données projet'!$E$11+1,1))-AVERAGE(OFFSET($H$3,0,0,'Données projet'!$E$11+1,1))</f>
        <v>570.2785736203931</v>
      </c>
      <c r="BJ186" s="62">
        <f t="shared" si="146"/>
        <v>67.677759965081719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158.62912061883497</v>
      </c>
      <c r="BQ186" s="23">
        <f>EXP(-LN(2)/25)*BQ185+(1-EXP(-LN(2)/25))/(LN(2)/25)*Calculateur!BL186*Calculateur!BN186*VLOOKUP('Données projet'!$B$11,Paramètres!$A$1:$I$88,3,0)*0.475*44/12</f>
        <v>0</v>
      </c>
      <c r="BR186" s="23">
        <f>EXP(-LN(2)/2)*BR185+(1-EXP(-LN(2)/2))/(LN(2)/2)*BL186*BO186*VLOOKUP('Données projet'!$B$11,Paramètres!$A$1:$I$88,3,0)*0.475*44/12</f>
        <v>0</v>
      </c>
      <c r="BS186" s="24">
        <f t="shared" si="169"/>
        <v>158.62912061883497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544.19999999999982</v>
      </c>
      <c r="BZ186" s="14">
        <f>BY186*VLOOKUP('Données projet'!$B$12,Paramètres!$A$1:$I$88,3,0)*VLOOKUP('Données projet'!$B$12,Paramètres!$A$1:$I$88,5,0)</f>
        <v>325.43159999999995</v>
      </c>
      <c r="CA186" s="14">
        <f t="shared" si="170"/>
        <v>76.482394221016762</v>
      </c>
      <c r="CB186" s="22">
        <f t="shared" si="171"/>
        <v>700.00020660160408</v>
      </c>
      <c r="CC186" s="62">
        <f t="shared" si="119"/>
        <v>989.60633424171704</v>
      </c>
      <c r="CD186" s="62">
        <f ca="1">AVERAGE(OFFSET($CC$3,0,0,'Données projet'!$E$12+1,1))-AVERAGE(OFFSET($H$3,0,0,'Données projet'!$E$12+1,1))</f>
        <v>401.1031790385295</v>
      </c>
      <c r="CE186" s="62">
        <f t="shared" si="148"/>
        <v>402.09589424130615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projet'!$B$12,Paramètres!$A$1:$I$88,3,0)*0.475*44/12</f>
        <v>1.8153556114064537</v>
      </c>
      <c r="CL186" s="23">
        <f>EXP(-LN(2)/25)*CL185+(1-EXP(-LN(2)/25))/(LN(2)/25)*Calculateur!CG186*Calculateur!CI186*VLOOKUP('Données projet'!$B$12,Paramètres!$A$1:$I$88,3,0)*0.475*44/12</f>
        <v>0</v>
      </c>
      <c r="CM186" s="23">
        <f>EXP(-LN(2)/2)*CM185+(1-EXP(-LN(2)/2))/(LN(2)/2)*CG186*CJ186*VLOOKUP('Données projet'!$B$12,Paramètres!$A$1:$I$88,3,0)*0.475*44/12</f>
        <v>1.2730545876784869E-18</v>
      </c>
      <c r="CN186" s="24">
        <f t="shared" si="172"/>
        <v>1.8153556114064537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544.19999999999982</v>
      </c>
      <c r="CU186" s="18">
        <f>CT186*VLOOKUP('Données projet'!$B$13,Paramètres!$A$1:$I$88,3,0)*VLOOKUP('Données projet'!$B$13,Paramètres!$A$1:$I$88,5,0)</f>
        <v>325.43159999999995</v>
      </c>
      <c r="CV186" s="14">
        <f t="shared" si="173"/>
        <v>76.482394221016762</v>
      </c>
      <c r="CW186" s="22">
        <f t="shared" si="174"/>
        <v>700.00020660160408</v>
      </c>
      <c r="CX186" s="62">
        <f t="shared" si="122"/>
        <v>989.60633424171704</v>
      </c>
      <c r="CY186" s="62">
        <f ca="1">AVERAGE(OFFSET($CX$3,0,0,'Données projet'!$E$13+1,1))-AVERAGE(OFFSET($H$3,0,0,'Données projet'!$E$13+1,1))</f>
        <v>401.1031790385295</v>
      </c>
      <c r="CZ186" s="62">
        <f t="shared" si="150"/>
        <v>402.09589424130615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projet'!$B$13,Paramètres!$A$1:$I$88,3,0)*0.475*44/12</f>
        <v>1.8153556114064537</v>
      </c>
      <c r="DG186" s="23">
        <f>EXP(-LN(2)/25)*DG185+(1-EXP(-LN(2)/25))/(LN(2)/25)*Calculateur!DB186*Calculateur!DD186*VLOOKUP('Données projet'!$B$13,Paramètres!$A$1:$I$88,3,0)*0.475*44/12</f>
        <v>0</v>
      </c>
      <c r="DH186" s="23">
        <f>EXP(-LN(2)/2)*DH185+(1-EXP(-LN(2)/2))/(LN(2)/2)*DB186*DE186*VLOOKUP('Données projet'!$B$13,Paramètres!$A$1:$I$88,3,0)*0.475*44/12</f>
        <v>1.2730545876784869E-18</v>
      </c>
      <c r="DI186" s="24">
        <f t="shared" si="175"/>
        <v>1.8153556114064537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860.00000000000023</v>
      </c>
      <c r="DP186" s="18">
        <f>DO186*VLOOKUP('Données projet'!$B$14,Paramètres!$A$1:$I$88,3,0)*VLOOKUP('Données projet'!$B$14,Paramètres!$A$1:$I$88,5,0)</f>
        <v>346.5800000000001</v>
      </c>
      <c r="DQ186" s="14">
        <f t="shared" si="176"/>
        <v>80.857895771535127</v>
      </c>
      <c r="DR186" s="22">
        <f t="shared" si="177"/>
        <v>744.45433513542378</v>
      </c>
      <c r="DS186" s="62">
        <f t="shared" si="125"/>
        <v>1034.0604627755367</v>
      </c>
      <c r="DT186" s="62">
        <f ca="1">AVERAGE(OFFSET($DS$3,0,0,'Données projet'!$E$14+1,1))-AVERAGE(OFFSET($H$3,0,0,'Données projet'!$E$14+1,1))</f>
        <v>432.59662347701629</v>
      </c>
      <c r="DU186" s="62">
        <f t="shared" si="152"/>
        <v>348.67401091099748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projet'!$B$14,Paramètres!$A$1:$I$88,3,0)*0.475*44/12</f>
        <v>8.1775636914620193</v>
      </c>
      <c r="EB186" s="23">
        <f>EXP(-LN(2)/25)*EB185+(1-EXP(-LN(2)/25))/(LN(2)/25)*Calculateur!DW186*Calculateur!DY186*VLOOKUP('Données projet'!$B$14,Paramètres!$A$1:$I$88,3,0)*0.475*44/12</f>
        <v>3.9988677561936994</v>
      </c>
      <c r="EC186" s="23">
        <f>EXP(-LN(2)/2)*EC185+(1-EXP(-LN(2)/2))/(LN(2)/2)*DW186*DZ186*VLOOKUP('Données projet'!$B$14,Paramètres!$A$1:$I$88,3,0)*0.475*44/12</f>
        <v>0</v>
      </c>
      <c r="ED186" s="24">
        <f t="shared" si="178"/>
        <v>12.17643144765572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1099.9999999999998</v>
      </c>
      <c r="EK186" s="18">
        <f>EJ186*VLOOKUP('Données projet'!$B$15,Paramètres!$A$1:$I$88,3,0)*VLOOKUP('Données projet'!$B$15,Paramètres!$A$1:$I$88,5,0)</f>
        <v>486.19999999999993</v>
      </c>
      <c r="EL186" s="14">
        <f t="shared" si="179"/>
        <v>109.0490179035375</v>
      </c>
      <c r="EM186" s="22">
        <f t="shared" si="180"/>
        <v>1036.725372848661</v>
      </c>
      <c r="EN186" s="62">
        <f t="shared" si="128"/>
        <v>1326.3315004887741</v>
      </c>
      <c r="EO186" s="62">
        <f ca="1">AVERAGE(OFFSET($EN$3,0,0,'Données projet'!$E$15+1,1))-AVERAGE(OFFSET($H$3,0,0,'Données projet'!$E$15+1,1))</f>
        <v>582.26951914082088</v>
      </c>
      <c r="EP186" s="62">
        <f t="shared" si="154"/>
        <v>434.80429932654715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projet'!$B$15,Paramètres!$A$1:$I$88,3,0)*0.475*44/12</f>
        <v>8.2400288693920984</v>
      </c>
      <c r="EW186" s="23">
        <f>EXP(-LN(2)/25)*EW185+(1-EXP(-LN(2)/25))/(LN(2)/25)*Calculateur!ER186*Calculateur!ET186*VLOOKUP('Données projet'!$B$15,Paramètres!$A$1:$I$88,3,0)*0.475*44/12</f>
        <v>3.5932939451434054</v>
      </c>
      <c r="EX186" s="23">
        <f>EXP(-LN(2)/2)*EX185+(1-EXP(-LN(2)/2))/(LN(2)/2)*ER186*EU186*VLOOKUP('Données projet'!$B$15,Paramètres!$A$1:$I$88,3,0)*0.475*44/12</f>
        <v>0</v>
      </c>
      <c r="EY186" s="24">
        <f t="shared" si="181"/>
        <v>11.833322814535503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854.99999999999989</v>
      </c>
      <c r="FF186" s="18">
        <f>FE186*VLOOKUP('Données projet'!$B$16,Paramètres!$A$1:$I$88,3,0)*VLOOKUP('Données projet'!$B$16,Paramètres!$A$1:$I$88,5,0)</f>
        <v>400.13999999999993</v>
      </c>
      <c r="FG186" s="14">
        <f t="shared" si="182"/>
        <v>91.805047494648534</v>
      </c>
      <c r="FH186" s="22">
        <f t="shared" si="183"/>
        <v>856.80429105317944</v>
      </c>
      <c r="FI186" s="62">
        <f t="shared" si="131"/>
        <v>1146.4104186932923</v>
      </c>
      <c r="FJ186" s="62">
        <f ca="1">AVERAGE(OFFSET($FI$3,0,0,'Données projet'!$E$16+1,1))-AVERAGE(OFFSET($H$3,0,0,'Données projet'!$E$16+1,1))</f>
        <v>429.87867712133851</v>
      </c>
      <c r="FK186" s="62">
        <f t="shared" si="156"/>
        <v>182.81277865988014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projet'!$B$16,Paramètres!$A$1:$I$88,3,0)*0.475*44/12</f>
        <v>9.8272204841145196</v>
      </c>
      <c r="FR186" s="23">
        <f>EXP(-LN(2)/25)*FR185+(1-EXP(-LN(2)/25))/(LN(2)/25)*Calculateur!FM186*Calculateur!FO186*VLOOKUP('Données projet'!$B$16,Paramètres!$A$1:$I$88,3,0)*0.475*44/12</f>
        <v>4.5551152563665402</v>
      </c>
      <c r="FS186" s="23">
        <f>EXP(-LN(2)/2)*FS185+(1-EXP(-LN(2)/2))/(LN(2)/2)*FM186*FP186*VLOOKUP('Données projet'!$B$16,Paramètres!$A$1:$I$88,3,0)*0.475*44/12</f>
        <v>0</v>
      </c>
      <c r="FT186" s="24">
        <f t="shared" si="184"/>
        <v>14.382335740481061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498.99999999999955</v>
      </c>
      <c r="GA186" s="18">
        <f>FZ186*VLOOKUP('Données projet'!$B$17,Paramètres!$A$1:$I$88,3,0)*VLOOKUP('Données projet'!$B$17,Paramètres!$A$1:$I$88,5,0)</f>
        <v>240.01899999999978</v>
      </c>
      <c r="GB186" s="14">
        <f t="shared" si="185"/>
        <v>58.443618405936313</v>
      </c>
      <c r="GC186" s="22">
        <f t="shared" si="186"/>
        <v>519.82239372367201</v>
      </c>
      <c r="GD186" s="62">
        <f t="shared" si="134"/>
        <v>809.42852136378497</v>
      </c>
      <c r="GE186" s="62">
        <f ca="1">AVERAGE(OFFSET($GD$3,0,0,'Données projet'!$E$17+1,1))-AVERAGE(OFFSET($H$3,0,0,'Données projet'!$E$17+1,1))</f>
        <v>273.24375559399846</v>
      </c>
      <c r="GF186" s="62">
        <f t="shared" si="158"/>
        <v>270.77718895097848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projet'!$B$17,Paramètres!$A$1:$I$88,3,0)*0.475*44/12</f>
        <v>4.207810263961048</v>
      </c>
      <c r="GM186" s="23">
        <f>EXP(-LN(2)/25)*GM185+(1-EXP(-LN(2)/25))/(LN(2)/25)*Calculateur!GH186*Calculateur!GJ186*VLOOKUP('Données projet'!$B$17,Paramètres!$A$1:$I$88,3,0)*0.475*44/12</f>
        <v>1.752569266817231</v>
      </c>
      <c r="GN186" s="23">
        <f>EXP(-LN(2)/2)*GN185+(1-EXP(-LN(2)/2))/(LN(2)/2)*GH186*GK186*VLOOKUP('Données projet'!$B$17,Paramètres!$A$1:$I$88,3,0)*0.475*44/12</f>
        <v>0</v>
      </c>
      <c r="GO186" s="23">
        <f t="shared" si="187"/>
        <v>5.9603795307782788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550.99999999999966</v>
      </c>
      <c r="O187" s="14">
        <f>N187*VLOOKUP('Données projet'!$B$9,Paramètres!$A$1:$I$88,3,0)*VLOOKUP('Données projet'!$B$9,Paramètres!$A$1:$I$88,5,0)</f>
        <v>308.00899999999979</v>
      </c>
      <c r="P187" s="14">
        <f t="shared" si="141"/>
        <v>72.852874331417695</v>
      </c>
      <c r="Q187" s="22">
        <f t="shared" si="162"/>
        <v>663.33443112721886</v>
      </c>
      <c r="R187" s="62">
        <f t="shared" si="109"/>
        <v>953.0052174533256</v>
      </c>
      <c r="S187" s="62">
        <f ca="1">AVERAGE(OFFSET($R$3,0,0,'Données projet'!$E$9+1,1))-AVERAGE(OFFSET($H$3,0,0,'Données projet'!$E$9+1,1))</f>
        <v>289.94242154211224</v>
      </c>
      <c r="T187" s="62">
        <f t="shared" si="142"/>
        <v>369.12599166143661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6.3298295264402693</v>
      </c>
      <c r="AA187" s="23">
        <f>EXP(-LN(2)/25)*AA186+(1-EXP(-LN(2)/25))/(LN(2)/25)*Calculateur!V187*Calculateur!X187*VLOOKUP('Données projet'!$B$9,Paramètres!$A$1:$I$88,3,0)*0.475*44/12</f>
        <v>2.1468755282369423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8.4767050546772111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projet'!$B$10,Paramètres!$A$1:$I$88,3,0)*VLOOKUP('Données projet'!$B$10,Paramètres!$A$1:$I$88,5,0)</f>
        <v>1.0286385077051818E-13</v>
      </c>
      <c r="AK187" s="14">
        <f t="shared" si="164"/>
        <v>1.5402366592183556E-12</v>
      </c>
      <c r="AL187" s="22">
        <f t="shared" si="165"/>
        <v>2.8617333882306215E-12</v>
      </c>
      <c r="AM187" s="62">
        <f t="shared" si="113"/>
        <v>289.67078632610958</v>
      </c>
      <c r="AN187" s="62">
        <f ca="1">AVERAGE(OFFSET($AM$3,0,0,'Données projet'!$E$10+1,1))-AVERAGE(OFFSET($H$3,0,0,'Données projet'!$E$10+1,1))</f>
        <v>518.31628039365785</v>
      </c>
      <c r="AO187" s="62">
        <f t="shared" si="144"/>
        <v>66.435071953154761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138.77035412964855</v>
      </c>
      <c r="AV187" s="23">
        <f>EXP(-LN(2)/25)*AV186+(1-EXP(-LN(2)/25))/(LN(2)/25)*Calculateur!AQ187*Calculateur!AS187*VLOOKUP('Données projet'!$B$10,Paramètres!$A$1:$I$88,3,0)*0.475*44/12</f>
        <v>0</v>
      </c>
      <c r="AW187" s="23">
        <f>EXP(-LN(2)/2)*AW186+(1-EXP(-LN(2)/2))/(LN(2)/2)*AQ187*AT187*VLOOKUP('Données projet'!$B$10,Paramètres!$A$1:$I$88,3,0)*0.475*44/12</f>
        <v>0</v>
      </c>
      <c r="AX187" s="23">
        <f t="shared" si="166"/>
        <v>138.77035412964855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projet'!$B$11,Paramètres!$A$1:$I$88,3,0)*VLOOKUP('Données projet'!$B$11,Paramètres!$A$1:$I$88,5,0)</f>
        <v>1.1527845344971866E-13</v>
      </c>
      <c r="BF187" s="14">
        <f t="shared" si="167"/>
        <v>1.7033846239409443E-12</v>
      </c>
      <c r="BG187" s="22">
        <f t="shared" si="168"/>
        <v>3.1675048597887374E-12</v>
      </c>
      <c r="BH187" s="62">
        <f t="shared" si="116"/>
        <v>289.67078632610992</v>
      </c>
      <c r="BI187" s="62">
        <f ca="1">AVERAGE(OFFSET($BH$3,0,0,'Données projet'!$E$11+1,1))-AVERAGE(OFFSET($H$3,0,0,'Données projet'!$E$11+1,1))</f>
        <v>570.2785736203931</v>
      </c>
      <c r="BJ187" s="62">
        <f t="shared" si="146"/>
        <v>67.677759965081719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155.51850031770951</v>
      </c>
      <c r="BQ187" s="23">
        <f>EXP(-LN(2)/25)*BQ186+(1-EXP(-LN(2)/25))/(LN(2)/25)*Calculateur!BL187*Calculateur!BN187*VLOOKUP('Données projet'!$B$11,Paramètres!$A$1:$I$88,3,0)*0.475*44/12</f>
        <v>0</v>
      </c>
      <c r="BR187" s="23">
        <f>EXP(-LN(2)/2)*BR186+(1-EXP(-LN(2)/2))/(LN(2)/2)*BL187*BO187*VLOOKUP('Données projet'!$B$11,Paramètres!$A$1:$I$88,3,0)*0.475*44/12</f>
        <v>0</v>
      </c>
      <c r="BS187" s="24">
        <f t="shared" si="169"/>
        <v>155.51850031770951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544.19999999999982</v>
      </c>
      <c r="BZ187" s="14">
        <f>BY187*VLOOKUP('Données projet'!$B$12,Paramètres!$A$1:$I$88,3,0)*VLOOKUP('Données projet'!$B$12,Paramètres!$A$1:$I$88,5,0)</f>
        <v>325.43159999999995</v>
      </c>
      <c r="CA187" s="14">
        <f t="shared" si="170"/>
        <v>76.482394221016762</v>
      </c>
      <c r="CB187" s="22">
        <f t="shared" si="171"/>
        <v>700.00020660160408</v>
      </c>
      <c r="CC187" s="62">
        <f t="shared" si="119"/>
        <v>989.67099292771081</v>
      </c>
      <c r="CD187" s="62">
        <f ca="1">AVERAGE(OFFSET($CC$3,0,0,'Données projet'!$E$12+1,1))-AVERAGE(OFFSET($H$3,0,0,'Données projet'!$E$12+1,1))</f>
        <v>401.1031790385295</v>
      </c>
      <c r="CE187" s="62">
        <f t="shared" si="148"/>
        <v>402.09589424130615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projet'!$B$12,Paramètres!$A$1:$I$88,3,0)*0.475*44/12</f>
        <v>1.7797575951243636</v>
      </c>
      <c r="CL187" s="23">
        <f>EXP(-LN(2)/25)*CL186+(1-EXP(-LN(2)/25))/(LN(2)/25)*Calculateur!CG187*Calculateur!CI187*VLOOKUP('Données projet'!$B$12,Paramètres!$A$1:$I$88,3,0)*0.475*44/12</f>
        <v>0</v>
      </c>
      <c r="CM187" s="23">
        <f>EXP(-LN(2)/2)*CM186+(1-EXP(-LN(2)/2))/(LN(2)/2)*CG187*CJ187*VLOOKUP('Données projet'!$B$12,Paramètres!$A$1:$I$88,3,0)*0.475*44/12</f>
        <v>9.0018553176810233E-19</v>
      </c>
      <c r="CN187" s="24">
        <f t="shared" si="172"/>
        <v>1.7797575951243636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544.19999999999982</v>
      </c>
      <c r="CU187" s="18">
        <f>CT187*VLOOKUP('Données projet'!$B$13,Paramètres!$A$1:$I$88,3,0)*VLOOKUP('Données projet'!$B$13,Paramètres!$A$1:$I$88,5,0)</f>
        <v>325.43159999999995</v>
      </c>
      <c r="CV187" s="14">
        <f t="shared" si="173"/>
        <v>76.482394221016762</v>
      </c>
      <c r="CW187" s="22">
        <f t="shared" si="174"/>
        <v>700.00020660160408</v>
      </c>
      <c r="CX187" s="62">
        <f t="shared" si="122"/>
        <v>989.67099292771081</v>
      </c>
      <c r="CY187" s="62">
        <f ca="1">AVERAGE(OFFSET($CX$3,0,0,'Données projet'!$E$13+1,1))-AVERAGE(OFFSET($H$3,0,0,'Données projet'!$E$13+1,1))</f>
        <v>401.1031790385295</v>
      </c>
      <c r="CZ187" s="62">
        <f t="shared" si="150"/>
        <v>402.09589424130615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projet'!$B$13,Paramètres!$A$1:$I$88,3,0)*0.475*44/12</f>
        <v>1.7797575951243636</v>
      </c>
      <c r="DG187" s="23">
        <f>EXP(-LN(2)/25)*DG186+(1-EXP(-LN(2)/25))/(LN(2)/25)*Calculateur!DB187*Calculateur!DD187*VLOOKUP('Données projet'!$B$13,Paramètres!$A$1:$I$88,3,0)*0.475*44/12</f>
        <v>0</v>
      </c>
      <c r="DH187" s="23">
        <f>EXP(-LN(2)/2)*DH186+(1-EXP(-LN(2)/2))/(LN(2)/2)*DB187*DE187*VLOOKUP('Données projet'!$B$13,Paramètres!$A$1:$I$88,3,0)*0.475*44/12</f>
        <v>9.0018553176810233E-19</v>
      </c>
      <c r="DI187" s="24">
        <f t="shared" si="175"/>
        <v>1.7797575951243636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860.00000000000023</v>
      </c>
      <c r="DP187" s="18">
        <f>DO187*VLOOKUP('Données projet'!$B$14,Paramètres!$A$1:$I$88,3,0)*VLOOKUP('Données projet'!$B$14,Paramètres!$A$1:$I$88,5,0)</f>
        <v>346.5800000000001</v>
      </c>
      <c r="DQ187" s="14">
        <f t="shared" si="176"/>
        <v>80.857895771535127</v>
      </c>
      <c r="DR187" s="22">
        <f t="shared" si="177"/>
        <v>744.45433513542378</v>
      </c>
      <c r="DS187" s="62">
        <f t="shared" si="125"/>
        <v>1034.1251214615304</v>
      </c>
      <c r="DT187" s="62">
        <f ca="1">AVERAGE(OFFSET($DS$3,0,0,'Données projet'!$E$14+1,1))-AVERAGE(OFFSET($H$3,0,0,'Données projet'!$E$14+1,1))</f>
        <v>432.59662347701629</v>
      </c>
      <c r="DU187" s="62">
        <f t="shared" si="152"/>
        <v>348.67401091099748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projet'!$B$14,Paramètres!$A$1:$I$88,3,0)*0.475*44/12</f>
        <v>8.0172066552937942</v>
      </c>
      <c r="EB187" s="23">
        <f>EXP(-LN(2)/25)*EB186+(1-EXP(-LN(2)/25))/(LN(2)/25)*Calculateur!DW187*Calculateur!DY187*VLOOKUP('Données projet'!$B$14,Paramètres!$A$1:$I$88,3,0)*0.475*44/12</f>
        <v>3.8895185071092668</v>
      </c>
      <c r="EC187" s="23">
        <f>EXP(-LN(2)/2)*EC186+(1-EXP(-LN(2)/2))/(LN(2)/2)*DW187*DZ187*VLOOKUP('Données projet'!$B$14,Paramètres!$A$1:$I$88,3,0)*0.475*44/12</f>
        <v>0</v>
      </c>
      <c r="ED187" s="24">
        <f t="shared" si="178"/>
        <v>11.906725162403061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1099.9999999999998</v>
      </c>
      <c r="EK187" s="18">
        <f>EJ187*VLOOKUP('Données projet'!$B$15,Paramètres!$A$1:$I$88,3,0)*VLOOKUP('Données projet'!$B$15,Paramètres!$A$1:$I$88,5,0)</f>
        <v>486.19999999999993</v>
      </c>
      <c r="EL187" s="14">
        <f t="shared" si="179"/>
        <v>109.0490179035375</v>
      </c>
      <c r="EM187" s="22">
        <f t="shared" si="180"/>
        <v>1036.725372848661</v>
      </c>
      <c r="EN187" s="62">
        <f t="shared" si="128"/>
        <v>1326.3961591747677</v>
      </c>
      <c r="EO187" s="62">
        <f ca="1">AVERAGE(OFFSET($EN$3,0,0,'Données projet'!$E$15+1,1))-AVERAGE(OFFSET($H$3,0,0,'Données projet'!$E$15+1,1))</f>
        <v>582.26951914082088</v>
      </c>
      <c r="EP187" s="62">
        <f t="shared" si="154"/>
        <v>434.80429932654715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projet'!$B$15,Paramètres!$A$1:$I$88,3,0)*0.475*44/12</f>
        <v>8.0784469291846612</v>
      </c>
      <c r="EW187" s="23">
        <f>EXP(-LN(2)/25)*EW186+(1-EXP(-LN(2)/25))/(LN(2)/25)*Calculateur!ER187*Calculateur!ET187*VLOOKUP('Données projet'!$B$15,Paramètres!$A$1:$I$88,3,0)*0.475*44/12</f>
        <v>3.4950351332503429</v>
      </c>
      <c r="EX187" s="23">
        <f>EXP(-LN(2)/2)*EX186+(1-EXP(-LN(2)/2))/(LN(2)/2)*ER187*EU187*VLOOKUP('Données projet'!$B$15,Paramètres!$A$1:$I$88,3,0)*0.475*44/12</f>
        <v>0</v>
      </c>
      <c r="EY187" s="24">
        <f t="shared" si="181"/>
        <v>11.573482062435005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854.99999999999989</v>
      </c>
      <c r="FF187" s="18">
        <f>FE187*VLOOKUP('Données projet'!$B$16,Paramètres!$A$1:$I$88,3,0)*VLOOKUP('Données projet'!$B$16,Paramètres!$A$1:$I$88,5,0)</f>
        <v>400.13999999999993</v>
      </c>
      <c r="FG187" s="14">
        <f t="shared" si="182"/>
        <v>91.805047494648534</v>
      </c>
      <c r="FH187" s="22">
        <f t="shared" si="183"/>
        <v>856.80429105317944</v>
      </c>
      <c r="FI187" s="62">
        <f t="shared" si="131"/>
        <v>1146.4750773792862</v>
      </c>
      <c r="FJ187" s="62">
        <f ca="1">AVERAGE(OFFSET($FI$3,0,0,'Données projet'!$E$16+1,1))-AVERAGE(OFFSET($H$3,0,0,'Données projet'!$E$16+1,1))</f>
        <v>429.87867712133851</v>
      </c>
      <c r="FK187" s="62">
        <f t="shared" si="156"/>
        <v>182.81277865988014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projet'!$B$16,Paramètres!$A$1:$I$88,3,0)*0.475*44/12</f>
        <v>9.63451468443367</v>
      </c>
      <c r="FR187" s="23">
        <f>EXP(-LN(2)/25)*FR186+(1-EXP(-LN(2)/25))/(LN(2)/25)*Calculateur!FM187*Calculateur!FO187*VLOOKUP('Données projet'!$B$16,Paramètres!$A$1:$I$88,3,0)*0.475*44/12</f>
        <v>4.430555390138097</v>
      </c>
      <c r="FS187" s="23">
        <f>EXP(-LN(2)/2)*FS186+(1-EXP(-LN(2)/2))/(LN(2)/2)*FM187*FP187*VLOOKUP('Données projet'!$B$16,Paramètres!$A$1:$I$88,3,0)*0.475*44/12</f>
        <v>0</v>
      </c>
      <c r="FT187" s="24">
        <f t="shared" si="184"/>
        <v>14.065070074571768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498.99999999999955</v>
      </c>
      <c r="GA187" s="18">
        <f>FZ187*VLOOKUP('Données projet'!$B$17,Paramètres!$A$1:$I$88,3,0)*VLOOKUP('Données projet'!$B$17,Paramètres!$A$1:$I$88,5,0)</f>
        <v>240.01899999999978</v>
      </c>
      <c r="GB187" s="14">
        <f t="shared" si="185"/>
        <v>58.443618405936313</v>
      </c>
      <c r="GC187" s="22">
        <f t="shared" si="186"/>
        <v>519.82239372367201</v>
      </c>
      <c r="GD187" s="62">
        <f t="shared" si="134"/>
        <v>809.49318004977874</v>
      </c>
      <c r="GE187" s="62">
        <f ca="1">AVERAGE(OFFSET($GD$3,0,0,'Données projet'!$E$17+1,1))-AVERAGE(OFFSET($H$3,0,0,'Données projet'!$E$17+1,1))</f>
        <v>273.24375559399846</v>
      </c>
      <c r="GF187" s="62">
        <f t="shared" si="158"/>
        <v>270.77718895097848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projet'!$B$17,Paramètres!$A$1:$I$88,3,0)*0.475*44/12</f>
        <v>4.1252976711956109</v>
      </c>
      <c r="GM187" s="23">
        <f>EXP(-LN(2)/25)*GM186+(1-EXP(-LN(2)/25))/(LN(2)/25)*Calculateur!GH187*Calculateur!GJ187*VLOOKUP('Données projet'!$B$17,Paramètres!$A$1:$I$88,3,0)*0.475*44/12</f>
        <v>1.7046451680525017</v>
      </c>
      <c r="GN187" s="23">
        <f>EXP(-LN(2)/2)*GN186+(1-EXP(-LN(2)/2))/(LN(2)/2)*GH187*GK187*VLOOKUP('Données projet'!$B$17,Paramètres!$A$1:$I$88,3,0)*0.475*44/12</f>
        <v>0</v>
      </c>
      <c r="GO187" s="23">
        <f t="shared" si="187"/>
        <v>5.8299428392481127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550.99999999999966</v>
      </c>
      <c r="O188" s="14">
        <f>N188*VLOOKUP('Données projet'!$B$9,Paramètres!$A$1:$I$88,3,0)*VLOOKUP('Données projet'!$B$9,Paramètres!$A$1:$I$88,5,0)</f>
        <v>308.00899999999979</v>
      </c>
      <c r="P188" s="14">
        <f t="shared" si="141"/>
        <v>72.852874331417695</v>
      </c>
      <c r="Q188" s="22">
        <f t="shared" si="162"/>
        <v>663.33443112721886</v>
      </c>
      <c r="R188" s="62">
        <f t="shared" si="109"/>
        <v>953.06875445567266</v>
      </c>
      <c r="S188" s="62">
        <f ca="1">AVERAGE(OFFSET($R$3,0,0,'Données projet'!$E$9+1,1))-AVERAGE(OFFSET($H$3,0,0,'Données projet'!$E$9+1,1))</f>
        <v>289.94242154211224</v>
      </c>
      <c r="T188" s="62">
        <f t="shared" si="142"/>
        <v>369.12599166143661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6.2057054302415633</v>
      </c>
      <c r="AA188" s="23">
        <f>EXP(-LN(2)/25)*AA187+(1-EXP(-LN(2)/25))/(LN(2)/25)*Calculateur!V188*Calculateur!X188*VLOOKUP('Données projet'!$B$9,Paramètres!$A$1:$I$88,3,0)*0.475*44/12</f>
        <v>2.0881691040180259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8.2938745342595901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projet'!$B$10,Paramètres!$A$1:$I$88,3,0)*VLOOKUP('Données projet'!$B$10,Paramètres!$A$1:$I$88,5,0)</f>
        <v>1.0286385077051818E-13</v>
      </c>
      <c r="AK188" s="14">
        <f t="shared" si="164"/>
        <v>1.5402366592183556E-12</v>
      </c>
      <c r="AL188" s="22">
        <f t="shared" si="165"/>
        <v>2.8617333882306215E-12</v>
      </c>
      <c r="AM188" s="62">
        <f t="shared" si="113"/>
        <v>289.73432332845658</v>
      </c>
      <c r="AN188" s="62">
        <f ca="1">AVERAGE(OFFSET($AM$3,0,0,'Données projet'!$E$10+1,1))-AVERAGE(OFFSET($H$3,0,0,'Données projet'!$E$10+1,1))</f>
        <v>518.31628039365785</v>
      </c>
      <c r="AO188" s="62">
        <f t="shared" si="144"/>
        <v>66.435071953154761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136.04915212672449</v>
      </c>
      <c r="AV188" s="23">
        <f>EXP(-LN(2)/25)*AV187+(1-EXP(-LN(2)/25))/(LN(2)/25)*Calculateur!AQ188*Calculateur!AS188*VLOOKUP('Données projet'!$B$10,Paramètres!$A$1:$I$88,3,0)*0.475*44/12</f>
        <v>0</v>
      </c>
      <c r="AW188" s="23">
        <f>EXP(-LN(2)/2)*AW187+(1-EXP(-LN(2)/2))/(LN(2)/2)*AQ188*AT188*VLOOKUP('Données projet'!$B$10,Paramètres!$A$1:$I$88,3,0)*0.475*44/12</f>
        <v>0</v>
      </c>
      <c r="AX188" s="23">
        <f t="shared" si="166"/>
        <v>136.04915212672449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projet'!$B$11,Paramètres!$A$1:$I$88,3,0)*VLOOKUP('Données projet'!$B$11,Paramètres!$A$1:$I$88,5,0)</f>
        <v>1.1527845344971866E-13</v>
      </c>
      <c r="BF188" s="14">
        <f t="shared" si="167"/>
        <v>1.7033846239409443E-12</v>
      </c>
      <c r="BG188" s="22">
        <f t="shared" si="168"/>
        <v>3.1675048597887374E-12</v>
      </c>
      <c r="BH188" s="62">
        <f t="shared" si="116"/>
        <v>289.73432332845692</v>
      </c>
      <c r="BI188" s="62">
        <f ca="1">AVERAGE(OFFSET($BH$3,0,0,'Données projet'!$E$11+1,1))-AVERAGE(OFFSET($H$3,0,0,'Données projet'!$E$11+1,1))</f>
        <v>570.2785736203931</v>
      </c>
      <c r="BJ188" s="62">
        <f t="shared" si="146"/>
        <v>67.677759965081719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152.46887738339808</v>
      </c>
      <c r="BQ188" s="23">
        <f>EXP(-LN(2)/25)*BQ187+(1-EXP(-LN(2)/25))/(LN(2)/25)*Calculateur!BL188*Calculateur!BN188*VLOOKUP('Données projet'!$B$11,Paramètres!$A$1:$I$88,3,0)*0.475*44/12</f>
        <v>0</v>
      </c>
      <c r="BR188" s="23">
        <f>EXP(-LN(2)/2)*BR187+(1-EXP(-LN(2)/2))/(LN(2)/2)*BL188*BO188*VLOOKUP('Données projet'!$B$11,Paramètres!$A$1:$I$88,3,0)*0.475*44/12</f>
        <v>0</v>
      </c>
      <c r="BS188" s="24">
        <f t="shared" si="169"/>
        <v>152.46887738339808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544.19999999999982</v>
      </c>
      <c r="BZ188" s="14">
        <f>BY188*VLOOKUP('Données projet'!$B$12,Paramètres!$A$1:$I$88,3,0)*VLOOKUP('Données projet'!$B$12,Paramètres!$A$1:$I$88,5,0)</f>
        <v>325.43159999999995</v>
      </c>
      <c r="CA188" s="14">
        <f t="shared" si="170"/>
        <v>76.482394221016762</v>
      </c>
      <c r="CB188" s="22">
        <f t="shared" si="171"/>
        <v>700.00020660160408</v>
      </c>
      <c r="CC188" s="62">
        <f t="shared" si="119"/>
        <v>989.73452993005776</v>
      </c>
      <c r="CD188" s="62">
        <f ca="1">AVERAGE(OFFSET($CC$3,0,0,'Données projet'!$E$12+1,1))-AVERAGE(OFFSET($H$3,0,0,'Données projet'!$E$12+1,1))</f>
        <v>401.1031790385295</v>
      </c>
      <c r="CE188" s="62">
        <f t="shared" si="148"/>
        <v>402.09589424130615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projet'!$B$12,Paramètres!$A$1:$I$88,3,0)*0.475*44/12</f>
        <v>1.7448576342289193</v>
      </c>
      <c r="CL188" s="23">
        <f>EXP(-LN(2)/25)*CL187+(1-EXP(-LN(2)/25))/(LN(2)/25)*Calculateur!CG188*Calculateur!CI188*VLOOKUP('Données projet'!$B$12,Paramètres!$A$1:$I$88,3,0)*0.475*44/12</f>
        <v>0</v>
      </c>
      <c r="CM188" s="23">
        <f>EXP(-LN(2)/2)*CM187+(1-EXP(-LN(2)/2))/(LN(2)/2)*CG188*CJ188*VLOOKUP('Données projet'!$B$12,Paramètres!$A$1:$I$88,3,0)*0.475*44/12</f>
        <v>6.3652729383924347E-19</v>
      </c>
      <c r="CN188" s="24">
        <f t="shared" si="172"/>
        <v>1.7448576342289193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544.19999999999982</v>
      </c>
      <c r="CU188" s="18">
        <f>CT188*VLOOKUP('Données projet'!$B$13,Paramètres!$A$1:$I$88,3,0)*VLOOKUP('Données projet'!$B$13,Paramètres!$A$1:$I$88,5,0)</f>
        <v>325.43159999999995</v>
      </c>
      <c r="CV188" s="14">
        <f t="shared" si="173"/>
        <v>76.482394221016762</v>
      </c>
      <c r="CW188" s="22">
        <f t="shared" si="174"/>
        <v>700.00020660160408</v>
      </c>
      <c r="CX188" s="62">
        <f t="shared" si="122"/>
        <v>989.73452993005776</v>
      </c>
      <c r="CY188" s="62">
        <f ca="1">AVERAGE(OFFSET($CX$3,0,0,'Données projet'!$E$13+1,1))-AVERAGE(OFFSET($H$3,0,0,'Données projet'!$E$13+1,1))</f>
        <v>401.1031790385295</v>
      </c>
      <c r="CZ188" s="62">
        <f t="shared" si="150"/>
        <v>402.09589424130615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projet'!$B$13,Paramètres!$A$1:$I$88,3,0)*0.475*44/12</f>
        <v>1.7448576342289193</v>
      </c>
      <c r="DG188" s="23">
        <f>EXP(-LN(2)/25)*DG187+(1-EXP(-LN(2)/25))/(LN(2)/25)*Calculateur!DB188*Calculateur!DD188*VLOOKUP('Données projet'!$B$13,Paramètres!$A$1:$I$88,3,0)*0.475*44/12</f>
        <v>0</v>
      </c>
      <c r="DH188" s="23">
        <f>EXP(-LN(2)/2)*DH187+(1-EXP(-LN(2)/2))/(LN(2)/2)*DB188*DE188*VLOOKUP('Données projet'!$B$13,Paramètres!$A$1:$I$88,3,0)*0.475*44/12</f>
        <v>6.3652729383924347E-19</v>
      </c>
      <c r="DI188" s="24">
        <f t="shared" si="175"/>
        <v>1.7448576342289193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860.00000000000023</v>
      </c>
      <c r="DP188" s="18">
        <f>DO188*VLOOKUP('Données projet'!$B$14,Paramètres!$A$1:$I$88,3,0)*VLOOKUP('Données projet'!$B$14,Paramètres!$A$1:$I$88,5,0)</f>
        <v>346.5800000000001</v>
      </c>
      <c r="DQ188" s="14">
        <f t="shared" si="176"/>
        <v>80.857895771535127</v>
      </c>
      <c r="DR188" s="22">
        <f t="shared" si="177"/>
        <v>744.45433513542378</v>
      </c>
      <c r="DS188" s="62">
        <f t="shared" si="125"/>
        <v>1034.1886584638776</v>
      </c>
      <c r="DT188" s="62">
        <f ca="1">AVERAGE(OFFSET($DS$3,0,0,'Données projet'!$E$14+1,1))-AVERAGE(OFFSET($H$3,0,0,'Données projet'!$E$14+1,1))</f>
        <v>432.59662347701629</v>
      </c>
      <c r="DU188" s="62">
        <f t="shared" si="152"/>
        <v>348.67401091099748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projet'!$B$14,Paramètres!$A$1:$I$88,3,0)*0.475*44/12</f>
        <v>7.8599941227966941</v>
      </c>
      <c r="EB188" s="23">
        <f>EXP(-LN(2)/25)*EB187+(1-EXP(-LN(2)/25))/(LN(2)/25)*Calculateur!DW188*Calculateur!DY188*VLOOKUP('Données projet'!$B$14,Paramètres!$A$1:$I$88,3,0)*0.475*44/12</f>
        <v>3.7831594189914752</v>
      </c>
      <c r="EC188" s="23">
        <f>EXP(-LN(2)/2)*EC187+(1-EXP(-LN(2)/2))/(LN(2)/2)*DW188*DZ188*VLOOKUP('Données projet'!$B$14,Paramètres!$A$1:$I$88,3,0)*0.475*44/12</f>
        <v>0</v>
      </c>
      <c r="ED188" s="24">
        <f t="shared" si="178"/>
        <v>11.64315354178817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1099.9999999999998</v>
      </c>
      <c r="EK188" s="18">
        <f>EJ188*VLOOKUP('Données projet'!$B$15,Paramètres!$A$1:$I$88,3,0)*VLOOKUP('Données projet'!$B$15,Paramètres!$A$1:$I$88,5,0)</f>
        <v>486.19999999999993</v>
      </c>
      <c r="EL188" s="14">
        <f t="shared" si="179"/>
        <v>109.0490179035375</v>
      </c>
      <c r="EM188" s="22">
        <f t="shared" si="180"/>
        <v>1036.725372848661</v>
      </c>
      <c r="EN188" s="62">
        <f t="shared" si="128"/>
        <v>1326.4596961771147</v>
      </c>
      <c r="EO188" s="62">
        <f ca="1">AVERAGE(OFFSET($EN$3,0,0,'Données projet'!$E$15+1,1))-AVERAGE(OFFSET($H$3,0,0,'Données projet'!$E$15+1,1))</f>
        <v>582.26951914082088</v>
      </c>
      <c r="EP188" s="62">
        <f t="shared" si="154"/>
        <v>434.80429932654715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projet'!$B$15,Paramètres!$A$1:$I$88,3,0)*0.475*44/12</f>
        <v>7.9200335122694394</v>
      </c>
      <c r="EW188" s="23">
        <f>EXP(-LN(2)/25)*EW187+(1-EXP(-LN(2)/25))/(LN(2)/25)*Calculateur!ER188*Calculateur!ET188*VLOOKUP('Données projet'!$B$15,Paramètres!$A$1:$I$88,3,0)*0.475*44/12</f>
        <v>3.3994632137357028</v>
      </c>
      <c r="EX188" s="23">
        <f>EXP(-LN(2)/2)*EX187+(1-EXP(-LN(2)/2))/(LN(2)/2)*ER188*EU188*VLOOKUP('Données projet'!$B$15,Paramètres!$A$1:$I$88,3,0)*0.475*44/12</f>
        <v>0</v>
      </c>
      <c r="EY188" s="24">
        <f t="shared" si="181"/>
        <v>11.319496726005141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854.99999999999989</v>
      </c>
      <c r="FF188" s="18">
        <f>FE188*VLOOKUP('Données projet'!$B$16,Paramètres!$A$1:$I$88,3,0)*VLOOKUP('Données projet'!$B$16,Paramètres!$A$1:$I$88,5,0)</f>
        <v>400.13999999999993</v>
      </c>
      <c r="FG188" s="14">
        <f t="shared" si="182"/>
        <v>91.805047494648534</v>
      </c>
      <c r="FH188" s="22">
        <f t="shared" si="183"/>
        <v>856.80429105317944</v>
      </c>
      <c r="FI188" s="62">
        <f t="shared" si="131"/>
        <v>1146.5386143816331</v>
      </c>
      <c r="FJ188" s="62">
        <f ca="1">AVERAGE(OFFSET($FI$3,0,0,'Données projet'!$E$16+1,1))-AVERAGE(OFFSET($H$3,0,0,'Données projet'!$E$16+1,1))</f>
        <v>429.87867712133851</v>
      </c>
      <c r="FK188" s="62">
        <f t="shared" si="156"/>
        <v>182.81277865988014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projet'!$B$16,Paramètres!$A$1:$I$88,3,0)*0.475*44/12</f>
        <v>9.4455877279456288</v>
      </c>
      <c r="FR188" s="23">
        <f>EXP(-LN(2)/25)*FR187+(1-EXP(-LN(2)/25))/(LN(2)/25)*Calculateur!FM188*Calculateur!FO188*VLOOKUP('Données projet'!$B$16,Paramètres!$A$1:$I$88,3,0)*0.475*44/12</f>
        <v>4.3094016200019887</v>
      </c>
      <c r="FS188" s="23">
        <f>EXP(-LN(2)/2)*FS187+(1-EXP(-LN(2)/2))/(LN(2)/2)*FM188*FP188*VLOOKUP('Données projet'!$B$16,Paramètres!$A$1:$I$88,3,0)*0.475*44/12</f>
        <v>0</v>
      </c>
      <c r="FT188" s="24">
        <f t="shared" si="184"/>
        <v>13.754989347947618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498.99999999999955</v>
      </c>
      <c r="GA188" s="18">
        <f>FZ188*VLOOKUP('Données projet'!$B$17,Paramètres!$A$1:$I$88,3,0)*VLOOKUP('Données projet'!$B$17,Paramètres!$A$1:$I$88,5,0)</f>
        <v>240.01899999999978</v>
      </c>
      <c r="GB188" s="14">
        <f t="shared" si="185"/>
        <v>58.443618405936313</v>
      </c>
      <c r="GC188" s="22">
        <f t="shared" si="186"/>
        <v>519.82239372367201</v>
      </c>
      <c r="GD188" s="62">
        <f t="shared" si="134"/>
        <v>809.5567170521258</v>
      </c>
      <c r="GE188" s="62">
        <f ca="1">AVERAGE(OFFSET($GD$3,0,0,'Données projet'!$E$17+1,1))-AVERAGE(OFFSET($H$3,0,0,'Données projet'!$E$17+1,1))</f>
        <v>273.24375559399846</v>
      </c>
      <c r="GF188" s="62">
        <f t="shared" si="158"/>
        <v>270.77718895097848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projet'!$B$17,Paramètres!$A$1:$I$88,3,0)*0.475*44/12</f>
        <v>4.0444031000465923</v>
      </c>
      <c r="GM188" s="23">
        <f>EXP(-LN(2)/25)*GM187+(1-EXP(-LN(2)/25))/(LN(2)/25)*Calculateur!GH188*Calculateur!GJ188*VLOOKUP('Données projet'!$B$17,Paramètres!$A$1:$I$88,3,0)*0.475*44/12</f>
        <v>1.6580315562887127</v>
      </c>
      <c r="GN188" s="23">
        <f>EXP(-LN(2)/2)*GN187+(1-EXP(-LN(2)/2))/(LN(2)/2)*GH188*GK188*VLOOKUP('Données projet'!$B$17,Paramètres!$A$1:$I$88,3,0)*0.475*44/12</f>
        <v>0</v>
      </c>
      <c r="GO188" s="23">
        <f t="shared" si="187"/>
        <v>5.7024346563353046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550.99999999999966</v>
      </c>
      <c r="O189" s="14">
        <f>N189*VLOOKUP('Données projet'!$B$9,Paramètres!$A$1:$I$88,3,0)*VLOOKUP('Données projet'!$B$9,Paramètres!$A$1:$I$88,5,0)</f>
        <v>308.00899999999979</v>
      </c>
      <c r="P189" s="14">
        <f t="shared" si="141"/>
        <v>72.852874331417695</v>
      </c>
      <c r="Q189" s="22">
        <f t="shared" si="162"/>
        <v>663.33443112721886</v>
      </c>
      <c r="R189" s="62">
        <f t="shared" si="109"/>
        <v>953.13118923307627</v>
      </c>
      <c r="S189" s="62">
        <f ca="1">AVERAGE(OFFSET($R$3,0,0,'Données projet'!$E$9+1,1))-AVERAGE(OFFSET($H$3,0,0,'Données projet'!$E$9+1,1))</f>
        <v>289.94242154211224</v>
      </c>
      <c r="T189" s="62">
        <f t="shared" si="142"/>
        <v>369.12599166143661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6.0840153318610906</v>
      </c>
      <c r="AA189" s="23">
        <f>EXP(-LN(2)/25)*AA188+(1-EXP(-LN(2)/25))/(LN(2)/25)*Calculateur!V189*Calculateur!X189*VLOOKUP('Données projet'!$B$9,Paramètres!$A$1:$I$88,3,0)*0.475*44/12</f>
        <v>2.0310680100566123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8.1150833419177033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projet'!$B$10,Paramètres!$A$1:$I$88,3,0)*VLOOKUP('Données projet'!$B$10,Paramètres!$A$1:$I$88,5,0)</f>
        <v>1.0286385077051818E-13</v>
      </c>
      <c r="AK189" s="14">
        <f t="shared" si="164"/>
        <v>1.5402366592183556E-12</v>
      </c>
      <c r="AL189" s="22">
        <f t="shared" si="165"/>
        <v>2.8617333882306215E-12</v>
      </c>
      <c r="AM189" s="62">
        <f t="shared" si="113"/>
        <v>289.79675810586025</v>
      </c>
      <c r="AN189" s="62">
        <f ca="1">AVERAGE(OFFSET($AM$3,0,0,'Données projet'!$E$10+1,1))-AVERAGE(OFFSET($H$3,0,0,'Données projet'!$E$10+1,1))</f>
        <v>518.31628039365785</v>
      </c>
      <c r="AO189" s="62">
        <f t="shared" si="144"/>
        <v>66.435071953154761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133.38131123530846</v>
      </c>
      <c r="AV189" s="23">
        <f>EXP(-LN(2)/25)*AV188+(1-EXP(-LN(2)/25))/(LN(2)/25)*Calculateur!AQ189*Calculateur!AS189*VLOOKUP('Données projet'!$B$10,Paramètres!$A$1:$I$88,3,0)*0.475*44/12</f>
        <v>0</v>
      </c>
      <c r="AW189" s="23">
        <f>EXP(-LN(2)/2)*AW188+(1-EXP(-LN(2)/2))/(LN(2)/2)*AQ189*AT189*VLOOKUP('Données projet'!$B$10,Paramètres!$A$1:$I$88,3,0)*0.475*44/12</f>
        <v>0</v>
      </c>
      <c r="AX189" s="23">
        <f t="shared" si="166"/>
        <v>133.38131123530846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projet'!$B$11,Paramètres!$A$1:$I$88,3,0)*VLOOKUP('Données projet'!$B$11,Paramètres!$A$1:$I$88,5,0)</f>
        <v>1.1527845344971866E-13</v>
      </c>
      <c r="BF189" s="14">
        <f t="shared" si="167"/>
        <v>1.7033846239409443E-12</v>
      </c>
      <c r="BG189" s="22">
        <f t="shared" si="168"/>
        <v>3.1675048597887374E-12</v>
      </c>
      <c r="BH189" s="62">
        <f t="shared" si="116"/>
        <v>289.79675810586059</v>
      </c>
      <c r="BI189" s="62">
        <f ca="1">AVERAGE(OFFSET($BH$3,0,0,'Données projet'!$E$11+1,1))-AVERAGE(OFFSET($H$3,0,0,'Données projet'!$E$11+1,1))</f>
        <v>570.2785736203931</v>
      </c>
      <c r="BJ189" s="62">
        <f t="shared" si="146"/>
        <v>67.677759965081719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149.47905569474219</v>
      </c>
      <c r="BQ189" s="23">
        <f>EXP(-LN(2)/25)*BQ188+(1-EXP(-LN(2)/25))/(LN(2)/25)*Calculateur!BL189*Calculateur!BN189*VLOOKUP('Données projet'!$B$11,Paramètres!$A$1:$I$88,3,0)*0.475*44/12</f>
        <v>0</v>
      </c>
      <c r="BR189" s="23">
        <f>EXP(-LN(2)/2)*BR188+(1-EXP(-LN(2)/2))/(LN(2)/2)*BL189*BO189*VLOOKUP('Données projet'!$B$11,Paramètres!$A$1:$I$88,3,0)*0.475*44/12</f>
        <v>0</v>
      </c>
      <c r="BS189" s="24">
        <f t="shared" si="169"/>
        <v>149.47905569474219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544.19999999999982</v>
      </c>
      <c r="BZ189" s="14">
        <f>BY189*VLOOKUP('Données projet'!$B$12,Paramètres!$A$1:$I$88,3,0)*VLOOKUP('Données projet'!$B$12,Paramètres!$A$1:$I$88,5,0)</f>
        <v>325.43159999999995</v>
      </c>
      <c r="CA189" s="14">
        <f t="shared" si="170"/>
        <v>76.482394221016762</v>
      </c>
      <c r="CB189" s="22">
        <f t="shared" si="171"/>
        <v>700.00020660160408</v>
      </c>
      <c r="CC189" s="62">
        <f t="shared" si="119"/>
        <v>989.79696470746148</v>
      </c>
      <c r="CD189" s="62">
        <f ca="1">AVERAGE(OFFSET($CC$3,0,0,'Données projet'!$E$12+1,1))-AVERAGE(OFFSET($H$3,0,0,'Données projet'!$E$12+1,1))</f>
        <v>401.1031790385295</v>
      </c>
      <c r="CE189" s="62">
        <f t="shared" si="148"/>
        <v>402.09589424130615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projet'!$B$12,Paramètres!$A$1:$I$88,3,0)*0.475*44/12</f>
        <v>1.7106420402797602</v>
      </c>
      <c r="CL189" s="23">
        <f>EXP(-LN(2)/25)*CL188+(1-EXP(-LN(2)/25))/(LN(2)/25)*Calculateur!CG189*Calculateur!CI189*VLOOKUP('Données projet'!$B$12,Paramètres!$A$1:$I$88,3,0)*0.475*44/12</f>
        <v>0</v>
      </c>
      <c r="CM189" s="23">
        <f>EXP(-LN(2)/2)*CM188+(1-EXP(-LN(2)/2))/(LN(2)/2)*CG189*CJ189*VLOOKUP('Données projet'!$B$12,Paramètres!$A$1:$I$88,3,0)*0.475*44/12</f>
        <v>4.5009276588405116E-19</v>
      </c>
      <c r="CN189" s="24">
        <f t="shared" si="172"/>
        <v>1.7106420402797602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544.19999999999982</v>
      </c>
      <c r="CU189" s="18">
        <f>CT189*VLOOKUP('Données projet'!$B$13,Paramètres!$A$1:$I$88,3,0)*VLOOKUP('Données projet'!$B$13,Paramètres!$A$1:$I$88,5,0)</f>
        <v>325.43159999999995</v>
      </c>
      <c r="CV189" s="14">
        <f t="shared" si="173"/>
        <v>76.482394221016762</v>
      </c>
      <c r="CW189" s="22">
        <f t="shared" si="174"/>
        <v>700.00020660160408</v>
      </c>
      <c r="CX189" s="62">
        <f t="shared" si="122"/>
        <v>989.79696470746148</v>
      </c>
      <c r="CY189" s="62">
        <f ca="1">AVERAGE(OFFSET($CX$3,0,0,'Données projet'!$E$13+1,1))-AVERAGE(OFFSET($H$3,0,0,'Données projet'!$E$13+1,1))</f>
        <v>401.1031790385295</v>
      </c>
      <c r="CZ189" s="62">
        <f t="shared" si="150"/>
        <v>402.09589424130615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projet'!$B$13,Paramètres!$A$1:$I$88,3,0)*0.475*44/12</f>
        <v>1.7106420402797602</v>
      </c>
      <c r="DG189" s="23">
        <f>EXP(-LN(2)/25)*DG188+(1-EXP(-LN(2)/25))/(LN(2)/25)*Calculateur!DB189*Calculateur!DD189*VLOOKUP('Données projet'!$B$13,Paramètres!$A$1:$I$88,3,0)*0.475*44/12</f>
        <v>0</v>
      </c>
      <c r="DH189" s="23">
        <f>EXP(-LN(2)/2)*DH188+(1-EXP(-LN(2)/2))/(LN(2)/2)*DB189*DE189*VLOOKUP('Données projet'!$B$13,Paramètres!$A$1:$I$88,3,0)*0.475*44/12</f>
        <v>4.5009276588405116E-19</v>
      </c>
      <c r="DI189" s="24">
        <f t="shared" si="175"/>
        <v>1.7106420402797602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860.00000000000023</v>
      </c>
      <c r="DP189" s="18">
        <f>DO189*VLOOKUP('Données projet'!$B$14,Paramètres!$A$1:$I$88,3,0)*VLOOKUP('Données projet'!$B$14,Paramètres!$A$1:$I$88,5,0)</f>
        <v>346.5800000000001</v>
      </c>
      <c r="DQ189" s="14">
        <f t="shared" si="176"/>
        <v>80.857895771535127</v>
      </c>
      <c r="DR189" s="22">
        <f t="shared" si="177"/>
        <v>744.45433513542378</v>
      </c>
      <c r="DS189" s="62">
        <f t="shared" si="125"/>
        <v>1034.2510932412811</v>
      </c>
      <c r="DT189" s="62">
        <f ca="1">AVERAGE(OFFSET($DS$3,0,0,'Données projet'!$E$14+1,1))-AVERAGE(OFFSET($H$3,0,0,'Données projet'!$E$14+1,1))</f>
        <v>432.59662347701629</v>
      </c>
      <c r="DU189" s="62">
        <f t="shared" si="152"/>
        <v>348.67401091099748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projet'!$B$14,Paramètres!$A$1:$I$88,3,0)*0.475*44/12</f>
        <v>7.7058644321716852</v>
      </c>
      <c r="EB189" s="23">
        <f>EXP(-LN(2)/25)*EB188+(1-EXP(-LN(2)/25))/(LN(2)/25)*Calculateur!DW189*Calculateur!DY189*VLOOKUP('Données projet'!$B$14,Paramètres!$A$1:$I$88,3,0)*0.475*44/12</f>
        <v>3.6797087257314458</v>
      </c>
      <c r="EC189" s="23">
        <f>EXP(-LN(2)/2)*EC188+(1-EXP(-LN(2)/2))/(LN(2)/2)*DW189*DZ189*VLOOKUP('Données projet'!$B$14,Paramètres!$A$1:$I$88,3,0)*0.475*44/12</f>
        <v>0</v>
      </c>
      <c r="ED189" s="24">
        <f t="shared" si="178"/>
        <v>11.385573157903131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1099.9999999999998</v>
      </c>
      <c r="EK189" s="18">
        <f>EJ189*VLOOKUP('Données projet'!$B$15,Paramètres!$A$1:$I$88,3,0)*VLOOKUP('Données projet'!$B$15,Paramètres!$A$1:$I$88,5,0)</f>
        <v>486.19999999999993</v>
      </c>
      <c r="EL189" s="14">
        <f t="shared" si="179"/>
        <v>109.0490179035375</v>
      </c>
      <c r="EM189" s="22">
        <f t="shared" si="180"/>
        <v>1036.725372848661</v>
      </c>
      <c r="EN189" s="62">
        <f t="shared" si="128"/>
        <v>1326.5221309545184</v>
      </c>
      <c r="EO189" s="62">
        <f ca="1">AVERAGE(OFFSET($EN$3,0,0,'Données projet'!$E$15+1,1))-AVERAGE(OFFSET($H$3,0,0,'Données projet'!$E$15+1,1))</f>
        <v>582.26951914082088</v>
      </c>
      <c r="EP189" s="62">
        <f t="shared" si="154"/>
        <v>434.80429932654715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projet'!$B$15,Paramètres!$A$1:$I$88,3,0)*0.475*44/12</f>
        <v>7.764726485837282</v>
      </c>
      <c r="EW189" s="23">
        <f>EXP(-LN(2)/25)*EW188+(1-EXP(-LN(2)/25))/(LN(2)/25)*Calculateur!ER189*Calculateur!ET189*VLOOKUP('Données projet'!$B$15,Paramètres!$A$1:$I$88,3,0)*0.475*44/12</f>
        <v>3.306504713386099</v>
      </c>
      <c r="EX189" s="23">
        <f>EXP(-LN(2)/2)*EX188+(1-EXP(-LN(2)/2))/(LN(2)/2)*ER189*EU189*VLOOKUP('Données projet'!$B$15,Paramètres!$A$1:$I$88,3,0)*0.475*44/12</f>
        <v>0</v>
      </c>
      <c r="EY189" s="24">
        <f t="shared" si="181"/>
        <v>11.07123119922338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854.99999999999989</v>
      </c>
      <c r="FF189" s="18">
        <f>FE189*VLOOKUP('Données projet'!$B$16,Paramètres!$A$1:$I$88,3,0)*VLOOKUP('Données projet'!$B$16,Paramètres!$A$1:$I$88,5,0)</f>
        <v>400.13999999999993</v>
      </c>
      <c r="FG189" s="14">
        <f t="shared" si="182"/>
        <v>91.805047494648534</v>
      </c>
      <c r="FH189" s="22">
        <f t="shared" si="183"/>
        <v>856.80429105317944</v>
      </c>
      <c r="FI189" s="62">
        <f t="shared" si="131"/>
        <v>1146.6010491590368</v>
      </c>
      <c r="FJ189" s="62">
        <f ca="1">AVERAGE(OFFSET($FI$3,0,0,'Données projet'!$E$16+1,1))-AVERAGE(OFFSET($H$3,0,0,'Données projet'!$E$16+1,1))</f>
        <v>429.87867712133851</v>
      </c>
      <c r="FK189" s="62">
        <f t="shared" si="156"/>
        <v>182.81277865988014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projet'!$B$16,Paramètres!$A$1:$I$88,3,0)*0.475*44/12</f>
        <v>9.2603655138402541</v>
      </c>
      <c r="FR189" s="23">
        <f>EXP(-LN(2)/25)*FR188+(1-EXP(-LN(2)/25))/(LN(2)/25)*Calculateur!FM189*Calculateur!FO189*VLOOKUP('Données projet'!$B$16,Paramètres!$A$1:$I$88,3,0)*0.475*44/12</f>
        <v>4.1915608060814522</v>
      </c>
      <c r="FS189" s="23">
        <f>EXP(-LN(2)/2)*FS188+(1-EXP(-LN(2)/2))/(LN(2)/2)*FM189*FP189*VLOOKUP('Données projet'!$B$16,Paramètres!$A$1:$I$88,3,0)*0.475*44/12</f>
        <v>0</v>
      </c>
      <c r="FT189" s="24">
        <f t="shared" si="184"/>
        <v>13.451926319921707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498.99999999999955</v>
      </c>
      <c r="GA189" s="18">
        <f>FZ189*VLOOKUP('Données projet'!$B$17,Paramètres!$A$1:$I$88,3,0)*VLOOKUP('Données projet'!$B$17,Paramètres!$A$1:$I$88,5,0)</f>
        <v>240.01899999999978</v>
      </c>
      <c r="GB189" s="14">
        <f t="shared" si="185"/>
        <v>58.443618405936313</v>
      </c>
      <c r="GC189" s="22">
        <f t="shared" si="186"/>
        <v>519.82239372367201</v>
      </c>
      <c r="GD189" s="62">
        <f t="shared" si="134"/>
        <v>809.61915182952941</v>
      </c>
      <c r="GE189" s="62">
        <f ca="1">AVERAGE(OFFSET($GD$3,0,0,'Données projet'!$E$17+1,1))-AVERAGE(OFFSET($H$3,0,0,'Données projet'!$E$17+1,1))</f>
        <v>273.24375559399846</v>
      </c>
      <c r="GF189" s="62">
        <f t="shared" si="158"/>
        <v>270.77718895097848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projet'!$B$17,Paramètres!$A$1:$I$88,3,0)*0.475*44/12</f>
        <v>3.9650948220969893</v>
      </c>
      <c r="GM189" s="23">
        <f>EXP(-LN(2)/25)*GM188+(1-EXP(-LN(2)/25))/(LN(2)/25)*Calculateur!GH189*Calculateur!GJ189*VLOOKUP('Données projet'!$B$17,Paramètres!$A$1:$I$88,3,0)*0.475*44/12</f>
        <v>1.6126925961899077</v>
      </c>
      <c r="GN189" s="23">
        <f>EXP(-LN(2)/2)*GN188+(1-EXP(-LN(2)/2))/(LN(2)/2)*GH189*GK189*VLOOKUP('Données projet'!$B$17,Paramètres!$A$1:$I$88,3,0)*0.475*44/12</f>
        <v>0</v>
      </c>
      <c r="GO189" s="23">
        <f t="shared" si="187"/>
        <v>5.5777874182868974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550.99999999999966</v>
      </c>
      <c r="O190" s="14">
        <f>N190*VLOOKUP('Données projet'!$B$9,Paramètres!$A$1:$I$88,3,0)*VLOOKUP('Données projet'!$B$9,Paramètres!$A$1:$I$88,5,0)</f>
        <v>308.00899999999979</v>
      </c>
      <c r="P190" s="14">
        <f t="shared" si="141"/>
        <v>72.852874331417695</v>
      </c>
      <c r="Q190" s="22">
        <f t="shared" si="162"/>
        <v>663.33443112721886</v>
      </c>
      <c r="R190" s="62">
        <f t="shared" si="109"/>
        <v>953.19254090667528</v>
      </c>
      <c r="S190" s="62">
        <f ca="1">AVERAGE(OFFSET($R$3,0,0,'Données projet'!$E$9+1,1))-AVERAGE(OFFSET($H$3,0,0,'Données projet'!$E$9+1,1))</f>
        <v>289.94242154211224</v>
      </c>
      <c r="T190" s="62">
        <f t="shared" si="142"/>
        <v>369.12599166143661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5.964711502086228</v>
      </c>
      <c r="AA190" s="23">
        <f>EXP(-LN(2)/25)*AA189+(1-EXP(-LN(2)/25))/(LN(2)/25)*Calculateur!V190*Calculateur!X190*VLOOKUP('Données projet'!$B$9,Paramètres!$A$1:$I$88,3,0)*0.475*44/12</f>
        <v>1.9755283485123896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7.9402398505986174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projet'!$B$10,Paramètres!$A$1:$I$88,3,0)*VLOOKUP('Données projet'!$B$10,Paramètres!$A$1:$I$88,5,0)</f>
        <v>1.0286385077051818E-13</v>
      </c>
      <c r="AK190" s="14">
        <f t="shared" si="164"/>
        <v>1.5402366592183556E-12</v>
      </c>
      <c r="AL190" s="22">
        <f t="shared" si="165"/>
        <v>2.8617333882306215E-12</v>
      </c>
      <c r="AM190" s="62">
        <f t="shared" si="113"/>
        <v>289.85810977945926</v>
      </c>
      <c r="AN190" s="62">
        <f ca="1">AVERAGE(OFFSET($AM$3,0,0,'Données projet'!$E$10+1,1))-AVERAGE(OFFSET($H$3,0,0,'Données projet'!$E$10+1,1))</f>
        <v>518.31628039365785</v>
      </c>
      <c r="AO190" s="62">
        <f t="shared" si="144"/>
        <v>66.435071953154761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130.76578507655083</v>
      </c>
      <c r="AV190" s="23">
        <f>EXP(-LN(2)/25)*AV189+(1-EXP(-LN(2)/25))/(LN(2)/25)*Calculateur!AQ190*Calculateur!AS190*VLOOKUP('Données projet'!$B$10,Paramètres!$A$1:$I$88,3,0)*0.475*44/12</f>
        <v>0</v>
      </c>
      <c r="AW190" s="23">
        <f>EXP(-LN(2)/2)*AW189+(1-EXP(-LN(2)/2))/(LN(2)/2)*AQ190*AT190*VLOOKUP('Données projet'!$B$10,Paramètres!$A$1:$I$88,3,0)*0.475*44/12</f>
        <v>0</v>
      </c>
      <c r="AX190" s="23">
        <f t="shared" si="166"/>
        <v>130.76578507655083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projet'!$B$11,Paramètres!$A$1:$I$88,3,0)*VLOOKUP('Données projet'!$B$11,Paramètres!$A$1:$I$88,5,0)</f>
        <v>1.1527845344971866E-13</v>
      </c>
      <c r="BF190" s="14">
        <f t="shared" si="167"/>
        <v>1.7033846239409443E-12</v>
      </c>
      <c r="BG190" s="22">
        <f t="shared" si="168"/>
        <v>3.1675048597887374E-12</v>
      </c>
      <c r="BH190" s="62">
        <f t="shared" si="116"/>
        <v>289.8581097794596</v>
      </c>
      <c r="BI190" s="62">
        <f ca="1">AVERAGE(OFFSET($BH$3,0,0,'Données projet'!$E$11+1,1))-AVERAGE(OFFSET($H$3,0,0,'Données projet'!$E$11+1,1))</f>
        <v>570.2785736203931</v>
      </c>
      <c r="BJ190" s="62">
        <f t="shared" si="146"/>
        <v>67.677759965081719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146.54786258578966</v>
      </c>
      <c r="BQ190" s="23">
        <f>EXP(-LN(2)/25)*BQ189+(1-EXP(-LN(2)/25))/(LN(2)/25)*Calculateur!BL190*Calculateur!BN190*VLOOKUP('Données projet'!$B$11,Paramètres!$A$1:$I$88,3,0)*0.475*44/12</f>
        <v>0</v>
      </c>
      <c r="BR190" s="23">
        <f>EXP(-LN(2)/2)*BR189+(1-EXP(-LN(2)/2))/(LN(2)/2)*BL190*BO190*VLOOKUP('Données projet'!$B$11,Paramètres!$A$1:$I$88,3,0)*0.475*44/12</f>
        <v>0</v>
      </c>
      <c r="BS190" s="24">
        <f t="shared" si="169"/>
        <v>146.54786258578966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544.19999999999982</v>
      </c>
      <c r="BZ190" s="14">
        <f>BY190*VLOOKUP('Données projet'!$B$12,Paramètres!$A$1:$I$88,3,0)*VLOOKUP('Données projet'!$B$12,Paramètres!$A$1:$I$88,5,0)</f>
        <v>325.43159999999995</v>
      </c>
      <c r="CA190" s="14">
        <f t="shared" si="170"/>
        <v>76.482394221016762</v>
      </c>
      <c r="CB190" s="22">
        <f t="shared" si="171"/>
        <v>700.00020660160408</v>
      </c>
      <c r="CC190" s="62">
        <f t="shared" si="119"/>
        <v>989.85831638106049</v>
      </c>
      <c r="CD190" s="62">
        <f ca="1">AVERAGE(OFFSET($CC$3,0,0,'Données projet'!$E$12+1,1))-AVERAGE(OFFSET($H$3,0,0,'Données projet'!$E$12+1,1))</f>
        <v>401.1031790385295</v>
      </c>
      <c r="CE190" s="62">
        <f t="shared" si="148"/>
        <v>402.09589424130615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projet'!$B$12,Paramètres!$A$1:$I$88,3,0)*0.475*44/12</f>
        <v>1.6770973932584925</v>
      </c>
      <c r="CL190" s="23">
        <f>EXP(-LN(2)/25)*CL189+(1-EXP(-LN(2)/25))/(LN(2)/25)*Calculateur!CG190*Calculateur!CI190*VLOOKUP('Données projet'!$B$12,Paramètres!$A$1:$I$88,3,0)*0.475*44/12</f>
        <v>0</v>
      </c>
      <c r="CM190" s="23">
        <f>EXP(-LN(2)/2)*CM189+(1-EXP(-LN(2)/2))/(LN(2)/2)*CG190*CJ190*VLOOKUP('Données projet'!$B$12,Paramètres!$A$1:$I$88,3,0)*0.475*44/12</f>
        <v>3.1826364691962173E-19</v>
      </c>
      <c r="CN190" s="24">
        <f t="shared" si="172"/>
        <v>1.6770973932584925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544.19999999999982</v>
      </c>
      <c r="CU190" s="18">
        <f>CT190*VLOOKUP('Données projet'!$B$13,Paramètres!$A$1:$I$88,3,0)*VLOOKUP('Données projet'!$B$13,Paramètres!$A$1:$I$88,5,0)</f>
        <v>325.43159999999995</v>
      </c>
      <c r="CV190" s="14">
        <f t="shared" si="173"/>
        <v>76.482394221016762</v>
      </c>
      <c r="CW190" s="22">
        <f t="shared" si="174"/>
        <v>700.00020660160408</v>
      </c>
      <c r="CX190" s="62">
        <f t="shared" si="122"/>
        <v>989.85831638106049</v>
      </c>
      <c r="CY190" s="62">
        <f ca="1">AVERAGE(OFFSET($CX$3,0,0,'Données projet'!$E$13+1,1))-AVERAGE(OFFSET($H$3,0,0,'Données projet'!$E$13+1,1))</f>
        <v>401.1031790385295</v>
      </c>
      <c r="CZ190" s="62">
        <f t="shared" si="150"/>
        <v>402.09589424130615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projet'!$B$13,Paramètres!$A$1:$I$88,3,0)*0.475*44/12</f>
        <v>1.6770973932584925</v>
      </c>
      <c r="DG190" s="23">
        <f>EXP(-LN(2)/25)*DG189+(1-EXP(-LN(2)/25))/(LN(2)/25)*Calculateur!DB190*Calculateur!DD190*VLOOKUP('Données projet'!$B$13,Paramètres!$A$1:$I$88,3,0)*0.475*44/12</f>
        <v>0</v>
      </c>
      <c r="DH190" s="23">
        <f>EXP(-LN(2)/2)*DH189+(1-EXP(-LN(2)/2))/(LN(2)/2)*DB190*DE190*VLOOKUP('Données projet'!$B$13,Paramètres!$A$1:$I$88,3,0)*0.475*44/12</f>
        <v>3.1826364691962173E-19</v>
      </c>
      <c r="DI190" s="24">
        <f t="shared" si="175"/>
        <v>1.6770973932584925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860.00000000000023</v>
      </c>
      <c r="DP190" s="18">
        <f>DO190*VLOOKUP('Données projet'!$B$14,Paramètres!$A$1:$I$88,3,0)*VLOOKUP('Données projet'!$B$14,Paramètres!$A$1:$I$88,5,0)</f>
        <v>346.5800000000001</v>
      </c>
      <c r="DQ190" s="14">
        <f t="shared" si="176"/>
        <v>80.857895771535127</v>
      </c>
      <c r="DR190" s="22">
        <f t="shared" si="177"/>
        <v>744.45433513542378</v>
      </c>
      <c r="DS190" s="62">
        <f t="shared" si="125"/>
        <v>1034.3124449148802</v>
      </c>
      <c r="DT190" s="62">
        <f ca="1">AVERAGE(OFFSET($DS$3,0,0,'Données projet'!$E$14+1,1))-AVERAGE(OFFSET($H$3,0,0,'Données projet'!$E$14+1,1))</f>
        <v>432.59662347701629</v>
      </c>
      <c r="DU190" s="62">
        <f t="shared" si="152"/>
        <v>348.67401091099748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projet'!$B$14,Paramètres!$A$1:$I$88,3,0)*0.475*44/12</f>
        <v>7.5547571307700041</v>
      </c>
      <c r="EB190" s="23">
        <f>EXP(-LN(2)/25)*EB189+(1-EXP(-LN(2)/25))/(LN(2)/25)*Calculateur!DW190*Calculateur!DY190*VLOOKUP('Données projet'!$B$14,Paramètres!$A$1:$I$88,3,0)*0.475*44/12</f>
        <v>3.5790868971188474</v>
      </c>
      <c r="EC190" s="23">
        <f>EXP(-LN(2)/2)*EC189+(1-EXP(-LN(2)/2))/(LN(2)/2)*DW190*DZ190*VLOOKUP('Données projet'!$B$14,Paramètres!$A$1:$I$88,3,0)*0.475*44/12</f>
        <v>0</v>
      </c>
      <c r="ED190" s="24">
        <f t="shared" si="178"/>
        <v>11.133844027888852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1099.9999999999998</v>
      </c>
      <c r="EK190" s="18">
        <f>EJ190*VLOOKUP('Données projet'!$B$15,Paramètres!$A$1:$I$88,3,0)*VLOOKUP('Données projet'!$B$15,Paramètres!$A$1:$I$88,5,0)</f>
        <v>486.19999999999993</v>
      </c>
      <c r="EL190" s="14">
        <f t="shared" si="179"/>
        <v>109.0490179035375</v>
      </c>
      <c r="EM190" s="22">
        <f t="shared" si="180"/>
        <v>1036.725372848661</v>
      </c>
      <c r="EN190" s="62">
        <f t="shared" si="128"/>
        <v>1326.5834826281175</v>
      </c>
      <c r="EO190" s="62">
        <f ca="1">AVERAGE(OFFSET($EN$3,0,0,'Données projet'!$E$15+1,1))-AVERAGE(OFFSET($H$3,0,0,'Données projet'!$E$15+1,1))</f>
        <v>582.26951914082088</v>
      </c>
      <c r="EP190" s="62">
        <f t="shared" si="154"/>
        <v>434.80429932654715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projet'!$B$15,Paramètres!$A$1:$I$88,3,0)*0.475*44/12</f>
        <v>7.6124649354655265</v>
      </c>
      <c r="EW190" s="23">
        <f>EXP(-LN(2)/25)*EW189+(1-EXP(-LN(2)/25))/(LN(2)/25)*Calculateur!ER190*Calculateur!ET190*VLOOKUP('Données projet'!$B$15,Paramètres!$A$1:$I$88,3,0)*0.475*44/12</f>
        <v>3.2160881681170301</v>
      </c>
      <c r="EX190" s="23">
        <f>EXP(-LN(2)/2)*EX189+(1-EXP(-LN(2)/2))/(LN(2)/2)*ER190*EU190*VLOOKUP('Données projet'!$B$15,Paramètres!$A$1:$I$88,3,0)*0.475*44/12</f>
        <v>0</v>
      </c>
      <c r="EY190" s="24">
        <f t="shared" si="181"/>
        <v>10.828553103582557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854.99999999999989</v>
      </c>
      <c r="FF190" s="18">
        <f>FE190*VLOOKUP('Données projet'!$B$16,Paramètres!$A$1:$I$88,3,0)*VLOOKUP('Données projet'!$B$16,Paramètres!$A$1:$I$88,5,0)</f>
        <v>400.13999999999993</v>
      </c>
      <c r="FG190" s="14">
        <f t="shared" si="182"/>
        <v>91.805047494648534</v>
      </c>
      <c r="FH190" s="22">
        <f t="shared" si="183"/>
        <v>856.80429105317944</v>
      </c>
      <c r="FI190" s="62">
        <f t="shared" si="131"/>
        <v>1146.6624008326357</v>
      </c>
      <c r="FJ190" s="62">
        <f ca="1">AVERAGE(OFFSET($FI$3,0,0,'Données projet'!$E$16+1,1))-AVERAGE(OFFSET($H$3,0,0,'Données projet'!$E$16+1,1))</f>
        <v>429.87867712133851</v>
      </c>
      <c r="FK190" s="62">
        <f t="shared" si="156"/>
        <v>182.81277865988014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projet'!$B$16,Paramètres!$A$1:$I$88,3,0)*0.475*44/12</f>
        <v>9.0787753943790896</v>
      </c>
      <c r="FR190" s="23">
        <f>EXP(-LN(2)/25)*FR189+(1-EXP(-LN(2)/25))/(LN(2)/25)*Calculateur!FM190*Calculateur!FO190*VLOOKUP('Données projet'!$B$16,Paramètres!$A$1:$I$88,3,0)*0.475*44/12</f>
        <v>4.0769423554145519</v>
      </c>
      <c r="FS190" s="23">
        <f>EXP(-LN(2)/2)*FS189+(1-EXP(-LN(2)/2))/(LN(2)/2)*FM190*FP190*VLOOKUP('Données projet'!$B$16,Paramètres!$A$1:$I$88,3,0)*0.475*44/12</f>
        <v>0</v>
      </c>
      <c r="FT190" s="24">
        <f t="shared" si="184"/>
        <v>13.155717749793642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498.99999999999955</v>
      </c>
      <c r="GA190" s="18">
        <f>FZ190*VLOOKUP('Données projet'!$B$17,Paramètres!$A$1:$I$88,3,0)*VLOOKUP('Données projet'!$B$17,Paramètres!$A$1:$I$88,5,0)</f>
        <v>240.01899999999978</v>
      </c>
      <c r="GB190" s="14">
        <f t="shared" si="185"/>
        <v>58.443618405936313</v>
      </c>
      <c r="GC190" s="22">
        <f t="shared" si="186"/>
        <v>519.82239372367201</v>
      </c>
      <c r="GD190" s="62">
        <f t="shared" si="134"/>
        <v>809.68050350312842</v>
      </c>
      <c r="GE190" s="62">
        <f ca="1">AVERAGE(OFFSET($GD$3,0,0,'Données projet'!$E$17+1,1))-AVERAGE(OFFSET($H$3,0,0,'Données projet'!$E$17+1,1))</f>
        <v>273.24375559399846</v>
      </c>
      <c r="GF190" s="62">
        <f t="shared" si="158"/>
        <v>270.77718895097848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projet'!$B$17,Paramètres!$A$1:$I$88,3,0)*0.475*44/12</f>
        <v>3.8873417311047049</v>
      </c>
      <c r="GM190" s="23">
        <f>EXP(-LN(2)/25)*GM189+(1-EXP(-LN(2)/25))/(LN(2)/25)*Calculateur!GH190*Calculateur!GJ190*VLOOKUP('Données projet'!$B$17,Paramètres!$A$1:$I$88,3,0)*0.475*44/12</f>
        <v>1.5685934323392769</v>
      </c>
      <c r="GN190" s="23">
        <f>EXP(-LN(2)/2)*GN189+(1-EXP(-LN(2)/2))/(LN(2)/2)*GH190*GK190*VLOOKUP('Données projet'!$B$17,Paramètres!$A$1:$I$88,3,0)*0.475*44/12</f>
        <v>0</v>
      </c>
      <c r="GO190" s="23">
        <f t="shared" si="187"/>
        <v>5.4559351634439821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550.99999999999966</v>
      </c>
      <c r="O191" s="14">
        <f>N191*VLOOKUP('Données projet'!$B$9,Paramètres!$A$1:$I$88,3,0)*VLOOKUP('Données projet'!$B$9,Paramètres!$A$1:$I$88,5,0)</f>
        <v>308.00899999999979</v>
      </c>
      <c r="P191" s="14">
        <f t="shared" si="141"/>
        <v>72.852874331417695</v>
      </c>
      <c r="Q191" s="22">
        <f t="shared" si="162"/>
        <v>663.33443112721886</v>
      </c>
      <c r="R191" s="62">
        <f t="shared" si="109"/>
        <v>953.2528282658991</v>
      </c>
      <c r="S191" s="62">
        <f ca="1">AVERAGE(OFFSET($R$3,0,0,'Données projet'!$E$9+1,1))-AVERAGE(OFFSET($H$3,0,0,'Données projet'!$E$9+1,1))</f>
        <v>289.94242154211224</v>
      </c>
      <c r="T191" s="62">
        <f t="shared" si="142"/>
        <v>369.12599166143661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5.8477471476450997</v>
      </c>
      <c r="AA191" s="23">
        <f>EXP(-LN(2)/25)*AA190+(1-EXP(-LN(2)/25))/(LN(2)/25)*Calculateur!V191*Calculateur!X191*VLOOKUP('Données projet'!$B$9,Paramètres!$A$1:$I$88,3,0)*0.475*44/12</f>
        <v>1.9215074219337975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7.769254569578897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projet'!$B$10,Paramètres!$A$1:$I$88,3,0)*VLOOKUP('Données projet'!$B$10,Paramètres!$A$1:$I$88,5,0)</f>
        <v>1.0286385077051818E-13</v>
      </c>
      <c r="AK191" s="14">
        <f t="shared" si="164"/>
        <v>1.5402366592183556E-12</v>
      </c>
      <c r="AL191" s="22">
        <f t="shared" si="165"/>
        <v>2.8617333882306215E-12</v>
      </c>
      <c r="AM191" s="62">
        <f t="shared" si="113"/>
        <v>289.91839713868308</v>
      </c>
      <c r="AN191" s="62">
        <f ca="1">AVERAGE(OFFSET($AM$3,0,0,'Données projet'!$E$10+1,1))-AVERAGE(OFFSET($H$3,0,0,'Données projet'!$E$10+1,1))</f>
        <v>518.31628039365785</v>
      </c>
      <c r="AO191" s="62">
        <f t="shared" si="144"/>
        <v>66.435071953154761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128.20154779045299</v>
      </c>
      <c r="AV191" s="23">
        <f>EXP(-LN(2)/25)*AV190+(1-EXP(-LN(2)/25))/(LN(2)/25)*Calculateur!AQ191*Calculateur!AS191*VLOOKUP('Données projet'!$B$10,Paramètres!$A$1:$I$88,3,0)*0.475*44/12</f>
        <v>0</v>
      </c>
      <c r="AW191" s="23">
        <f>EXP(-LN(2)/2)*AW190+(1-EXP(-LN(2)/2))/(LN(2)/2)*AQ191*AT191*VLOOKUP('Données projet'!$B$10,Paramètres!$A$1:$I$88,3,0)*0.475*44/12</f>
        <v>0</v>
      </c>
      <c r="AX191" s="23">
        <f t="shared" si="166"/>
        <v>128.20154779045299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projet'!$B$11,Paramètres!$A$1:$I$88,3,0)*VLOOKUP('Données projet'!$B$11,Paramètres!$A$1:$I$88,5,0)</f>
        <v>1.1527845344971866E-13</v>
      </c>
      <c r="BF191" s="14">
        <f t="shared" si="167"/>
        <v>1.7033846239409443E-12</v>
      </c>
      <c r="BG191" s="22">
        <f t="shared" si="168"/>
        <v>3.1675048597887374E-12</v>
      </c>
      <c r="BH191" s="62">
        <f t="shared" si="116"/>
        <v>289.91839713868342</v>
      </c>
      <c r="BI191" s="62">
        <f ca="1">AVERAGE(OFFSET($BH$3,0,0,'Données projet'!$E$11+1,1))-AVERAGE(OFFSET($H$3,0,0,'Données projet'!$E$11+1,1))</f>
        <v>570.2785736203931</v>
      </c>
      <c r="BJ191" s="62">
        <f t="shared" si="146"/>
        <v>67.677759965081719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143.67414838585242</v>
      </c>
      <c r="BQ191" s="23">
        <f>EXP(-LN(2)/25)*BQ190+(1-EXP(-LN(2)/25))/(LN(2)/25)*Calculateur!BL191*Calculateur!BN191*VLOOKUP('Données projet'!$B$11,Paramètres!$A$1:$I$88,3,0)*0.475*44/12</f>
        <v>0</v>
      </c>
      <c r="BR191" s="23">
        <f>EXP(-LN(2)/2)*BR190+(1-EXP(-LN(2)/2))/(LN(2)/2)*BL191*BO191*VLOOKUP('Données projet'!$B$11,Paramètres!$A$1:$I$88,3,0)*0.475*44/12</f>
        <v>0</v>
      </c>
      <c r="BS191" s="24">
        <f t="shared" si="169"/>
        <v>143.67414838585242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544.19999999999982</v>
      </c>
      <c r="BZ191" s="14">
        <f>BY191*VLOOKUP('Données projet'!$B$12,Paramètres!$A$1:$I$88,3,0)*VLOOKUP('Données projet'!$B$12,Paramètres!$A$1:$I$88,5,0)</f>
        <v>325.43159999999995</v>
      </c>
      <c r="CA191" s="14">
        <f t="shared" si="170"/>
        <v>76.482394221016762</v>
      </c>
      <c r="CB191" s="22">
        <f t="shared" si="171"/>
        <v>700.00020660160408</v>
      </c>
      <c r="CC191" s="62">
        <f t="shared" si="119"/>
        <v>989.91860374028431</v>
      </c>
      <c r="CD191" s="62">
        <f ca="1">AVERAGE(OFFSET($CC$3,0,0,'Données projet'!$E$12+1,1))-AVERAGE(OFFSET($H$3,0,0,'Données projet'!$E$12+1,1))</f>
        <v>401.1031790385295</v>
      </c>
      <c r="CE191" s="62">
        <f t="shared" si="148"/>
        <v>402.09589424130615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projet'!$B$12,Paramètres!$A$1:$I$88,3,0)*0.475*44/12</f>
        <v>1.6442105363050976</v>
      </c>
      <c r="CL191" s="23">
        <f>EXP(-LN(2)/25)*CL190+(1-EXP(-LN(2)/25))/(LN(2)/25)*Calculateur!CG191*Calculateur!CI191*VLOOKUP('Données projet'!$B$12,Paramètres!$A$1:$I$88,3,0)*0.475*44/12</f>
        <v>0</v>
      </c>
      <c r="CM191" s="23">
        <f>EXP(-LN(2)/2)*CM190+(1-EXP(-LN(2)/2))/(LN(2)/2)*CG191*CJ191*VLOOKUP('Données projet'!$B$12,Paramètres!$A$1:$I$88,3,0)*0.475*44/12</f>
        <v>2.2504638294202558E-19</v>
      </c>
      <c r="CN191" s="24">
        <f t="shared" si="172"/>
        <v>1.6442105363050976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544.19999999999982</v>
      </c>
      <c r="CU191" s="18">
        <f>CT191*VLOOKUP('Données projet'!$B$13,Paramètres!$A$1:$I$88,3,0)*VLOOKUP('Données projet'!$B$13,Paramètres!$A$1:$I$88,5,0)</f>
        <v>325.43159999999995</v>
      </c>
      <c r="CV191" s="14">
        <f t="shared" si="173"/>
        <v>76.482394221016762</v>
      </c>
      <c r="CW191" s="22">
        <f t="shared" si="174"/>
        <v>700.00020660160408</v>
      </c>
      <c r="CX191" s="62">
        <f t="shared" si="122"/>
        <v>989.91860374028431</v>
      </c>
      <c r="CY191" s="62">
        <f ca="1">AVERAGE(OFFSET($CX$3,0,0,'Données projet'!$E$13+1,1))-AVERAGE(OFFSET($H$3,0,0,'Données projet'!$E$13+1,1))</f>
        <v>401.1031790385295</v>
      </c>
      <c r="CZ191" s="62">
        <f t="shared" si="150"/>
        <v>402.09589424130615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projet'!$B$13,Paramètres!$A$1:$I$88,3,0)*0.475*44/12</f>
        <v>1.6442105363050976</v>
      </c>
      <c r="DG191" s="23">
        <f>EXP(-LN(2)/25)*DG190+(1-EXP(-LN(2)/25))/(LN(2)/25)*Calculateur!DB191*Calculateur!DD191*VLOOKUP('Données projet'!$B$13,Paramètres!$A$1:$I$88,3,0)*0.475*44/12</f>
        <v>0</v>
      </c>
      <c r="DH191" s="23">
        <f>EXP(-LN(2)/2)*DH190+(1-EXP(-LN(2)/2))/(LN(2)/2)*DB191*DE191*VLOOKUP('Données projet'!$B$13,Paramètres!$A$1:$I$88,3,0)*0.475*44/12</f>
        <v>2.2504638294202558E-19</v>
      </c>
      <c r="DI191" s="24">
        <f t="shared" si="175"/>
        <v>1.6442105363050976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860.00000000000023</v>
      </c>
      <c r="DP191" s="18">
        <f>DO191*VLOOKUP('Données projet'!$B$14,Paramètres!$A$1:$I$88,3,0)*VLOOKUP('Données projet'!$B$14,Paramètres!$A$1:$I$88,5,0)</f>
        <v>346.5800000000001</v>
      </c>
      <c r="DQ191" s="14">
        <f t="shared" si="176"/>
        <v>80.857895771535127</v>
      </c>
      <c r="DR191" s="22">
        <f t="shared" si="177"/>
        <v>744.45433513542378</v>
      </c>
      <c r="DS191" s="62">
        <f t="shared" si="125"/>
        <v>1034.372732274104</v>
      </c>
      <c r="DT191" s="62">
        <f ca="1">AVERAGE(OFFSET($DS$3,0,0,'Données projet'!$E$14+1,1))-AVERAGE(OFFSET($H$3,0,0,'Données projet'!$E$14+1,1))</f>
        <v>432.59662347701629</v>
      </c>
      <c r="DU191" s="62">
        <f t="shared" si="152"/>
        <v>348.67401091099748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projet'!$B$14,Paramètres!$A$1:$I$88,3,0)*0.475*44/12</f>
        <v>7.4066129513824572</v>
      </c>
      <c r="EB191" s="23">
        <f>EXP(-LN(2)/25)*EB190+(1-EXP(-LN(2)/25))/(LN(2)/25)*Calculateur!DW191*Calculateur!DY191*VLOOKUP('Données projet'!$B$14,Paramètres!$A$1:$I$88,3,0)*0.475*44/12</f>
        <v>3.4812165777011326</v>
      </c>
      <c r="EC191" s="23">
        <f>EXP(-LN(2)/2)*EC190+(1-EXP(-LN(2)/2))/(LN(2)/2)*DW191*DZ191*VLOOKUP('Données projet'!$B$14,Paramètres!$A$1:$I$88,3,0)*0.475*44/12</f>
        <v>0</v>
      </c>
      <c r="ED191" s="24">
        <f t="shared" si="178"/>
        <v>10.887829529083589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1099.9999999999998</v>
      </c>
      <c r="EK191" s="18">
        <f>EJ191*VLOOKUP('Données projet'!$B$15,Paramètres!$A$1:$I$88,3,0)*VLOOKUP('Données projet'!$B$15,Paramètres!$A$1:$I$88,5,0)</f>
        <v>486.19999999999993</v>
      </c>
      <c r="EL191" s="14">
        <f t="shared" si="179"/>
        <v>109.0490179035375</v>
      </c>
      <c r="EM191" s="22">
        <f t="shared" si="180"/>
        <v>1036.725372848661</v>
      </c>
      <c r="EN191" s="62">
        <f t="shared" si="128"/>
        <v>1326.6437699873413</v>
      </c>
      <c r="EO191" s="62">
        <f ca="1">AVERAGE(OFFSET($EN$3,0,0,'Données projet'!$E$15+1,1))-AVERAGE(OFFSET($H$3,0,0,'Données projet'!$E$15+1,1))</f>
        <v>582.26951914082088</v>
      </c>
      <c r="EP191" s="62">
        <f t="shared" si="154"/>
        <v>434.80429932654715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projet'!$B$15,Paramètres!$A$1:$I$88,3,0)*0.475*44/12</f>
        <v>7.4631891412261853</v>
      </c>
      <c r="EW191" s="23">
        <f>EXP(-LN(2)/25)*EW190+(1-EXP(-LN(2)/25))/(LN(2)/25)*Calculateur!ER191*Calculateur!ET191*VLOOKUP('Données projet'!$B$15,Paramètres!$A$1:$I$88,3,0)*0.475*44/12</f>
        <v>3.1281440680331438</v>
      </c>
      <c r="EX191" s="23">
        <f>EXP(-LN(2)/2)*EX190+(1-EXP(-LN(2)/2))/(LN(2)/2)*ER191*EU191*VLOOKUP('Données projet'!$B$15,Paramètres!$A$1:$I$88,3,0)*0.475*44/12</f>
        <v>0</v>
      </c>
      <c r="EY191" s="24">
        <f t="shared" si="181"/>
        <v>10.591333209259329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854.99999999999989</v>
      </c>
      <c r="FF191" s="18">
        <f>FE191*VLOOKUP('Données projet'!$B$16,Paramètres!$A$1:$I$88,3,0)*VLOOKUP('Données projet'!$B$16,Paramètres!$A$1:$I$88,5,0)</f>
        <v>400.13999999999993</v>
      </c>
      <c r="FG191" s="14">
        <f t="shared" si="182"/>
        <v>91.805047494648534</v>
      </c>
      <c r="FH191" s="22">
        <f t="shared" si="183"/>
        <v>856.80429105317944</v>
      </c>
      <c r="FI191" s="62">
        <f t="shared" si="131"/>
        <v>1146.7226881918596</v>
      </c>
      <c r="FJ191" s="62">
        <f ca="1">AVERAGE(OFFSET($FI$3,0,0,'Données projet'!$E$16+1,1))-AVERAGE(OFFSET($H$3,0,0,'Données projet'!$E$16+1,1))</f>
        <v>429.87867712133851</v>
      </c>
      <c r="FK191" s="62">
        <f t="shared" si="156"/>
        <v>182.81277865988014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projet'!$B$16,Paramètres!$A$1:$I$88,3,0)*0.475*44/12</f>
        <v>8.9007461464015236</v>
      </c>
      <c r="FR191" s="23">
        <f>EXP(-LN(2)/25)*FR190+(1-EXP(-LN(2)/25))/(LN(2)/25)*Calculateur!FM191*Calculateur!FO191*VLOOKUP('Données projet'!$B$16,Paramètres!$A$1:$I$88,3,0)*0.475*44/12</f>
        <v>3.9654581523086603</v>
      </c>
      <c r="FS191" s="23">
        <f>EXP(-LN(2)/2)*FS190+(1-EXP(-LN(2)/2))/(LN(2)/2)*FM191*FP191*VLOOKUP('Données projet'!$B$16,Paramètres!$A$1:$I$88,3,0)*0.475*44/12</f>
        <v>0</v>
      </c>
      <c r="FT191" s="24">
        <f t="shared" si="184"/>
        <v>12.866204298710183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498.99999999999955</v>
      </c>
      <c r="GA191" s="18">
        <f>FZ191*VLOOKUP('Données projet'!$B$17,Paramètres!$A$1:$I$88,3,0)*VLOOKUP('Données projet'!$B$17,Paramètres!$A$1:$I$88,5,0)</f>
        <v>240.01899999999978</v>
      </c>
      <c r="GB191" s="14">
        <f t="shared" si="185"/>
        <v>58.443618405936313</v>
      </c>
      <c r="GC191" s="22">
        <f t="shared" si="186"/>
        <v>519.82239372367201</v>
      </c>
      <c r="GD191" s="62">
        <f t="shared" si="134"/>
        <v>809.74079086235224</v>
      </c>
      <c r="GE191" s="62">
        <f ca="1">AVERAGE(OFFSET($GD$3,0,0,'Données projet'!$E$17+1,1))-AVERAGE(OFFSET($H$3,0,0,'Données projet'!$E$17+1,1))</f>
        <v>273.24375559399846</v>
      </c>
      <c r="GF191" s="62">
        <f t="shared" si="158"/>
        <v>270.77718895097848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projet'!$B$17,Paramètres!$A$1:$I$88,3,0)*0.475*44/12</f>
        <v>3.8111133308020766</v>
      </c>
      <c r="GM191" s="23">
        <f>EXP(-LN(2)/25)*GM190+(1-EXP(-LN(2)/25))/(LN(2)/25)*Calculateur!GH191*Calculateur!GJ191*VLOOKUP('Données projet'!$B$17,Paramètres!$A$1:$I$88,3,0)*0.475*44/12</f>
        <v>1.5257001624432158</v>
      </c>
      <c r="GN191" s="23">
        <f>EXP(-LN(2)/2)*GN190+(1-EXP(-LN(2)/2))/(LN(2)/2)*GH191*GK191*VLOOKUP('Données projet'!$B$17,Paramètres!$A$1:$I$88,3,0)*0.475*44/12</f>
        <v>0</v>
      </c>
      <c r="GO191" s="23">
        <f t="shared" si="187"/>
        <v>5.3368134932452929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550.99999999999966</v>
      </c>
      <c r="O192" s="14">
        <f>N192*VLOOKUP('Données projet'!$B$9,Paramètres!$A$1:$I$88,3,0)*VLOOKUP('Données projet'!$B$9,Paramètres!$A$1:$I$88,5,0)</f>
        <v>308.00899999999979</v>
      </c>
      <c r="P192" s="14">
        <f t="shared" si="141"/>
        <v>72.852874331417695</v>
      </c>
      <c r="Q192" s="22">
        <f t="shared" si="162"/>
        <v>663.33443112721886</v>
      </c>
      <c r="R192" s="62">
        <f t="shared" si="109"/>
        <v>953.31206977422266</v>
      </c>
      <c r="S192" s="62">
        <f ca="1">AVERAGE(OFFSET($R$3,0,0,'Données projet'!$E$9+1,1))-AVERAGE(OFFSET($H$3,0,0,'Données projet'!$E$9+1,1))</f>
        <v>289.94242154211224</v>
      </c>
      <c r="T192" s="62">
        <f t="shared" si="142"/>
        <v>369.12599166143661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5.7330763928533495</v>
      </c>
      <c r="AA192" s="23">
        <f>EXP(-LN(2)/25)*AA191+(1-EXP(-LN(2)/25))/(LN(2)/25)*Calculateur!V192*Calculateur!X192*VLOOKUP('Données projet'!$B$9,Paramètres!$A$1:$I$88,3,0)*0.475*44/12</f>
        <v>1.8689637004333342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7.6020400932866838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projet'!$B$10,Paramètres!$A$1:$I$88,3,0)*VLOOKUP('Données projet'!$B$10,Paramètres!$A$1:$I$88,5,0)</f>
        <v>1.0286385077051818E-13</v>
      </c>
      <c r="AK192" s="14">
        <f t="shared" si="164"/>
        <v>1.5402366592183556E-12</v>
      </c>
      <c r="AL192" s="22">
        <f t="shared" si="165"/>
        <v>2.8617333882306215E-12</v>
      </c>
      <c r="AM192" s="62">
        <f t="shared" si="113"/>
        <v>289.9776386470067</v>
      </c>
      <c r="AN192" s="62">
        <f ca="1">AVERAGE(OFFSET($AM$3,0,0,'Données projet'!$E$10+1,1))-AVERAGE(OFFSET($H$3,0,0,'Données projet'!$E$10+1,1))</f>
        <v>518.31628039365785</v>
      </c>
      <c r="AO192" s="62">
        <f t="shared" si="144"/>
        <v>66.435071953154761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125.68759363350523</v>
      </c>
      <c r="AV192" s="23">
        <f>EXP(-LN(2)/25)*AV191+(1-EXP(-LN(2)/25))/(LN(2)/25)*Calculateur!AQ192*Calculateur!AS192*VLOOKUP('Données projet'!$B$10,Paramètres!$A$1:$I$88,3,0)*0.475*44/12</f>
        <v>0</v>
      </c>
      <c r="AW192" s="23">
        <f>EXP(-LN(2)/2)*AW191+(1-EXP(-LN(2)/2))/(LN(2)/2)*AQ192*AT192*VLOOKUP('Données projet'!$B$10,Paramètres!$A$1:$I$88,3,0)*0.475*44/12</f>
        <v>0</v>
      </c>
      <c r="AX192" s="23">
        <f t="shared" si="166"/>
        <v>125.68759363350523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projet'!$B$11,Paramètres!$A$1:$I$88,3,0)*VLOOKUP('Données projet'!$B$11,Paramètres!$A$1:$I$88,5,0)</f>
        <v>1.1527845344971866E-13</v>
      </c>
      <c r="BF192" s="14">
        <f t="shared" si="167"/>
        <v>1.7033846239409443E-12</v>
      </c>
      <c r="BG192" s="22">
        <f t="shared" si="168"/>
        <v>3.1675048597887374E-12</v>
      </c>
      <c r="BH192" s="62">
        <f t="shared" si="116"/>
        <v>289.97763864700704</v>
      </c>
      <c r="BI192" s="62">
        <f ca="1">AVERAGE(OFFSET($BH$3,0,0,'Données projet'!$E$11+1,1))-AVERAGE(OFFSET($H$3,0,0,'Données projet'!$E$11+1,1))</f>
        <v>570.2785736203931</v>
      </c>
      <c r="BJ192" s="62">
        <f t="shared" si="146"/>
        <v>67.677759965081719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140.85678596858338</v>
      </c>
      <c r="BQ192" s="23">
        <f>EXP(-LN(2)/25)*BQ191+(1-EXP(-LN(2)/25))/(LN(2)/25)*Calculateur!BL192*Calculateur!BN192*VLOOKUP('Données projet'!$B$11,Paramètres!$A$1:$I$88,3,0)*0.475*44/12</f>
        <v>0</v>
      </c>
      <c r="BR192" s="23">
        <f>EXP(-LN(2)/2)*BR191+(1-EXP(-LN(2)/2))/(LN(2)/2)*BL192*BO192*VLOOKUP('Données projet'!$B$11,Paramètres!$A$1:$I$88,3,0)*0.475*44/12</f>
        <v>0</v>
      </c>
      <c r="BS192" s="24">
        <f t="shared" si="169"/>
        <v>140.85678596858338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544.19999999999982</v>
      </c>
      <c r="BZ192" s="14">
        <f>BY192*VLOOKUP('Données projet'!$B$12,Paramètres!$A$1:$I$88,3,0)*VLOOKUP('Données projet'!$B$12,Paramètres!$A$1:$I$88,5,0)</f>
        <v>325.43159999999995</v>
      </c>
      <c r="CA192" s="14">
        <f t="shared" si="170"/>
        <v>76.482394221016762</v>
      </c>
      <c r="CB192" s="22">
        <f t="shared" si="171"/>
        <v>700.00020660160408</v>
      </c>
      <c r="CC192" s="62">
        <f t="shared" si="119"/>
        <v>989.97784524860799</v>
      </c>
      <c r="CD192" s="62">
        <f ca="1">AVERAGE(OFFSET($CC$3,0,0,'Données projet'!$E$12+1,1))-AVERAGE(OFFSET($H$3,0,0,'Données projet'!$E$12+1,1))</f>
        <v>401.1031790385295</v>
      </c>
      <c r="CE192" s="62">
        <f t="shared" si="148"/>
        <v>402.09589424130615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projet'!$B$12,Paramètres!$A$1:$I$88,3,0)*0.475*44/12</f>
        <v>1.6119685705575566</v>
      </c>
      <c r="CL192" s="23">
        <f>EXP(-LN(2)/25)*CL191+(1-EXP(-LN(2)/25))/(LN(2)/25)*Calculateur!CG192*Calculateur!CI192*VLOOKUP('Données projet'!$B$12,Paramètres!$A$1:$I$88,3,0)*0.475*44/12</f>
        <v>0</v>
      </c>
      <c r="CM192" s="23">
        <f>EXP(-LN(2)/2)*CM191+(1-EXP(-LN(2)/2))/(LN(2)/2)*CG192*CJ192*VLOOKUP('Données projet'!$B$12,Paramètres!$A$1:$I$88,3,0)*0.475*44/12</f>
        <v>1.5913182345981087E-19</v>
      </c>
      <c r="CN192" s="24">
        <f t="shared" si="172"/>
        <v>1.6119685705575566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544.19999999999982</v>
      </c>
      <c r="CU192" s="18">
        <f>CT192*VLOOKUP('Données projet'!$B$13,Paramètres!$A$1:$I$88,3,0)*VLOOKUP('Données projet'!$B$13,Paramètres!$A$1:$I$88,5,0)</f>
        <v>325.43159999999995</v>
      </c>
      <c r="CV192" s="14">
        <f t="shared" si="173"/>
        <v>76.482394221016762</v>
      </c>
      <c r="CW192" s="22">
        <f t="shared" si="174"/>
        <v>700.00020660160408</v>
      </c>
      <c r="CX192" s="62">
        <f t="shared" si="122"/>
        <v>989.97784524860799</v>
      </c>
      <c r="CY192" s="62">
        <f ca="1">AVERAGE(OFFSET($CX$3,0,0,'Données projet'!$E$13+1,1))-AVERAGE(OFFSET($H$3,0,0,'Données projet'!$E$13+1,1))</f>
        <v>401.1031790385295</v>
      </c>
      <c r="CZ192" s="62">
        <f t="shared" si="150"/>
        <v>402.09589424130615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projet'!$B$13,Paramètres!$A$1:$I$88,3,0)*0.475*44/12</f>
        <v>1.6119685705575566</v>
      </c>
      <c r="DG192" s="23">
        <f>EXP(-LN(2)/25)*DG191+(1-EXP(-LN(2)/25))/(LN(2)/25)*Calculateur!DB192*Calculateur!DD192*VLOOKUP('Données projet'!$B$13,Paramètres!$A$1:$I$88,3,0)*0.475*44/12</f>
        <v>0</v>
      </c>
      <c r="DH192" s="23">
        <f>EXP(-LN(2)/2)*DH191+(1-EXP(-LN(2)/2))/(LN(2)/2)*DB192*DE192*VLOOKUP('Données projet'!$B$13,Paramètres!$A$1:$I$88,3,0)*0.475*44/12</f>
        <v>1.5913182345981087E-19</v>
      </c>
      <c r="DI192" s="24">
        <f t="shared" si="175"/>
        <v>1.6119685705575566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860.00000000000023</v>
      </c>
      <c r="DP192" s="18">
        <f>DO192*VLOOKUP('Données projet'!$B$14,Paramètres!$A$1:$I$88,3,0)*VLOOKUP('Données projet'!$B$14,Paramètres!$A$1:$I$88,5,0)</f>
        <v>346.5800000000001</v>
      </c>
      <c r="DQ192" s="14">
        <f t="shared" si="176"/>
        <v>80.857895771535127</v>
      </c>
      <c r="DR192" s="22">
        <f t="shared" si="177"/>
        <v>744.45433513542378</v>
      </c>
      <c r="DS192" s="62">
        <f t="shared" si="125"/>
        <v>1034.4319737824276</v>
      </c>
      <c r="DT192" s="62">
        <f ca="1">AVERAGE(OFFSET($DS$3,0,0,'Données projet'!$E$14+1,1))-AVERAGE(OFFSET($H$3,0,0,'Données projet'!$E$14+1,1))</f>
        <v>432.59662347701629</v>
      </c>
      <c r="DU192" s="62">
        <f t="shared" si="152"/>
        <v>348.67401091099748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projet'!$B$14,Paramètres!$A$1:$I$88,3,0)*0.475*44/12</f>
        <v>7.2613737889936729</v>
      </c>
      <c r="EB192" s="23">
        <f>EXP(-LN(2)/25)*EB191+(1-EXP(-LN(2)/25))/(LN(2)/25)*Calculateur!DW192*Calculateur!DY192*VLOOKUP('Données projet'!$B$14,Paramètres!$A$1:$I$88,3,0)*0.475*44/12</f>
        <v>3.3860225273146716</v>
      </c>
      <c r="EC192" s="23">
        <f>EXP(-LN(2)/2)*EC191+(1-EXP(-LN(2)/2))/(LN(2)/2)*DW192*DZ192*VLOOKUP('Données projet'!$B$14,Paramètres!$A$1:$I$88,3,0)*0.475*44/12</f>
        <v>0</v>
      </c>
      <c r="ED192" s="24">
        <f t="shared" si="178"/>
        <v>10.647396316308345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1099.9999999999998</v>
      </c>
      <c r="EK192" s="18">
        <f>EJ192*VLOOKUP('Données projet'!$B$15,Paramètres!$A$1:$I$88,3,0)*VLOOKUP('Données projet'!$B$15,Paramètres!$A$1:$I$88,5,0)</f>
        <v>486.19999999999993</v>
      </c>
      <c r="EL192" s="14">
        <f t="shared" si="179"/>
        <v>109.0490179035375</v>
      </c>
      <c r="EM192" s="22">
        <f t="shared" si="180"/>
        <v>1036.725372848661</v>
      </c>
      <c r="EN192" s="62">
        <f t="shared" si="128"/>
        <v>1326.7030114956649</v>
      </c>
      <c r="EO192" s="62">
        <f ca="1">AVERAGE(OFFSET($EN$3,0,0,'Données projet'!$E$15+1,1))-AVERAGE(OFFSET($H$3,0,0,'Données projet'!$E$15+1,1))</f>
        <v>582.26951914082088</v>
      </c>
      <c r="EP192" s="62">
        <f t="shared" si="154"/>
        <v>434.80429932654715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projet'!$B$15,Paramètres!$A$1:$I$88,3,0)*0.475*44/12</f>
        <v>7.316840554262634</v>
      </c>
      <c r="EW192" s="23">
        <f>EXP(-LN(2)/25)*EW191+(1-EXP(-LN(2)/25))/(LN(2)/25)*Calculateur!ER192*Calculateur!ET192*VLOOKUP('Données projet'!$B$15,Paramètres!$A$1:$I$88,3,0)*0.475*44/12</f>
        <v>3.0426048039908302</v>
      </c>
      <c r="EX192" s="23">
        <f>EXP(-LN(2)/2)*EX191+(1-EXP(-LN(2)/2))/(LN(2)/2)*ER192*EU192*VLOOKUP('Données projet'!$B$15,Paramètres!$A$1:$I$88,3,0)*0.475*44/12</f>
        <v>0</v>
      </c>
      <c r="EY192" s="24">
        <f t="shared" si="181"/>
        <v>10.359445358253463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854.99999999999989</v>
      </c>
      <c r="FF192" s="18">
        <f>FE192*VLOOKUP('Données projet'!$B$16,Paramètres!$A$1:$I$88,3,0)*VLOOKUP('Données projet'!$B$16,Paramètres!$A$1:$I$88,5,0)</f>
        <v>400.13999999999993</v>
      </c>
      <c r="FG192" s="14">
        <f t="shared" si="182"/>
        <v>91.805047494648534</v>
      </c>
      <c r="FH192" s="22">
        <f t="shared" si="183"/>
        <v>856.80429105317944</v>
      </c>
      <c r="FI192" s="62">
        <f t="shared" si="131"/>
        <v>1146.7819297001834</v>
      </c>
      <c r="FJ192" s="62">
        <f ca="1">AVERAGE(OFFSET($FI$3,0,0,'Données projet'!$E$16+1,1))-AVERAGE(OFFSET($H$3,0,0,'Données projet'!$E$16+1,1))</f>
        <v>429.87867712133851</v>
      </c>
      <c r="FK192" s="62">
        <f t="shared" si="156"/>
        <v>182.81277865988014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projet'!$B$16,Paramètres!$A$1:$I$88,3,0)*0.475*44/12</f>
        <v>8.726207943389678</v>
      </c>
      <c r="FR192" s="23">
        <f>EXP(-LN(2)/25)*FR191+(1-EXP(-LN(2)/25))/(LN(2)/25)*Calculateur!FM192*Calculateur!FO192*VLOOKUP('Données projet'!$B$16,Paramètres!$A$1:$I$88,3,0)*0.475*44/12</f>
        <v>3.8570224905993991</v>
      </c>
      <c r="FS192" s="23">
        <f>EXP(-LN(2)/2)*FS191+(1-EXP(-LN(2)/2))/(LN(2)/2)*FM192*FP192*VLOOKUP('Données projet'!$B$16,Paramètres!$A$1:$I$88,3,0)*0.475*44/12</f>
        <v>0</v>
      </c>
      <c r="FT192" s="24">
        <f t="shared" si="184"/>
        <v>12.583230433989076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498.99999999999955</v>
      </c>
      <c r="GA192" s="18">
        <f>FZ192*VLOOKUP('Données projet'!$B$17,Paramètres!$A$1:$I$88,3,0)*VLOOKUP('Données projet'!$B$17,Paramètres!$A$1:$I$88,5,0)</f>
        <v>240.01899999999978</v>
      </c>
      <c r="GB192" s="14">
        <f t="shared" si="185"/>
        <v>58.443618405936313</v>
      </c>
      <c r="GC192" s="22">
        <f t="shared" si="186"/>
        <v>519.82239372367201</v>
      </c>
      <c r="GD192" s="62">
        <f t="shared" si="134"/>
        <v>809.80003237067581</v>
      </c>
      <c r="GE192" s="62">
        <f ca="1">AVERAGE(OFFSET($GD$3,0,0,'Données projet'!$E$17+1,1))-AVERAGE(OFFSET($H$3,0,0,'Données projet'!$E$17+1,1))</f>
        <v>273.24375559399846</v>
      </c>
      <c r="GF192" s="62">
        <f t="shared" si="158"/>
        <v>270.77718895097848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projet'!$B$17,Paramètres!$A$1:$I$88,3,0)*0.475*44/12</f>
        <v>3.7363797229346494</v>
      </c>
      <c r="GM192" s="23">
        <f>EXP(-LN(2)/25)*GM191+(1-EXP(-LN(2)/25))/(LN(2)/25)*Calculateur!GH192*Calculateur!GJ192*VLOOKUP('Données projet'!$B$17,Paramètres!$A$1:$I$88,3,0)*0.475*44/12</f>
        <v>1.4839798112681215</v>
      </c>
      <c r="GN192" s="23">
        <f>EXP(-LN(2)/2)*GN191+(1-EXP(-LN(2)/2))/(LN(2)/2)*GH192*GK192*VLOOKUP('Données projet'!$B$17,Paramètres!$A$1:$I$88,3,0)*0.475*44/12</f>
        <v>0</v>
      </c>
      <c r="GO192" s="23">
        <f t="shared" si="187"/>
        <v>5.2203595342027711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550.99999999999966</v>
      </c>
      <c r="O193" s="14">
        <f>N193*VLOOKUP('Données projet'!$B$9,Paramètres!$A$1:$I$88,3,0)*VLOOKUP('Données projet'!$B$9,Paramètres!$A$1:$I$88,5,0)</f>
        <v>308.00899999999979</v>
      </c>
      <c r="P193" s="14">
        <f t="shared" si="141"/>
        <v>72.852874331417695</v>
      </c>
      <c r="Q193" s="22">
        <f t="shared" si="162"/>
        <v>663.33443112721886</v>
      </c>
      <c r="R193" s="62">
        <f t="shared" si="109"/>
        <v>953.37028357482109</v>
      </c>
      <c r="S193" s="62">
        <f ca="1">AVERAGE(OFFSET($R$3,0,0,'Données projet'!$E$9+1,1))-AVERAGE(OFFSET($H$3,0,0,'Données projet'!$E$9+1,1))</f>
        <v>289.94242154211224</v>
      </c>
      <c r="T193" s="62">
        <f t="shared" si="142"/>
        <v>369.12599166143661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5.6206542616208113</v>
      </c>
      <c r="AA193" s="23">
        <f>EXP(-LN(2)/25)*AA192+(1-EXP(-LN(2)/25))/(LN(2)/25)*Calculateur!V193*Calculateur!X193*VLOOKUP('Données projet'!$B$9,Paramètres!$A$1:$I$88,3,0)*0.475*44/12</f>
        <v>1.8178567897604552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7.4385110513812664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projet'!$B$10,Paramètres!$A$1:$I$88,3,0)*VLOOKUP('Données projet'!$B$10,Paramètres!$A$1:$I$88,5,0)</f>
        <v>1.0286385077051818E-13</v>
      </c>
      <c r="AK193" s="14">
        <f t="shared" si="164"/>
        <v>1.5402366592183556E-12</v>
      </c>
      <c r="AL193" s="22">
        <f t="shared" si="165"/>
        <v>2.8617333882306215E-12</v>
      </c>
      <c r="AM193" s="62">
        <f t="shared" si="113"/>
        <v>290.03585244760512</v>
      </c>
      <c r="AN193" s="62">
        <f ca="1">AVERAGE(OFFSET($AM$3,0,0,'Données projet'!$E$10+1,1))-AVERAGE(OFFSET($H$3,0,0,'Données projet'!$E$10+1,1))</f>
        <v>518.31628039365785</v>
      </c>
      <c r="AO193" s="62">
        <f t="shared" si="144"/>
        <v>66.435071953154761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123.22293658421458</v>
      </c>
      <c r="AV193" s="23">
        <f>EXP(-LN(2)/25)*AV192+(1-EXP(-LN(2)/25))/(LN(2)/25)*Calculateur!AQ193*Calculateur!AS193*VLOOKUP('Données projet'!$B$10,Paramètres!$A$1:$I$88,3,0)*0.475*44/12</f>
        <v>0</v>
      </c>
      <c r="AW193" s="23">
        <f>EXP(-LN(2)/2)*AW192+(1-EXP(-LN(2)/2))/(LN(2)/2)*AQ193*AT193*VLOOKUP('Données projet'!$B$10,Paramètres!$A$1:$I$88,3,0)*0.475*44/12</f>
        <v>0</v>
      </c>
      <c r="AX193" s="23">
        <f t="shared" si="166"/>
        <v>123.22293658421458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projet'!$B$11,Paramètres!$A$1:$I$88,3,0)*VLOOKUP('Données projet'!$B$11,Paramètres!$A$1:$I$88,5,0)</f>
        <v>1.1527845344971866E-13</v>
      </c>
      <c r="BF193" s="14">
        <f t="shared" si="167"/>
        <v>1.7033846239409443E-12</v>
      </c>
      <c r="BG193" s="22">
        <f t="shared" si="168"/>
        <v>3.1675048597887374E-12</v>
      </c>
      <c r="BH193" s="62">
        <f t="shared" si="116"/>
        <v>290.03585244760546</v>
      </c>
      <c r="BI193" s="62">
        <f ca="1">AVERAGE(OFFSET($BH$3,0,0,'Données projet'!$E$11+1,1))-AVERAGE(OFFSET($H$3,0,0,'Données projet'!$E$11+1,1))</f>
        <v>570.2785736203931</v>
      </c>
      <c r="BJ193" s="62">
        <f t="shared" si="146"/>
        <v>67.677759965081719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138.09467030989558</v>
      </c>
      <c r="BQ193" s="23">
        <f>EXP(-LN(2)/25)*BQ192+(1-EXP(-LN(2)/25))/(LN(2)/25)*Calculateur!BL193*Calculateur!BN193*VLOOKUP('Données projet'!$B$11,Paramètres!$A$1:$I$88,3,0)*0.475*44/12</f>
        <v>0</v>
      </c>
      <c r="BR193" s="23">
        <f>EXP(-LN(2)/2)*BR192+(1-EXP(-LN(2)/2))/(LN(2)/2)*BL193*BO193*VLOOKUP('Données projet'!$B$11,Paramètres!$A$1:$I$88,3,0)*0.475*44/12</f>
        <v>0</v>
      </c>
      <c r="BS193" s="24">
        <f t="shared" si="169"/>
        <v>138.09467030989558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544.19999999999982</v>
      </c>
      <c r="BZ193" s="14">
        <f>BY193*VLOOKUP('Données projet'!$B$12,Paramètres!$A$1:$I$88,3,0)*VLOOKUP('Données projet'!$B$12,Paramètres!$A$1:$I$88,5,0)</f>
        <v>325.43159999999995</v>
      </c>
      <c r="CA193" s="14">
        <f t="shared" si="170"/>
        <v>76.482394221016762</v>
      </c>
      <c r="CB193" s="22">
        <f t="shared" si="171"/>
        <v>700.00020660160408</v>
      </c>
      <c r="CC193" s="62">
        <f t="shared" si="119"/>
        <v>990.03605904920641</v>
      </c>
      <c r="CD193" s="62">
        <f ca="1">AVERAGE(OFFSET($CC$3,0,0,'Données projet'!$E$12+1,1))-AVERAGE(OFFSET($H$3,0,0,'Données projet'!$E$12+1,1))</f>
        <v>401.1031790385295</v>
      </c>
      <c r="CE193" s="62">
        <f t="shared" si="148"/>
        <v>402.09589424130615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projet'!$B$12,Paramètres!$A$1:$I$88,3,0)*0.475*44/12</f>
        <v>1.5803588500926677</v>
      </c>
      <c r="CL193" s="23">
        <f>EXP(-LN(2)/25)*CL192+(1-EXP(-LN(2)/25))/(LN(2)/25)*Calculateur!CG193*Calculateur!CI193*VLOOKUP('Données projet'!$B$12,Paramètres!$A$1:$I$88,3,0)*0.475*44/12</f>
        <v>0</v>
      </c>
      <c r="CM193" s="23">
        <f>EXP(-LN(2)/2)*CM192+(1-EXP(-LN(2)/2))/(LN(2)/2)*CG193*CJ193*VLOOKUP('Données projet'!$B$12,Paramètres!$A$1:$I$88,3,0)*0.475*44/12</f>
        <v>1.1252319147101279E-19</v>
      </c>
      <c r="CN193" s="24">
        <f t="shared" si="172"/>
        <v>1.5803588500926677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544.19999999999982</v>
      </c>
      <c r="CU193" s="18">
        <f>CT193*VLOOKUP('Données projet'!$B$13,Paramètres!$A$1:$I$88,3,0)*VLOOKUP('Données projet'!$B$13,Paramètres!$A$1:$I$88,5,0)</f>
        <v>325.43159999999995</v>
      </c>
      <c r="CV193" s="14">
        <f t="shared" si="173"/>
        <v>76.482394221016762</v>
      </c>
      <c r="CW193" s="22">
        <f t="shared" si="174"/>
        <v>700.00020660160408</v>
      </c>
      <c r="CX193" s="62">
        <f t="shared" si="122"/>
        <v>990.03605904920641</v>
      </c>
      <c r="CY193" s="62">
        <f ca="1">AVERAGE(OFFSET($CX$3,0,0,'Données projet'!$E$13+1,1))-AVERAGE(OFFSET($H$3,0,0,'Données projet'!$E$13+1,1))</f>
        <v>401.1031790385295</v>
      </c>
      <c r="CZ193" s="62">
        <f t="shared" si="150"/>
        <v>402.09589424130615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projet'!$B$13,Paramètres!$A$1:$I$88,3,0)*0.475*44/12</f>
        <v>1.5803588500926677</v>
      </c>
      <c r="DG193" s="23">
        <f>EXP(-LN(2)/25)*DG192+(1-EXP(-LN(2)/25))/(LN(2)/25)*Calculateur!DB193*Calculateur!DD193*VLOOKUP('Données projet'!$B$13,Paramètres!$A$1:$I$88,3,0)*0.475*44/12</f>
        <v>0</v>
      </c>
      <c r="DH193" s="23">
        <f>EXP(-LN(2)/2)*DH192+(1-EXP(-LN(2)/2))/(LN(2)/2)*DB193*DE193*VLOOKUP('Données projet'!$B$13,Paramètres!$A$1:$I$88,3,0)*0.475*44/12</f>
        <v>1.1252319147101279E-19</v>
      </c>
      <c r="DI193" s="24">
        <f t="shared" si="175"/>
        <v>1.5803588500926677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860.00000000000023</v>
      </c>
      <c r="DP193" s="18">
        <f>DO193*VLOOKUP('Données projet'!$B$14,Paramètres!$A$1:$I$88,3,0)*VLOOKUP('Données projet'!$B$14,Paramètres!$A$1:$I$88,5,0)</f>
        <v>346.5800000000001</v>
      </c>
      <c r="DQ193" s="14">
        <f t="shared" si="176"/>
        <v>80.857895771535127</v>
      </c>
      <c r="DR193" s="22">
        <f t="shared" si="177"/>
        <v>744.45433513542378</v>
      </c>
      <c r="DS193" s="62">
        <f t="shared" si="125"/>
        <v>1034.490187583026</v>
      </c>
      <c r="DT193" s="62">
        <f ca="1">AVERAGE(OFFSET($DS$3,0,0,'Données projet'!$E$14+1,1))-AVERAGE(OFFSET($H$3,0,0,'Données projet'!$E$14+1,1))</f>
        <v>432.59662347701629</v>
      </c>
      <c r="DU193" s="62">
        <f t="shared" si="152"/>
        <v>348.67401091099748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projet'!$B$14,Paramètres!$A$1:$I$88,3,0)*0.475*44/12</f>
        <v>7.1189826779921912</v>
      </c>
      <c r="EB193" s="23">
        <f>EXP(-LN(2)/25)*EB192+(1-EXP(-LN(2)/25))/(LN(2)/25)*Calculateur!DW193*Calculateur!DY193*VLOOKUP('Données projet'!$B$14,Paramètres!$A$1:$I$88,3,0)*0.475*44/12</f>
        <v>3.2934315632420659</v>
      </c>
      <c r="EC193" s="23">
        <f>EXP(-LN(2)/2)*EC192+(1-EXP(-LN(2)/2))/(LN(2)/2)*DW193*DZ193*VLOOKUP('Données projet'!$B$14,Paramètres!$A$1:$I$88,3,0)*0.475*44/12</f>
        <v>0</v>
      </c>
      <c r="ED193" s="24">
        <f t="shared" si="178"/>
        <v>10.412414241234258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1099.9999999999998</v>
      </c>
      <c r="EK193" s="18">
        <f>EJ193*VLOOKUP('Données projet'!$B$15,Paramètres!$A$1:$I$88,3,0)*VLOOKUP('Données projet'!$B$15,Paramètres!$A$1:$I$88,5,0)</f>
        <v>486.19999999999993</v>
      </c>
      <c r="EL193" s="14">
        <f t="shared" si="179"/>
        <v>109.0490179035375</v>
      </c>
      <c r="EM193" s="22">
        <f t="shared" si="180"/>
        <v>1036.725372848661</v>
      </c>
      <c r="EN193" s="62">
        <f t="shared" si="128"/>
        <v>1326.7612252962633</v>
      </c>
      <c r="EO193" s="62">
        <f ca="1">AVERAGE(OFFSET($EN$3,0,0,'Données projet'!$E$15+1,1))-AVERAGE(OFFSET($H$3,0,0,'Données projet'!$E$15+1,1))</f>
        <v>582.26951914082088</v>
      </c>
      <c r="EP193" s="62">
        <f t="shared" si="154"/>
        <v>434.80429932654715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projet'!$B$15,Paramètres!$A$1:$I$88,3,0)*0.475*44/12</f>
        <v>7.1733617738256141</v>
      </c>
      <c r="EW193" s="23">
        <f>EXP(-LN(2)/25)*EW192+(1-EXP(-LN(2)/25))/(LN(2)/25)*Calculateur!ER193*Calculateur!ET193*VLOOKUP('Données projet'!$B$15,Paramètres!$A$1:$I$88,3,0)*0.475*44/12</f>
        <v>2.9594046156220681</v>
      </c>
      <c r="EX193" s="23">
        <f>EXP(-LN(2)/2)*EX192+(1-EXP(-LN(2)/2))/(LN(2)/2)*ER193*EU193*VLOOKUP('Données projet'!$B$15,Paramètres!$A$1:$I$88,3,0)*0.475*44/12</f>
        <v>0</v>
      </c>
      <c r="EY193" s="24">
        <f t="shared" si="181"/>
        <v>10.132766389447681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854.99999999999989</v>
      </c>
      <c r="FF193" s="18">
        <f>FE193*VLOOKUP('Données projet'!$B$16,Paramètres!$A$1:$I$88,3,0)*VLOOKUP('Données projet'!$B$16,Paramètres!$A$1:$I$88,5,0)</f>
        <v>400.13999999999993</v>
      </c>
      <c r="FG193" s="14">
        <f t="shared" si="182"/>
        <v>91.805047494648534</v>
      </c>
      <c r="FH193" s="22">
        <f t="shared" si="183"/>
        <v>856.80429105317944</v>
      </c>
      <c r="FI193" s="62">
        <f t="shared" si="131"/>
        <v>1146.8401435007818</v>
      </c>
      <c r="FJ193" s="62">
        <f ca="1">AVERAGE(OFFSET($FI$3,0,0,'Données projet'!$E$16+1,1))-AVERAGE(OFFSET($H$3,0,0,'Données projet'!$E$16+1,1))</f>
        <v>429.87867712133851</v>
      </c>
      <c r="FK193" s="62">
        <f t="shared" si="156"/>
        <v>182.81277865988014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projet'!$B$16,Paramètres!$A$1:$I$88,3,0)*0.475*44/12</f>
        <v>8.555092328081102</v>
      </c>
      <c r="FR193" s="23">
        <f>EXP(-LN(2)/25)*FR192+(1-EXP(-LN(2)/25))/(LN(2)/25)*Calculateur!FM193*Calculateur!FO193*VLOOKUP('Données projet'!$B$16,Paramètres!$A$1:$I$88,3,0)*0.475*44/12</f>
        <v>3.7515520077619611</v>
      </c>
      <c r="FS193" s="23">
        <f>EXP(-LN(2)/2)*FS192+(1-EXP(-LN(2)/2))/(LN(2)/2)*FM193*FP193*VLOOKUP('Données projet'!$B$16,Paramètres!$A$1:$I$88,3,0)*0.475*44/12</f>
        <v>0</v>
      </c>
      <c r="FT193" s="24">
        <f t="shared" si="184"/>
        <v>12.306644335843064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498.99999999999955</v>
      </c>
      <c r="GA193" s="18">
        <f>FZ193*VLOOKUP('Données projet'!$B$17,Paramètres!$A$1:$I$88,3,0)*VLOOKUP('Données projet'!$B$17,Paramètres!$A$1:$I$88,5,0)</f>
        <v>240.01899999999978</v>
      </c>
      <c r="GB193" s="14">
        <f t="shared" si="185"/>
        <v>58.443618405936313</v>
      </c>
      <c r="GC193" s="22">
        <f t="shared" si="186"/>
        <v>519.82239372367201</v>
      </c>
      <c r="GD193" s="62">
        <f t="shared" si="134"/>
        <v>809.85824617127423</v>
      </c>
      <c r="GE193" s="62">
        <f ca="1">AVERAGE(OFFSET($GD$3,0,0,'Données projet'!$E$17+1,1))-AVERAGE(OFFSET($H$3,0,0,'Données projet'!$E$17+1,1))</f>
        <v>273.24375559399846</v>
      </c>
      <c r="GF193" s="62">
        <f t="shared" si="158"/>
        <v>270.77718895097848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projet'!$B$17,Paramètres!$A$1:$I$88,3,0)*0.475*44/12</f>
        <v>3.6631115955345028</v>
      </c>
      <c r="GM193" s="23">
        <f>EXP(-LN(2)/25)*GM192+(1-EXP(-LN(2)/25))/(LN(2)/25)*Calculateur!GH193*Calculateur!GJ193*VLOOKUP('Données projet'!$B$17,Paramètres!$A$1:$I$88,3,0)*0.475*44/12</f>
        <v>1.4434003052898881</v>
      </c>
      <c r="GN193" s="23">
        <f>EXP(-LN(2)/2)*GN192+(1-EXP(-LN(2)/2))/(LN(2)/2)*GH193*GK193*VLOOKUP('Données projet'!$B$17,Paramètres!$A$1:$I$88,3,0)*0.475*44/12</f>
        <v>0</v>
      </c>
      <c r="GO193" s="23">
        <f t="shared" si="187"/>
        <v>5.1065119008243904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550.99999999999966</v>
      </c>
      <c r="O194" s="14">
        <f>N194*VLOOKUP('Données projet'!$B$9,Paramètres!$A$1:$I$88,3,0)*VLOOKUP('Données projet'!$B$9,Paramètres!$A$1:$I$88,5,0)</f>
        <v>308.00899999999979</v>
      </c>
      <c r="P194" s="14">
        <f t="shared" si="141"/>
        <v>72.852874331417695</v>
      </c>
      <c r="Q194" s="22">
        <f t="shared" si="162"/>
        <v>663.33443112721886</v>
      </c>
      <c r="R194" s="62">
        <f t="shared" si="109"/>
        <v>953.42748749612565</v>
      </c>
      <c r="S194" s="62">
        <f ca="1">AVERAGE(OFFSET($R$3,0,0,'Données projet'!$E$9+1,1))-AVERAGE(OFFSET($H$3,0,0,'Données projet'!$E$9+1,1))</f>
        <v>289.94242154211224</v>
      </c>
      <c r="T194" s="62">
        <f t="shared" si="142"/>
        <v>369.12599166143661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5.5104366598110142</v>
      </c>
      <c r="AA194" s="23">
        <f>EXP(-LN(2)/25)*AA193+(1-EXP(-LN(2)/25))/(LN(2)/25)*Calculateur!V194*Calculateur!X194*VLOOKUP('Données projet'!$B$9,Paramètres!$A$1:$I$88,3,0)*0.475*44/12</f>
        <v>1.7681474002475217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7.2785840600585363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projet'!$B$10,Paramètres!$A$1:$I$88,3,0)*VLOOKUP('Données projet'!$B$10,Paramètres!$A$1:$I$88,5,0)</f>
        <v>1.0286385077051818E-13</v>
      </c>
      <c r="AK194" s="14">
        <f t="shared" si="164"/>
        <v>1.5402366592183556E-12</v>
      </c>
      <c r="AL194" s="22">
        <f t="shared" si="165"/>
        <v>2.8617333882306215E-12</v>
      </c>
      <c r="AM194" s="62">
        <f t="shared" si="113"/>
        <v>290.09305636890969</v>
      </c>
      <c r="AN194" s="62">
        <f ca="1">AVERAGE(OFFSET($AM$3,0,0,'Données projet'!$E$10+1,1))-AVERAGE(OFFSET($H$3,0,0,'Données projet'!$E$10+1,1))</f>
        <v>518.31628039365785</v>
      </c>
      <c r="AO194" s="62">
        <f t="shared" si="144"/>
        <v>66.435071953154761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120.80660995636815</v>
      </c>
      <c r="AV194" s="23">
        <f>EXP(-LN(2)/25)*AV193+(1-EXP(-LN(2)/25))/(LN(2)/25)*Calculateur!AQ194*Calculateur!AS194*VLOOKUP('Données projet'!$B$10,Paramètres!$A$1:$I$88,3,0)*0.475*44/12</f>
        <v>0</v>
      </c>
      <c r="AW194" s="23">
        <f>EXP(-LN(2)/2)*AW193+(1-EXP(-LN(2)/2))/(LN(2)/2)*AQ194*AT194*VLOOKUP('Données projet'!$B$10,Paramètres!$A$1:$I$88,3,0)*0.475*44/12</f>
        <v>0</v>
      </c>
      <c r="AX194" s="23">
        <f t="shared" si="166"/>
        <v>120.80660995636815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projet'!$B$11,Paramètres!$A$1:$I$88,3,0)*VLOOKUP('Données projet'!$B$11,Paramètres!$A$1:$I$88,5,0)</f>
        <v>1.1527845344971866E-13</v>
      </c>
      <c r="BF194" s="14">
        <f t="shared" si="167"/>
        <v>1.7033846239409443E-12</v>
      </c>
      <c r="BG194" s="22">
        <f t="shared" si="168"/>
        <v>3.1675048597887374E-12</v>
      </c>
      <c r="BH194" s="62">
        <f t="shared" si="116"/>
        <v>290.09305636891003</v>
      </c>
      <c r="BI194" s="62">
        <f ca="1">AVERAGE(OFFSET($BH$3,0,0,'Données projet'!$E$11+1,1))-AVERAGE(OFFSET($H$3,0,0,'Données projet'!$E$11+1,1))</f>
        <v>570.2785736203931</v>
      </c>
      <c r="BJ194" s="62">
        <f t="shared" si="146"/>
        <v>67.677759965081719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135.38671805455044</v>
      </c>
      <c r="BQ194" s="23">
        <f>EXP(-LN(2)/25)*BQ193+(1-EXP(-LN(2)/25))/(LN(2)/25)*Calculateur!BL194*Calculateur!BN194*VLOOKUP('Données projet'!$B$11,Paramètres!$A$1:$I$88,3,0)*0.475*44/12</f>
        <v>0</v>
      </c>
      <c r="BR194" s="23">
        <f>EXP(-LN(2)/2)*BR193+(1-EXP(-LN(2)/2))/(LN(2)/2)*BL194*BO194*VLOOKUP('Données projet'!$B$11,Paramètres!$A$1:$I$88,3,0)*0.475*44/12</f>
        <v>0</v>
      </c>
      <c r="BS194" s="24">
        <f t="shared" si="169"/>
        <v>135.38671805455044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544.19999999999982</v>
      </c>
      <c r="BZ194" s="14">
        <f>BY194*VLOOKUP('Données projet'!$B$12,Paramètres!$A$1:$I$88,3,0)*VLOOKUP('Données projet'!$B$12,Paramètres!$A$1:$I$88,5,0)</f>
        <v>325.43159999999995</v>
      </c>
      <c r="CA194" s="14">
        <f t="shared" si="170"/>
        <v>76.482394221016762</v>
      </c>
      <c r="CB194" s="22">
        <f t="shared" si="171"/>
        <v>700.00020660160408</v>
      </c>
      <c r="CC194" s="62">
        <f t="shared" si="119"/>
        <v>990.09326297051098</v>
      </c>
      <c r="CD194" s="62">
        <f ca="1">AVERAGE(OFFSET($CC$3,0,0,'Données projet'!$E$12+1,1))-AVERAGE(OFFSET($H$3,0,0,'Données projet'!$E$12+1,1))</f>
        <v>401.1031790385295</v>
      </c>
      <c r="CE194" s="62">
        <f t="shared" si="148"/>
        <v>402.09589424130615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projet'!$B$12,Paramètres!$A$1:$I$88,3,0)*0.475*44/12</f>
        <v>1.5493689769660695</v>
      </c>
      <c r="CL194" s="23">
        <f>EXP(-LN(2)/25)*CL193+(1-EXP(-LN(2)/25))/(LN(2)/25)*Calculateur!CG194*Calculateur!CI194*VLOOKUP('Données projet'!$B$12,Paramètres!$A$1:$I$88,3,0)*0.475*44/12</f>
        <v>0</v>
      </c>
      <c r="CM194" s="23">
        <f>EXP(-LN(2)/2)*CM193+(1-EXP(-LN(2)/2))/(LN(2)/2)*CG194*CJ194*VLOOKUP('Données projet'!$B$12,Paramètres!$A$1:$I$88,3,0)*0.475*44/12</f>
        <v>7.9565911729905434E-20</v>
      </c>
      <c r="CN194" s="24">
        <f t="shared" si="172"/>
        <v>1.5493689769660695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544.19999999999982</v>
      </c>
      <c r="CU194" s="18">
        <f>CT194*VLOOKUP('Données projet'!$B$13,Paramètres!$A$1:$I$88,3,0)*VLOOKUP('Données projet'!$B$13,Paramètres!$A$1:$I$88,5,0)</f>
        <v>325.43159999999995</v>
      </c>
      <c r="CV194" s="14">
        <f t="shared" si="173"/>
        <v>76.482394221016762</v>
      </c>
      <c r="CW194" s="22">
        <f t="shared" si="174"/>
        <v>700.00020660160408</v>
      </c>
      <c r="CX194" s="62">
        <f t="shared" si="122"/>
        <v>990.09326297051098</v>
      </c>
      <c r="CY194" s="62">
        <f ca="1">AVERAGE(OFFSET($CX$3,0,0,'Données projet'!$E$13+1,1))-AVERAGE(OFFSET($H$3,0,0,'Données projet'!$E$13+1,1))</f>
        <v>401.1031790385295</v>
      </c>
      <c r="CZ194" s="62">
        <f t="shared" si="150"/>
        <v>402.09589424130615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projet'!$B$13,Paramètres!$A$1:$I$88,3,0)*0.475*44/12</f>
        <v>1.5493689769660695</v>
      </c>
      <c r="DG194" s="23">
        <f>EXP(-LN(2)/25)*DG193+(1-EXP(-LN(2)/25))/(LN(2)/25)*Calculateur!DB194*Calculateur!DD194*VLOOKUP('Données projet'!$B$13,Paramètres!$A$1:$I$88,3,0)*0.475*44/12</f>
        <v>0</v>
      </c>
      <c r="DH194" s="23">
        <f>EXP(-LN(2)/2)*DH193+(1-EXP(-LN(2)/2))/(LN(2)/2)*DB194*DE194*VLOOKUP('Données projet'!$B$13,Paramètres!$A$1:$I$88,3,0)*0.475*44/12</f>
        <v>7.9565911729905434E-20</v>
      </c>
      <c r="DI194" s="24">
        <f t="shared" si="175"/>
        <v>1.5493689769660695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860.00000000000023</v>
      </c>
      <c r="DP194" s="18">
        <f>DO194*VLOOKUP('Données projet'!$B$14,Paramètres!$A$1:$I$88,3,0)*VLOOKUP('Données projet'!$B$14,Paramètres!$A$1:$I$88,5,0)</f>
        <v>346.5800000000001</v>
      </c>
      <c r="DQ194" s="14">
        <f t="shared" si="176"/>
        <v>80.857895771535127</v>
      </c>
      <c r="DR194" s="22">
        <f t="shared" si="177"/>
        <v>744.45433513542378</v>
      </c>
      <c r="DS194" s="62">
        <f t="shared" si="125"/>
        <v>1034.5473915043306</v>
      </c>
      <c r="DT194" s="62">
        <f ca="1">AVERAGE(OFFSET($DS$3,0,0,'Données projet'!$E$14+1,1))-AVERAGE(OFFSET($H$3,0,0,'Données projet'!$E$14+1,1))</f>
        <v>432.59662347701629</v>
      </c>
      <c r="DU194" s="62">
        <f t="shared" si="152"/>
        <v>348.67401091099748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projet'!$B$14,Paramètres!$A$1:$I$88,3,0)*0.475*44/12</f>
        <v>6.9793837698274466</v>
      </c>
      <c r="EB194" s="23">
        <f>EXP(-LN(2)/25)*EB193+(1-EXP(-LN(2)/25))/(LN(2)/25)*Calculateur!DW194*Calculateur!DY194*VLOOKUP('Données projet'!$B$14,Paramètres!$A$1:$I$88,3,0)*0.475*44/12</f>
        <v>3.2033725039511731</v>
      </c>
      <c r="EC194" s="23">
        <f>EXP(-LN(2)/2)*EC193+(1-EXP(-LN(2)/2))/(LN(2)/2)*DW194*DZ194*VLOOKUP('Données projet'!$B$14,Paramètres!$A$1:$I$88,3,0)*0.475*44/12</f>
        <v>0</v>
      </c>
      <c r="ED194" s="24">
        <f t="shared" si="178"/>
        <v>10.182756273778619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1099.9999999999998</v>
      </c>
      <c r="EK194" s="18">
        <f>EJ194*VLOOKUP('Données projet'!$B$15,Paramètres!$A$1:$I$88,3,0)*VLOOKUP('Données projet'!$B$15,Paramètres!$A$1:$I$88,5,0)</f>
        <v>486.19999999999993</v>
      </c>
      <c r="EL194" s="14">
        <f t="shared" si="179"/>
        <v>109.0490179035375</v>
      </c>
      <c r="EM194" s="22">
        <f t="shared" si="180"/>
        <v>1036.725372848661</v>
      </c>
      <c r="EN194" s="62">
        <f t="shared" si="128"/>
        <v>1326.8184292175679</v>
      </c>
      <c r="EO194" s="62">
        <f ca="1">AVERAGE(OFFSET($EN$3,0,0,'Données projet'!$E$15+1,1))-AVERAGE(OFFSET($H$3,0,0,'Données projet'!$E$15+1,1))</f>
        <v>582.26951914082088</v>
      </c>
      <c r="EP194" s="62">
        <f t="shared" si="154"/>
        <v>434.80429932654715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projet'!$B$15,Paramètres!$A$1:$I$88,3,0)*0.475*44/12</f>
        <v>7.0326965247595492</v>
      </c>
      <c r="EW194" s="23">
        <f>EXP(-LN(2)/25)*EW193+(1-EXP(-LN(2)/25))/(LN(2)/25)*Calculateur!ER194*Calculateur!ET194*VLOOKUP('Données projet'!$B$15,Paramètres!$A$1:$I$88,3,0)*0.475*44/12</f>
        <v>2.8784795407795576</v>
      </c>
      <c r="EX194" s="23">
        <f>EXP(-LN(2)/2)*EX193+(1-EXP(-LN(2)/2))/(LN(2)/2)*ER194*EU194*VLOOKUP('Données projet'!$B$15,Paramètres!$A$1:$I$88,3,0)*0.475*44/12</f>
        <v>0</v>
      </c>
      <c r="EY194" s="24">
        <f t="shared" si="181"/>
        <v>9.9111760655391059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854.99999999999989</v>
      </c>
      <c r="FF194" s="18">
        <f>FE194*VLOOKUP('Données projet'!$B$16,Paramètres!$A$1:$I$88,3,0)*VLOOKUP('Données projet'!$B$16,Paramètres!$A$1:$I$88,5,0)</f>
        <v>400.13999999999993</v>
      </c>
      <c r="FG194" s="14">
        <f t="shared" si="182"/>
        <v>91.805047494648534</v>
      </c>
      <c r="FH194" s="22">
        <f t="shared" si="183"/>
        <v>856.80429105317944</v>
      </c>
      <c r="FI194" s="62">
        <f t="shared" si="131"/>
        <v>1146.8973474220863</v>
      </c>
      <c r="FJ194" s="62">
        <f ca="1">AVERAGE(OFFSET($FI$3,0,0,'Données projet'!$E$16+1,1))-AVERAGE(OFFSET($H$3,0,0,'Données projet'!$E$16+1,1))</f>
        <v>429.87867712133851</v>
      </c>
      <c r="FK194" s="62">
        <f t="shared" si="156"/>
        <v>182.81277865988014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projet'!$B$16,Paramètres!$A$1:$I$88,3,0)*0.475*44/12</f>
        <v>8.3873321856185079</v>
      </c>
      <c r="FR194" s="23">
        <f>EXP(-LN(2)/25)*FR193+(1-EXP(-LN(2)/25))/(LN(2)/25)*Calculateur!FM194*Calculateur!FO194*VLOOKUP('Données projet'!$B$16,Paramètres!$A$1:$I$88,3,0)*0.475*44/12</f>
        <v>3.6489656208241645</v>
      </c>
      <c r="FS194" s="23">
        <f>EXP(-LN(2)/2)*FS193+(1-EXP(-LN(2)/2))/(LN(2)/2)*FM194*FP194*VLOOKUP('Données projet'!$B$16,Paramètres!$A$1:$I$88,3,0)*0.475*44/12</f>
        <v>0</v>
      </c>
      <c r="FT194" s="24">
        <f t="shared" si="184"/>
        <v>12.036297806442672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498.99999999999955</v>
      </c>
      <c r="GA194" s="18">
        <f>FZ194*VLOOKUP('Données projet'!$B$17,Paramètres!$A$1:$I$88,3,0)*VLOOKUP('Données projet'!$B$17,Paramètres!$A$1:$I$88,5,0)</f>
        <v>240.01899999999978</v>
      </c>
      <c r="GB194" s="14">
        <f t="shared" si="185"/>
        <v>58.443618405936313</v>
      </c>
      <c r="GC194" s="22">
        <f t="shared" si="186"/>
        <v>519.82239372367201</v>
      </c>
      <c r="GD194" s="62">
        <f t="shared" si="134"/>
        <v>809.91545009257879</v>
      </c>
      <c r="GE194" s="62">
        <f ca="1">AVERAGE(OFFSET($GD$3,0,0,'Données projet'!$E$17+1,1))-AVERAGE(OFFSET($H$3,0,0,'Données projet'!$E$17+1,1))</f>
        <v>273.24375559399846</v>
      </c>
      <c r="GF194" s="62">
        <f t="shared" si="158"/>
        <v>270.77718895097848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projet'!$B$17,Paramètres!$A$1:$I$88,3,0)*0.475*44/12</f>
        <v>3.5912802114235278</v>
      </c>
      <c r="GM194" s="23">
        <f>EXP(-LN(2)/25)*GM193+(1-EXP(-LN(2)/25))/(LN(2)/25)*Calculateur!GH194*Calculateur!GJ194*VLOOKUP('Données projet'!$B$17,Paramètres!$A$1:$I$88,3,0)*0.475*44/12</f>
        <v>1.403930448036613</v>
      </c>
      <c r="GN194" s="23">
        <f>EXP(-LN(2)/2)*GN193+(1-EXP(-LN(2)/2))/(LN(2)/2)*GH194*GK194*VLOOKUP('Données projet'!$B$17,Paramètres!$A$1:$I$88,3,0)*0.475*44/12</f>
        <v>0</v>
      </c>
      <c r="GO194" s="23">
        <f t="shared" si="187"/>
        <v>4.9952106594601409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550.99999999999966</v>
      </c>
      <c r="O195" s="14">
        <f>N195*VLOOKUP('Données projet'!$B$9,Paramètres!$A$1:$I$88,3,0)*VLOOKUP('Données projet'!$B$9,Paramètres!$A$1:$I$88,5,0)</f>
        <v>308.00899999999979</v>
      </c>
      <c r="P195" s="14">
        <f t="shared" si="141"/>
        <v>72.852874331417695</v>
      </c>
      <c r="Q195" s="22">
        <f t="shared" si="162"/>
        <v>663.33443112721886</v>
      </c>
      <c r="R195" s="62">
        <f t="shared" ref="R195:R203" si="191">Q195+(I195+J195)*44/12</f>
        <v>953.48369905728453</v>
      </c>
      <c r="S195" s="62">
        <f ca="1">AVERAGE(OFFSET($R$3,0,0,'Données projet'!$E$9+1,1))-AVERAGE(OFFSET($H$3,0,0,'Données projet'!$E$9+1,1))</f>
        <v>289.94242154211224</v>
      </c>
      <c r="T195" s="62">
        <f t="shared" si="142"/>
        <v>369.12599166143661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5.4023803579466083</v>
      </c>
      <c r="AA195" s="23">
        <f>EXP(-LN(2)/25)*AA194+(1-EXP(-LN(2)/25))/(LN(2)/25)*Calculateur!V195*Calculateur!X195*VLOOKUP('Données projet'!$B$9,Paramètres!$A$1:$I$88,3,0)*0.475*44/12</f>
        <v>1.7197973166049225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7.1221776745515308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projet'!$B$10,Paramètres!$A$1:$I$88,3,0)*VLOOKUP('Données projet'!$B$10,Paramètres!$A$1:$I$88,5,0)</f>
        <v>1.0286385077051818E-13</v>
      </c>
      <c r="AK195" s="14">
        <f t="shared" si="164"/>
        <v>1.5402366592183556E-12</v>
      </c>
      <c r="AL195" s="22">
        <f t="shared" si="165"/>
        <v>2.8617333882306215E-12</v>
      </c>
      <c r="AM195" s="62">
        <f t="shared" si="113"/>
        <v>290.1492679300685</v>
      </c>
      <c r="AN195" s="62">
        <f ca="1">AVERAGE(OFFSET($AM$3,0,0,'Données projet'!$E$10+1,1))-AVERAGE(OFFSET($H$3,0,0,'Données projet'!$E$10+1,1))</f>
        <v>518.31628039365785</v>
      </c>
      <c r="AO195" s="62">
        <f t="shared" si="144"/>
        <v>66.435071953154761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118.43766601988008</v>
      </c>
      <c r="AV195" s="23">
        <f>EXP(-LN(2)/25)*AV194+(1-EXP(-LN(2)/25))/(LN(2)/25)*Calculateur!AQ195*Calculateur!AS195*VLOOKUP('Données projet'!$B$10,Paramètres!$A$1:$I$88,3,0)*0.475*44/12</f>
        <v>0</v>
      </c>
      <c r="AW195" s="23">
        <f>EXP(-LN(2)/2)*AW194+(1-EXP(-LN(2)/2))/(LN(2)/2)*AQ195*AT195*VLOOKUP('Données projet'!$B$10,Paramètres!$A$1:$I$88,3,0)*0.475*44/12</f>
        <v>0</v>
      </c>
      <c r="AX195" s="23">
        <f t="shared" si="166"/>
        <v>118.43766601988008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projet'!$B$11,Paramètres!$A$1:$I$88,3,0)*VLOOKUP('Données projet'!$B$11,Paramètres!$A$1:$I$88,5,0)</f>
        <v>1.1527845344971866E-13</v>
      </c>
      <c r="BF195" s="14">
        <f t="shared" si="167"/>
        <v>1.7033846239409443E-12</v>
      </c>
      <c r="BG195" s="22">
        <f t="shared" si="168"/>
        <v>3.1675048597887374E-12</v>
      </c>
      <c r="BH195" s="62">
        <f t="shared" si="116"/>
        <v>290.14926793006885</v>
      </c>
      <c r="BI195" s="62">
        <f ca="1">AVERAGE(OFFSET($BH$3,0,0,'Données projet'!$E$11+1,1))-AVERAGE(OFFSET($H$3,0,0,'Données projet'!$E$11+1,1))</f>
        <v>570.2785736203931</v>
      </c>
      <c r="BJ195" s="62">
        <f t="shared" si="146"/>
        <v>67.677759965081719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132.73186709124485</v>
      </c>
      <c r="BQ195" s="23">
        <f>EXP(-LN(2)/25)*BQ194+(1-EXP(-LN(2)/25))/(LN(2)/25)*Calculateur!BL195*Calculateur!BN195*VLOOKUP('Données projet'!$B$11,Paramètres!$A$1:$I$88,3,0)*0.475*44/12</f>
        <v>0</v>
      </c>
      <c r="BR195" s="23">
        <f>EXP(-LN(2)/2)*BR194+(1-EXP(-LN(2)/2))/(LN(2)/2)*BL195*BO195*VLOOKUP('Données projet'!$B$11,Paramètres!$A$1:$I$88,3,0)*0.475*44/12</f>
        <v>0</v>
      </c>
      <c r="BS195" s="24">
        <f t="shared" si="169"/>
        <v>132.73186709124485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544.19999999999982</v>
      </c>
      <c r="BZ195" s="14">
        <f>BY195*VLOOKUP('Données projet'!$B$12,Paramètres!$A$1:$I$88,3,0)*VLOOKUP('Données projet'!$B$12,Paramètres!$A$1:$I$88,5,0)</f>
        <v>325.43159999999995</v>
      </c>
      <c r="CA195" s="14">
        <f t="shared" si="170"/>
        <v>76.482394221016762</v>
      </c>
      <c r="CB195" s="22">
        <f t="shared" si="171"/>
        <v>700.00020660160408</v>
      </c>
      <c r="CC195" s="62">
        <f t="shared" si="119"/>
        <v>990.14947453166974</v>
      </c>
      <c r="CD195" s="62">
        <f ca="1">AVERAGE(OFFSET($CC$3,0,0,'Données projet'!$E$12+1,1))-AVERAGE(OFFSET($H$3,0,0,'Données projet'!$E$12+1,1))</f>
        <v>401.1031790385295</v>
      </c>
      <c r="CE195" s="62">
        <f t="shared" si="148"/>
        <v>402.09589424130615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projet'!$B$12,Paramètres!$A$1:$I$88,3,0)*0.475*44/12</f>
        <v>1.5189867963495276</v>
      </c>
      <c r="CL195" s="23">
        <f>EXP(-LN(2)/25)*CL194+(1-EXP(-LN(2)/25))/(LN(2)/25)*Calculateur!CG195*Calculateur!CI195*VLOOKUP('Données projet'!$B$12,Paramètres!$A$1:$I$88,3,0)*0.475*44/12</f>
        <v>0</v>
      </c>
      <c r="CM195" s="23">
        <f>EXP(-LN(2)/2)*CM194+(1-EXP(-LN(2)/2))/(LN(2)/2)*CG195*CJ195*VLOOKUP('Données projet'!$B$12,Paramètres!$A$1:$I$88,3,0)*0.475*44/12</f>
        <v>5.6261595735506396E-20</v>
      </c>
      <c r="CN195" s="24">
        <f t="shared" si="172"/>
        <v>1.5189867963495276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544.19999999999982</v>
      </c>
      <c r="CU195" s="18">
        <f>CT195*VLOOKUP('Données projet'!$B$13,Paramètres!$A$1:$I$88,3,0)*VLOOKUP('Données projet'!$B$13,Paramètres!$A$1:$I$88,5,0)</f>
        <v>325.43159999999995</v>
      </c>
      <c r="CV195" s="14">
        <f t="shared" si="173"/>
        <v>76.482394221016762</v>
      </c>
      <c r="CW195" s="22">
        <f t="shared" si="174"/>
        <v>700.00020660160408</v>
      </c>
      <c r="CX195" s="62">
        <f t="shared" si="122"/>
        <v>990.14947453166974</v>
      </c>
      <c r="CY195" s="62">
        <f ca="1">AVERAGE(OFFSET($CX$3,0,0,'Données projet'!$E$13+1,1))-AVERAGE(OFFSET($H$3,0,0,'Données projet'!$E$13+1,1))</f>
        <v>401.1031790385295</v>
      </c>
      <c r="CZ195" s="62">
        <f t="shared" si="150"/>
        <v>402.09589424130615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projet'!$B$13,Paramètres!$A$1:$I$88,3,0)*0.475*44/12</f>
        <v>1.5189867963495276</v>
      </c>
      <c r="DG195" s="23">
        <f>EXP(-LN(2)/25)*DG194+(1-EXP(-LN(2)/25))/(LN(2)/25)*Calculateur!DB195*Calculateur!DD195*VLOOKUP('Données projet'!$B$13,Paramètres!$A$1:$I$88,3,0)*0.475*44/12</f>
        <v>0</v>
      </c>
      <c r="DH195" s="23">
        <f>EXP(-LN(2)/2)*DH194+(1-EXP(-LN(2)/2))/(LN(2)/2)*DB195*DE195*VLOOKUP('Données projet'!$B$13,Paramètres!$A$1:$I$88,3,0)*0.475*44/12</f>
        <v>5.6261595735506396E-20</v>
      </c>
      <c r="DI195" s="24">
        <f t="shared" si="175"/>
        <v>1.5189867963495276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860.00000000000023</v>
      </c>
      <c r="DP195" s="18">
        <f>DO195*VLOOKUP('Données projet'!$B$14,Paramètres!$A$1:$I$88,3,0)*VLOOKUP('Données projet'!$B$14,Paramètres!$A$1:$I$88,5,0)</f>
        <v>346.5800000000001</v>
      </c>
      <c r="DQ195" s="14">
        <f t="shared" si="176"/>
        <v>80.857895771535127</v>
      </c>
      <c r="DR195" s="22">
        <f t="shared" si="177"/>
        <v>744.45433513542378</v>
      </c>
      <c r="DS195" s="62">
        <f t="shared" si="125"/>
        <v>1034.6036030654896</v>
      </c>
      <c r="DT195" s="62">
        <f ca="1">AVERAGE(OFFSET($DS$3,0,0,'Données projet'!$E$14+1,1))-AVERAGE(OFFSET($H$3,0,0,'Données projet'!$E$14+1,1))</f>
        <v>432.59662347701629</v>
      </c>
      <c r="DU195" s="62">
        <f t="shared" si="152"/>
        <v>348.67401091099748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projet'!$B$14,Paramètres!$A$1:$I$88,3,0)*0.475*44/12</f>
        <v>6.8425223111048856</v>
      </c>
      <c r="EB195" s="23">
        <f>EXP(-LN(2)/25)*EB194+(1-EXP(-LN(2)/25))/(LN(2)/25)*Calculateur!DW195*Calculateur!DY195*VLOOKUP('Données projet'!$B$14,Paramètres!$A$1:$I$88,3,0)*0.475*44/12</f>
        <v>3.1157761143725895</v>
      </c>
      <c r="EC195" s="23">
        <f>EXP(-LN(2)/2)*EC194+(1-EXP(-LN(2)/2))/(LN(2)/2)*DW195*DZ195*VLOOKUP('Données projet'!$B$14,Paramètres!$A$1:$I$88,3,0)*0.475*44/12</f>
        <v>0</v>
      </c>
      <c r="ED195" s="24">
        <f t="shared" si="178"/>
        <v>9.9582984254774747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1099.9999999999998</v>
      </c>
      <c r="EK195" s="18">
        <f>EJ195*VLOOKUP('Données projet'!$B$15,Paramètres!$A$1:$I$88,3,0)*VLOOKUP('Données projet'!$B$15,Paramètres!$A$1:$I$88,5,0)</f>
        <v>486.19999999999993</v>
      </c>
      <c r="EL195" s="14">
        <f t="shared" si="179"/>
        <v>109.0490179035375</v>
      </c>
      <c r="EM195" s="22">
        <f t="shared" si="180"/>
        <v>1036.725372848661</v>
      </c>
      <c r="EN195" s="62">
        <f t="shared" si="128"/>
        <v>1326.8746407787266</v>
      </c>
      <c r="EO195" s="62">
        <f ca="1">AVERAGE(OFFSET($EN$3,0,0,'Données projet'!$E$15+1,1))-AVERAGE(OFFSET($H$3,0,0,'Données projet'!$E$15+1,1))</f>
        <v>582.26951914082088</v>
      </c>
      <c r="EP195" s="62">
        <f t="shared" si="154"/>
        <v>434.80429932654715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projet'!$B$15,Paramètres!$A$1:$I$88,3,0)*0.475*44/12</f>
        <v>6.8947896354303397</v>
      </c>
      <c r="EW195" s="23">
        <f>EXP(-LN(2)/25)*EW194+(1-EXP(-LN(2)/25))/(LN(2)/25)*Calculateur!ER195*Calculateur!ET195*VLOOKUP('Données projet'!$B$15,Paramètres!$A$1:$I$88,3,0)*0.475*44/12</f>
        <v>2.7997673663642804</v>
      </c>
      <c r="EX195" s="23">
        <f>EXP(-LN(2)/2)*EX194+(1-EXP(-LN(2)/2))/(LN(2)/2)*ER195*EU195*VLOOKUP('Données projet'!$B$15,Paramètres!$A$1:$I$88,3,0)*0.475*44/12</f>
        <v>0</v>
      </c>
      <c r="EY195" s="24">
        <f t="shared" si="181"/>
        <v>9.694557001794621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854.99999999999989</v>
      </c>
      <c r="FF195" s="18">
        <f>FE195*VLOOKUP('Données projet'!$B$16,Paramètres!$A$1:$I$88,3,0)*VLOOKUP('Données projet'!$B$16,Paramètres!$A$1:$I$88,5,0)</f>
        <v>400.13999999999993</v>
      </c>
      <c r="FG195" s="14">
        <f t="shared" si="182"/>
        <v>91.805047494648534</v>
      </c>
      <c r="FH195" s="22">
        <f t="shared" si="183"/>
        <v>856.80429105317944</v>
      </c>
      <c r="FI195" s="62">
        <f t="shared" si="131"/>
        <v>1146.9535589832451</v>
      </c>
      <c r="FJ195" s="62">
        <f ca="1">AVERAGE(OFFSET($FI$3,0,0,'Données projet'!$E$16+1,1))-AVERAGE(OFFSET($H$3,0,0,'Données projet'!$E$16+1,1))</f>
        <v>429.87867712133851</v>
      </c>
      <c r="FK195" s="62">
        <f t="shared" si="156"/>
        <v>182.81277865988014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projet'!$B$16,Paramètres!$A$1:$I$88,3,0)*0.475*44/12</f>
        <v>8.2228617172260225</v>
      </c>
      <c r="FR195" s="23">
        <f>EXP(-LN(2)/25)*FR194+(1-EXP(-LN(2)/25))/(LN(2)/25)*Calculateur!FM195*Calculateur!FO195*VLOOKUP('Données projet'!$B$16,Paramètres!$A$1:$I$88,3,0)*0.475*44/12</f>
        <v>3.5491844640319656</v>
      </c>
      <c r="FS195" s="23">
        <f>EXP(-LN(2)/2)*FS194+(1-EXP(-LN(2)/2))/(LN(2)/2)*FM195*FP195*VLOOKUP('Données projet'!$B$16,Paramètres!$A$1:$I$88,3,0)*0.475*44/12</f>
        <v>0</v>
      </c>
      <c r="FT195" s="24">
        <f t="shared" si="184"/>
        <v>11.772046181257988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498.99999999999955</v>
      </c>
      <c r="GA195" s="18">
        <f>FZ195*VLOOKUP('Données projet'!$B$17,Paramètres!$A$1:$I$88,3,0)*VLOOKUP('Données projet'!$B$17,Paramètres!$A$1:$I$88,5,0)</f>
        <v>240.01899999999978</v>
      </c>
      <c r="GB195" s="14">
        <f t="shared" si="185"/>
        <v>58.443618405936313</v>
      </c>
      <c r="GC195" s="22">
        <f t="shared" si="186"/>
        <v>519.82239372367201</v>
      </c>
      <c r="GD195" s="62">
        <f t="shared" si="134"/>
        <v>809.97166165373767</v>
      </c>
      <c r="GE195" s="62">
        <f ca="1">AVERAGE(OFFSET($GD$3,0,0,'Données projet'!$E$17+1,1))-AVERAGE(OFFSET($H$3,0,0,'Données projet'!$E$17+1,1))</f>
        <v>273.24375559399846</v>
      </c>
      <c r="GF195" s="62">
        <f t="shared" si="158"/>
        <v>270.77718895097848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projet'!$B$17,Paramètres!$A$1:$I$88,3,0)*0.475*44/12</f>
        <v>3.5208573969421511</v>
      </c>
      <c r="GM195" s="23">
        <f>EXP(-LN(2)/25)*GM194+(1-EXP(-LN(2)/25))/(LN(2)/25)*Calculateur!GH195*Calculateur!GJ195*VLOOKUP('Données projet'!$B$17,Paramètres!$A$1:$I$88,3,0)*0.475*44/12</f>
        <v>1.3655398961055583</v>
      </c>
      <c r="GN195" s="23">
        <f>EXP(-LN(2)/2)*GN194+(1-EXP(-LN(2)/2))/(LN(2)/2)*GH195*GK195*VLOOKUP('Données projet'!$B$17,Paramètres!$A$1:$I$88,3,0)*0.475*44/12</f>
        <v>0</v>
      </c>
      <c r="GO195" s="23">
        <f t="shared" si="187"/>
        <v>4.8863972930477093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550.99999999999966</v>
      </c>
      <c r="O196" s="14">
        <f>N196*VLOOKUP('Données projet'!$B$9,Paramètres!$A$1:$I$88,3,0)*VLOOKUP('Données projet'!$B$9,Paramètres!$A$1:$I$88,5,0)</f>
        <v>308.00899999999979</v>
      </c>
      <c r="P196" s="14">
        <f t="shared" si="141"/>
        <v>72.852874331417695</v>
      </c>
      <c r="Q196" s="22">
        <f t="shared" si="162"/>
        <v>663.33443112721886</v>
      </c>
      <c r="R196" s="62">
        <f t="shared" si="191"/>
        <v>953.53893547352732</v>
      </c>
      <c r="S196" s="62">
        <f ca="1">AVERAGE(OFFSET($R$3,0,0,'Données projet'!$E$9+1,1))-AVERAGE(OFFSET($H$3,0,0,'Données projet'!$E$9+1,1))</f>
        <v>289.94242154211224</v>
      </c>
      <c r="T196" s="62">
        <f t="shared" si="142"/>
        <v>369.12599166143661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5.2964429742539272</v>
      </c>
      <c r="AA196" s="23">
        <f>EXP(-LN(2)/25)*AA195+(1-EXP(-LN(2)/25))/(LN(2)/25)*Calculateur!V196*Calculateur!X196*VLOOKUP('Données projet'!$B$9,Paramètres!$A$1:$I$88,3,0)*0.475*44/12</f>
        <v>1.6727693685421507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6.9692123427960784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projet'!$B$10,Paramètres!$A$1:$I$88,3,0)*VLOOKUP('Données projet'!$B$10,Paramètres!$A$1:$I$88,5,0)</f>
        <v>1.0286385077051818E-13</v>
      </c>
      <c r="AK196" s="14">
        <f t="shared" si="164"/>
        <v>1.5402366592183556E-12</v>
      </c>
      <c r="AL196" s="22">
        <f t="shared" si="165"/>
        <v>2.8617333882306215E-12</v>
      </c>
      <c r="AM196" s="62">
        <f t="shared" ref="AM196:AM203" si="193">AL196+(AD196+AE196)*44/12</f>
        <v>290.20450434631135</v>
      </c>
      <c r="AN196" s="62">
        <f ca="1">AVERAGE(OFFSET($AM$3,0,0,'Données projet'!$E$10+1,1))-AVERAGE(OFFSET($H$3,0,0,'Données projet'!$E$10+1,1))</f>
        <v>518.31628039365785</v>
      </c>
      <c r="AO196" s="62">
        <f t="shared" si="144"/>
        <v>66.435071953154761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116.11517562907342</v>
      </c>
      <c r="AV196" s="23">
        <f>EXP(-LN(2)/25)*AV195+(1-EXP(-LN(2)/25))/(LN(2)/25)*Calculateur!AQ196*Calculateur!AS196*VLOOKUP('Données projet'!$B$10,Paramètres!$A$1:$I$88,3,0)*0.475*44/12</f>
        <v>0</v>
      </c>
      <c r="AW196" s="23">
        <f>EXP(-LN(2)/2)*AW195+(1-EXP(-LN(2)/2))/(LN(2)/2)*AQ196*AT196*VLOOKUP('Données projet'!$B$10,Paramètres!$A$1:$I$88,3,0)*0.475*44/12</f>
        <v>0</v>
      </c>
      <c r="AX196" s="23">
        <f t="shared" si="166"/>
        <v>116.11517562907342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projet'!$B$11,Paramètres!$A$1:$I$88,3,0)*VLOOKUP('Données projet'!$B$11,Paramètres!$A$1:$I$88,5,0)</f>
        <v>1.1527845344971866E-13</v>
      </c>
      <c r="BF196" s="14">
        <f t="shared" si="167"/>
        <v>1.7033846239409443E-12</v>
      </c>
      <c r="BG196" s="22">
        <f t="shared" si="168"/>
        <v>3.1675048597887374E-12</v>
      </c>
      <c r="BH196" s="62">
        <f t="shared" ref="BH196:BH203" si="194">BG196+(AY196+AZ196)*44/12</f>
        <v>290.20450434631169</v>
      </c>
      <c r="BI196" s="62">
        <f ca="1">AVERAGE(OFFSET($BH$3,0,0,'Données projet'!$E$11+1,1))-AVERAGE(OFFSET($H$3,0,0,'Données projet'!$E$11+1,1))</f>
        <v>570.2785736203931</v>
      </c>
      <c r="BJ196" s="62">
        <f t="shared" si="146"/>
        <v>67.677759965081719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130.12907613603048</v>
      </c>
      <c r="BQ196" s="23">
        <f>EXP(-LN(2)/25)*BQ195+(1-EXP(-LN(2)/25))/(LN(2)/25)*Calculateur!BL196*Calculateur!BN196*VLOOKUP('Données projet'!$B$11,Paramètres!$A$1:$I$88,3,0)*0.475*44/12</f>
        <v>0</v>
      </c>
      <c r="BR196" s="23">
        <f>EXP(-LN(2)/2)*BR195+(1-EXP(-LN(2)/2))/(LN(2)/2)*BL196*BO196*VLOOKUP('Données projet'!$B$11,Paramètres!$A$1:$I$88,3,0)*0.475*44/12</f>
        <v>0</v>
      </c>
      <c r="BS196" s="24">
        <f t="shared" si="169"/>
        <v>130.12907613603048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544.19999999999982</v>
      </c>
      <c r="BZ196" s="14">
        <f>BY196*VLOOKUP('Données projet'!$B$12,Paramètres!$A$1:$I$88,3,0)*VLOOKUP('Données projet'!$B$12,Paramètres!$A$1:$I$88,5,0)</f>
        <v>325.43159999999995</v>
      </c>
      <c r="CA196" s="14">
        <f t="shared" si="170"/>
        <v>76.482394221016762</v>
      </c>
      <c r="CB196" s="22">
        <f t="shared" si="171"/>
        <v>700.00020660160408</v>
      </c>
      <c r="CC196" s="62">
        <f t="shared" ref="CC196:CC203" si="195">CB196+(BT196+BU196)*44/12</f>
        <v>990.20471094791264</v>
      </c>
      <c r="CD196" s="62">
        <f ca="1">AVERAGE(OFFSET($CC$3,0,0,'Données projet'!$E$12+1,1))-AVERAGE(OFFSET($H$3,0,0,'Données projet'!$E$12+1,1))</f>
        <v>401.1031790385295</v>
      </c>
      <c r="CE196" s="62">
        <f t="shared" si="148"/>
        <v>402.09589424130615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projet'!$B$12,Paramètres!$A$1:$I$88,3,0)*0.475*44/12</f>
        <v>1.4892003917635759</v>
      </c>
      <c r="CL196" s="23">
        <f>EXP(-LN(2)/25)*CL195+(1-EXP(-LN(2)/25))/(LN(2)/25)*Calculateur!CG196*Calculateur!CI196*VLOOKUP('Données projet'!$B$12,Paramètres!$A$1:$I$88,3,0)*0.475*44/12</f>
        <v>0</v>
      </c>
      <c r="CM196" s="23">
        <f>EXP(-LN(2)/2)*CM195+(1-EXP(-LN(2)/2))/(LN(2)/2)*CG196*CJ196*VLOOKUP('Données projet'!$B$12,Paramètres!$A$1:$I$88,3,0)*0.475*44/12</f>
        <v>3.9782955864952717E-20</v>
      </c>
      <c r="CN196" s="24">
        <f t="shared" si="172"/>
        <v>1.4892003917635759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544.19999999999982</v>
      </c>
      <c r="CU196" s="18">
        <f>CT196*VLOOKUP('Données projet'!$B$13,Paramètres!$A$1:$I$88,3,0)*VLOOKUP('Données projet'!$B$13,Paramètres!$A$1:$I$88,5,0)</f>
        <v>325.43159999999995</v>
      </c>
      <c r="CV196" s="14">
        <f t="shared" si="173"/>
        <v>76.482394221016762</v>
      </c>
      <c r="CW196" s="22">
        <f t="shared" si="174"/>
        <v>700.00020660160408</v>
      </c>
      <c r="CX196" s="62">
        <f t="shared" ref="CX196:CX203" si="196">CW196+(CO196+CP196)*44/12</f>
        <v>990.20471094791264</v>
      </c>
      <c r="CY196" s="62">
        <f ca="1">AVERAGE(OFFSET($CX$3,0,0,'Données projet'!$E$13+1,1))-AVERAGE(OFFSET($H$3,0,0,'Données projet'!$E$13+1,1))</f>
        <v>401.1031790385295</v>
      </c>
      <c r="CZ196" s="62">
        <f t="shared" si="150"/>
        <v>402.09589424130615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projet'!$B$13,Paramètres!$A$1:$I$88,3,0)*0.475*44/12</f>
        <v>1.4892003917635759</v>
      </c>
      <c r="DG196" s="23">
        <f>EXP(-LN(2)/25)*DG195+(1-EXP(-LN(2)/25))/(LN(2)/25)*Calculateur!DB196*Calculateur!DD196*VLOOKUP('Données projet'!$B$13,Paramètres!$A$1:$I$88,3,0)*0.475*44/12</f>
        <v>0</v>
      </c>
      <c r="DH196" s="23">
        <f>EXP(-LN(2)/2)*DH195+(1-EXP(-LN(2)/2))/(LN(2)/2)*DB196*DE196*VLOOKUP('Données projet'!$B$13,Paramètres!$A$1:$I$88,3,0)*0.475*44/12</f>
        <v>3.9782955864952717E-20</v>
      </c>
      <c r="DI196" s="24">
        <f t="shared" si="175"/>
        <v>1.4892003917635759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860.00000000000023</v>
      </c>
      <c r="DP196" s="18">
        <f>DO196*VLOOKUP('Données projet'!$B$14,Paramètres!$A$1:$I$88,3,0)*VLOOKUP('Données projet'!$B$14,Paramètres!$A$1:$I$88,5,0)</f>
        <v>346.5800000000001</v>
      </c>
      <c r="DQ196" s="14">
        <f t="shared" si="176"/>
        <v>80.857895771535127</v>
      </c>
      <c r="DR196" s="22">
        <f t="shared" si="177"/>
        <v>744.45433513542378</v>
      </c>
      <c r="DS196" s="62">
        <f t="shared" ref="DS196:DS203" si="197">DR196+(DJ196+DK196)*44/12</f>
        <v>1034.6588394817322</v>
      </c>
      <c r="DT196" s="62">
        <f ca="1">AVERAGE(OFFSET($DS$3,0,0,'Données projet'!$E$14+1,1))-AVERAGE(OFFSET($H$3,0,0,'Données projet'!$E$14+1,1))</f>
        <v>432.59662347701629</v>
      </c>
      <c r="DU196" s="62">
        <f t="shared" si="152"/>
        <v>348.67401091099748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projet'!$B$14,Paramètres!$A$1:$I$88,3,0)*0.475*44/12</f>
        <v>6.7083446221106273</v>
      </c>
      <c r="EB196" s="23">
        <f>EXP(-LN(2)/25)*EB195+(1-EXP(-LN(2)/25))/(LN(2)/25)*Calculateur!DW196*Calculateur!DY196*VLOOKUP('Données projet'!$B$14,Paramètres!$A$1:$I$88,3,0)*0.475*44/12</f>
        <v>3.0305750526735262</v>
      </c>
      <c r="EC196" s="23">
        <f>EXP(-LN(2)/2)*EC195+(1-EXP(-LN(2)/2))/(LN(2)/2)*DW196*DZ196*VLOOKUP('Données projet'!$B$14,Paramètres!$A$1:$I$88,3,0)*0.475*44/12</f>
        <v>0</v>
      </c>
      <c r="ED196" s="24">
        <f t="shared" si="178"/>
        <v>9.7389196747841531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1099.9999999999998</v>
      </c>
      <c r="EK196" s="18">
        <f>EJ196*VLOOKUP('Données projet'!$B$15,Paramètres!$A$1:$I$88,3,0)*VLOOKUP('Données projet'!$B$15,Paramètres!$A$1:$I$88,5,0)</f>
        <v>486.19999999999993</v>
      </c>
      <c r="EL196" s="14">
        <f t="shared" si="179"/>
        <v>109.0490179035375</v>
      </c>
      <c r="EM196" s="22">
        <f t="shared" si="180"/>
        <v>1036.725372848661</v>
      </c>
      <c r="EN196" s="62">
        <f t="shared" ref="EN196:EN203" si="198">EM196+(EE196+EF196)*44/12</f>
        <v>1326.9298771949695</v>
      </c>
      <c r="EO196" s="62">
        <f ca="1">AVERAGE(OFFSET($EN$3,0,0,'Données projet'!$E$15+1,1))-AVERAGE(OFFSET($H$3,0,0,'Données projet'!$E$15+1,1))</f>
        <v>582.26951914082088</v>
      </c>
      <c r="EP196" s="62">
        <f t="shared" si="154"/>
        <v>434.80429932654715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projet'!$B$15,Paramètres!$A$1:$I$88,3,0)*0.475*44/12</f>
        <v>6.7595870160859786</v>
      </c>
      <c r="EW196" s="23">
        <f>EXP(-LN(2)/25)*EW195+(1-EXP(-LN(2)/25))/(LN(2)/25)*Calculateur!ER196*Calculateur!ET196*VLOOKUP('Données projet'!$B$15,Paramètres!$A$1:$I$88,3,0)*0.475*44/12</f>
        <v>2.7232075804976823</v>
      </c>
      <c r="EX196" s="23">
        <f>EXP(-LN(2)/2)*EX195+(1-EXP(-LN(2)/2))/(LN(2)/2)*ER196*EU196*VLOOKUP('Données projet'!$B$15,Paramètres!$A$1:$I$88,3,0)*0.475*44/12</f>
        <v>0</v>
      </c>
      <c r="EY196" s="24">
        <f t="shared" si="181"/>
        <v>9.4827945965836609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854.99999999999989</v>
      </c>
      <c r="FF196" s="18">
        <f>FE196*VLOOKUP('Données projet'!$B$16,Paramètres!$A$1:$I$88,3,0)*VLOOKUP('Données projet'!$B$16,Paramètres!$A$1:$I$88,5,0)</f>
        <v>400.13999999999993</v>
      </c>
      <c r="FG196" s="14">
        <f t="shared" si="182"/>
        <v>91.805047494648534</v>
      </c>
      <c r="FH196" s="22">
        <f t="shared" si="183"/>
        <v>856.80429105317944</v>
      </c>
      <c r="FI196" s="62">
        <f t="shared" ref="FI196:FI203" si="199">FH196+(EZ196+FA196)*44/12</f>
        <v>1147.008795399488</v>
      </c>
      <c r="FJ196" s="62">
        <f ca="1">AVERAGE(OFFSET($FI$3,0,0,'Données projet'!$E$16+1,1))-AVERAGE(OFFSET($H$3,0,0,'Données projet'!$E$16+1,1))</f>
        <v>429.87867712133851</v>
      </c>
      <c r="FK196" s="62">
        <f t="shared" si="156"/>
        <v>182.81277865988014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projet'!$B$16,Paramètres!$A$1:$I$88,3,0)*0.475*44/12</f>
        <v>8.0616164144016338</v>
      </c>
      <c r="FR196" s="23">
        <f>EXP(-LN(2)/25)*FR195+(1-EXP(-LN(2)/25))/(LN(2)/25)*Calculateur!FM196*Calculateur!FO196*VLOOKUP('Données projet'!$B$16,Paramètres!$A$1:$I$88,3,0)*0.475*44/12</f>
        <v>3.4521318282195121</v>
      </c>
      <c r="FS196" s="23">
        <f>EXP(-LN(2)/2)*FS195+(1-EXP(-LN(2)/2))/(LN(2)/2)*FM196*FP196*VLOOKUP('Données projet'!$B$16,Paramètres!$A$1:$I$88,3,0)*0.475*44/12</f>
        <v>0</v>
      </c>
      <c r="FT196" s="24">
        <f t="shared" si="184"/>
        <v>11.513748242621146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498.99999999999955</v>
      </c>
      <c r="GA196" s="18">
        <f>FZ196*VLOOKUP('Données projet'!$B$17,Paramètres!$A$1:$I$88,3,0)*VLOOKUP('Données projet'!$B$17,Paramètres!$A$1:$I$88,5,0)</f>
        <v>240.01899999999978</v>
      </c>
      <c r="GB196" s="14">
        <f t="shared" si="185"/>
        <v>58.443618405936313</v>
      </c>
      <c r="GC196" s="22">
        <f t="shared" si="186"/>
        <v>519.82239372367201</v>
      </c>
      <c r="GD196" s="62">
        <f t="shared" ref="GD196:GD203" si="200">GC196+(FU196+FV196)*44/12</f>
        <v>810.02689806998046</v>
      </c>
      <c r="GE196" s="62">
        <f ca="1">AVERAGE(OFFSET($GD$3,0,0,'Données projet'!$E$17+1,1))-AVERAGE(OFFSET($H$3,0,0,'Données projet'!$E$17+1,1))</f>
        <v>273.24375559399846</v>
      </c>
      <c r="GF196" s="62">
        <f t="shared" si="158"/>
        <v>270.77718895097848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projet'!$B$17,Paramètres!$A$1:$I$88,3,0)*0.475*44/12</f>
        <v>3.4518155308990783</v>
      </c>
      <c r="GM196" s="23">
        <f>EXP(-LN(2)/25)*GM195+(1-EXP(-LN(2)/25))/(LN(2)/25)*Calculateur!GH196*Calculateur!GJ196*VLOOKUP('Données projet'!$B$17,Paramètres!$A$1:$I$88,3,0)*0.475*44/12</f>
        <v>1.3281991358359295</v>
      </c>
      <c r="GN196" s="23">
        <f>EXP(-LN(2)/2)*GN195+(1-EXP(-LN(2)/2))/(LN(2)/2)*GH196*GK196*VLOOKUP('Données projet'!$B$17,Paramètres!$A$1:$I$88,3,0)*0.475*44/12</f>
        <v>0</v>
      </c>
      <c r="GO196" s="23">
        <f t="shared" si="187"/>
        <v>4.7800146667350081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550.99999999999966</v>
      </c>
      <c r="O197" s="14">
        <f>N197*VLOOKUP('Données projet'!$B$9,Paramètres!$A$1:$I$88,3,0)*VLOOKUP('Données projet'!$B$9,Paramètres!$A$1:$I$88,5,0)</f>
        <v>308.00899999999979</v>
      </c>
      <c r="P197" s="14">
        <f t="shared" ref="P197:P203" si="203">EXP(-1.0587+0.8836*LN(O197)+0.284)</f>
        <v>72.852874331417695</v>
      </c>
      <c r="Q197" s="22">
        <f t="shared" si="162"/>
        <v>663.33443112721886</v>
      </c>
      <c r="R197" s="62">
        <f t="shared" si="191"/>
        <v>953.59321366143854</v>
      </c>
      <c r="S197" s="62">
        <f ca="1">AVERAGE(OFFSET($R$3,0,0,'Données projet'!$E$9+1,1))-AVERAGE(OFFSET($H$3,0,0,'Données projet'!$E$9+1,1))</f>
        <v>289.94242154211224</v>
      </c>
      <c r="T197" s="62">
        <f t="shared" ref="T197:T203" si="204">$T$3</f>
        <v>369.12599166143661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5.1925829580400356</v>
      </c>
      <c r="AA197" s="23">
        <f>EXP(-LN(2)/25)*AA196+(1-EXP(-LN(2)/25))/(LN(2)/25)*Calculateur!V197*Calculateur!X197*VLOOKUP('Données projet'!$B$9,Paramètres!$A$1:$I$88,3,0)*0.475*44/12</f>
        <v>1.6270274021922477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6.8196103602322831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projet'!$B$10,Paramètres!$A$1:$I$88,3,0)*VLOOKUP('Données projet'!$B$10,Paramètres!$A$1:$I$88,5,0)</f>
        <v>1.0286385077051818E-13</v>
      </c>
      <c r="AK197" s="14">
        <f t="shared" si="164"/>
        <v>1.5402366592183556E-12</v>
      </c>
      <c r="AL197" s="22">
        <f t="shared" si="165"/>
        <v>2.8617333882306215E-12</v>
      </c>
      <c r="AM197" s="62">
        <f t="shared" si="193"/>
        <v>290.25878253422258</v>
      </c>
      <c r="AN197" s="62">
        <f ca="1">AVERAGE(OFFSET($AM$3,0,0,'Données projet'!$E$10+1,1))-AVERAGE(OFFSET($H$3,0,0,'Données projet'!$E$10+1,1))</f>
        <v>518.31628039365785</v>
      </c>
      <c r="AO197" s="62">
        <f t="shared" ref="AO197:AO203" si="205">$AO$3</f>
        <v>66.435071953154761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113.8382278582512</v>
      </c>
      <c r="AV197" s="23">
        <f>EXP(-LN(2)/25)*AV196+(1-EXP(-LN(2)/25))/(LN(2)/25)*Calculateur!AQ197*Calculateur!AS197*VLOOKUP('Données projet'!$B$10,Paramètres!$A$1:$I$88,3,0)*0.475*44/12</f>
        <v>0</v>
      </c>
      <c r="AW197" s="23">
        <f>EXP(-LN(2)/2)*AW196+(1-EXP(-LN(2)/2))/(LN(2)/2)*AQ197*AT197*VLOOKUP('Données projet'!$B$10,Paramètres!$A$1:$I$88,3,0)*0.475*44/12</f>
        <v>0</v>
      </c>
      <c r="AX197" s="23">
        <f t="shared" si="166"/>
        <v>113.8382278582512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projet'!$B$11,Paramètres!$A$1:$I$88,3,0)*VLOOKUP('Données projet'!$B$11,Paramètres!$A$1:$I$88,5,0)</f>
        <v>1.1527845344971866E-13</v>
      </c>
      <c r="BF197" s="14">
        <f t="shared" si="167"/>
        <v>1.7033846239409443E-12</v>
      </c>
      <c r="BG197" s="22">
        <f t="shared" si="168"/>
        <v>3.1675048597887374E-12</v>
      </c>
      <c r="BH197" s="62">
        <f t="shared" si="194"/>
        <v>290.25878253422292</v>
      </c>
      <c r="BI197" s="62">
        <f ca="1">AVERAGE(OFFSET($BH$3,0,0,'Données projet'!$E$11+1,1))-AVERAGE(OFFSET($H$3,0,0,'Données projet'!$E$11+1,1))</f>
        <v>570.2785736203931</v>
      </c>
      <c r="BJ197" s="62">
        <f t="shared" ref="BJ197:BJ203" si="206">$BJ$3</f>
        <v>67.677759965081719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127.57732432390213</v>
      </c>
      <c r="BQ197" s="23">
        <f>EXP(-LN(2)/25)*BQ196+(1-EXP(-LN(2)/25))/(LN(2)/25)*Calculateur!BL197*Calculateur!BN197*VLOOKUP('Données projet'!$B$11,Paramètres!$A$1:$I$88,3,0)*0.475*44/12</f>
        <v>0</v>
      </c>
      <c r="BR197" s="23">
        <f>EXP(-LN(2)/2)*BR196+(1-EXP(-LN(2)/2))/(LN(2)/2)*BL197*BO197*VLOOKUP('Données projet'!$B$11,Paramètres!$A$1:$I$88,3,0)*0.475*44/12</f>
        <v>0</v>
      </c>
      <c r="BS197" s="24">
        <f t="shared" si="169"/>
        <v>127.57732432390213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544.19999999999982</v>
      </c>
      <c r="BZ197" s="14">
        <f>BY197*VLOOKUP('Données projet'!$B$12,Paramètres!$A$1:$I$88,3,0)*VLOOKUP('Données projet'!$B$12,Paramètres!$A$1:$I$88,5,0)</f>
        <v>325.43159999999995</v>
      </c>
      <c r="CA197" s="14">
        <f t="shared" si="170"/>
        <v>76.482394221016762</v>
      </c>
      <c r="CB197" s="22">
        <f t="shared" si="171"/>
        <v>700.00020660160408</v>
      </c>
      <c r="CC197" s="62">
        <f t="shared" si="195"/>
        <v>990.25898913582387</v>
      </c>
      <c r="CD197" s="62">
        <f ca="1">AVERAGE(OFFSET($CC$3,0,0,'Données projet'!$E$12+1,1))-AVERAGE(OFFSET($H$3,0,0,'Données projet'!$E$12+1,1))</f>
        <v>401.1031790385295</v>
      </c>
      <c r="CE197" s="62">
        <f t="shared" ref="CE197:CE203" si="207">$CE$3</f>
        <v>402.09589424130615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projet'!$B$12,Paramètres!$A$1:$I$88,3,0)*0.475*44/12</f>
        <v>1.4599980804036417</v>
      </c>
      <c r="CL197" s="23">
        <f>EXP(-LN(2)/25)*CL196+(1-EXP(-LN(2)/25))/(LN(2)/25)*Calculateur!CG197*Calculateur!CI197*VLOOKUP('Données projet'!$B$12,Paramètres!$A$1:$I$88,3,0)*0.475*44/12</f>
        <v>0</v>
      </c>
      <c r="CM197" s="23">
        <f>EXP(-LN(2)/2)*CM196+(1-EXP(-LN(2)/2))/(LN(2)/2)*CG197*CJ197*VLOOKUP('Données projet'!$B$12,Paramètres!$A$1:$I$88,3,0)*0.475*44/12</f>
        <v>2.8130797867753198E-20</v>
      </c>
      <c r="CN197" s="24">
        <f t="shared" si="172"/>
        <v>1.4599980804036417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544.19999999999982</v>
      </c>
      <c r="CU197" s="18">
        <f>CT197*VLOOKUP('Données projet'!$B$13,Paramètres!$A$1:$I$88,3,0)*VLOOKUP('Données projet'!$B$13,Paramètres!$A$1:$I$88,5,0)</f>
        <v>325.43159999999995</v>
      </c>
      <c r="CV197" s="14">
        <f t="shared" si="173"/>
        <v>76.482394221016762</v>
      </c>
      <c r="CW197" s="22">
        <f t="shared" si="174"/>
        <v>700.00020660160408</v>
      </c>
      <c r="CX197" s="62">
        <f t="shared" si="196"/>
        <v>990.25898913582387</v>
      </c>
      <c r="CY197" s="62">
        <f ca="1">AVERAGE(OFFSET($CX$3,0,0,'Données projet'!$E$13+1,1))-AVERAGE(OFFSET($H$3,0,0,'Données projet'!$E$13+1,1))</f>
        <v>401.1031790385295</v>
      </c>
      <c r="CZ197" s="62">
        <f t="shared" ref="CZ197:CZ203" si="208">$CZ$3</f>
        <v>402.09589424130615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projet'!$B$13,Paramètres!$A$1:$I$88,3,0)*0.475*44/12</f>
        <v>1.4599980804036417</v>
      </c>
      <c r="DG197" s="23">
        <f>EXP(-LN(2)/25)*DG196+(1-EXP(-LN(2)/25))/(LN(2)/25)*Calculateur!DB197*Calculateur!DD197*VLOOKUP('Données projet'!$B$13,Paramètres!$A$1:$I$88,3,0)*0.475*44/12</f>
        <v>0</v>
      </c>
      <c r="DH197" s="23">
        <f>EXP(-LN(2)/2)*DH196+(1-EXP(-LN(2)/2))/(LN(2)/2)*DB197*DE197*VLOOKUP('Données projet'!$B$13,Paramètres!$A$1:$I$88,3,0)*0.475*44/12</f>
        <v>2.8130797867753198E-20</v>
      </c>
      <c r="DI197" s="24">
        <f t="shared" si="175"/>
        <v>1.4599980804036417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860.00000000000023</v>
      </c>
      <c r="DP197" s="18">
        <f>DO197*VLOOKUP('Données projet'!$B$14,Paramètres!$A$1:$I$88,3,0)*VLOOKUP('Données projet'!$B$14,Paramètres!$A$1:$I$88,5,0)</f>
        <v>346.5800000000001</v>
      </c>
      <c r="DQ197" s="14">
        <f t="shared" si="176"/>
        <v>80.857895771535127</v>
      </c>
      <c r="DR197" s="22">
        <f t="shared" si="177"/>
        <v>744.45433513542378</v>
      </c>
      <c r="DS197" s="62">
        <f t="shared" si="197"/>
        <v>1034.7131176696435</v>
      </c>
      <c r="DT197" s="62">
        <f ca="1">AVERAGE(OFFSET($DS$3,0,0,'Données projet'!$E$14+1,1))-AVERAGE(OFFSET($H$3,0,0,'Données projet'!$E$14+1,1))</f>
        <v>432.59662347701629</v>
      </c>
      <c r="DU197" s="62">
        <f t="shared" ref="DU197:DU203" si="209">$DU$3</f>
        <v>348.67401091099748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projet'!$B$14,Paramètres!$A$1:$I$88,3,0)*0.475*44/12</f>
        <v>6.5767980757572371</v>
      </c>
      <c r="EB197" s="23">
        <f>EXP(-LN(2)/25)*EB196+(1-EXP(-LN(2)/25))/(LN(2)/25)*Calculateur!DW197*Calculateur!DY197*VLOOKUP('Données projet'!$B$14,Paramètres!$A$1:$I$88,3,0)*0.475*44/12</f>
        <v>2.9477038184871529</v>
      </c>
      <c r="EC197" s="23">
        <f>EXP(-LN(2)/2)*EC196+(1-EXP(-LN(2)/2))/(LN(2)/2)*DW197*DZ197*VLOOKUP('Données projet'!$B$14,Paramètres!$A$1:$I$88,3,0)*0.475*44/12</f>
        <v>0</v>
      </c>
      <c r="ED197" s="24">
        <f t="shared" si="178"/>
        <v>9.5245018942443895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1099.9999999999998</v>
      </c>
      <c r="EK197" s="18">
        <f>EJ197*VLOOKUP('Données projet'!$B$15,Paramètres!$A$1:$I$88,3,0)*VLOOKUP('Données projet'!$B$15,Paramètres!$A$1:$I$88,5,0)</f>
        <v>486.19999999999993</v>
      </c>
      <c r="EL197" s="14">
        <f t="shared" si="179"/>
        <v>109.0490179035375</v>
      </c>
      <c r="EM197" s="22">
        <f t="shared" si="180"/>
        <v>1036.725372848661</v>
      </c>
      <c r="EN197" s="62">
        <f t="shared" si="198"/>
        <v>1326.9841553828808</v>
      </c>
      <c r="EO197" s="62">
        <f ca="1">AVERAGE(OFFSET($EN$3,0,0,'Données projet'!$E$15+1,1))-AVERAGE(OFFSET($H$3,0,0,'Données projet'!$E$15+1,1))</f>
        <v>582.26951914082088</v>
      </c>
      <c r="EP197" s="62">
        <f t="shared" ref="EP197:EP203" si="210">$EP$3</f>
        <v>434.80429932654715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projet'!$B$15,Paramètres!$A$1:$I$88,3,0)*0.475*44/12</f>
        <v>6.627035637641506</v>
      </c>
      <c r="EW197" s="23">
        <f>EXP(-LN(2)/25)*EW196+(1-EXP(-LN(2)/25))/(LN(2)/25)*Calculateur!ER197*Calculateur!ET197*VLOOKUP('Données projet'!$B$15,Paramètres!$A$1:$I$88,3,0)*0.475*44/12</f>
        <v>2.6487413260017103</v>
      </c>
      <c r="EX197" s="23">
        <f>EXP(-LN(2)/2)*EX196+(1-EXP(-LN(2)/2))/(LN(2)/2)*ER197*EU197*VLOOKUP('Données projet'!$B$15,Paramètres!$A$1:$I$88,3,0)*0.475*44/12</f>
        <v>0</v>
      </c>
      <c r="EY197" s="24">
        <f t="shared" si="181"/>
        <v>9.2757769636432172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854.99999999999989</v>
      </c>
      <c r="FF197" s="18">
        <f>FE197*VLOOKUP('Données projet'!$B$16,Paramètres!$A$1:$I$88,3,0)*VLOOKUP('Données projet'!$B$16,Paramètres!$A$1:$I$88,5,0)</f>
        <v>400.13999999999993</v>
      </c>
      <c r="FG197" s="14">
        <f t="shared" si="182"/>
        <v>91.805047494648534</v>
      </c>
      <c r="FH197" s="22">
        <f t="shared" si="183"/>
        <v>856.80429105317944</v>
      </c>
      <c r="FI197" s="62">
        <f t="shared" si="199"/>
        <v>1147.0630735873992</v>
      </c>
      <c r="FJ197" s="62">
        <f ca="1">AVERAGE(OFFSET($FI$3,0,0,'Données projet'!$E$16+1,1))-AVERAGE(OFFSET($H$3,0,0,'Données projet'!$E$16+1,1))</f>
        <v>429.87867712133851</v>
      </c>
      <c r="FK197" s="62">
        <f t="shared" ref="FK197:FK203" si="211">$FK$3</f>
        <v>182.81277865988014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projet'!$B$16,Paramètres!$A$1:$I$88,3,0)*0.475*44/12</f>
        <v>7.903533033615707</v>
      </c>
      <c r="FR197" s="23">
        <f>EXP(-LN(2)/25)*FR196+(1-EXP(-LN(2)/25))/(LN(2)/25)*Calculateur!FM197*Calculateur!FO197*VLOOKUP('Données projet'!$B$16,Paramètres!$A$1:$I$88,3,0)*0.475*44/12</f>
        <v>3.3577331018371268</v>
      </c>
      <c r="FS197" s="23">
        <f>EXP(-LN(2)/2)*FS196+(1-EXP(-LN(2)/2))/(LN(2)/2)*FM197*FP197*VLOOKUP('Données projet'!$B$16,Paramètres!$A$1:$I$88,3,0)*0.475*44/12</f>
        <v>0</v>
      </c>
      <c r="FT197" s="24">
        <f t="shared" si="184"/>
        <v>11.261266135452834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498.99999999999955</v>
      </c>
      <c r="GA197" s="18">
        <f>FZ197*VLOOKUP('Données projet'!$B$17,Paramètres!$A$1:$I$88,3,0)*VLOOKUP('Données projet'!$B$17,Paramètres!$A$1:$I$88,5,0)</f>
        <v>240.01899999999978</v>
      </c>
      <c r="GB197" s="14">
        <f t="shared" si="185"/>
        <v>58.443618405936313</v>
      </c>
      <c r="GC197" s="22">
        <f t="shared" si="186"/>
        <v>519.82239372367201</v>
      </c>
      <c r="GD197" s="62">
        <f t="shared" si="200"/>
        <v>810.08117625789168</v>
      </c>
      <c r="GE197" s="62">
        <f ca="1">AVERAGE(OFFSET($GD$3,0,0,'Données projet'!$E$17+1,1))-AVERAGE(OFFSET($H$3,0,0,'Données projet'!$E$17+1,1))</f>
        <v>273.24375559399846</v>
      </c>
      <c r="GF197" s="62">
        <f t="shared" ref="GF197:GF203" si="212">$GF$3</f>
        <v>270.77718895097848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projet'!$B$17,Paramètres!$A$1:$I$88,3,0)*0.475*44/12</f>
        <v>3.3841275337377303</v>
      </c>
      <c r="GM197" s="23">
        <f>EXP(-LN(2)/25)*GM196+(1-EXP(-LN(2)/25))/(LN(2)/25)*Calculateur!GH197*Calculateur!GJ197*VLOOKUP('Données projet'!$B$17,Paramètres!$A$1:$I$88,3,0)*0.475*44/12</f>
        <v>1.2918794606195392</v>
      </c>
      <c r="GN197" s="23">
        <f>EXP(-LN(2)/2)*GN196+(1-EXP(-LN(2)/2))/(LN(2)/2)*GH197*GK197*VLOOKUP('Données projet'!$B$17,Paramètres!$A$1:$I$88,3,0)*0.475*44/12</f>
        <v>0</v>
      </c>
      <c r="GO197" s="23">
        <f t="shared" si="187"/>
        <v>4.6760069943572695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550.99999999999966</v>
      </c>
      <c r="O198" s="14">
        <f>N198*VLOOKUP('Données projet'!$B$9,Paramètres!$A$1:$I$88,3,0)*VLOOKUP('Données projet'!$B$9,Paramètres!$A$1:$I$88,5,0)</f>
        <v>308.00899999999979</v>
      </c>
      <c r="P198" s="14">
        <f t="shared" si="203"/>
        <v>72.852874331417695</v>
      </c>
      <c r="Q198" s="22">
        <f t="shared" si="162"/>
        <v>663.33443112721886</v>
      </c>
      <c r="R198" s="62">
        <f t="shared" si="191"/>
        <v>953.64655024413742</v>
      </c>
      <c r="S198" s="62">
        <f ca="1">AVERAGE(OFFSET($R$3,0,0,'Données projet'!$E$9+1,1))-AVERAGE(OFFSET($H$3,0,0,'Données projet'!$E$9+1,1))</f>
        <v>289.94242154211224</v>
      </c>
      <c r="T198" s="62">
        <f t="shared" si="204"/>
        <v>369.12599166143661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5.0907595733957436</v>
      </c>
      <c r="AA198" s="23">
        <f>EXP(-LN(2)/25)*AA197+(1-EXP(-LN(2)/25))/(LN(2)/25)*Calculateur!V198*Calculateur!X198*VLOOKUP('Données projet'!$B$9,Paramètres!$A$1:$I$88,3,0)*0.475*44/12</f>
        <v>1.5825362523176483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6.6732958257133923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projet'!$B$10,Paramètres!$A$1:$I$88,3,0)*VLOOKUP('Données projet'!$B$10,Paramètres!$A$1:$I$88,5,0)</f>
        <v>1.0286385077051818E-13</v>
      </c>
      <c r="AK198" s="14">
        <f t="shared" si="164"/>
        <v>1.5402366592183556E-12</v>
      </c>
      <c r="AL198" s="22">
        <f t="shared" si="165"/>
        <v>2.8617333882306215E-12</v>
      </c>
      <c r="AM198" s="62">
        <f t="shared" si="193"/>
        <v>290.31211911692134</v>
      </c>
      <c r="AN198" s="62">
        <f ca="1">AVERAGE(OFFSET($AM$3,0,0,'Données projet'!$E$10+1,1))-AVERAGE(OFFSET($H$3,0,0,'Données projet'!$E$10+1,1))</f>
        <v>518.31628039365785</v>
      </c>
      <c r="AO198" s="62">
        <f t="shared" si="205"/>
        <v>66.435071953154761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111.60592964441381</v>
      </c>
      <c r="AV198" s="23">
        <f>EXP(-LN(2)/25)*AV197+(1-EXP(-LN(2)/25))/(LN(2)/25)*Calculateur!AQ198*Calculateur!AS198*VLOOKUP('Données projet'!$B$10,Paramètres!$A$1:$I$88,3,0)*0.475*44/12</f>
        <v>0</v>
      </c>
      <c r="AW198" s="23">
        <f>EXP(-LN(2)/2)*AW197+(1-EXP(-LN(2)/2))/(LN(2)/2)*AQ198*AT198*VLOOKUP('Données projet'!$B$10,Paramètres!$A$1:$I$88,3,0)*0.475*44/12</f>
        <v>0</v>
      </c>
      <c r="AX198" s="23">
        <f t="shared" si="166"/>
        <v>111.60592964441381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projet'!$B$11,Paramètres!$A$1:$I$88,3,0)*VLOOKUP('Données projet'!$B$11,Paramètres!$A$1:$I$88,5,0)</f>
        <v>1.1527845344971866E-13</v>
      </c>
      <c r="BF198" s="14">
        <f t="shared" si="167"/>
        <v>1.7033846239409443E-12</v>
      </c>
      <c r="BG198" s="22">
        <f t="shared" si="168"/>
        <v>3.1675048597887374E-12</v>
      </c>
      <c r="BH198" s="62">
        <f t="shared" si="194"/>
        <v>290.31211911692168</v>
      </c>
      <c r="BI198" s="62">
        <f ca="1">AVERAGE(OFFSET($BH$3,0,0,'Données projet'!$E$11+1,1))-AVERAGE(OFFSET($H$3,0,0,'Données projet'!$E$11+1,1))</f>
        <v>570.2785736203931</v>
      </c>
      <c r="BJ198" s="62">
        <f t="shared" si="206"/>
        <v>67.677759965081719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125.07561080839471</v>
      </c>
      <c r="BQ198" s="23">
        <f>EXP(-LN(2)/25)*BQ197+(1-EXP(-LN(2)/25))/(LN(2)/25)*Calculateur!BL198*Calculateur!BN198*VLOOKUP('Données projet'!$B$11,Paramètres!$A$1:$I$88,3,0)*0.475*44/12</f>
        <v>0</v>
      </c>
      <c r="BR198" s="23">
        <f>EXP(-LN(2)/2)*BR197+(1-EXP(-LN(2)/2))/(LN(2)/2)*BL198*BO198*VLOOKUP('Données projet'!$B$11,Paramètres!$A$1:$I$88,3,0)*0.475*44/12</f>
        <v>0</v>
      </c>
      <c r="BS198" s="24">
        <f t="shared" si="169"/>
        <v>125.07561080839471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544.19999999999982</v>
      </c>
      <c r="BZ198" s="14">
        <f>BY198*VLOOKUP('Données projet'!$B$12,Paramètres!$A$1:$I$88,3,0)*VLOOKUP('Données projet'!$B$12,Paramètres!$A$1:$I$88,5,0)</f>
        <v>325.43159999999995</v>
      </c>
      <c r="CA198" s="14">
        <f t="shared" si="170"/>
        <v>76.482394221016762</v>
      </c>
      <c r="CB198" s="22">
        <f t="shared" si="171"/>
        <v>700.00020660160408</v>
      </c>
      <c r="CC198" s="62">
        <f t="shared" si="195"/>
        <v>990.31232571852252</v>
      </c>
      <c r="CD198" s="62">
        <f ca="1">AVERAGE(OFFSET($CC$3,0,0,'Données projet'!$E$12+1,1))-AVERAGE(OFFSET($H$3,0,0,'Données projet'!$E$12+1,1))</f>
        <v>401.1031790385295</v>
      </c>
      <c r="CE198" s="62">
        <f t="shared" si="207"/>
        <v>402.09589424130615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projet'!$B$12,Paramètres!$A$1:$I$88,3,0)*0.475*44/12</f>
        <v>1.4313684085578247</v>
      </c>
      <c r="CL198" s="23">
        <f>EXP(-LN(2)/25)*CL197+(1-EXP(-LN(2)/25))/(LN(2)/25)*Calculateur!CG198*Calculateur!CI198*VLOOKUP('Données projet'!$B$12,Paramètres!$A$1:$I$88,3,0)*0.475*44/12</f>
        <v>0</v>
      </c>
      <c r="CM198" s="23">
        <f>EXP(-LN(2)/2)*CM197+(1-EXP(-LN(2)/2))/(LN(2)/2)*CG198*CJ198*VLOOKUP('Données projet'!$B$12,Paramètres!$A$1:$I$88,3,0)*0.475*44/12</f>
        <v>1.9891477932476358E-20</v>
      </c>
      <c r="CN198" s="24">
        <f t="shared" si="172"/>
        <v>1.4313684085578247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544.19999999999982</v>
      </c>
      <c r="CU198" s="18">
        <f>CT198*VLOOKUP('Données projet'!$B$13,Paramètres!$A$1:$I$88,3,0)*VLOOKUP('Données projet'!$B$13,Paramètres!$A$1:$I$88,5,0)</f>
        <v>325.43159999999995</v>
      </c>
      <c r="CV198" s="14">
        <f t="shared" si="173"/>
        <v>76.482394221016762</v>
      </c>
      <c r="CW198" s="22">
        <f t="shared" si="174"/>
        <v>700.00020660160408</v>
      </c>
      <c r="CX198" s="62">
        <f t="shared" si="196"/>
        <v>990.31232571852252</v>
      </c>
      <c r="CY198" s="62">
        <f ca="1">AVERAGE(OFFSET($CX$3,0,0,'Données projet'!$E$13+1,1))-AVERAGE(OFFSET($H$3,0,0,'Données projet'!$E$13+1,1))</f>
        <v>401.1031790385295</v>
      </c>
      <c r="CZ198" s="62">
        <f t="shared" si="208"/>
        <v>402.09589424130615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projet'!$B$13,Paramètres!$A$1:$I$88,3,0)*0.475*44/12</f>
        <v>1.4313684085578247</v>
      </c>
      <c r="DG198" s="23">
        <f>EXP(-LN(2)/25)*DG197+(1-EXP(-LN(2)/25))/(LN(2)/25)*Calculateur!DB198*Calculateur!DD198*VLOOKUP('Données projet'!$B$13,Paramètres!$A$1:$I$88,3,0)*0.475*44/12</f>
        <v>0</v>
      </c>
      <c r="DH198" s="23">
        <f>EXP(-LN(2)/2)*DH197+(1-EXP(-LN(2)/2))/(LN(2)/2)*DB198*DE198*VLOOKUP('Données projet'!$B$13,Paramètres!$A$1:$I$88,3,0)*0.475*44/12</f>
        <v>1.9891477932476358E-20</v>
      </c>
      <c r="DI198" s="24">
        <f t="shared" si="175"/>
        <v>1.4313684085578247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860.00000000000023</v>
      </c>
      <c r="DP198" s="18">
        <f>DO198*VLOOKUP('Données projet'!$B$14,Paramètres!$A$1:$I$88,3,0)*VLOOKUP('Données projet'!$B$14,Paramètres!$A$1:$I$88,5,0)</f>
        <v>346.5800000000001</v>
      </c>
      <c r="DQ198" s="14">
        <f t="shared" si="176"/>
        <v>80.857895771535127</v>
      </c>
      <c r="DR198" s="22">
        <f t="shared" si="177"/>
        <v>744.45433513542378</v>
      </c>
      <c r="DS198" s="62">
        <f t="shared" si="197"/>
        <v>1034.7664542523423</v>
      </c>
      <c r="DT198" s="62">
        <f ca="1">AVERAGE(OFFSET($DS$3,0,0,'Données projet'!$E$14+1,1))-AVERAGE(OFFSET($H$3,0,0,'Données projet'!$E$14+1,1))</f>
        <v>432.59662347701629</v>
      </c>
      <c r="DU198" s="62">
        <f t="shared" si="209"/>
        <v>348.67401091099748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projet'!$B$14,Paramètres!$A$1:$I$88,3,0)*0.475*44/12</f>
        <v>6.4478310769423661</v>
      </c>
      <c r="EB198" s="23">
        <f>EXP(-LN(2)/25)*EB197+(1-EXP(-LN(2)/25))/(LN(2)/25)*Calculateur!DW198*Calculateur!DY198*VLOOKUP('Données projet'!$B$14,Paramètres!$A$1:$I$88,3,0)*0.475*44/12</f>
        <v>2.8670987025576151</v>
      </c>
      <c r="EC198" s="23">
        <f>EXP(-LN(2)/2)*EC197+(1-EXP(-LN(2)/2))/(LN(2)/2)*DW198*DZ198*VLOOKUP('Données projet'!$B$14,Paramètres!$A$1:$I$88,3,0)*0.475*44/12</f>
        <v>0</v>
      </c>
      <c r="ED198" s="24">
        <f t="shared" si="178"/>
        <v>9.3149297794999804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1099.9999999999998</v>
      </c>
      <c r="EK198" s="18">
        <f>EJ198*VLOOKUP('Données projet'!$B$15,Paramètres!$A$1:$I$88,3,0)*VLOOKUP('Données projet'!$B$15,Paramètres!$A$1:$I$88,5,0)</f>
        <v>486.19999999999993</v>
      </c>
      <c r="EL198" s="14">
        <f t="shared" si="179"/>
        <v>109.0490179035375</v>
      </c>
      <c r="EM198" s="22">
        <f t="shared" si="180"/>
        <v>1036.725372848661</v>
      </c>
      <c r="EN198" s="62">
        <f t="shared" si="198"/>
        <v>1327.0374919655794</v>
      </c>
      <c r="EO198" s="62">
        <f ca="1">AVERAGE(OFFSET($EN$3,0,0,'Données projet'!$E$15+1,1))-AVERAGE(OFFSET($H$3,0,0,'Données projet'!$E$15+1,1))</f>
        <v>582.26951914082088</v>
      </c>
      <c r="EP198" s="62">
        <f t="shared" si="210"/>
        <v>434.80429932654715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projet'!$B$15,Paramètres!$A$1:$I$88,3,0)*0.475*44/12</f>
        <v>6.4970835108799712</v>
      </c>
      <c r="EW198" s="23">
        <f>EXP(-LN(2)/25)*EW197+(1-EXP(-LN(2)/25))/(LN(2)/25)*Calculateur!ER198*Calculateur!ET198*VLOOKUP('Données projet'!$B$15,Paramètres!$A$1:$I$88,3,0)*0.475*44/12</f>
        <v>2.5763113551509411</v>
      </c>
      <c r="EX198" s="23">
        <f>EXP(-LN(2)/2)*EX197+(1-EXP(-LN(2)/2))/(LN(2)/2)*ER198*EU198*VLOOKUP('Données projet'!$B$15,Paramètres!$A$1:$I$88,3,0)*0.475*44/12</f>
        <v>0</v>
      </c>
      <c r="EY198" s="24">
        <f t="shared" si="181"/>
        <v>9.0733948660309132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854.99999999999989</v>
      </c>
      <c r="FF198" s="18">
        <f>FE198*VLOOKUP('Données projet'!$B$16,Paramètres!$A$1:$I$88,3,0)*VLOOKUP('Données projet'!$B$16,Paramètres!$A$1:$I$88,5,0)</f>
        <v>400.13999999999993</v>
      </c>
      <c r="FG198" s="14">
        <f t="shared" si="182"/>
        <v>91.805047494648534</v>
      </c>
      <c r="FH198" s="22">
        <f t="shared" si="183"/>
        <v>856.80429105317944</v>
      </c>
      <c r="FI198" s="62">
        <f t="shared" si="199"/>
        <v>1147.1164101700979</v>
      </c>
      <c r="FJ198" s="62">
        <f ca="1">AVERAGE(OFFSET($FI$3,0,0,'Données projet'!$E$16+1,1))-AVERAGE(OFFSET($H$3,0,0,'Données projet'!$E$16+1,1))</f>
        <v>429.87867712133851</v>
      </c>
      <c r="FK198" s="62">
        <f t="shared" si="211"/>
        <v>182.81277865988014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projet'!$B$16,Paramètres!$A$1:$I$88,3,0)*0.475*44/12</f>
        <v>7.7485495715056514</v>
      </c>
      <c r="FR198" s="23">
        <f>EXP(-LN(2)/25)*FR197+(1-EXP(-LN(2)/25))/(LN(2)/25)*Calculateur!FM198*Calculateur!FO198*VLOOKUP('Données projet'!$B$16,Paramètres!$A$1:$I$88,3,0)*0.475*44/12</f>
        <v>3.2659157135918808</v>
      </c>
      <c r="FS198" s="23">
        <f>EXP(-LN(2)/2)*FS197+(1-EXP(-LN(2)/2))/(LN(2)/2)*FM198*FP198*VLOOKUP('Données projet'!$B$16,Paramètres!$A$1:$I$88,3,0)*0.475*44/12</f>
        <v>0</v>
      </c>
      <c r="FT198" s="24">
        <f t="shared" si="184"/>
        <v>11.014465285097533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498.99999999999955</v>
      </c>
      <c r="GA198" s="18">
        <f>FZ198*VLOOKUP('Données projet'!$B$17,Paramètres!$A$1:$I$88,3,0)*VLOOKUP('Données projet'!$B$17,Paramètres!$A$1:$I$88,5,0)</f>
        <v>240.01899999999978</v>
      </c>
      <c r="GB198" s="14">
        <f t="shared" si="185"/>
        <v>58.443618405936313</v>
      </c>
      <c r="GC198" s="22">
        <f t="shared" si="186"/>
        <v>519.82239372367201</v>
      </c>
      <c r="GD198" s="62">
        <f t="shared" si="200"/>
        <v>810.13451284059056</v>
      </c>
      <c r="GE198" s="62">
        <f ca="1">AVERAGE(OFFSET($GD$3,0,0,'Données projet'!$E$17+1,1))-AVERAGE(OFFSET($H$3,0,0,'Données projet'!$E$17+1,1))</f>
        <v>273.24375559399846</v>
      </c>
      <c r="GF198" s="62">
        <f t="shared" si="212"/>
        <v>270.77718895097848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projet'!$B$17,Paramètres!$A$1:$I$88,3,0)*0.475*44/12</f>
        <v>3.3177668569151146</v>
      </c>
      <c r="GM198" s="23">
        <f>EXP(-LN(2)/25)*GM197+(1-EXP(-LN(2)/25))/(LN(2)/25)*Calculateur!GH198*Calculateur!GJ198*VLOOKUP('Données projet'!$B$17,Paramètres!$A$1:$I$88,3,0)*0.475*44/12</f>
        <v>1.2565529488319096</v>
      </c>
      <c r="GN198" s="23">
        <f>EXP(-LN(2)/2)*GN197+(1-EXP(-LN(2)/2))/(LN(2)/2)*GH198*GK198*VLOOKUP('Données projet'!$B$17,Paramètres!$A$1:$I$88,3,0)*0.475*44/12</f>
        <v>0</v>
      </c>
      <c r="GO198" s="23">
        <f t="shared" si="187"/>
        <v>4.5743198057470238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550.99999999999966</v>
      </c>
      <c r="O199" s="14">
        <f>N199*VLOOKUP('Données projet'!$B$9,Paramètres!$A$1:$I$88,3,0)*VLOOKUP('Données projet'!$B$9,Paramètres!$A$1:$I$88,5,0)</f>
        <v>308.00899999999979</v>
      </c>
      <c r="P199" s="14">
        <f t="shared" si="203"/>
        <v>72.852874331417695</v>
      </c>
      <c r="Q199" s="22">
        <f t="shared" si="162"/>
        <v>663.33443112721886</v>
      </c>
      <c r="R199" s="62">
        <f t="shared" si="191"/>
        <v>953.69896155636911</v>
      </c>
      <c r="S199" s="62">
        <f ca="1">AVERAGE(OFFSET($R$3,0,0,'Données projet'!$E$9+1,1))-AVERAGE(OFFSET($H$3,0,0,'Données projet'!$E$9+1,1))</f>
        <v>289.94242154211224</v>
      </c>
      <c r="T199" s="62">
        <f t="shared" si="204"/>
        <v>369.12599166143661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4.9909328832181936</v>
      </c>
      <c r="AA199" s="23">
        <f>EXP(-LN(2)/25)*AA198+(1-EXP(-LN(2)/25))/(LN(2)/25)*Calculateur!V199*Calculateur!X199*VLOOKUP('Données projet'!$B$9,Paramètres!$A$1:$I$88,3,0)*0.475*44/12</f>
        <v>1.5392617152760577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6.5301945984942513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projet'!$B$10,Paramètres!$A$1:$I$88,3,0)*VLOOKUP('Données projet'!$B$10,Paramètres!$A$1:$I$88,5,0)</f>
        <v>1.0286385077051818E-13</v>
      </c>
      <c r="AK199" s="14">
        <f t="shared" si="164"/>
        <v>1.5402366592183556E-12</v>
      </c>
      <c r="AL199" s="22">
        <f t="shared" si="165"/>
        <v>2.8617333882306215E-12</v>
      </c>
      <c r="AM199" s="62">
        <f t="shared" si="193"/>
        <v>290.36453042915304</v>
      </c>
      <c r="AN199" s="62">
        <f ca="1">AVERAGE(OFFSET($AM$3,0,0,'Données projet'!$E$10+1,1))-AVERAGE(OFFSET($H$3,0,0,'Données projet'!$E$10+1,1))</f>
        <v>518.31628039365785</v>
      </c>
      <c r="AO199" s="62">
        <f t="shared" si="205"/>
        <v>66.435071953154761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109.41740543698229</v>
      </c>
      <c r="AV199" s="23">
        <f>EXP(-LN(2)/25)*AV198+(1-EXP(-LN(2)/25))/(LN(2)/25)*Calculateur!AQ199*Calculateur!AS199*VLOOKUP('Données projet'!$B$10,Paramètres!$A$1:$I$88,3,0)*0.475*44/12</f>
        <v>0</v>
      </c>
      <c r="AW199" s="23">
        <f>EXP(-LN(2)/2)*AW198+(1-EXP(-LN(2)/2))/(LN(2)/2)*AQ199*AT199*VLOOKUP('Données projet'!$B$10,Paramètres!$A$1:$I$88,3,0)*0.475*44/12</f>
        <v>0</v>
      </c>
      <c r="AX199" s="23">
        <f t="shared" si="166"/>
        <v>109.41740543698229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projet'!$B$11,Paramètres!$A$1:$I$88,3,0)*VLOOKUP('Données projet'!$B$11,Paramètres!$A$1:$I$88,5,0)</f>
        <v>1.1527845344971866E-13</v>
      </c>
      <c r="BF199" s="14">
        <f t="shared" si="167"/>
        <v>1.7033846239409443E-12</v>
      </c>
      <c r="BG199" s="22">
        <f t="shared" si="168"/>
        <v>3.1675048597887374E-12</v>
      </c>
      <c r="BH199" s="62">
        <f t="shared" si="194"/>
        <v>290.36453042915338</v>
      </c>
      <c r="BI199" s="62">
        <f ca="1">AVERAGE(OFFSET($BH$3,0,0,'Données projet'!$E$11+1,1))-AVERAGE(OFFSET($H$3,0,0,'Données projet'!$E$11+1,1))</f>
        <v>570.2785736203931</v>
      </c>
      <c r="BJ199" s="62">
        <f t="shared" si="206"/>
        <v>67.677759965081719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122.62295436903182</v>
      </c>
      <c r="BQ199" s="23">
        <f>EXP(-LN(2)/25)*BQ198+(1-EXP(-LN(2)/25))/(LN(2)/25)*Calculateur!BL199*Calculateur!BN199*VLOOKUP('Données projet'!$B$11,Paramètres!$A$1:$I$88,3,0)*0.475*44/12</f>
        <v>0</v>
      </c>
      <c r="BR199" s="23">
        <f>EXP(-LN(2)/2)*BR198+(1-EXP(-LN(2)/2))/(LN(2)/2)*BL199*BO199*VLOOKUP('Données projet'!$B$11,Paramètres!$A$1:$I$88,3,0)*0.475*44/12</f>
        <v>0</v>
      </c>
      <c r="BS199" s="24">
        <f t="shared" si="169"/>
        <v>122.62295436903182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544.19999999999982</v>
      </c>
      <c r="BZ199" s="14">
        <f>BY199*VLOOKUP('Données projet'!$B$12,Paramètres!$A$1:$I$88,3,0)*VLOOKUP('Données projet'!$B$12,Paramètres!$A$1:$I$88,5,0)</f>
        <v>325.43159999999995</v>
      </c>
      <c r="CA199" s="14">
        <f t="shared" si="170"/>
        <v>76.482394221016762</v>
      </c>
      <c r="CB199" s="22">
        <f t="shared" si="171"/>
        <v>700.00020660160408</v>
      </c>
      <c r="CC199" s="62">
        <f t="shared" si="195"/>
        <v>990.36473703075421</v>
      </c>
      <c r="CD199" s="62">
        <f ca="1">AVERAGE(OFFSET($CC$3,0,0,'Données projet'!$E$12+1,1))-AVERAGE(OFFSET($H$3,0,0,'Données projet'!$E$12+1,1))</f>
        <v>401.1031790385295</v>
      </c>
      <c r="CE199" s="62">
        <f t="shared" si="207"/>
        <v>402.09589424130615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projet'!$B$12,Paramètres!$A$1:$I$88,3,0)*0.475*44/12</f>
        <v>1.4033001471145286</v>
      </c>
      <c r="CL199" s="23">
        <f>EXP(-LN(2)/25)*CL198+(1-EXP(-LN(2)/25))/(LN(2)/25)*Calculateur!CG199*Calculateur!CI199*VLOOKUP('Données projet'!$B$12,Paramètres!$A$1:$I$88,3,0)*0.475*44/12</f>
        <v>0</v>
      </c>
      <c r="CM199" s="23">
        <f>EXP(-LN(2)/2)*CM198+(1-EXP(-LN(2)/2))/(LN(2)/2)*CG199*CJ199*VLOOKUP('Données projet'!$B$12,Paramètres!$A$1:$I$88,3,0)*0.475*44/12</f>
        <v>1.4065398933876599E-20</v>
      </c>
      <c r="CN199" s="24">
        <f t="shared" si="172"/>
        <v>1.4033001471145286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544.19999999999982</v>
      </c>
      <c r="CU199" s="18">
        <f>CT199*VLOOKUP('Données projet'!$B$13,Paramètres!$A$1:$I$88,3,0)*VLOOKUP('Données projet'!$B$13,Paramètres!$A$1:$I$88,5,0)</f>
        <v>325.43159999999995</v>
      </c>
      <c r="CV199" s="14">
        <f t="shared" si="173"/>
        <v>76.482394221016762</v>
      </c>
      <c r="CW199" s="22">
        <f t="shared" si="174"/>
        <v>700.00020660160408</v>
      </c>
      <c r="CX199" s="62">
        <f t="shared" si="196"/>
        <v>990.36473703075421</v>
      </c>
      <c r="CY199" s="62">
        <f ca="1">AVERAGE(OFFSET($CX$3,0,0,'Données projet'!$E$13+1,1))-AVERAGE(OFFSET($H$3,0,0,'Données projet'!$E$13+1,1))</f>
        <v>401.1031790385295</v>
      </c>
      <c r="CZ199" s="62">
        <f t="shared" si="208"/>
        <v>402.09589424130615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projet'!$B$13,Paramètres!$A$1:$I$88,3,0)*0.475*44/12</f>
        <v>1.4033001471145286</v>
      </c>
      <c r="DG199" s="23">
        <f>EXP(-LN(2)/25)*DG198+(1-EXP(-LN(2)/25))/(LN(2)/25)*Calculateur!DB199*Calculateur!DD199*VLOOKUP('Données projet'!$B$13,Paramètres!$A$1:$I$88,3,0)*0.475*44/12</f>
        <v>0</v>
      </c>
      <c r="DH199" s="23">
        <f>EXP(-LN(2)/2)*DH198+(1-EXP(-LN(2)/2))/(LN(2)/2)*DB199*DE199*VLOOKUP('Données projet'!$B$13,Paramètres!$A$1:$I$88,3,0)*0.475*44/12</f>
        <v>1.4065398933876599E-20</v>
      </c>
      <c r="DI199" s="24">
        <f t="shared" si="175"/>
        <v>1.4033001471145286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860.00000000000023</v>
      </c>
      <c r="DP199" s="18">
        <f>DO199*VLOOKUP('Données projet'!$B$14,Paramètres!$A$1:$I$88,3,0)*VLOOKUP('Données projet'!$B$14,Paramètres!$A$1:$I$88,5,0)</f>
        <v>346.5800000000001</v>
      </c>
      <c r="DQ199" s="14">
        <f t="shared" si="176"/>
        <v>80.857895771535127</v>
      </c>
      <c r="DR199" s="22">
        <f t="shared" si="177"/>
        <v>744.45433513542378</v>
      </c>
      <c r="DS199" s="62">
        <f t="shared" si="197"/>
        <v>1034.818865564574</v>
      </c>
      <c r="DT199" s="62">
        <f ca="1">AVERAGE(OFFSET($DS$3,0,0,'Données projet'!$E$14+1,1))-AVERAGE(OFFSET($H$3,0,0,'Données projet'!$E$14+1,1))</f>
        <v>432.59662347701629</v>
      </c>
      <c r="DU199" s="62">
        <f t="shared" si="209"/>
        <v>348.67401091099748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projet'!$B$14,Paramètres!$A$1:$I$88,3,0)*0.475*44/12</f>
        <v>6.3213930423121525</v>
      </c>
      <c r="EB199" s="23">
        <f>EXP(-LN(2)/25)*EB198+(1-EXP(-LN(2)/25))/(LN(2)/25)*Calculateur!DW199*Calculateur!DY199*VLOOKUP('Données projet'!$B$14,Paramètres!$A$1:$I$88,3,0)*0.475*44/12</f>
        <v>2.7886977377620092</v>
      </c>
      <c r="EC199" s="23">
        <f>EXP(-LN(2)/2)*EC198+(1-EXP(-LN(2)/2))/(LN(2)/2)*DW199*DZ199*VLOOKUP('Données projet'!$B$14,Paramètres!$A$1:$I$88,3,0)*0.475*44/12</f>
        <v>0</v>
      </c>
      <c r="ED199" s="24">
        <f t="shared" si="178"/>
        <v>9.1100907800741613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1099.9999999999998</v>
      </c>
      <c r="EK199" s="18">
        <f>EJ199*VLOOKUP('Données projet'!$B$15,Paramètres!$A$1:$I$88,3,0)*VLOOKUP('Données projet'!$B$15,Paramètres!$A$1:$I$88,5,0)</f>
        <v>486.19999999999993</v>
      </c>
      <c r="EL199" s="14">
        <f t="shared" si="179"/>
        <v>109.0490179035375</v>
      </c>
      <c r="EM199" s="22">
        <f t="shared" si="180"/>
        <v>1036.725372848661</v>
      </c>
      <c r="EN199" s="62">
        <f t="shared" si="198"/>
        <v>1327.0899032778111</v>
      </c>
      <c r="EO199" s="62">
        <f ca="1">AVERAGE(OFFSET($EN$3,0,0,'Données projet'!$E$15+1,1))-AVERAGE(OFFSET($H$3,0,0,'Données projet'!$E$15+1,1))</f>
        <v>582.26951914082088</v>
      </c>
      <c r="EP199" s="62">
        <f t="shared" si="210"/>
        <v>434.80429932654715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projet'!$B$15,Paramètres!$A$1:$I$88,3,0)*0.475*44/12</f>
        <v>6.36967966606126</v>
      </c>
      <c r="EW199" s="23">
        <f>EXP(-LN(2)/25)*EW198+(1-EXP(-LN(2)/25))/(LN(2)/25)*Calculateur!ER199*Calculateur!ET199*VLOOKUP('Données projet'!$B$15,Paramètres!$A$1:$I$88,3,0)*0.475*44/12</f>
        <v>2.5058619856620128</v>
      </c>
      <c r="EX199" s="23">
        <f>EXP(-LN(2)/2)*EX198+(1-EXP(-LN(2)/2))/(LN(2)/2)*ER199*EU199*VLOOKUP('Données projet'!$B$15,Paramètres!$A$1:$I$88,3,0)*0.475*44/12</f>
        <v>0</v>
      </c>
      <c r="EY199" s="24">
        <f t="shared" si="181"/>
        <v>8.8755416517232728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854.99999999999989</v>
      </c>
      <c r="FF199" s="18">
        <f>FE199*VLOOKUP('Données projet'!$B$16,Paramètres!$A$1:$I$88,3,0)*VLOOKUP('Données projet'!$B$16,Paramètres!$A$1:$I$88,5,0)</f>
        <v>400.13999999999993</v>
      </c>
      <c r="FG199" s="14">
        <f t="shared" si="182"/>
        <v>91.805047494648534</v>
      </c>
      <c r="FH199" s="22">
        <f t="shared" si="183"/>
        <v>856.80429105317944</v>
      </c>
      <c r="FI199" s="62">
        <f t="shared" si="199"/>
        <v>1147.1688214823296</v>
      </c>
      <c r="FJ199" s="62">
        <f ca="1">AVERAGE(OFFSET($FI$3,0,0,'Données projet'!$E$16+1,1))-AVERAGE(OFFSET($H$3,0,0,'Données projet'!$E$16+1,1))</f>
        <v>429.87867712133851</v>
      </c>
      <c r="FK199" s="62">
        <f t="shared" si="211"/>
        <v>182.81277865988014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projet'!$B$16,Paramètres!$A$1:$I$88,3,0)*0.475*44/12</f>
        <v>7.5966052405569959</v>
      </c>
      <c r="FR199" s="23">
        <f>EXP(-LN(2)/25)*FR198+(1-EXP(-LN(2)/25))/(LN(2)/25)*Calculateur!FM199*Calculateur!FO199*VLOOKUP('Données projet'!$B$16,Paramètres!$A$1:$I$88,3,0)*0.475*44/12</f>
        <v>3.1766090766566677</v>
      </c>
      <c r="FS199" s="23">
        <f>EXP(-LN(2)/2)*FS198+(1-EXP(-LN(2)/2))/(LN(2)/2)*FM199*FP199*VLOOKUP('Données projet'!$B$16,Paramètres!$A$1:$I$88,3,0)*0.475*44/12</f>
        <v>0</v>
      </c>
      <c r="FT199" s="24">
        <f t="shared" si="184"/>
        <v>10.773214317213665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498.99999999999955</v>
      </c>
      <c r="GA199" s="18">
        <f>FZ199*VLOOKUP('Données projet'!$B$17,Paramètres!$A$1:$I$88,3,0)*VLOOKUP('Données projet'!$B$17,Paramètres!$A$1:$I$88,5,0)</f>
        <v>240.01899999999978</v>
      </c>
      <c r="GB199" s="14">
        <f t="shared" si="185"/>
        <v>58.443618405936313</v>
      </c>
      <c r="GC199" s="22">
        <f t="shared" si="186"/>
        <v>519.82239372367201</v>
      </c>
      <c r="GD199" s="62">
        <f t="shared" si="200"/>
        <v>810.18692415282226</v>
      </c>
      <c r="GE199" s="62">
        <f ca="1">AVERAGE(OFFSET($GD$3,0,0,'Données projet'!$E$17+1,1))-AVERAGE(OFFSET($H$3,0,0,'Données projet'!$E$17+1,1))</f>
        <v>273.24375559399846</v>
      </c>
      <c r="GF199" s="62">
        <f t="shared" si="212"/>
        <v>270.77718895097848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projet'!$B$17,Paramètres!$A$1:$I$88,3,0)*0.475*44/12</f>
        <v>3.2527074724889742</v>
      </c>
      <c r="GM199" s="23">
        <f>EXP(-LN(2)/25)*GM198+(1-EXP(-LN(2)/25))/(LN(2)/25)*Calculateur!GH199*Calculateur!GJ199*VLOOKUP('Données projet'!$B$17,Paramètres!$A$1:$I$88,3,0)*0.475*44/12</f>
        <v>1.2221924423668533</v>
      </c>
      <c r="GN199" s="23">
        <f>EXP(-LN(2)/2)*GN198+(1-EXP(-LN(2)/2))/(LN(2)/2)*GH199*GK199*VLOOKUP('Données projet'!$B$17,Paramètres!$A$1:$I$88,3,0)*0.475*44/12</f>
        <v>0</v>
      </c>
      <c r="GO199" s="23">
        <f t="shared" si="187"/>
        <v>4.4748999148558273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550.99999999999966</v>
      </c>
      <c r="O200" s="14">
        <f>N200*VLOOKUP('Données projet'!$B$9,Paramètres!$A$1:$I$88,3,0)*VLOOKUP('Données projet'!$B$9,Paramètres!$A$1:$I$88,5,0)</f>
        <v>308.00899999999979</v>
      </c>
      <c r="P200" s="14">
        <f t="shared" si="203"/>
        <v>72.852874331417695</v>
      </c>
      <c r="Q200" s="22">
        <f t="shared" si="162"/>
        <v>663.33443112721886</v>
      </c>
      <c r="R200" s="62">
        <f t="shared" si="191"/>
        <v>953.75046364950765</v>
      </c>
      <c r="S200" s="62">
        <f ca="1">AVERAGE(OFFSET($R$3,0,0,'Données projet'!$E$9+1,1))-AVERAGE(OFFSET($H$3,0,0,'Données projet'!$E$9+1,1))</f>
        <v>289.94242154211224</v>
      </c>
      <c r="T200" s="62">
        <f t="shared" si="204"/>
        <v>369.12599166143661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4.8930637335467573</v>
      </c>
      <c r="AA200" s="23">
        <f>EXP(-LN(2)/25)*AA199+(1-EXP(-LN(2)/25))/(LN(2)/25)*Calculateur!V200*Calculateur!X200*VLOOKUP('Données projet'!$B$9,Paramètres!$A$1:$I$88,3,0)*0.475*44/12</f>
        <v>1.4971705227255783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6.3902342562723353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projet'!$B$10,Paramètres!$A$1:$I$88,3,0)*VLOOKUP('Données projet'!$B$10,Paramètres!$A$1:$I$88,5,0)</f>
        <v>1.0286385077051818E-13</v>
      </c>
      <c r="AK200" s="14">
        <f t="shared" si="164"/>
        <v>1.5402366592183556E-12</v>
      </c>
      <c r="AL200" s="22">
        <f t="shared" si="165"/>
        <v>2.8617333882306215E-12</v>
      </c>
      <c r="AM200" s="62">
        <f t="shared" si="193"/>
        <v>290.41603252229163</v>
      </c>
      <c r="AN200" s="62">
        <f ca="1">AVERAGE(OFFSET($AM$3,0,0,'Données projet'!$E$10+1,1))-AVERAGE(OFFSET($H$3,0,0,'Données projet'!$E$10+1,1))</f>
        <v>518.31628039365785</v>
      </c>
      <c r="AO200" s="62">
        <f t="shared" si="205"/>
        <v>66.435071953154761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107.27179685439056</v>
      </c>
      <c r="AV200" s="23">
        <f>EXP(-LN(2)/25)*AV199+(1-EXP(-LN(2)/25))/(LN(2)/25)*Calculateur!AQ200*Calculateur!AS200*VLOOKUP('Données projet'!$B$10,Paramètres!$A$1:$I$88,3,0)*0.475*44/12</f>
        <v>0</v>
      </c>
      <c r="AW200" s="23">
        <f>EXP(-LN(2)/2)*AW199+(1-EXP(-LN(2)/2))/(LN(2)/2)*AQ200*AT200*VLOOKUP('Données projet'!$B$10,Paramètres!$A$1:$I$88,3,0)*0.475*44/12</f>
        <v>0</v>
      </c>
      <c r="AX200" s="23">
        <f t="shared" si="166"/>
        <v>107.27179685439056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projet'!$B$11,Paramètres!$A$1:$I$88,3,0)*VLOOKUP('Données projet'!$B$11,Paramètres!$A$1:$I$88,5,0)</f>
        <v>1.1527845344971866E-13</v>
      </c>
      <c r="BF200" s="14">
        <f t="shared" si="167"/>
        <v>1.7033846239409443E-12</v>
      </c>
      <c r="BG200" s="22">
        <f t="shared" si="168"/>
        <v>3.1675048597887374E-12</v>
      </c>
      <c r="BH200" s="62">
        <f t="shared" si="194"/>
        <v>290.41603252229197</v>
      </c>
      <c r="BI200" s="62">
        <f ca="1">AVERAGE(OFFSET($BH$3,0,0,'Données projet'!$E$11+1,1))-AVERAGE(OFFSET($H$3,0,0,'Données projet'!$E$11+1,1))</f>
        <v>570.2785736203931</v>
      </c>
      <c r="BJ200" s="62">
        <f t="shared" si="206"/>
        <v>67.677759965081719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120.21839302647211</v>
      </c>
      <c r="BQ200" s="23">
        <f>EXP(-LN(2)/25)*BQ199+(1-EXP(-LN(2)/25))/(LN(2)/25)*Calculateur!BL200*Calculateur!BN200*VLOOKUP('Données projet'!$B$11,Paramètres!$A$1:$I$88,3,0)*0.475*44/12</f>
        <v>0</v>
      </c>
      <c r="BR200" s="23">
        <f>EXP(-LN(2)/2)*BR199+(1-EXP(-LN(2)/2))/(LN(2)/2)*BL200*BO200*VLOOKUP('Données projet'!$B$11,Paramètres!$A$1:$I$88,3,0)*0.475*44/12</f>
        <v>0</v>
      </c>
      <c r="BS200" s="24">
        <f t="shared" si="169"/>
        <v>120.21839302647211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544.19999999999982</v>
      </c>
      <c r="BZ200" s="14">
        <f>BY200*VLOOKUP('Données projet'!$B$12,Paramètres!$A$1:$I$88,3,0)*VLOOKUP('Données projet'!$B$12,Paramètres!$A$1:$I$88,5,0)</f>
        <v>325.43159999999995</v>
      </c>
      <c r="CA200" s="14">
        <f t="shared" si="170"/>
        <v>76.482394221016762</v>
      </c>
      <c r="CB200" s="22">
        <f t="shared" si="171"/>
        <v>700.00020660160408</v>
      </c>
      <c r="CC200" s="62">
        <f t="shared" si="195"/>
        <v>990.41623912389286</v>
      </c>
      <c r="CD200" s="62">
        <f ca="1">AVERAGE(OFFSET($CC$3,0,0,'Données projet'!$E$12+1,1))-AVERAGE(OFFSET($H$3,0,0,'Données projet'!$E$12+1,1))</f>
        <v>401.1031790385295</v>
      </c>
      <c r="CE200" s="62">
        <f t="shared" si="207"/>
        <v>402.09589424130615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projet'!$B$12,Paramètres!$A$1:$I$88,3,0)*0.475*44/12</f>
        <v>1.3757822871581864</v>
      </c>
      <c r="CL200" s="23">
        <f>EXP(-LN(2)/25)*CL199+(1-EXP(-LN(2)/25))/(LN(2)/25)*Calculateur!CG200*Calculateur!CI200*VLOOKUP('Données projet'!$B$12,Paramètres!$A$1:$I$88,3,0)*0.475*44/12</f>
        <v>0</v>
      </c>
      <c r="CM200" s="23">
        <f>EXP(-LN(2)/2)*CM199+(1-EXP(-LN(2)/2))/(LN(2)/2)*CG200*CJ200*VLOOKUP('Données projet'!$B$12,Paramètres!$A$1:$I$88,3,0)*0.475*44/12</f>
        <v>9.9457389662381792E-21</v>
      </c>
      <c r="CN200" s="24">
        <f t="shared" si="172"/>
        <v>1.3757822871581864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544.19999999999982</v>
      </c>
      <c r="CU200" s="18">
        <f>CT200*VLOOKUP('Données projet'!$B$13,Paramètres!$A$1:$I$88,3,0)*VLOOKUP('Données projet'!$B$13,Paramètres!$A$1:$I$88,5,0)</f>
        <v>325.43159999999995</v>
      </c>
      <c r="CV200" s="14">
        <f t="shared" si="173"/>
        <v>76.482394221016762</v>
      </c>
      <c r="CW200" s="22">
        <f t="shared" si="174"/>
        <v>700.00020660160408</v>
      </c>
      <c r="CX200" s="62">
        <f t="shared" si="196"/>
        <v>990.41623912389286</v>
      </c>
      <c r="CY200" s="62">
        <f ca="1">AVERAGE(OFFSET($CX$3,0,0,'Données projet'!$E$13+1,1))-AVERAGE(OFFSET($H$3,0,0,'Données projet'!$E$13+1,1))</f>
        <v>401.1031790385295</v>
      </c>
      <c r="CZ200" s="62">
        <f t="shared" si="208"/>
        <v>402.09589424130615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projet'!$B$13,Paramètres!$A$1:$I$88,3,0)*0.475*44/12</f>
        <v>1.3757822871581864</v>
      </c>
      <c r="DG200" s="23">
        <f>EXP(-LN(2)/25)*DG199+(1-EXP(-LN(2)/25))/(LN(2)/25)*Calculateur!DB200*Calculateur!DD200*VLOOKUP('Données projet'!$B$13,Paramètres!$A$1:$I$88,3,0)*0.475*44/12</f>
        <v>0</v>
      </c>
      <c r="DH200" s="23">
        <f>EXP(-LN(2)/2)*DH199+(1-EXP(-LN(2)/2))/(LN(2)/2)*DB200*DE200*VLOOKUP('Données projet'!$B$13,Paramètres!$A$1:$I$88,3,0)*0.475*44/12</f>
        <v>9.9457389662381792E-21</v>
      </c>
      <c r="DI200" s="24">
        <f t="shared" si="175"/>
        <v>1.3757822871581864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860.00000000000023</v>
      </c>
      <c r="DP200" s="18">
        <f>DO200*VLOOKUP('Données projet'!$B$14,Paramètres!$A$1:$I$88,3,0)*VLOOKUP('Données projet'!$B$14,Paramètres!$A$1:$I$88,5,0)</f>
        <v>346.5800000000001</v>
      </c>
      <c r="DQ200" s="14">
        <f t="shared" si="176"/>
        <v>80.857895771535127</v>
      </c>
      <c r="DR200" s="22">
        <f t="shared" si="177"/>
        <v>744.45433513542378</v>
      </c>
      <c r="DS200" s="62">
        <f t="shared" si="197"/>
        <v>1034.8703676577124</v>
      </c>
      <c r="DT200" s="62">
        <f ca="1">AVERAGE(OFFSET($DS$3,0,0,'Données projet'!$E$14+1,1))-AVERAGE(OFFSET($H$3,0,0,'Données projet'!$E$14+1,1))</f>
        <v>432.59662347701629</v>
      </c>
      <c r="DU200" s="62">
        <f t="shared" si="209"/>
        <v>348.67401091099748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projet'!$B$14,Paramètres!$A$1:$I$88,3,0)*0.475*44/12</f>
        <v>6.1974343804214511</v>
      </c>
      <c r="EB200" s="23">
        <f>EXP(-LN(2)/25)*EB199+(1-EXP(-LN(2)/25))/(LN(2)/25)*Calculateur!DW200*Calculateur!DY200*VLOOKUP('Données projet'!$B$14,Paramètres!$A$1:$I$88,3,0)*0.475*44/12</f>
        <v>2.7124406514716668</v>
      </c>
      <c r="EC200" s="23">
        <f>EXP(-LN(2)/2)*EC199+(1-EXP(-LN(2)/2))/(LN(2)/2)*DW200*DZ200*VLOOKUP('Données projet'!$B$14,Paramètres!$A$1:$I$88,3,0)*0.475*44/12</f>
        <v>0</v>
      </c>
      <c r="ED200" s="24">
        <f t="shared" si="178"/>
        <v>8.9098750318931188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1099.9999999999998</v>
      </c>
      <c r="EK200" s="18">
        <f>EJ200*VLOOKUP('Données projet'!$B$15,Paramètres!$A$1:$I$88,3,0)*VLOOKUP('Données projet'!$B$15,Paramètres!$A$1:$I$88,5,0)</f>
        <v>486.19999999999993</v>
      </c>
      <c r="EL200" s="14">
        <f t="shared" si="179"/>
        <v>109.0490179035375</v>
      </c>
      <c r="EM200" s="22">
        <f t="shared" si="180"/>
        <v>1036.725372848661</v>
      </c>
      <c r="EN200" s="62">
        <f t="shared" si="198"/>
        <v>1327.1414053709498</v>
      </c>
      <c r="EO200" s="62">
        <f ca="1">AVERAGE(OFFSET($EN$3,0,0,'Données projet'!$E$15+1,1))-AVERAGE(OFFSET($H$3,0,0,'Données projet'!$E$15+1,1))</f>
        <v>582.26951914082088</v>
      </c>
      <c r="EP200" s="62">
        <f t="shared" si="210"/>
        <v>434.80429932654715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projet'!$B$15,Paramètres!$A$1:$I$88,3,0)*0.475*44/12</f>
        <v>6.2447741329307709</v>
      </c>
      <c r="EW200" s="23">
        <f>EXP(-LN(2)/25)*EW199+(1-EXP(-LN(2)/25))/(LN(2)/25)*Calculateur!ER200*Calculateur!ET200*VLOOKUP('Données projet'!$B$15,Paramètres!$A$1:$I$88,3,0)*0.475*44/12</f>
        <v>2.4373390578865304</v>
      </c>
      <c r="EX200" s="23">
        <f>EXP(-LN(2)/2)*EX199+(1-EXP(-LN(2)/2))/(LN(2)/2)*ER200*EU200*VLOOKUP('Données projet'!$B$15,Paramètres!$A$1:$I$88,3,0)*0.475*44/12</f>
        <v>0</v>
      </c>
      <c r="EY200" s="24">
        <f t="shared" si="181"/>
        <v>8.6821131908173008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854.99999999999989</v>
      </c>
      <c r="FF200" s="18">
        <f>FE200*VLOOKUP('Données projet'!$B$16,Paramètres!$A$1:$I$88,3,0)*VLOOKUP('Données projet'!$B$16,Paramètres!$A$1:$I$88,5,0)</f>
        <v>400.13999999999993</v>
      </c>
      <c r="FG200" s="14">
        <f t="shared" si="182"/>
        <v>91.805047494648534</v>
      </c>
      <c r="FH200" s="22">
        <f t="shared" si="183"/>
        <v>856.80429105317944</v>
      </c>
      <c r="FI200" s="62">
        <f t="shared" si="199"/>
        <v>1147.2203235754682</v>
      </c>
      <c r="FJ200" s="62">
        <f ca="1">AVERAGE(OFFSET($FI$3,0,0,'Données projet'!$E$16+1,1))-AVERAGE(OFFSET($H$3,0,0,'Données projet'!$E$16+1,1))</f>
        <v>429.87867712133851</v>
      </c>
      <c r="FK200" s="62">
        <f t="shared" si="211"/>
        <v>182.81277865988014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projet'!$B$16,Paramètres!$A$1:$I$88,3,0)*0.475*44/12</f>
        <v>7.4476404452613529</v>
      </c>
      <c r="FR200" s="23">
        <f>EXP(-LN(2)/25)*FR199+(1-EXP(-LN(2)/25))/(LN(2)/25)*Calculateur!FM200*Calculateur!FO200*VLOOKUP('Données projet'!$B$16,Paramètres!$A$1:$I$88,3,0)*0.475*44/12</f>
        <v>3.0897445344048799</v>
      </c>
      <c r="FS200" s="23">
        <f>EXP(-LN(2)/2)*FS199+(1-EXP(-LN(2)/2))/(LN(2)/2)*FM200*FP200*VLOOKUP('Données projet'!$B$16,Paramètres!$A$1:$I$88,3,0)*0.475*44/12</f>
        <v>0</v>
      </c>
      <c r="FT200" s="24">
        <f t="shared" si="184"/>
        <v>10.537384979666232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498.99999999999955</v>
      </c>
      <c r="GA200" s="18">
        <f>FZ200*VLOOKUP('Données projet'!$B$17,Paramètres!$A$1:$I$88,3,0)*VLOOKUP('Données projet'!$B$17,Paramètres!$A$1:$I$88,5,0)</f>
        <v>240.01899999999978</v>
      </c>
      <c r="GB200" s="14">
        <f t="shared" si="185"/>
        <v>58.443618405936313</v>
      </c>
      <c r="GC200" s="22">
        <f t="shared" si="186"/>
        <v>519.82239372367201</v>
      </c>
      <c r="GD200" s="62">
        <f t="shared" si="200"/>
        <v>810.2384262459608</v>
      </c>
      <c r="GE200" s="62">
        <f ca="1">AVERAGE(OFFSET($GD$3,0,0,'Données projet'!$E$17+1,1))-AVERAGE(OFFSET($H$3,0,0,'Données projet'!$E$17+1,1))</f>
        <v>273.24375559399846</v>
      </c>
      <c r="GF200" s="62">
        <f t="shared" si="212"/>
        <v>270.77718895097848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projet'!$B$17,Paramètres!$A$1:$I$88,3,0)*0.475*44/12</f>
        <v>3.1889238629091241</v>
      </c>
      <c r="GM200" s="23">
        <f>EXP(-LN(2)/25)*GM199+(1-EXP(-LN(2)/25))/(LN(2)/25)*Calculateur!GH200*Calculateur!GJ200*VLOOKUP('Données projet'!$B$17,Paramètres!$A$1:$I$88,3,0)*0.475*44/12</f>
        <v>1.1887715257580245</v>
      </c>
      <c r="GN200" s="23">
        <f>EXP(-LN(2)/2)*GN199+(1-EXP(-LN(2)/2))/(LN(2)/2)*GH200*GK200*VLOOKUP('Données projet'!$B$17,Paramètres!$A$1:$I$88,3,0)*0.475*44/12</f>
        <v>0</v>
      </c>
      <c r="GO200" s="23">
        <f t="shared" si="187"/>
        <v>4.3776953886671484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550.99999999999966</v>
      </c>
      <c r="O201" s="14">
        <f>N201*VLOOKUP('Données projet'!$B$9,Paramètres!$A$1:$I$88,3,0)*VLOOKUP('Données projet'!$B$9,Paramètres!$A$1:$I$88,5,0)</f>
        <v>308.00899999999979</v>
      </c>
      <c r="P201" s="14">
        <f t="shared" si="203"/>
        <v>72.852874331417695</v>
      </c>
      <c r="Q201" s="22">
        <f t="shared" si="162"/>
        <v>663.33443112721886</v>
      </c>
      <c r="R201" s="62">
        <f t="shared" si="191"/>
        <v>953.80107229647183</v>
      </c>
      <c r="S201" s="62">
        <f ca="1">AVERAGE(OFFSET($R$3,0,0,'Données projet'!$E$9+1,1))-AVERAGE(OFFSET($H$3,0,0,'Données projet'!$E$9+1,1))</f>
        <v>289.94242154211224</v>
      </c>
      <c r="T201" s="62">
        <f t="shared" si="204"/>
        <v>369.12599166143661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4.7971137382060904</v>
      </c>
      <c r="AA201" s="23">
        <f>EXP(-LN(2)/25)*AA200+(1-EXP(-LN(2)/25))/(LN(2)/25)*Calculateur!V201*Calculateur!X201*VLOOKUP('Données projet'!$B$9,Paramètres!$A$1:$I$88,3,0)*0.475*44/12</f>
        <v>1.4562303160488714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6.2533440542549616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projet'!$B$10,Paramètres!$A$1:$I$88,3,0)*VLOOKUP('Données projet'!$B$10,Paramètres!$A$1:$I$88,5,0)</f>
        <v>1.0286385077051818E-13</v>
      </c>
      <c r="AK201" s="14">
        <f t="shared" si="164"/>
        <v>1.5402366592183556E-12</v>
      </c>
      <c r="AL201" s="22">
        <f t="shared" si="165"/>
        <v>2.8617333882306215E-12</v>
      </c>
      <c r="AM201" s="62">
        <f t="shared" si="193"/>
        <v>290.46664116925575</v>
      </c>
      <c r="AN201" s="62">
        <f ca="1">AVERAGE(OFFSET($AM$3,0,0,'Données projet'!$E$10+1,1))-AVERAGE(OFFSET($H$3,0,0,'Données projet'!$E$10+1,1))</f>
        <v>518.31628039365785</v>
      </c>
      <c r="AO201" s="62">
        <f t="shared" si="205"/>
        <v>66.435071953154761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105.16826234741143</v>
      </c>
      <c r="AV201" s="23">
        <f>EXP(-LN(2)/25)*AV200+(1-EXP(-LN(2)/25))/(LN(2)/25)*Calculateur!AQ201*Calculateur!AS201*VLOOKUP('Données projet'!$B$10,Paramètres!$A$1:$I$88,3,0)*0.475*44/12</f>
        <v>0</v>
      </c>
      <c r="AW201" s="23">
        <f>EXP(-LN(2)/2)*AW200+(1-EXP(-LN(2)/2))/(LN(2)/2)*AQ201*AT201*VLOOKUP('Données projet'!$B$10,Paramètres!$A$1:$I$88,3,0)*0.475*44/12</f>
        <v>0</v>
      </c>
      <c r="AX201" s="23">
        <f t="shared" si="166"/>
        <v>105.16826234741143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projet'!$B$11,Paramètres!$A$1:$I$88,3,0)*VLOOKUP('Données projet'!$B$11,Paramètres!$A$1:$I$88,5,0)</f>
        <v>1.1527845344971866E-13</v>
      </c>
      <c r="BF201" s="14">
        <f t="shared" si="167"/>
        <v>1.7033846239409443E-12</v>
      </c>
      <c r="BG201" s="22">
        <f t="shared" si="168"/>
        <v>3.1675048597887374E-12</v>
      </c>
      <c r="BH201" s="62">
        <f t="shared" si="194"/>
        <v>290.46664116925609</v>
      </c>
      <c r="BI201" s="62">
        <f ca="1">AVERAGE(OFFSET($BH$3,0,0,'Données projet'!$E$11+1,1))-AVERAGE(OFFSET($H$3,0,0,'Données projet'!$E$11+1,1))</f>
        <v>570.2785736203931</v>
      </c>
      <c r="BJ201" s="62">
        <f t="shared" si="206"/>
        <v>67.677759965081719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117.8609836652024</v>
      </c>
      <c r="BQ201" s="23">
        <f>EXP(-LN(2)/25)*BQ200+(1-EXP(-LN(2)/25))/(LN(2)/25)*Calculateur!BL201*Calculateur!BN201*VLOOKUP('Données projet'!$B$11,Paramètres!$A$1:$I$88,3,0)*0.475*44/12</f>
        <v>0</v>
      </c>
      <c r="BR201" s="23">
        <f>EXP(-LN(2)/2)*BR200+(1-EXP(-LN(2)/2))/(LN(2)/2)*BL201*BO201*VLOOKUP('Données projet'!$B$11,Paramètres!$A$1:$I$88,3,0)*0.475*44/12</f>
        <v>0</v>
      </c>
      <c r="BS201" s="24">
        <f t="shared" si="169"/>
        <v>117.8609836652024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544.19999999999982</v>
      </c>
      <c r="BZ201" s="14">
        <f>BY201*VLOOKUP('Données projet'!$B$12,Paramètres!$A$1:$I$88,3,0)*VLOOKUP('Données projet'!$B$12,Paramètres!$A$1:$I$88,5,0)</f>
        <v>325.43159999999995</v>
      </c>
      <c r="CA201" s="14">
        <f t="shared" si="170"/>
        <v>76.482394221016762</v>
      </c>
      <c r="CB201" s="22">
        <f t="shared" si="171"/>
        <v>700.00020660160408</v>
      </c>
      <c r="CC201" s="62">
        <f t="shared" si="195"/>
        <v>990.46684777085693</v>
      </c>
      <c r="CD201" s="62">
        <f ca="1">AVERAGE(OFFSET($CC$3,0,0,'Données projet'!$E$12+1,1))-AVERAGE(OFFSET($H$3,0,0,'Données projet'!$E$12+1,1))</f>
        <v>401.1031790385295</v>
      </c>
      <c r="CE201" s="62">
        <f t="shared" si="207"/>
        <v>402.09589424130615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projet'!$B$12,Paramètres!$A$1:$I$88,3,0)*0.475*44/12</f>
        <v>1.3488040356513509</v>
      </c>
      <c r="CL201" s="23">
        <f>EXP(-LN(2)/25)*CL200+(1-EXP(-LN(2)/25))/(LN(2)/25)*Calculateur!CG201*Calculateur!CI201*VLOOKUP('Données projet'!$B$12,Paramètres!$A$1:$I$88,3,0)*0.475*44/12</f>
        <v>0</v>
      </c>
      <c r="CM201" s="23">
        <f>EXP(-LN(2)/2)*CM200+(1-EXP(-LN(2)/2))/(LN(2)/2)*CG201*CJ201*VLOOKUP('Données projet'!$B$12,Paramètres!$A$1:$I$88,3,0)*0.475*44/12</f>
        <v>7.0326994669382994E-21</v>
      </c>
      <c r="CN201" s="24">
        <f t="shared" si="172"/>
        <v>1.3488040356513509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544.19999999999982</v>
      </c>
      <c r="CU201" s="18">
        <f>CT201*VLOOKUP('Données projet'!$B$13,Paramètres!$A$1:$I$88,3,0)*VLOOKUP('Données projet'!$B$13,Paramètres!$A$1:$I$88,5,0)</f>
        <v>325.43159999999995</v>
      </c>
      <c r="CV201" s="14">
        <f t="shared" si="173"/>
        <v>76.482394221016762</v>
      </c>
      <c r="CW201" s="22">
        <f t="shared" si="174"/>
        <v>700.00020660160408</v>
      </c>
      <c r="CX201" s="62">
        <f t="shared" si="196"/>
        <v>990.46684777085693</v>
      </c>
      <c r="CY201" s="62">
        <f ca="1">AVERAGE(OFFSET($CX$3,0,0,'Données projet'!$E$13+1,1))-AVERAGE(OFFSET($H$3,0,0,'Données projet'!$E$13+1,1))</f>
        <v>401.1031790385295</v>
      </c>
      <c r="CZ201" s="62">
        <f t="shared" si="208"/>
        <v>402.09589424130615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projet'!$B$13,Paramètres!$A$1:$I$88,3,0)*0.475*44/12</f>
        <v>1.3488040356513509</v>
      </c>
      <c r="DG201" s="23">
        <f>EXP(-LN(2)/25)*DG200+(1-EXP(-LN(2)/25))/(LN(2)/25)*Calculateur!DB201*Calculateur!DD201*VLOOKUP('Données projet'!$B$13,Paramètres!$A$1:$I$88,3,0)*0.475*44/12</f>
        <v>0</v>
      </c>
      <c r="DH201" s="23">
        <f>EXP(-LN(2)/2)*DH200+(1-EXP(-LN(2)/2))/(LN(2)/2)*DB201*DE201*VLOOKUP('Données projet'!$B$13,Paramètres!$A$1:$I$88,3,0)*0.475*44/12</f>
        <v>7.0326994669382994E-21</v>
      </c>
      <c r="DI201" s="24">
        <f t="shared" si="175"/>
        <v>1.3488040356513509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860.00000000000023</v>
      </c>
      <c r="DP201" s="18">
        <f>DO201*VLOOKUP('Données projet'!$B$14,Paramètres!$A$1:$I$88,3,0)*VLOOKUP('Données projet'!$B$14,Paramètres!$A$1:$I$88,5,0)</f>
        <v>346.5800000000001</v>
      </c>
      <c r="DQ201" s="14">
        <f t="shared" si="176"/>
        <v>80.857895771535127</v>
      </c>
      <c r="DR201" s="22">
        <f t="shared" si="177"/>
        <v>744.45433513542378</v>
      </c>
      <c r="DS201" s="62">
        <f t="shared" si="197"/>
        <v>1034.9209763046767</v>
      </c>
      <c r="DT201" s="62">
        <f ca="1">AVERAGE(OFFSET($DS$3,0,0,'Données projet'!$E$14+1,1))-AVERAGE(OFFSET($H$3,0,0,'Données projet'!$E$14+1,1))</f>
        <v>432.59662347701629</v>
      </c>
      <c r="DU201" s="62">
        <f t="shared" si="209"/>
        <v>348.67401091099748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projet'!$B$14,Paramètres!$A$1:$I$88,3,0)*0.475*44/12</f>
        <v>6.0759064722831084</v>
      </c>
      <c r="EB201" s="23">
        <f>EXP(-LN(2)/25)*EB200+(1-EXP(-LN(2)/25))/(LN(2)/25)*Calculateur!DW201*Calculateur!DY201*VLOOKUP('Données projet'!$B$14,Paramètres!$A$1:$I$88,3,0)*0.475*44/12</f>
        <v>2.6382688192161194</v>
      </c>
      <c r="EC201" s="23">
        <f>EXP(-LN(2)/2)*EC200+(1-EXP(-LN(2)/2))/(LN(2)/2)*DW201*DZ201*VLOOKUP('Données projet'!$B$14,Paramètres!$A$1:$I$88,3,0)*0.475*44/12</f>
        <v>0</v>
      </c>
      <c r="ED201" s="24">
        <f t="shared" si="178"/>
        <v>8.7141752914992274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1099.9999999999998</v>
      </c>
      <c r="EK201" s="18">
        <f>EJ201*VLOOKUP('Données projet'!$B$15,Paramètres!$A$1:$I$88,3,0)*VLOOKUP('Données projet'!$B$15,Paramètres!$A$1:$I$88,5,0)</f>
        <v>486.19999999999993</v>
      </c>
      <c r="EL201" s="14">
        <f t="shared" si="179"/>
        <v>109.0490179035375</v>
      </c>
      <c r="EM201" s="22">
        <f t="shared" si="180"/>
        <v>1036.725372848661</v>
      </c>
      <c r="EN201" s="62">
        <f t="shared" si="198"/>
        <v>1327.1920140179138</v>
      </c>
      <c r="EO201" s="62">
        <f ca="1">AVERAGE(OFFSET($EN$3,0,0,'Données projet'!$E$15+1,1))-AVERAGE(OFFSET($H$3,0,0,'Données projet'!$E$15+1,1))</f>
        <v>582.26951914082088</v>
      </c>
      <c r="EP201" s="62">
        <f t="shared" si="210"/>
        <v>434.80429932654715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projet'!$B$15,Paramètres!$A$1:$I$88,3,0)*0.475*44/12</f>
        <v>6.1223179211201186</v>
      </c>
      <c r="EW201" s="23">
        <f>EXP(-LN(2)/25)*EW200+(1-EXP(-LN(2)/25))/(LN(2)/25)*Calculateur!ER201*Calculateur!ET201*VLOOKUP('Données projet'!$B$15,Paramètres!$A$1:$I$88,3,0)*0.475*44/12</f>
        <v>2.3706898931745326</v>
      </c>
      <c r="EX201" s="23">
        <f>EXP(-LN(2)/2)*EX200+(1-EXP(-LN(2)/2))/(LN(2)/2)*ER201*EU201*VLOOKUP('Données projet'!$B$15,Paramètres!$A$1:$I$88,3,0)*0.475*44/12</f>
        <v>0</v>
      </c>
      <c r="EY201" s="24">
        <f t="shared" si="181"/>
        <v>8.4930078142946517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854.99999999999989</v>
      </c>
      <c r="FF201" s="18">
        <f>FE201*VLOOKUP('Données projet'!$B$16,Paramètres!$A$1:$I$88,3,0)*VLOOKUP('Données projet'!$B$16,Paramètres!$A$1:$I$88,5,0)</f>
        <v>400.13999999999993</v>
      </c>
      <c r="FG201" s="14">
        <f t="shared" si="182"/>
        <v>91.805047494648534</v>
      </c>
      <c r="FH201" s="22">
        <f t="shared" si="183"/>
        <v>856.80429105317944</v>
      </c>
      <c r="FI201" s="62">
        <f t="shared" si="199"/>
        <v>1147.2709322224323</v>
      </c>
      <c r="FJ201" s="62">
        <f ca="1">AVERAGE(OFFSET($FI$3,0,0,'Données projet'!$E$16+1,1))-AVERAGE(OFFSET($H$3,0,0,'Données projet'!$E$16+1,1))</f>
        <v>429.87867712133851</v>
      </c>
      <c r="FK201" s="62">
        <f t="shared" si="211"/>
        <v>182.81277865988014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projet'!$B$16,Paramètres!$A$1:$I$88,3,0)*0.475*44/12</f>
        <v>7.3015967587419039</v>
      </c>
      <c r="FR201" s="23">
        <f>EXP(-LN(2)/25)*FR200+(1-EXP(-LN(2)/25))/(LN(2)/25)*Calculateur!FM201*Calculateur!FO201*VLOOKUP('Données projet'!$B$16,Paramètres!$A$1:$I$88,3,0)*0.475*44/12</f>
        <v>3.0052553076289752</v>
      </c>
      <c r="FS201" s="23">
        <f>EXP(-LN(2)/2)*FS200+(1-EXP(-LN(2)/2))/(LN(2)/2)*FM201*FP201*VLOOKUP('Données projet'!$B$16,Paramètres!$A$1:$I$88,3,0)*0.475*44/12</f>
        <v>0</v>
      </c>
      <c r="FT201" s="24">
        <f t="shared" si="184"/>
        <v>10.30685206637088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498.99999999999955</v>
      </c>
      <c r="GA201" s="18">
        <f>FZ201*VLOOKUP('Données projet'!$B$17,Paramètres!$A$1:$I$88,3,0)*VLOOKUP('Données projet'!$B$17,Paramètres!$A$1:$I$88,5,0)</f>
        <v>240.01899999999978</v>
      </c>
      <c r="GB201" s="14">
        <f t="shared" si="185"/>
        <v>58.443618405936313</v>
      </c>
      <c r="GC201" s="22">
        <f t="shared" si="186"/>
        <v>519.82239372367201</v>
      </c>
      <c r="GD201" s="62">
        <f t="shared" si="200"/>
        <v>810.28903489292497</v>
      </c>
      <c r="GE201" s="62">
        <f ca="1">AVERAGE(OFFSET($GD$3,0,0,'Données projet'!$E$17+1,1))-AVERAGE(OFFSET($H$3,0,0,'Données projet'!$E$17+1,1))</f>
        <v>273.24375559399846</v>
      </c>
      <c r="GF201" s="62">
        <f t="shared" si="212"/>
        <v>270.77718895097848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projet'!$B$17,Paramètres!$A$1:$I$88,3,0)*0.475*44/12</f>
        <v>3.1263910110089745</v>
      </c>
      <c r="GM201" s="23">
        <f>EXP(-LN(2)/25)*GM200+(1-EXP(-LN(2)/25))/(LN(2)/25)*Calculateur!GH201*Calculateur!GJ201*VLOOKUP('Données projet'!$B$17,Paramètres!$A$1:$I$88,3,0)*0.475*44/12</f>
        <v>1.1562645058713936</v>
      </c>
      <c r="GN201" s="23">
        <f>EXP(-LN(2)/2)*GN200+(1-EXP(-LN(2)/2))/(LN(2)/2)*GH201*GK201*VLOOKUP('Données projet'!$B$17,Paramètres!$A$1:$I$88,3,0)*0.475*44/12</f>
        <v>0</v>
      </c>
      <c r="GO201" s="23">
        <f t="shared" si="187"/>
        <v>4.2826555168803679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550.99999999999966</v>
      </c>
      <c r="O202" s="14">
        <f>N202*VLOOKUP('Données projet'!$B$9,Paramètres!$A$1:$I$88,3,0)*VLOOKUP('Données projet'!$B$9,Paramètres!$A$1:$I$88,5,0)</f>
        <v>308.00899999999979</v>
      </c>
      <c r="P202" s="14">
        <f t="shared" si="203"/>
        <v>72.852874331417695</v>
      </c>
      <c r="Q202" s="22">
        <f t="shared" si="162"/>
        <v>663.33443112721886</v>
      </c>
      <c r="R202" s="62">
        <f t="shared" si="191"/>
        <v>953.85080299655499</v>
      </c>
      <c r="S202" s="62">
        <f ca="1">AVERAGE(OFFSET($R$3,0,0,'Données projet'!$E$9+1,1))-AVERAGE(OFFSET($H$3,0,0,'Données projet'!$E$9+1,1))</f>
        <v>289.94242154211224</v>
      </c>
      <c r="T202" s="62">
        <f t="shared" si="204"/>
        <v>369.12599166143661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4.7030452637503357</v>
      </c>
      <c r="AA202" s="23">
        <f>EXP(-LN(2)/25)*AA201+(1-EXP(-LN(2)/25))/(LN(2)/25)*Calculateur!V202*Calculateur!X202*VLOOKUP('Données projet'!$B$9,Paramètres!$A$1:$I$88,3,0)*0.475*44/12</f>
        <v>1.416409621476691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6.119454885227027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projet'!$B$10,Paramètres!$A$1:$I$88,3,0)*VLOOKUP('Données projet'!$B$10,Paramètres!$A$1:$I$88,5,0)</f>
        <v>1.0286385077051818E-13</v>
      </c>
      <c r="AK202" s="14">
        <f t="shared" si="164"/>
        <v>1.5402366592183556E-12</v>
      </c>
      <c r="AL202" s="22">
        <f t="shared" si="165"/>
        <v>2.8617333882306215E-12</v>
      </c>
      <c r="AM202" s="62">
        <f t="shared" si="193"/>
        <v>290.51637186933897</v>
      </c>
      <c r="AN202" s="62">
        <f ca="1">AVERAGE(OFFSET($AM$3,0,0,'Données projet'!$E$10+1,1))-AVERAGE(OFFSET($H$3,0,0,'Données projet'!$E$10+1,1))</f>
        <v>518.31628039365785</v>
      </c>
      <c r="AO202" s="62">
        <f t="shared" si="205"/>
        <v>66.435071953154761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103.1059768690848</v>
      </c>
      <c r="AV202" s="23">
        <f>EXP(-LN(2)/25)*AV201+(1-EXP(-LN(2)/25))/(LN(2)/25)*Calculateur!AQ202*Calculateur!AS202*VLOOKUP('Données projet'!$B$10,Paramètres!$A$1:$I$88,3,0)*0.475*44/12</f>
        <v>0</v>
      </c>
      <c r="AW202" s="23">
        <f>EXP(-LN(2)/2)*AW201+(1-EXP(-LN(2)/2))/(LN(2)/2)*AQ202*AT202*VLOOKUP('Données projet'!$B$10,Paramètres!$A$1:$I$88,3,0)*0.475*44/12</f>
        <v>0</v>
      </c>
      <c r="AX202" s="23">
        <f t="shared" si="166"/>
        <v>103.1059768690848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projet'!$B$11,Paramètres!$A$1:$I$88,3,0)*VLOOKUP('Données projet'!$B$11,Paramètres!$A$1:$I$88,5,0)</f>
        <v>1.1527845344971866E-13</v>
      </c>
      <c r="BF202" s="14">
        <f t="shared" si="167"/>
        <v>1.7033846239409443E-12</v>
      </c>
      <c r="BG202" s="22">
        <f t="shared" si="168"/>
        <v>3.1675048597887374E-12</v>
      </c>
      <c r="BH202" s="62">
        <f t="shared" si="194"/>
        <v>290.51637186933931</v>
      </c>
      <c r="BI202" s="62">
        <f ca="1">AVERAGE(OFFSET($BH$3,0,0,'Données projet'!$E$11+1,1))-AVERAGE(OFFSET($H$3,0,0,'Données projet'!$E$11+1,1))</f>
        <v>570.2785736203931</v>
      </c>
      <c r="BJ202" s="62">
        <f t="shared" si="206"/>
        <v>67.677759965081719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115.54980166362945</v>
      </c>
      <c r="BQ202" s="23">
        <f>EXP(-LN(2)/25)*BQ201+(1-EXP(-LN(2)/25))/(LN(2)/25)*Calculateur!BL202*Calculateur!BN202*VLOOKUP('Données projet'!$B$11,Paramètres!$A$1:$I$88,3,0)*0.475*44/12</f>
        <v>0</v>
      </c>
      <c r="BR202" s="23">
        <f>EXP(-LN(2)/2)*BR201+(1-EXP(-LN(2)/2))/(LN(2)/2)*BL202*BO202*VLOOKUP('Données projet'!$B$11,Paramètres!$A$1:$I$88,3,0)*0.475*44/12</f>
        <v>0</v>
      </c>
      <c r="BS202" s="24">
        <f t="shared" si="169"/>
        <v>115.54980166362945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544.19999999999982</v>
      </c>
      <c r="BZ202" s="14">
        <f>BY202*VLOOKUP('Données projet'!$B$12,Paramètres!$A$1:$I$88,3,0)*VLOOKUP('Données projet'!$B$12,Paramètres!$A$1:$I$88,5,0)</f>
        <v>325.43159999999995</v>
      </c>
      <c r="CA202" s="14">
        <f t="shared" si="170"/>
        <v>76.482394221016762</v>
      </c>
      <c r="CB202" s="22">
        <f t="shared" si="171"/>
        <v>700.00020660160408</v>
      </c>
      <c r="CC202" s="62">
        <f t="shared" si="195"/>
        <v>990.5165784709402</v>
      </c>
      <c r="CD202" s="62">
        <f ca="1">AVERAGE(OFFSET($CC$3,0,0,'Données projet'!$E$12+1,1))-AVERAGE(OFFSET($H$3,0,0,'Données projet'!$E$12+1,1))</f>
        <v>401.1031790385295</v>
      </c>
      <c r="CE202" s="62">
        <f t="shared" si="207"/>
        <v>402.09589424130615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projet'!$B$12,Paramètres!$A$1:$I$88,3,0)*0.475*44/12</f>
        <v>1.3223548112014558</v>
      </c>
      <c r="CL202" s="23">
        <f>EXP(-LN(2)/25)*CL201+(1-EXP(-LN(2)/25))/(LN(2)/25)*Calculateur!CG202*Calculateur!CI202*VLOOKUP('Données projet'!$B$12,Paramètres!$A$1:$I$88,3,0)*0.475*44/12</f>
        <v>0</v>
      </c>
      <c r="CM202" s="23">
        <f>EXP(-LN(2)/2)*CM201+(1-EXP(-LN(2)/2))/(LN(2)/2)*CG202*CJ202*VLOOKUP('Données projet'!$B$12,Paramètres!$A$1:$I$88,3,0)*0.475*44/12</f>
        <v>4.9728694831190896E-21</v>
      </c>
      <c r="CN202" s="24">
        <f t="shared" si="172"/>
        <v>1.3223548112014558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544.19999999999982</v>
      </c>
      <c r="CU202" s="18">
        <f>CT202*VLOOKUP('Données projet'!$B$13,Paramètres!$A$1:$I$88,3,0)*VLOOKUP('Données projet'!$B$13,Paramètres!$A$1:$I$88,5,0)</f>
        <v>325.43159999999995</v>
      </c>
      <c r="CV202" s="14">
        <f t="shared" si="173"/>
        <v>76.482394221016762</v>
      </c>
      <c r="CW202" s="22">
        <f t="shared" si="174"/>
        <v>700.00020660160408</v>
      </c>
      <c r="CX202" s="62">
        <f t="shared" si="196"/>
        <v>990.5165784709402</v>
      </c>
      <c r="CY202" s="62">
        <f ca="1">AVERAGE(OFFSET($CX$3,0,0,'Données projet'!$E$13+1,1))-AVERAGE(OFFSET($H$3,0,0,'Données projet'!$E$13+1,1))</f>
        <v>401.1031790385295</v>
      </c>
      <c r="CZ202" s="62">
        <f t="shared" si="208"/>
        <v>402.09589424130615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projet'!$B$13,Paramètres!$A$1:$I$88,3,0)*0.475*44/12</f>
        <v>1.3223548112014558</v>
      </c>
      <c r="DG202" s="23">
        <f>EXP(-LN(2)/25)*DG201+(1-EXP(-LN(2)/25))/(LN(2)/25)*Calculateur!DB202*Calculateur!DD202*VLOOKUP('Données projet'!$B$13,Paramètres!$A$1:$I$88,3,0)*0.475*44/12</f>
        <v>0</v>
      </c>
      <c r="DH202" s="23">
        <f>EXP(-LN(2)/2)*DH201+(1-EXP(-LN(2)/2))/(LN(2)/2)*DB202*DE202*VLOOKUP('Données projet'!$B$13,Paramètres!$A$1:$I$88,3,0)*0.475*44/12</f>
        <v>4.9728694831190896E-21</v>
      </c>
      <c r="DI202" s="24">
        <f t="shared" si="175"/>
        <v>1.3223548112014558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860.00000000000023</v>
      </c>
      <c r="DP202" s="18">
        <f>DO202*VLOOKUP('Données projet'!$B$14,Paramètres!$A$1:$I$88,3,0)*VLOOKUP('Données projet'!$B$14,Paramètres!$A$1:$I$88,5,0)</f>
        <v>346.5800000000001</v>
      </c>
      <c r="DQ202" s="14">
        <f t="shared" si="176"/>
        <v>80.857895771535127</v>
      </c>
      <c r="DR202" s="22">
        <f t="shared" si="177"/>
        <v>744.45433513542378</v>
      </c>
      <c r="DS202" s="62">
        <f t="shared" si="197"/>
        <v>1034.9707070047598</v>
      </c>
      <c r="DT202" s="62">
        <f ca="1">AVERAGE(OFFSET($DS$3,0,0,'Données projet'!$E$14+1,1))-AVERAGE(OFFSET($H$3,0,0,'Données projet'!$E$14+1,1))</f>
        <v>432.59662347701629</v>
      </c>
      <c r="DU202" s="62">
        <f t="shared" si="209"/>
        <v>348.67401091099748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projet'!$B$14,Paramètres!$A$1:$I$88,3,0)*0.475*44/12</f>
        <v>5.9567616522986535</v>
      </c>
      <c r="EB202" s="23">
        <f>EXP(-LN(2)/25)*EB201+(1-EXP(-LN(2)/25))/(LN(2)/25)*Calculateur!DW202*Calculateur!DY202*VLOOKUP('Données projet'!$B$14,Paramètres!$A$1:$I$88,3,0)*0.475*44/12</f>
        <v>2.5661252196141273</v>
      </c>
      <c r="EC202" s="23">
        <f>EXP(-LN(2)/2)*EC201+(1-EXP(-LN(2)/2))/(LN(2)/2)*DW202*DZ202*VLOOKUP('Données projet'!$B$14,Paramètres!$A$1:$I$88,3,0)*0.475*44/12</f>
        <v>0</v>
      </c>
      <c r="ED202" s="24">
        <f t="shared" si="178"/>
        <v>8.5228868719127817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1099.9999999999998</v>
      </c>
      <c r="EK202" s="18">
        <f>EJ202*VLOOKUP('Données projet'!$B$15,Paramètres!$A$1:$I$88,3,0)*VLOOKUP('Données projet'!$B$15,Paramètres!$A$1:$I$88,5,0)</f>
        <v>486.19999999999993</v>
      </c>
      <c r="EL202" s="14">
        <f t="shared" si="179"/>
        <v>109.0490179035375</v>
      </c>
      <c r="EM202" s="22">
        <f t="shared" si="180"/>
        <v>1036.725372848661</v>
      </c>
      <c r="EN202" s="62">
        <f t="shared" si="198"/>
        <v>1327.2417447179971</v>
      </c>
      <c r="EO202" s="62">
        <f ca="1">AVERAGE(OFFSET($EN$3,0,0,'Données projet'!$E$15+1,1))-AVERAGE(OFFSET($H$3,0,0,'Données projet'!$E$15+1,1))</f>
        <v>582.26951914082088</v>
      </c>
      <c r="EP202" s="62">
        <f t="shared" si="210"/>
        <v>434.80429932654715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projet'!$B$15,Paramètres!$A$1:$I$88,3,0)*0.475*44/12</f>
        <v>6.0022630009321585</v>
      </c>
      <c r="EW202" s="23">
        <f>EXP(-LN(2)/25)*EW201+(1-EXP(-LN(2)/25))/(LN(2)/25)*Calculateur!ER202*Calculateur!ET202*VLOOKUP('Données projet'!$B$15,Paramètres!$A$1:$I$88,3,0)*0.475*44/12</f>
        <v>2.3058632533765118</v>
      </c>
      <c r="EX202" s="23">
        <f>EXP(-LN(2)/2)*EX201+(1-EXP(-LN(2)/2))/(LN(2)/2)*ER202*EU202*VLOOKUP('Données projet'!$B$15,Paramètres!$A$1:$I$88,3,0)*0.475*44/12</f>
        <v>0</v>
      </c>
      <c r="EY202" s="24">
        <f t="shared" si="181"/>
        <v>8.3081262543086698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854.99999999999989</v>
      </c>
      <c r="FF202" s="18">
        <f>FE202*VLOOKUP('Données projet'!$B$16,Paramètres!$A$1:$I$88,3,0)*VLOOKUP('Données projet'!$B$16,Paramètres!$A$1:$I$88,5,0)</f>
        <v>400.13999999999993</v>
      </c>
      <c r="FG202" s="14">
        <f t="shared" si="182"/>
        <v>91.805047494648534</v>
      </c>
      <c r="FH202" s="22">
        <f t="shared" si="183"/>
        <v>856.80429105317944</v>
      </c>
      <c r="FI202" s="62">
        <f t="shared" si="199"/>
        <v>1147.3206629225156</v>
      </c>
      <c r="FJ202" s="62">
        <f ca="1">AVERAGE(OFFSET($FI$3,0,0,'Données projet'!$E$16+1,1))-AVERAGE(OFFSET($H$3,0,0,'Données projet'!$E$16+1,1))</f>
        <v>429.87867712133851</v>
      </c>
      <c r="FK202" s="62">
        <f t="shared" si="211"/>
        <v>182.81277865988014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projet'!$B$16,Paramètres!$A$1:$I$88,3,0)*0.475*44/12</f>
        <v>7.1584168998372482</v>
      </c>
      <c r="FR202" s="23">
        <f>EXP(-LN(2)/25)*FR201+(1-EXP(-LN(2)/25))/(LN(2)/25)*Calculateur!FM202*Calculateur!FO202*VLOOKUP('Données projet'!$B$16,Paramètres!$A$1:$I$88,3,0)*0.475*44/12</f>
        <v>2.923076443202353</v>
      </c>
      <c r="FS202" s="23">
        <f>EXP(-LN(2)/2)*FS201+(1-EXP(-LN(2)/2))/(LN(2)/2)*FM202*FP202*VLOOKUP('Données projet'!$B$16,Paramètres!$A$1:$I$88,3,0)*0.475*44/12</f>
        <v>0</v>
      </c>
      <c r="FT202" s="24">
        <f t="shared" si="184"/>
        <v>10.0814933430396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498.99999999999955</v>
      </c>
      <c r="GA202" s="18">
        <f>FZ202*VLOOKUP('Données projet'!$B$17,Paramètres!$A$1:$I$88,3,0)*VLOOKUP('Données projet'!$B$17,Paramètres!$A$1:$I$88,5,0)</f>
        <v>240.01899999999978</v>
      </c>
      <c r="GB202" s="14">
        <f t="shared" si="185"/>
        <v>58.443618405936313</v>
      </c>
      <c r="GC202" s="22">
        <f t="shared" si="186"/>
        <v>519.82239372367201</v>
      </c>
      <c r="GD202" s="62">
        <f t="shared" si="200"/>
        <v>810.33876559300813</v>
      </c>
      <c r="GE202" s="62">
        <f ca="1">AVERAGE(OFFSET($GD$3,0,0,'Données projet'!$E$17+1,1))-AVERAGE(OFFSET($H$3,0,0,'Données projet'!$E$17+1,1))</f>
        <v>273.24375559399846</v>
      </c>
      <c r="GF202" s="62">
        <f t="shared" si="212"/>
        <v>270.77718895097848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projet'!$B$17,Paramètres!$A$1:$I$88,3,0)*0.475*44/12</f>
        <v>3.0650843901933134</v>
      </c>
      <c r="GM202" s="23">
        <f>EXP(-LN(2)/25)*GM201+(1-EXP(-LN(2)/25))/(LN(2)/25)*Calculateur!GH202*Calculateur!GJ202*VLOOKUP('Données projet'!$B$17,Paramètres!$A$1:$I$88,3,0)*0.475*44/12</f>
        <v>1.1246463921530327</v>
      </c>
      <c r="GN202" s="23">
        <f>EXP(-LN(2)/2)*GN201+(1-EXP(-LN(2)/2))/(LN(2)/2)*GH202*GK202*VLOOKUP('Données projet'!$B$17,Paramètres!$A$1:$I$88,3,0)*0.475*44/12</f>
        <v>0</v>
      </c>
      <c r="GO202" s="23">
        <f t="shared" si="187"/>
        <v>4.1897307823463459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550.99999999999966</v>
      </c>
      <c r="O203" s="14">
        <f>N203*VLOOKUP('Données projet'!$B$9,Paramètres!$A$1:$I$88,3,0)*VLOOKUP('Données projet'!$B$9,Paramètres!$A$1:$I$88,5,0)</f>
        <v>308.00899999999979</v>
      </c>
      <c r="P203" s="14">
        <f t="shared" si="203"/>
        <v>72.852874331417695</v>
      </c>
      <c r="Q203" s="22">
        <f t="shared" si="162"/>
        <v>663.33443112721886</v>
      </c>
      <c r="R203" s="62">
        <f t="shared" si="191"/>
        <v>953.89967098017291</v>
      </c>
      <c r="S203" s="62">
        <f ca="1">AVERAGE(OFFSET($R$3,0,0,'Données projet'!$E$9+1,1))-AVERAGE(OFFSET($H$3,0,0,'Données projet'!$E$9+1,1))</f>
        <v>289.94242154211224</v>
      </c>
      <c r="T203" s="62">
        <f t="shared" si="204"/>
        <v>369.12599166143661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4.6108214147025546</v>
      </c>
      <c r="AA203" s="23">
        <f>EXP(-LN(2)/25)*AA202+(1-EXP(-LN(2)/25))/(LN(2)/25)*Calculateur!V203*Calculateur!X203*VLOOKUP('Données projet'!$B$9,Paramètres!$A$1:$I$88,3,0)*0.475*44/12</f>
        <v>1.3776778258916662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5.988499240594221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projet'!$B$10,Paramètres!$A$1:$I$88,3,0)*VLOOKUP('Données projet'!$B$10,Paramètres!$A$1:$I$88,5,0)</f>
        <v>1.0286385077051818E-13</v>
      </c>
      <c r="AK203" s="14">
        <f t="shared" si="164"/>
        <v>1.5402366592183556E-12</v>
      </c>
      <c r="AL203" s="22">
        <f t="shared" si="165"/>
        <v>2.8617333882306215E-12</v>
      </c>
      <c r="AM203" s="62">
        <f t="shared" si="193"/>
        <v>290.56523985295695</v>
      </c>
      <c r="AN203" s="62">
        <f ca="1">AVERAGE(OFFSET($AM$3,0,0,'Données projet'!$E$10+1,1))-AVERAGE(OFFSET($H$3,0,0,'Données projet'!$E$10+1,1))</f>
        <v>518.31628039365785</v>
      </c>
      <c r="AO203" s="62">
        <f t="shared" si="205"/>
        <v>66.435071953154761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101.08413155111822</v>
      </c>
      <c r="AV203" s="23">
        <f>EXP(-LN(2)/25)*AV202+(1-EXP(-LN(2)/25))/(LN(2)/25)*Calculateur!AQ203*Calculateur!AS203*VLOOKUP('Données projet'!$B$10,Paramètres!$A$1:$I$88,3,0)*0.475*44/12</f>
        <v>0</v>
      </c>
      <c r="AW203" s="23">
        <f>EXP(-LN(2)/2)*AW202+(1-EXP(-LN(2)/2))/(LN(2)/2)*AQ203*AT203*VLOOKUP('Données projet'!$B$10,Paramètres!$A$1:$I$88,3,0)*0.475*44/12</f>
        <v>0</v>
      </c>
      <c r="AX203" s="23">
        <f t="shared" si="166"/>
        <v>101.08413155111822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projet'!$B$11,Paramètres!$A$1:$I$88,3,0)*VLOOKUP('Données projet'!$B$11,Paramètres!$A$1:$I$88,5,0)</f>
        <v>1.1527845344971866E-13</v>
      </c>
      <c r="BF203" s="14">
        <f t="shared" si="167"/>
        <v>1.7033846239409443E-12</v>
      </c>
      <c r="BG203" s="22">
        <f t="shared" si="168"/>
        <v>3.1675048597887374E-12</v>
      </c>
      <c r="BH203" s="62">
        <f t="shared" si="194"/>
        <v>290.56523985295729</v>
      </c>
      <c r="BI203" s="62">
        <f ca="1">AVERAGE(OFFSET($BH$3,0,0,'Données projet'!$E$11+1,1))-AVERAGE(OFFSET($H$3,0,0,'Données projet'!$E$11+1,1))</f>
        <v>570.2785736203931</v>
      </c>
      <c r="BJ203" s="62">
        <f t="shared" si="206"/>
        <v>67.677759965081719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113.28394053142553</v>
      </c>
      <c r="BQ203" s="23">
        <f>EXP(-LN(2)/25)*BQ202+(1-EXP(-LN(2)/25))/(LN(2)/25)*Calculateur!BL203*Calculateur!BN203*VLOOKUP('Données projet'!$B$11,Paramètres!$A$1:$I$88,3,0)*0.475*44/12</f>
        <v>0</v>
      </c>
      <c r="BR203" s="23">
        <f>EXP(-LN(2)/2)*BR202+(1-EXP(-LN(2)/2))/(LN(2)/2)*BL203*BO203*VLOOKUP('Données projet'!$B$11,Paramètres!$A$1:$I$88,3,0)*0.475*44/12</f>
        <v>0</v>
      </c>
      <c r="BS203" s="24">
        <f t="shared" si="169"/>
        <v>113.28394053142553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544.19999999999982</v>
      </c>
      <c r="BZ203" s="14">
        <f>BY203*VLOOKUP('Données projet'!$B$12,Paramètres!$A$1:$I$88,3,0)*VLOOKUP('Données projet'!$B$12,Paramètres!$A$1:$I$88,5,0)</f>
        <v>325.43159999999995</v>
      </c>
      <c r="CA203" s="14">
        <f t="shared" si="170"/>
        <v>76.482394221016762</v>
      </c>
      <c r="CB203" s="22">
        <f t="shared" si="171"/>
        <v>700.00020660160408</v>
      </c>
      <c r="CC203" s="62">
        <f t="shared" si="195"/>
        <v>990.56544645455824</v>
      </c>
      <c r="CD203" s="62">
        <f ca="1">AVERAGE(OFFSET($CC$3,0,0,'Données projet'!$E$12+1,1))-AVERAGE(OFFSET($H$3,0,0,'Données projet'!$E$12+1,1))</f>
        <v>401.1031790385295</v>
      </c>
      <c r="CE203" s="62">
        <f t="shared" si="207"/>
        <v>402.09589424130615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projet'!$B$12,Paramètres!$A$1:$I$88,3,0)*0.475*44/12</f>
        <v>1.2964242399105892</v>
      </c>
      <c r="CL203" s="23">
        <f>EXP(-LN(2)/25)*CL202+(1-EXP(-LN(2)/25))/(LN(2)/25)*Calculateur!CG203*Calculateur!CI203*VLOOKUP('Données projet'!$B$12,Paramètres!$A$1:$I$88,3,0)*0.475*44/12</f>
        <v>0</v>
      </c>
      <c r="CM203" s="23">
        <f>EXP(-LN(2)/2)*CM202+(1-EXP(-LN(2)/2))/(LN(2)/2)*CG203*CJ203*VLOOKUP('Données projet'!$B$12,Paramètres!$A$1:$I$88,3,0)*0.475*44/12</f>
        <v>3.5163497334691497E-21</v>
      </c>
      <c r="CN203" s="24">
        <f t="shared" si="172"/>
        <v>1.2964242399105892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544.19999999999982</v>
      </c>
      <c r="CU203" s="18">
        <f>CT203*VLOOKUP('Données projet'!$B$13,Paramètres!$A$1:$I$88,3,0)*VLOOKUP('Données projet'!$B$13,Paramètres!$A$1:$I$88,5,0)</f>
        <v>325.43159999999995</v>
      </c>
      <c r="CV203" s="14">
        <f t="shared" si="173"/>
        <v>76.482394221016762</v>
      </c>
      <c r="CW203" s="22">
        <f t="shared" si="174"/>
        <v>700.00020660160408</v>
      </c>
      <c r="CX203" s="62">
        <f t="shared" si="196"/>
        <v>990.56544645455824</v>
      </c>
      <c r="CY203" s="62">
        <f ca="1">AVERAGE(OFFSET($CX$3,0,0,'Données projet'!$E$13+1,1))-AVERAGE(OFFSET($H$3,0,0,'Données projet'!$E$13+1,1))</f>
        <v>401.1031790385295</v>
      </c>
      <c r="CZ203" s="62">
        <f t="shared" si="208"/>
        <v>402.09589424130615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projet'!$B$13,Paramètres!$A$1:$I$88,3,0)*0.475*44/12</f>
        <v>1.2964242399105892</v>
      </c>
      <c r="DG203" s="23">
        <f>EXP(-LN(2)/25)*DG202+(1-EXP(-LN(2)/25))/(LN(2)/25)*Calculateur!DB203*Calculateur!DD203*VLOOKUP('Données projet'!$B$13,Paramètres!$A$1:$I$88,3,0)*0.475*44/12</f>
        <v>0</v>
      </c>
      <c r="DH203" s="23">
        <f>EXP(-LN(2)/2)*DH202+(1-EXP(-LN(2)/2))/(LN(2)/2)*DB203*DE203*VLOOKUP('Données projet'!$B$13,Paramètres!$A$1:$I$88,3,0)*0.475*44/12</f>
        <v>3.5163497334691497E-21</v>
      </c>
      <c r="DI203" s="24">
        <f t="shared" si="175"/>
        <v>1.2964242399105892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860.00000000000023</v>
      </c>
      <c r="DP203" s="18">
        <f>DO203*VLOOKUP('Données projet'!$B$14,Paramètres!$A$1:$I$88,3,0)*VLOOKUP('Données projet'!$B$14,Paramètres!$A$1:$I$88,5,0)</f>
        <v>346.5800000000001</v>
      </c>
      <c r="DQ203" s="14">
        <f t="shared" si="176"/>
        <v>80.857895771535127</v>
      </c>
      <c r="DR203" s="22">
        <f t="shared" si="177"/>
        <v>744.45433513542378</v>
      </c>
      <c r="DS203" s="62">
        <f t="shared" si="197"/>
        <v>1035.0195749883778</v>
      </c>
      <c r="DT203" s="62">
        <f ca="1">AVERAGE(OFFSET($DS$3,0,0,'Données projet'!$E$14+1,1))-AVERAGE(OFFSET($H$3,0,0,'Données projet'!$E$14+1,1))</f>
        <v>432.59662347701629</v>
      </c>
      <c r="DU203" s="62">
        <f t="shared" si="209"/>
        <v>348.67401091099748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projet'!$B$14,Paramètres!$A$1:$I$88,3,0)*0.475*44/12</f>
        <v>5.8399531895629293</v>
      </c>
      <c r="EB203" s="23">
        <f>EXP(-LN(2)/25)*EB202+(1-EXP(-LN(2)/25))/(LN(2)/25)*Calculateur!DW203*Calculateur!DY203*VLOOKUP('Données projet'!$B$14,Paramètres!$A$1:$I$88,3,0)*0.475*44/12</f>
        <v>2.4959543905371189</v>
      </c>
      <c r="EC203" s="23">
        <f>EXP(-LN(2)/2)*EC202+(1-EXP(-LN(2)/2))/(LN(2)/2)*DW203*DZ203*VLOOKUP('Données projet'!$B$14,Paramètres!$A$1:$I$88,3,0)*0.475*44/12</f>
        <v>0</v>
      </c>
      <c r="ED203" s="24">
        <f t="shared" si="178"/>
        <v>8.3359075801000486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1099.9999999999998</v>
      </c>
      <c r="EK203" s="18">
        <f>EJ203*VLOOKUP('Données projet'!$B$15,Paramètres!$A$1:$I$88,3,0)*VLOOKUP('Données projet'!$B$15,Paramètres!$A$1:$I$88,5,0)</f>
        <v>486.19999999999993</v>
      </c>
      <c r="EL203" s="14">
        <f t="shared" si="179"/>
        <v>109.0490179035375</v>
      </c>
      <c r="EM203" s="22">
        <f t="shared" si="180"/>
        <v>1036.725372848661</v>
      </c>
      <c r="EN203" s="62">
        <f t="shared" si="198"/>
        <v>1327.2906127016151</v>
      </c>
      <c r="EO203" s="62">
        <f ca="1">AVERAGE(OFFSET($EN$3,0,0,'Données projet'!$E$15+1,1))-AVERAGE(OFFSET($H$3,0,0,'Données projet'!$E$15+1,1))</f>
        <v>582.26951914082088</v>
      </c>
      <c r="EP203" s="62">
        <f t="shared" si="210"/>
        <v>434.80429932654715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projet'!$B$15,Paramètres!$A$1:$I$88,3,0)*0.475*44/12</f>
        <v>5.884562284502814</v>
      </c>
      <c r="EW203" s="23">
        <f>EXP(-LN(2)/25)*EW202+(1-EXP(-LN(2)/25))/(LN(2)/25)*Calculateur!ER203*Calculateur!ET203*VLOOKUP('Données projet'!$B$15,Paramètres!$A$1:$I$88,3,0)*0.475*44/12</f>
        <v>2.2428093014528527</v>
      </c>
      <c r="EX203" s="23">
        <f>EXP(-LN(2)/2)*EX202+(1-EXP(-LN(2)/2))/(LN(2)/2)*ER203*EU203*VLOOKUP('Données projet'!$B$15,Paramètres!$A$1:$I$88,3,0)*0.475*44/12</f>
        <v>0</v>
      </c>
      <c r="EY203" s="24">
        <f t="shared" si="181"/>
        <v>8.1273715859556663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854.99999999999989</v>
      </c>
      <c r="FF203" s="18">
        <f>FE203*VLOOKUP('Données projet'!$B$16,Paramètres!$A$1:$I$88,3,0)*VLOOKUP('Données projet'!$B$16,Paramètres!$A$1:$I$88,5,0)</f>
        <v>400.13999999999993</v>
      </c>
      <c r="FG203" s="14">
        <f t="shared" si="182"/>
        <v>91.805047494648534</v>
      </c>
      <c r="FH203" s="22">
        <f t="shared" si="183"/>
        <v>856.80429105317944</v>
      </c>
      <c r="FI203" s="62">
        <f t="shared" si="199"/>
        <v>1147.3695309061336</v>
      </c>
      <c r="FJ203" s="62">
        <f ca="1">AVERAGE(OFFSET($FI$3,0,0,'Données projet'!$E$16+1,1))-AVERAGE(OFFSET($H$3,0,0,'Données projet'!$E$16+1,1))</f>
        <v>429.87867712133851</v>
      </c>
      <c r="FK203" s="62">
        <f t="shared" si="211"/>
        <v>182.81277865988014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projet'!$B$16,Paramètres!$A$1:$I$88,3,0)*0.475*44/12</f>
        <v>7.018044710634622</v>
      </c>
      <c r="FR203" s="23">
        <f>EXP(-LN(2)/25)*FR202+(1-EXP(-LN(2)/25))/(LN(2)/25)*Calculateur!FM203*Calculateur!FO203*VLOOKUP('Données projet'!$B$16,Paramètres!$A$1:$I$88,3,0)*0.475*44/12</f>
        <v>2.8431447641450753</v>
      </c>
      <c r="FS203" s="23">
        <f>EXP(-LN(2)/2)*FS202+(1-EXP(-LN(2)/2))/(LN(2)/2)*FM203*FP203*VLOOKUP('Données projet'!$B$16,Paramètres!$A$1:$I$88,3,0)*0.475*44/12</f>
        <v>0</v>
      </c>
      <c r="FT203" s="24">
        <f t="shared" si="184"/>
        <v>9.8611894747796978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498.99999999999955</v>
      </c>
      <c r="GA203" s="18">
        <f>FZ203*VLOOKUP('Données projet'!$B$17,Paramètres!$A$1:$I$88,3,0)*VLOOKUP('Données projet'!$B$17,Paramètres!$A$1:$I$88,5,0)</f>
        <v>240.01899999999978</v>
      </c>
      <c r="GB203" s="14">
        <f t="shared" si="185"/>
        <v>58.443618405936313</v>
      </c>
      <c r="GC203" s="22">
        <f t="shared" si="186"/>
        <v>519.82239372367201</v>
      </c>
      <c r="GD203" s="62">
        <f t="shared" si="200"/>
        <v>810.38763357662606</v>
      </c>
      <c r="GE203" s="62">
        <f ca="1">AVERAGE(OFFSET($GD$3,0,0,'Données projet'!$E$17+1,1))-AVERAGE(OFFSET($H$3,0,0,'Données projet'!$E$17+1,1))</f>
        <v>273.24375559399846</v>
      </c>
      <c r="GF203" s="62">
        <f t="shared" si="212"/>
        <v>270.77718895097848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projet'!$B$17,Paramètres!$A$1:$I$88,3,0)*0.475*44/12</f>
        <v>3.0049799548185012</v>
      </c>
      <c r="GM203" s="23">
        <f>EXP(-LN(2)/25)*GM202+(1-EXP(-LN(2)/25))/(LN(2)/25)*Calculateur!GH203*Calculateur!GJ203*VLOOKUP('Données projet'!$B$17,Paramètres!$A$1:$I$88,3,0)*0.475*44/12</f>
        <v>1.0938928774170247</v>
      </c>
      <c r="GN203" s="23">
        <f>EXP(-LN(2)/2)*GN202+(1-EXP(-LN(2)/2))/(LN(2)/2)*GH203*GK203*VLOOKUP('Données projet'!$B$17,Paramètres!$A$1:$I$88,3,0)*0.475*44/12</f>
        <v>0</v>
      </c>
      <c r="GO203" s="23">
        <f t="shared" si="187"/>
        <v>4.0988728322355259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294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294</v>
      </c>
      <c r="BA204" s="87" t="s">
        <v>294</v>
      </c>
      <c r="BV204" s="87" t="s">
        <v>294</v>
      </c>
      <c r="CQ204" s="87" t="s">
        <v>294</v>
      </c>
      <c r="DL204" s="87" t="s">
        <v>294</v>
      </c>
      <c r="EG204" s="87" t="s">
        <v>294</v>
      </c>
      <c r="FB204" s="87" t="s">
        <v>294</v>
      </c>
      <c r="FW204" s="87" t="s">
        <v>294</v>
      </c>
      <c r="GR204" s="87" t="s">
        <v>294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1.2229212769505047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1.0241895602489972</v>
      </c>
      <c r="BA205" s="88">
        <f>EXP(LN('Données projet'!B88)/'Données projet'!A88)</f>
        <v>1.0241895602489972</v>
      </c>
      <c r="BV205" s="88">
        <f>EXP(LN('Données projet'!B114)/'Données projet'!A114)</f>
        <v>1.3467515989204495</v>
      </c>
      <c r="CQ205" s="88">
        <f>EXP(LN('Données projet'!B140)/'Données projet'!A140)</f>
        <v>1.3467515989204495</v>
      </c>
      <c r="DL205" s="88">
        <f>EXP(LN('Données projet'!B166)/'Données projet'!A166)</f>
        <v>1.3556619776599483</v>
      </c>
      <c r="EG205" s="88">
        <f>EXP(LN('Données projet'!B192)/'Données projet'!A192)</f>
        <v>1.3593563908785258</v>
      </c>
      <c r="FB205" s="88">
        <f>EXP(LN('Données projet'!B218)/'Données projet'!A218)</f>
        <v>1.1812937373976771</v>
      </c>
      <c r="FW205" s="88">
        <f>EXP(LN('Données projet'!B244)/'Données projet'!A244)</f>
        <v>1.3134156586844881</v>
      </c>
      <c r="GR205" s="88" t="e">
        <f>EXP(LN('Données projet'!B270)/'Données projet'!A270)</f>
        <v>#NUM!</v>
      </c>
    </row>
  </sheetData>
  <sheetProtection algorithmName="SHA-512" hashValue="pijpqe0Ylsjs9EpvAY4m52gXTBEEy40gXYONLP605lBROE4I+gEWLO8HbzDEOY09qTOgOqydyeGgVqRPK8zZ3g==" saltValue="1tsCNl6Hms155TjQS5tvm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4"/>
  <sheetViews>
    <sheetView workbookViewId="0">
      <selection activeCell="E10" sqref="E10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131" t="s">
        <v>148</v>
      </c>
      <c r="B87" s="139"/>
      <c r="C87" s="133">
        <v>0.42</v>
      </c>
      <c r="D87" s="133" t="s">
        <v>161</v>
      </c>
      <c r="E87" s="133">
        <v>1.3</v>
      </c>
      <c r="F87" s="134" t="s">
        <v>274</v>
      </c>
      <c r="G87" s="140"/>
      <c r="H87" s="139"/>
      <c r="I87" s="141"/>
    </row>
    <row r="88" spans="1:14" ht="16" thickBot="1" x14ac:dyDescent="0.25">
      <c r="A88" s="142" t="s">
        <v>149</v>
      </c>
      <c r="B88" s="143"/>
      <c r="C88" s="144">
        <v>0.56999999999999995</v>
      </c>
      <c r="D88" s="145" t="s">
        <v>161</v>
      </c>
      <c r="E88" s="144">
        <v>1.56</v>
      </c>
      <c r="F88" s="144" t="s">
        <v>274</v>
      </c>
      <c r="G88" s="143"/>
      <c r="H88" s="143"/>
      <c r="I88" s="146"/>
    </row>
    <row r="92" spans="1:14" x14ac:dyDescent="0.2">
      <c r="A92" s="131" t="s">
        <v>208</v>
      </c>
    </row>
    <row r="93" spans="1:14" x14ac:dyDescent="0.2">
      <c r="A93" s="131" t="s">
        <v>209</v>
      </c>
    </row>
    <row r="94" spans="1:14" x14ac:dyDescent="0.2">
      <c r="A94" s="131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K26" sqref="K26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Douglas</v>
      </c>
      <c r="B6" s="155">
        <f>'Données projet'!D9</f>
        <v>13.427899999999999</v>
      </c>
      <c r="C6" s="156">
        <f ca="1">IF(OR('Données projet'!B9="",'Données projet'!C9="",'Données projet'!C9=0%),0,Calculateur!S3)</f>
        <v>289.94242154211224</v>
      </c>
      <c r="D6" s="156">
        <f>IF(OR('Données projet'!B9="",'Données projet'!C9="",'Données projet'!C9=0%),0,Calculateur!T3)</f>
        <v>369.12599166143661</v>
      </c>
      <c r="E6" s="156">
        <f ca="1">MIN(C6,D6)</f>
        <v>289.94242154211224</v>
      </c>
      <c r="F6" s="156">
        <f ca="1">E6*B6</f>
        <v>3893.3178422253286</v>
      </c>
      <c r="G6" s="156">
        <f ca="1">F6*(100%-'Données projet'!$C$24)*(100%-'Données projet'!$C$25)*(100%-'Données projet'!$C$26)*(100%-'Données projet'!$C$27)</f>
        <v>3503.9860580027957</v>
      </c>
      <c r="H6" s="157">
        <f>IF(OR('Données projet'!B9="",'Données projet'!C9="",'Données projet'!C9=0%),0,AVERAGE(Calculateur!$AC$3:$AC$33)*B6)</f>
        <v>32.987033569898699</v>
      </c>
      <c r="I6" s="158">
        <f>H6*(100%-'Données projet'!$C$24)*(100%-'Données projet'!$C$25)*(100%-'Données projet'!$C$26)*(100%-'Données projet'!$C$27)</f>
        <v>29.688330212908831</v>
      </c>
      <c r="J6" s="159">
        <f>IF(OR('Données projet'!B9="",'Données projet'!C9="",'Données projet'!C9=0%),0,SUM(Calculateur!$V$3:$V$33)*VLOOKUP('Données projet'!$B$9,Paramètres!$A$1:$I$88,9,0)*B6)</f>
        <v>369.53580799999997</v>
      </c>
      <c r="K6" s="160">
        <f>J6*(100%-'Données projet'!$C$24)*(100%-'Données projet'!$C$25)*(100%-'Données projet'!$C$26)*(100%-'Données projet'!$C$27)</f>
        <v>332.58222719999998</v>
      </c>
      <c r="L6" s="161">
        <f ca="1">G6+I6+K6</f>
        <v>3866.2566154157048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Chêne sessile</v>
      </c>
      <c r="B7" s="163">
        <f>'Données projet'!D10</f>
        <v>2.5712999999999999</v>
      </c>
      <c r="C7" s="156">
        <f ca="1">IF(OR('Données projet'!B10="",'Données projet'!C10="",'Données projet'!C10=0%),0,Calculateur!AN3)</f>
        <v>518.31628039365785</v>
      </c>
      <c r="D7" s="156">
        <f>IF(OR('Données projet'!B10="",'Données projet'!C10="",'Données projet'!C10=0%),0,Calculateur!AO3)</f>
        <v>66.435071953154761</v>
      </c>
      <c r="E7" s="156">
        <f t="shared" ref="E7:E15" ca="1" si="0">MIN(C7,D7)</f>
        <v>66.435071953154761</v>
      </c>
      <c r="F7" s="156">
        <f t="shared" ref="F7:F15" ca="1" si="1">E7*B7</f>
        <v>170.82450051314683</v>
      </c>
      <c r="G7" s="156">
        <f ca="1">F7*(100%-'Données projet'!$C$24)*(100%-'Données projet'!$C$25)*(100%-'Données projet'!$C$26)*(100%-'Données projet'!$C$27)</f>
        <v>153.74205046183215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projet'!$B$10,Paramètres!$A$1:$I$88,9,0)*B7)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153.74205046183215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>Chêne pubescent</v>
      </c>
      <c r="B8" s="163">
        <f>'Données projet'!D11</f>
        <v>2.2856000000000001</v>
      </c>
      <c r="C8" s="156">
        <f ca="1">IF(OR('Données projet'!B11="",'Données projet'!C11="",'Données projet'!C11=0%),0,Calculateur!BI3)</f>
        <v>570.2785736203931</v>
      </c>
      <c r="D8" s="156">
        <f>IF(OR('Données projet'!B11="",'Données projet'!C11="",'Données projet'!C11=0%),0,Calculateur!BJ3)</f>
        <v>67.677759965081719</v>
      </c>
      <c r="E8" s="156">
        <f t="shared" ca="1" si="0"/>
        <v>67.677759965081719</v>
      </c>
      <c r="F8" s="156">
        <f t="shared" ca="1" si="1"/>
        <v>154.68428817619079</v>
      </c>
      <c r="G8" s="156">
        <f ca="1">F8*(100%-'Données projet'!$C$24)*(100%-'Données projet'!$C$25)*(100%-'Données projet'!$C$26)*(100%-'Données projet'!$C$27)</f>
        <v>139.21585935857172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projet'!$B$11,Paramètres!$A$1:$I$88,9,0)*B8)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139.21585935857172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>Pin maritime</v>
      </c>
      <c r="B9" s="163">
        <f>'Données projet'!D12</f>
        <v>1.7141999999999999</v>
      </c>
      <c r="C9" s="156">
        <f ca="1">IF(OR('Données projet'!B12="",'Données projet'!C12="",'Données projet'!C12=0%),0,Calculateur!CD3)</f>
        <v>401.1031790385295</v>
      </c>
      <c r="D9" s="156">
        <f>IF(OR('Données projet'!B12="",'Données projet'!C12="",'Données projet'!C12=0%),0,Calculateur!CE3)</f>
        <v>402.09589424130615</v>
      </c>
      <c r="E9" s="156">
        <f t="shared" ca="1" si="0"/>
        <v>401.1031790385295</v>
      </c>
      <c r="F9" s="156">
        <f t="shared" ca="1" si="1"/>
        <v>687.57106950784726</v>
      </c>
      <c r="G9" s="156">
        <f ca="1">F9*(100%-'Données projet'!$C$24)*(100%-'Données projet'!$C$25)*(100%-'Données projet'!$C$26)*(100%-'Données projet'!$C$27)</f>
        <v>618.8139625570625</v>
      </c>
      <c r="H9" s="164">
        <f>IF(OR('Données projet'!B12="",'Données projet'!C12="",'Données projet'!C12=0%),0,AVERAGE(Calculateur!$CN$3:$CN$33)*B9)</f>
        <v>11.314645242365678</v>
      </c>
      <c r="I9" s="158">
        <f>H9*(100%-'Données projet'!$C$24)*(100%-'Données projet'!$C$25)*(100%-'Données projet'!$C$26)*(100%-'Données projet'!$C$27)</f>
        <v>10.18318071812911</v>
      </c>
      <c r="J9" s="159">
        <f>IF(OR('Données projet'!B12="",'Données projet'!C12="",'Données projet'!C12=0%),0,SUM(Calculateur!$CG$3:$CG$33)*VLOOKUP('Données projet'!$B$12,Paramètres!$A$1:$I$88,9,0)*B9)</f>
        <v>104.27307179999998</v>
      </c>
      <c r="K9" s="160">
        <f>J9*(100%-'Données projet'!$C$24)*(100%-'Données projet'!$C$25)*(100%-'Données projet'!$C$26)*(100%-'Données projet'!$C$27)</f>
        <v>93.845764619999983</v>
      </c>
      <c r="L9" s="161">
        <f t="shared" ca="1" si="2"/>
        <v>722.84290789519162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>Pin taeda</v>
      </c>
      <c r="B10" s="163">
        <f>'Données projet'!D13</f>
        <v>1.7141999999999999</v>
      </c>
      <c r="C10" s="156">
        <f ca="1">IF(OR('Données projet'!B13="",'Données projet'!C13="",'Données projet'!C13=0%),0,Calculateur!CY3)</f>
        <v>401.1031790385295</v>
      </c>
      <c r="D10" s="156">
        <f>IF(OR('Données projet'!B13="",'Données projet'!C13="",'Données projet'!C13=0%),0,Calculateur!CZ3)</f>
        <v>402.09589424130615</v>
      </c>
      <c r="E10" s="156">
        <f t="shared" ca="1" si="0"/>
        <v>401.1031790385295</v>
      </c>
      <c r="F10" s="156">
        <f t="shared" ca="1" si="1"/>
        <v>687.57106950784726</v>
      </c>
      <c r="G10" s="156">
        <f ca="1">F10*(100%-'Données projet'!$C$24)*(100%-'Données projet'!$C$25)*(100%-'Données projet'!$C$26)*(100%-'Données projet'!$C$27)</f>
        <v>618.8139625570625</v>
      </c>
      <c r="H10" s="164">
        <f>IF(OR('Données projet'!B13="",'Données projet'!C13="",'Données projet'!C13=0%),0,AVERAGE(Calculateur!$DI$3:$DI$33)*B10)</f>
        <v>11.314645242365678</v>
      </c>
      <c r="I10" s="158">
        <f>H10*(100%-'Données projet'!$C$24)*(100%-'Données projet'!$C$25)*(100%-'Données projet'!$C$26)*(100%-'Données projet'!$C$27)</f>
        <v>10.18318071812911</v>
      </c>
      <c r="J10" s="159">
        <f>IF(OR('Données projet'!B13="",'Données projet'!C13="",'Données projet'!C13=0%),0,SUM(Calculateur!$DB$3:$DB$33)*VLOOKUP('Données projet'!$B$13,Paramètres!$A$1:$I$88,9,0)*B10)</f>
        <v>75.995628599999989</v>
      </c>
      <c r="K10" s="160">
        <f>J10*(100%-'Données projet'!$C$24)*(100%-'Données projet'!$C$25)*(100%-'Données projet'!$C$26)*(100%-'Données projet'!$C$27)</f>
        <v>68.396065739999997</v>
      </c>
      <c r="L10" s="161">
        <f t="shared" ca="1" si="2"/>
        <v>697.3932090151917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>Thuya géant</v>
      </c>
      <c r="B11" s="163">
        <f>'Données projet'!D14</f>
        <v>1.7141999999999999</v>
      </c>
      <c r="C11" s="156">
        <f ca="1">IF(OR('Données projet'!B14="",'Données projet'!C14="",'Données projet'!C14=0%),0,Calculateur!DT3)</f>
        <v>432.59662347701629</v>
      </c>
      <c r="D11" s="156">
        <f>IF(OR('Données projet'!B14="",'Données projet'!C14="",'Données projet'!C14=0%),0,Calculateur!DU3)</f>
        <v>348.67401091099748</v>
      </c>
      <c r="E11" s="156">
        <f t="shared" ca="1" si="0"/>
        <v>348.67401091099748</v>
      </c>
      <c r="F11" s="156">
        <f t="shared" ca="1" si="1"/>
        <v>597.69698950363181</v>
      </c>
      <c r="G11" s="156">
        <f ca="1">F11*(100%-'Données projet'!$C$24)*(100%-'Données projet'!$C$25)*(100%-'Données projet'!$C$26)*(100%-'Données projet'!$C$27)</f>
        <v>537.92729055326868</v>
      </c>
      <c r="H11" s="164">
        <f>IF(OR('Données projet'!B14="",'Données projet'!C14="",'Données projet'!C14=0%),0,AVERAGE(Calculateur!$ED$3:$ED$33)*B11)</f>
        <v>20.195046362152784</v>
      </c>
      <c r="I11" s="158">
        <f>H11*(100%-'Données projet'!$C$24)*(100%-'Données projet'!$C$25)*(100%-'Données projet'!$C$26)*(100%-'Données projet'!$C$27)</f>
        <v>18.175541725937506</v>
      </c>
      <c r="J11" s="159">
        <f>IF(OR('Données projet'!B14="",'Données projet'!C14="",'Données projet'!C14=0%),0,SUM(Calculateur!$DW$3:$DW$33)*VLOOKUP('Données projet'!$B$14,Paramètres!$A$1:$I$88,9,0)*B11)</f>
        <v>176.90544</v>
      </c>
      <c r="K11" s="160">
        <f>J11*(100%-'Données projet'!$C$24)*(100%-'Données projet'!$C$25)*(100%-'Données projet'!$C$26)*(100%-'Données projet'!$C$27)</f>
        <v>159.21489600000001</v>
      </c>
      <c r="L11" s="161">
        <f t="shared" ca="1" si="2"/>
        <v>715.31772827920622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>Séquoia toujours vert</v>
      </c>
      <c r="B12" s="163">
        <f>'Données projet'!D15</f>
        <v>1.7141999999999999</v>
      </c>
      <c r="C12" s="156">
        <f ca="1">IF(OR('Données projet'!B15="",'Données projet'!C15="",'Données projet'!C15=0%),0,Calculateur!EO3)</f>
        <v>582.26951914082088</v>
      </c>
      <c r="D12" s="156">
        <f>IF(OR('Données projet'!B15="",'Données projet'!C15="",'Données projet'!C15=0%),0,Calculateur!EP3)</f>
        <v>434.80429932654715</v>
      </c>
      <c r="E12" s="156">
        <f t="shared" ca="1" si="0"/>
        <v>434.80429932654715</v>
      </c>
      <c r="F12" s="156">
        <f t="shared" ca="1" si="1"/>
        <v>745.34152990556709</v>
      </c>
      <c r="G12" s="156">
        <f ca="1">F12*(100%-'Données projet'!$C$24)*(100%-'Données projet'!$C$25)*(100%-'Données projet'!$C$26)*(100%-'Données projet'!$C$27)</f>
        <v>670.80737691501042</v>
      </c>
      <c r="H12" s="164">
        <f>IF(OR('Données projet'!B15="",'Données projet'!C15="",'Données projet'!C15=0%),0,AVERAGE(Calculateur!$EY$3:$EY$33)*B12)</f>
        <v>33.334793051776316</v>
      </c>
      <c r="I12" s="158">
        <f>H12*(100%-'Données projet'!$C$24)*(100%-'Données projet'!$C$25)*(100%-'Données projet'!$C$26)*(100%-'Données projet'!$C$27)</f>
        <v>30.001313746598687</v>
      </c>
      <c r="J12" s="159">
        <f>IF(OR('Données projet'!B15="",'Données projet'!C15="",'Données projet'!C15=0%),0,SUM(Calculateur!$ER$3:$ER$33)*VLOOKUP('Données projet'!$B$15,Paramètres!$A$1:$I$88,9,0)*B12)</f>
        <v>241.77076799999998</v>
      </c>
      <c r="K12" s="160">
        <f>J12*(100%-'Données projet'!$C$24)*(100%-'Données projet'!$C$25)*(100%-'Données projet'!$C$26)*(100%-'Données projet'!$C$27)</f>
        <v>217.59369119999999</v>
      </c>
      <c r="L12" s="161">
        <f t="shared" ca="1" si="2"/>
        <v>918.40238186160911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>Cèdre de l'Atlas</v>
      </c>
      <c r="B13" s="163">
        <f>'Données projet'!D16</f>
        <v>1.1428</v>
      </c>
      <c r="C13" s="156">
        <f ca="1">IF(OR('Données projet'!B16="",'Données projet'!C16="",'Données projet'!C16=0%),0,Calculateur!FJ3)</f>
        <v>429.87867712133851</v>
      </c>
      <c r="D13" s="156">
        <f>IF(OR('Données projet'!B16="",'Données projet'!C16="",'Données projet'!C16=0%),0,Calculateur!FK3)</f>
        <v>182.81277865988014</v>
      </c>
      <c r="E13" s="156">
        <f t="shared" ca="1" si="0"/>
        <v>182.81277865988014</v>
      </c>
      <c r="F13" s="156">
        <f t="shared" ca="1" si="1"/>
        <v>208.91844345251104</v>
      </c>
      <c r="G13" s="156">
        <f ca="1">F13*(100%-'Données projet'!$C$24)*(100%-'Données projet'!$C$25)*(100%-'Données projet'!$C$26)*(100%-'Données projet'!$C$27)</f>
        <v>188.02659910725995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projet'!$B$16,Paramètres!$A$1:$I$88,9,0)*B13)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ca="1" si="2"/>
        <v>188.02659910725995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>Sapin méditerranéen</v>
      </c>
      <c r="B14" s="163">
        <f>'Données projet'!D17</f>
        <v>1.1428</v>
      </c>
      <c r="C14" s="156">
        <f ca="1">IF(OR('Données projet'!B17="",'Données projet'!C17="",'Données projet'!C17=0%),0,Calculateur!GE3)</f>
        <v>273.24375559399846</v>
      </c>
      <c r="D14" s="156">
        <f>IF(OR('Données projet'!B17="",'Données projet'!C17="",'Données projet'!C17=0%),0,Calculateur!GF3)</f>
        <v>270.77718895097848</v>
      </c>
      <c r="E14" s="156">
        <f t="shared" ca="1" si="0"/>
        <v>270.77718895097848</v>
      </c>
      <c r="F14" s="156">
        <f t="shared" ca="1" si="1"/>
        <v>309.44417153317823</v>
      </c>
      <c r="G14" s="156">
        <f ca="1">F14*(100%-'Données projet'!$C$24)*(100%-'Données projet'!$C$25)*(100%-'Données projet'!$C$26)*(100%-'Données projet'!$C$27)</f>
        <v>278.49975437986041</v>
      </c>
      <c r="H14" s="164">
        <f>IF(OR('Données projet'!B17="",'Données projet'!C17="",'Données projet'!C17=0%),0,AVERAGE(Calculateur!$GO$3:$GO$33)*B14)</f>
        <v>7.4471133705872745</v>
      </c>
      <c r="I14" s="158">
        <f>H14*(100%-'Données projet'!$C$24)*(100%-'Données projet'!$C$25)*(100%-'Données projet'!$C$26)*(100%-'Données projet'!$C$27)</f>
        <v>6.7024020335285472</v>
      </c>
      <c r="J14" s="159">
        <f>IF(OR('Données projet'!B17="",'Données projet'!C17="",'Données projet'!C17=0%),0,SUM(Calculateur!$GH$3:$GH$33)*VLOOKUP('Données projet'!$B$17,Paramètres!$A$1:$I$88,9,0)*B14)</f>
        <v>58.968480000000007</v>
      </c>
      <c r="K14" s="160">
        <f>J14*(100%-'Données projet'!$C$24)*(100%-'Données projet'!$C$25)*(100%-'Données projet'!$C$26)*(100%-'Données projet'!$C$27)</f>
        <v>53.071632000000008</v>
      </c>
      <c r="L14" s="161">
        <f t="shared" ca="1" si="2"/>
        <v>338.27378841338896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projet'!$B$18,Paramètres!$A$1:$I$88,9,0)*B15)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6"/>
      <c r="B16" s="233"/>
      <c r="C16" s="234"/>
      <c r="D16" s="25"/>
      <c r="E16" s="25"/>
      <c r="F16" s="174">
        <f t="shared" ref="F16:L16" ca="1" si="3">SUM(F6:F15)</f>
        <v>7455.3699043252482</v>
      </c>
      <c r="G16" s="175">
        <f t="shared" ca="1" si="3"/>
        <v>6709.8329138927256</v>
      </c>
      <c r="H16" s="176">
        <f t="shared" si="3"/>
        <v>116.59327683914643</v>
      </c>
      <c r="I16" s="176">
        <f t="shared" si="3"/>
        <v>104.93394915523177</v>
      </c>
      <c r="J16" s="177">
        <f t="shared" si="3"/>
        <v>1027.4491963999999</v>
      </c>
      <c r="K16" s="177">
        <f t="shared" si="3"/>
        <v>924.70427675999997</v>
      </c>
      <c r="L16" s="178">
        <f t="shared" ca="1" si="3"/>
        <v>7739.4711398079562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6"/>
      <c r="B17" s="233"/>
      <c r="C17" s="234"/>
      <c r="D17" s="231"/>
      <c r="E17" s="231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6"/>
      <c r="B18" s="233"/>
      <c r="C18" s="234"/>
      <c r="D18" s="231"/>
      <c r="E18" s="231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>Pin maritime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>Pin taeda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>Thuya géant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>Séquoia toujours vert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>Cèdre de l'Atlas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>Sapin méditerranéen</v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lC9C/XHAr7uhq9UB/+5lGwCOtGNX6mpYUa9QfBsZAPKgWiW8PhyxW4px6LELycl6bAXquLbVNGeNjZI52f1EpA==" saltValue="wbvPzkOtGyEAPIHFcu2Ew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2" zoomScaleNormal="100" workbookViewId="0">
      <selection activeCell="F241" sqref="F241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25" t="s">
        <v>316</v>
      </c>
      <c r="I4" s="325"/>
      <c r="K4" s="322" t="s">
        <v>253</v>
      </c>
      <c r="L4" s="323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3" t="s">
        <v>311</v>
      </c>
      <c r="S7" s="334"/>
      <c r="T7" s="334"/>
      <c r="U7" s="334"/>
      <c r="V7" s="335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60" t="s">
        <v>312</v>
      </c>
      <c r="C9" s="25"/>
      <c r="D9" s="25"/>
      <c r="E9" s="25"/>
      <c r="F9" s="261"/>
      <c r="G9" s="260" t="s">
        <v>315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60" t="s">
        <v>318</v>
      </c>
      <c r="C10" s="25"/>
      <c r="D10" s="25"/>
      <c r="E10" s="25"/>
      <c r="F10" s="261"/>
      <c r="G10" s="260" t="s">
        <v>317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1987.6773043989267</v>
      </c>
      <c r="U10" s="190">
        <f>'Données projet'!D9</f>
        <v>13.427899999999999</v>
      </c>
      <c r="V10" s="189">
        <f>U10*T10</f>
        <v>26690.332075738348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60" t="s">
        <v>313</v>
      </c>
      <c r="B11" s="25"/>
      <c r="C11" s="25"/>
      <c r="D11" s="25"/>
      <c r="E11" s="25"/>
      <c r="F11" s="261"/>
      <c r="G11" s="260" t="s">
        <v>314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676.48200814198105</v>
      </c>
      <c r="U11" s="190">
        <f>'Données projet'!D10</f>
        <v>2.5712999999999999</v>
      </c>
      <c r="V11" s="189">
        <f t="shared" ref="V11" si="0">U11*T11</f>
        <v>1739.4381875354759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pubescent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692.17794490967731</v>
      </c>
      <c r="U12" s="190">
        <f>'Données projet'!D11</f>
        <v>2.2856000000000001</v>
      </c>
      <c r="V12" s="189">
        <f t="shared" ref="V12:V19" si="1">U12*T12</f>
        <v>1582.0419108855585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maritime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1364.1228238070748</v>
      </c>
      <c r="U13" s="190">
        <f>'Données projet'!D12</f>
        <v>1.7141999999999999</v>
      </c>
      <c r="V13" s="189">
        <f t="shared" si="1"/>
        <v>2338.3793445700876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291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Pin taeda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1594.3929383854531</v>
      </c>
      <c r="U14" s="190">
        <f>'Données projet'!D13</f>
        <v>1.7141999999999999</v>
      </c>
      <c r="V14" s="189">
        <f t="shared" si="1"/>
        <v>2733.1083749803438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1"/>
      <c r="G15" s="326" t="s">
        <v>319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Thuya géant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3773.6926280483908</v>
      </c>
      <c r="U15" s="190">
        <f>'Données projet'!D14</f>
        <v>1.7141999999999999</v>
      </c>
      <c r="V15" s="189">
        <f t="shared" si="1"/>
        <v>6468.8639030005515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287</v>
      </c>
      <c r="F16" s="261"/>
      <c r="G16" s="326"/>
      <c r="H16" s="203"/>
      <c r="I16" s="204"/>
      <c r="J16" s="216"/>
      <c r="K16" s="225"/>
      <c r="L16" s="322" t="s">
        <v>254</v>
      </c>
      <c r="M16" s="323"/>
      <c r="N16" s="2"/>
      <c r="O16" s="25"/>
      <c r="P16" s="25"/>
      <c r="Q16" s="265"/>
      <c r="R16" s="25"/>
      <c r="S16" s="185" t="str">
        <f>B200</f>
        <v>Séquoia toujours vert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4426.8523380952347</v>
      </c>
      <c r="U16" s="190">
        <f>'Données projet'!D15</f>
        <v>1.7141999999999999</v>
      </c>
      <c r="V16" s="189">
        <f t="shared" si="1"/>
        <v>7588.5102779628514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6"/>
      <c r="J17" s="216"/>
      <c r="K17" s="225"/>
      <c r="L17" s="293" t="s">
        <v>290</v>
      </c>
      <c r="M17" s="295"/>
      <c r="N17" s="187">
        <f>VLOOKUP(N16,Calculateur!$A$2:$H$153,3,0)/VLOOKUP('Scénario référence'!$G$15,Paramètres!A1:I88,3,0)/VLOOKUP('Scénario référence'!$G$15,Paramètres!A1:I88,5,0)</f>
        <v>0</v>
      </c>
      <c r="O17" s="25"/>
      <c r="P17" s="25"/>
      <c r="Q17" s="265"/>
      <c r="R17" s="25"/>
      <c r="S17" s="185" t="str">
        <f>B231</f>
        <v>Cèdre de l'Atlas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973.6838574205126</v>
      </c>
      <c r="U17" s="190">
        <f>'Données projet'!D16</f>
        <v>1.1428</v>
      </c>
      <c r="V17" s="189">
        <f t="shared" si="1"/>
        <v>1112.7259122601617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6"/>
      <c r="J18" s="216"/>
      <c r="K18" s="225"/>
      <c r="L18" s="293" t="s">
        <v>255</v>
      </c>
      <c r="M18" s="295"/>
      <c r="N18" s="205"/>
      <c r="O18" s="25"/>
      <c r="P18" s="25"/>
      <c r="Q18" s="265"/>
      <c r="R18" s="25"/>
      <c r="S18" s="185" t="str">
        <f>B262</f>
        <v>Sapin méditerranéen</v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2081.6519774598992</v>
      </c>
      <c r="U18" s="190">
        <f>'Données projet'!D17</f>
        <v>1.1428</v>
      </c>
      <c r="V18" s="189">
        <f t="shared" si="1"/>
        <v>2378.9118798411728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6"/>
      <c r="H19" s="232" t="s">
        <v>178</v>
      </c>
      <c r="I19" s="232" t="s">
        <v>288</v>
      </c>
      <c r="J19" s="260"/>
      <c r="K19" s="183"/>
      <c r="L19" s="322" t="s">
        <v>289</v>
      </c>
      <c r="M19" s="323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6"/>
      <c r="H20" s="203">
        <v>0</v>
      </c>
      <c r="I20" s="204">
        <v>4551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0</v>
      </c>
      <c r="I21" s="204">
        <v>350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1</v>
      </c>
      <c r="I22" s="204">
        <v>400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28</v>
      </c>
      <c r="B23" s="193">
        <f>'Données projet'!D36</f>
        <v>64</v>
      </c>
      <c r="C23" s="206">
        <v>10</v>
      </c>
      <c r="D23" s="194">
        <f>B23*C23</f>
        <v>640</v>
      </c>
      <c r="E23" s="206"/>
      <c r="F23" s="261"/>
      <c r="H23" s="203">
        <v>2</v>
      </c>
      <c r="I23" s="204">
        <v>450</v>
      </c>
      <c r="K23" s="225"/>
      <c r="L23" s="324" t="s">
        <v>260</v>
      </c>
      <c r="M23" s="324"/>
      <c r="N23" s="324"/>
      <c r="O23" s="25"/>
      <c r="P23" s="25"/>
      <c r="Q23" s="265"/>
      <c r="R23" s="25"/>
      <c r="S23" s="185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-110098.22541877296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35</v>
      </c>
      <c r="B24" s="193">
        <f>'Données projet'!D37</f>
        <v>73</v>
      </c>
      <c r="C24" s="206">
        <v>25</v>
      </c>
      <c r="D24" s="194">
        <f t="shared" ref="D24:D42" si="2">B24*C24</f>
        <v>1825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151129.45381233527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42</v>
      </c>
      <c r="B25" s="193">
        <f>'Données projet'!D38</f>
        <v>77</v>
      </c>
      <c r="C25" s="206">
        <v>30</v>
      </c>
      <c r="D25" s="194">
        <f t="shared" si="2"/>
        <v>2310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250</v>
      </c>
      <c r="Q25" s="265"/>
      <c r="R25" s="25"/>
      <c r="S25" s="198" t="s">
        <v>266</v>
      </c>
      <c r="T25" s="340">
        <f ca="1">T23-T24</f>
        <v>-261227.67923110822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49</v>
      </c>
      <c r="B26" s="193">
        <f>'Données projet'!D39</f>
        <v>80</v>
      </c>
      <c r="C26" s="206">
        <v>40</v>
      </c>
      <c r="D26" s="194">
        <f t="shared" si="2"/>
        <v>3200</v>
      </c>
      <c r="E26" s="206"/>
      <c r="F26" s="264"/>
      <c r="G26" s="259"/>
      <c r="H26" s="203"/>
      <c r="I26" s="204"/>
      <c r="K26" s="225"/>
      <c r="L26" s="327" t="s">
        <v>258</v>
      </c>
      <c r="M26" s="328"/>
      <c r="N26" s="328"/>
      <c r="O26" s="328"/>
      <c r="P26" s="329"/>
      <c r="Q26" s="265"/>
      <c r="R26" s="25"/>
      <c r="S26" s="198" t="s">
        <v>265</v>
      </c>
      <c r="T26" s="337" t="str">
        <f ca="1">IF(T25&lt;0,"Votre projet est additionnel","Votre projet n'est pas additionnel")</f>
        <v>Votre projet est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56</v>
      </c>
      <c r="B27" s="193">
        <f>'Données projet'!D40</f>
        <v>85</v>
      </c>
      <c r="C27" s="206">
        <v>50</v>
      </c>
      <c r="D27" s="194">
        <f t="shared" si="2"/>
        <v>4250</v>
      </c>
      <c r="E27" s="206"/>
      <c r="F27" s="264"/>
      <c r="G27" s="259"/>
      <c r="H27" s="203"/>
      <c r="I27" s="204"/>
      <c r="K27" s="225"/>
      <c r="L27" s="330"/>
      <c r="M27" s="331"/>
      <c r="N27" s="331"/>
      <c r="O27" s="331"/>
      <c r="P27" s="332"/>
      <c r="Q27" s="265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63</v>
      </c>
      <c r="B28" s="193">
        <f>'Données projet'!D41</f>
        <v>84</v>
      </c>
      <c r="C28" s="206">
        <v>60</v>
      </c>
      <c r="D28" s="194">
        <f t="shared" si="2"/>
        <v>5040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70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5289.7953732003944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250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239.23444976076556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228.93248780934508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219.07415101372735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209.64033589830373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200.61276162517103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191.97393456954171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183.70711442061406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175.79628174221446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168.22610693034878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160.98192050751081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154.0496846961826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147.41596621644271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141.06791025496909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287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134.99321555499438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129.18011057894199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123.61733069755219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118.29409636129395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113.20009221176457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108.32544709259768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103.66071492114614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29</v>
      </c>
      <c r="B54" s="193">
        <f>'Données projet'!D62</f>
        <v>0</v>
      </c>
      <c r="C54" s="204">
        <v>15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99.196856383871889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37</v>
      </c>
      <c r="B55" s="193">
        <f>'Données projet'!D63</f>
        <v>4</v>
      </c>
      <c r="C55" s="204">
        <v>20</v>
      </c>
      <c r="D55" s="191">
        <f t="shared" ref="D55:D73" si="4">B55*C55</f>
        <v>80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94.925221419973127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45</v>
      </c>
      <c r="B56" s="193">
        <f>'Données projet'!D64</f>
        <v>25</v>
      </c>
      <c r="C56" s="204">
        <v>20</v>
      </c>
      <c r="D56" s="191">
        <f t="shared" si="4"/>
        <v>500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90.837532459304427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53</v>
      </c>
      <c r="B57" s="193">
        <f>'Données projet'!D65</f>
        <v>45</v>
      </c>
      <c r="C57" s="204">
        <v>25</v>
      </c>
      <c r="D57" s="191">
        <f t="shared" si="4"/>
        <v>1125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86.925868382109513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61</v>
      </c>
      <c r="B58" s="193">
        <f>'Données projet'!D66</f>
        <v>47</v>
      </c>
      <c r="C58" s="204">
        <v>40</v>
      </c>
      <c r="D58" s="191">
        <f t="shared" si="4"/>
        <v>1880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83.182649169482801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69</v>
      </c>
      <c r="B59" s="193">
        <f>'Données projet'!D67</f>
        <v>43</v>
      </c>
      <c r="C59" s="204">
        <v>40</v>
      </c>
      <c r="D59" s="191">
        <f t="shared" si="4"/>
        <v>1720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79.600621214816101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77</v>
      </c>
      <c r="B60" s="193">
        <f>'Données projet'!D68</f>
        <v>4</v>
      </c>
      <c r="C60" s="204">
        <v>50</v>
      </c>
      <c r="D60" s="191">
        <f t="shared" si="4"/>
        <v>200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76.172843267766595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85</v>
      </c>
      <c r="B61" s="193">
        <f>'Données projet'!D69</f>
        <v>41</v>
      </c>
      <c r="C61" s="204">
        <v>60</v>
      </c>
      <c r="D61" s="191">
        <f t="shared" si="4"/>
        <v>2460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72.892672983508731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93</v>
      </c>
      <c r="B62" s="193">
        <f>'Données projet'!D70</f>
        <v>40</v>
      </c>
      <c r="C62" s="204">
        <v>70</v>
      </c>
      <c r="D62" s="191">
        <f t="shared" si="4"/>
        <v>2800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69.75375405120451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101</v>
      </c>
      <c r="B63" s="193">
        <f>'Données projet'!D71</f>
        <v>34</v>
      </c>
      <c r="C63" s="204">
        <v>80</v>
      </c>
      <c r="D63" s="191">
        <f t="shared" si="4"/>
        <v>2720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66.750003876750753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110</v>
      </c>
      <c r="B64" s="193">
        <f>'Données projet'!D72</f>
        <v>39</v>
      </c>
      <c r="C64" s="204">
        <v>90</v>
      </c>
      <c r="D64" s="191">
        <f t="shared" si="4"/>
        <v>3510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63.875601795933719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120</v>
      </c>
      <c r="B65" s="193">
        <f>'Données projet'!D73</f>
        <v>43</v>
      </c>
      <c r="C65" s="204">
        <v>100</v>
      </c>
      <c r="D65" s="191">
        <f t="shared" si="4"/>
        <v>4300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61.124977795151921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130</v>
      </c>
      <c r="B66" s="193">
        <f>'Données projet'!D74</f>
        <v>46</v>
      </c>
      <c r="C66" s="204">
        <v>110</v>
      </c>
      <c r="D66" s="191">
        <f t="shared" si="4"/>
        <v>5060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58.492801717848735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140</v>
      </c>
      <c r="B67" s="193">
        <f>'Données projet'!D75</f>
        <v>45</v>
      </c>
      <c r="C67" s="204">
        <v>120</v>
      </c>
      <c r="D67" s="191">
        <f t="shared" si="4"/>
        <v>5400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55.97397293574042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150</v>
      </c>
      <c r="B68" s="193">
        <f>'Données projet'!D76</f>
        <v>47</v>
      </c>
      <c r="C68" s="204">
        <v>130</v>
      </c>
      <c r="D68" s="191">
        <f t="shared" si="4"/>
        <v>6110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53.56361046482337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160</v>
      </c>
      <c r="B69" s="193">
        <f>'Données projet'!D77</f>
        <v>51</v>
      </c>
      <c r="C69" s="204">
        <v>150</v>
      </c>
      <c r="D69" s="191">
        <f t="shared" si="4"/>
        <v>7650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51.257043507008021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170</v>
      </c>
      <c r="B70" s="193">
        <f>'Données projet'!D78</f>
        <v>457</v>
      </c>
      <c r="C70" s="204">
        <v>200</v>
      </c>
      <c r="D70" s="191">
        <f t="shared" si="4"/>
        <v>91400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49.049802399050741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46.937609951244731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44.916373159085872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42.982175271852519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41.131268202729686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39.360065265770039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>Chêne pubescent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37.665134225617265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36.043190646523705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287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34.491091527773875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33.005829213180753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31.584525562852392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30.224426375935316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28.922896053526618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27.677412491413037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26.485562192739749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29</v>
      </c>
      <c r="B85" s="193">
        <f>'Données projet'!D88</f>
        <v>0</v>
      </c>
      <c r="C85" s="204">
        <v>15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25.345035591138522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37</v>
      </c>
      <c r="B86" s="193">
        <f>'Données projet'!D89</f>
        <v>4</v>
      </c>
      <c r="C86" s="204">
        <v>20</v>
      </c>
      <c r="D86" s="191">
        <f t="shared" ref="D86:D104" si="6">B86*C86</f>
        <v>80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24.253622575252173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45</v>
      </c>
      <c r="B87" s="193">
        <f>'Données projet'!D90</f>
        <v>25</v>
      </c>
      <c r="C87" s="204">
        <v>20</v>
      </c>
      <c r="D87" s="191">
        <f t="shared" si="6"/>
        <v>500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23.20920820598295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53</v>
      </c>
      <c r="B88" s="193">
        <f>'Données projet'!D91</f>
        <v>45</v>
      </c>
      <c r="C88" s="204">
        <v>25</v>
      </c>
      <c r="D88" s="191">
        <f t="shared" si="6"/>
        <v>1125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str">
        <f>IF(O87+1&lt;=MIN('Données projet'!$E$9:$E$18),O87+1,"STOP")</f>
        <v>STOP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61</v>
      </c>
      <c r="B89" s="193">
        <f>'Données projet'!D92</f>
        <v>47</v>
      </c>
      <c r="C89" s="204">
        <v>40</v>
      </c>
      <c r="D89" s="191">
        <f t="shared" si="6"/>
        <v>1880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69</v>
      </c>
      <c r="B90" s="193">
        <f>'Données projet'!D93</f>
        <v>43</v>
      </c>
      <c r="C90" s="204">
        <v>40</v>
      </c>
      <c r="D90" s="191">
        <f t="shared" si="6"/>
        <v>1720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77</v>
      </c>
      <c r="B91" s="193">
        <f>'Données projet'!D94</f>
        <v>4</v>
      </c>
      <c r="C91" s="204">
        <v>50</v>
      </c>
      <c r="D91" s="191">
        <f t="shared" si="6"/>
        <v>200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85</v>
      </c>
      <c r="B92" s="193">
        <f>'Données projet'!D95</f>
        <v>41</v>
      </c>
      <c r="C92" s="204">
        <v>60</v>
      </c>
      <c r="D92" s="191">
        <f t="shared" si="6"/>
        <v>2460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93</v>
      </c>
      <c r="B93" s="193">
        <f>'Données projet'!D96</f>
        <v>40</v>
      </c>
      <c r="C93" s="204">
        <v>70</v>
      </c>
      <c r="D93" s="191">
        <f t="shared" si="6"/>
        <v>2800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101</v>
      </c>
      <c r="B94" s="193">
        <f>'Données projet'!D97</f>
        <v>34</v>
      </c>
      <c r="C94" s="204">
        <v>80</v>
      </c>
      <c r="D94" s="191">
        <f t="shared" si="6"/>
        <v>2720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110</v>
      </c>
      <c r="B95" s="193">
        <f>'Données projet'!D98</f>
        <v>39</v>
      </c>
      <c r="C95" s="204">
        <v>90</v>
      </c>
      <c r="D95" s="191">
        <f t="shared" si="6"/>
        <v>3510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120</v>
      </c>
      <c r="B96" s="193">
        <f>'Données projet'!D99</f>
        <v>43</v>
      </c>
      <c r="C96" s="204">
        <v>100</v>
      </c>
      <c r="D96" s="191">
        <f t="shared" si="6"/>
        <v>4300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130</v>
      </c>
      <c r="B97" s="193">
        <f>'Données projet'!D100</f>
        <v>46</v>
      </c>
      <c r="C97" s="204">
        <v>110</v>
      </c>
      <c r="D97" s="191">
        <f t="shared" si="6"/>
        <v>5060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140</v>
      </c>
      <c r="B98" s="193">
        <f>'Données projet'!D101</f>
        <v>45</v>
      </c>
      <c r="C98" s="204">
        <v>120</v>
      </c>
      <c r="D98" s="191">
        <f t="shared" si="6"/>
        <v>5400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150</v>
      </c>
      <c r="B99" s="193">
        <f>'Données projet'!D102</f>
        <v>47</v>
      </c>
      <c r="C99" s="204">
        <v>130</v>
      </c>
      <c r="D99" s="191">
        <f t="shared" si="6"/>
        <v>6110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160</v>
      </c>
      <c r="B100" s="193">
        <f>'Données projet'!D103</f>
        <v>51</v>
      </c>
      <c r="C100" s="204">
        <v>150</v>
      </c>
      <c r="D100" s="191">
        <f t="shared" si="6"/>
        <v>7650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170</v>
      </c>
      <c r="B101" s="193">
        <f>'Données projet'!D104</f>
        <v>457</v>
      </c>
      <c r="C101" s="204">
        <v>200</v>
      </c>
      <c r="D101" s="191">
        <f t="shared" si="6"/>
        <v>91400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>Pin maritime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287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12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16</v>
      </c>
      <c r="B117" s="193">
        <f>'Données projet'!D115</f>
        <v>14.8</v>
      </c>
      <c r="C117" s="290">
        <v>10</v>
      </c>
      <c r="D117" s="191">
        <f t="shared" ref="D117:D135" si="8">B117*C117</f>
        <v>148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20</v>
      </c>
      <c r="B118" s="193">
        <f>'Données projet'!D116</f>
        <v>22.1</v>
      </c>
      <c r="C118" s="290">
        <v>15</v>
      </c>
      <c r="D118" s="191">
        <f t="shared" si="8"/>
        <v>331.5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24</v>
      </c>
      <c r="B119" s="193">
        <f>'Données projet'!D117</f>
        <v>30.8</v>
      </c>
      <c r="C119" s="290">
        <v>20</v>
      </c>
      <c r="D119" s="191">
        <f t="shared" si="8"/>
        <v>616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28</v>
      </c>
      <c r="B120" s="193">
        <f>'Données projet'!D118</f>
        <v>35.4</v>
      </c>
      <c r="C120" s="290">
        <v>25</v>
      </c>
      <c r="D120" s="191">
        <f t="shared" si="8"/>
        <v>885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34</v>
      </c>
      <c r="B121" s="193">
        <f>'Données projet'!D119</f>
        <v>46.2</v>
      </c>
      <c r="C121" s="290">
        <v>25</v>
      </c>
      <c r="D121" s="191">
        <f t="shared" si="8"/>
        <v>1155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40</v>
      </c>
      <c r="B122" s="193">
        <f>'Données projet'!D120</f>
        <v>41.3</v>
      </c>
      <c r="C122" s="206">
        <v>30</v>
      </c>
      <c r="D122" s="191">
        <f t="shared" si="8"/>
        <v>1239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46</v>
      </c>
      <c r="B123" s="193">
        <f>'Données projet'!D121</f>
        <v>28.7</v>
      </c>
      <c r="C123" s="206">
        <v>35</v>
      </c>
      <c r="D123" s="191">
        <f t="shared" si="8"/>
        <v>1004.5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54</v>
      </c>
      <c r="B124" s="193">
        <f>'Données projet'!D122</f>
        <v>15.6</v>
      </c>
      <c r="C124" s="206">
        <v>40</v>
      </c>
      <c r="D124" s="191">
        <f t="shared" si="8"/>
        <v>624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62</v>
      </c>
      <c r="B125" s="193">
        <f>'Données projet'!D123</f>
        <v>6.5</v>
      </c>
      <c r="C125" s="206">
        <v>45</v>
      </c>
      <c r="D125" s="191">
        <f t="shared" si="8"/>
        <v>292.5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6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6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6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6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>Pin taeda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287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12</v>
      </c>
      <c r="B147" s="187">
        <f>'Données projet'!D140</f>
        <v>0</v>
      </c>
      <c r="C147" s="290">
        <v>10</v>
      </c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16</v>
      </c>
      <c r="B148" s="187">
        <f>'Données projet'!D141</f>
        <v>14.8</v>
      </c>
      <c r="C148" s="290">
        <v>15</v>
      </c>
      <c r="D148" s="194">
        <f t="shared" ref="D148:D166" si="10">B148*C148</f>
        <v>222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20</v>
      </c>
      <c r="B149" s="187">
        <f>'Données projet'!D142</f>
        <v>22.1</v>
      </c>
      <c r="C149" s="290">
        <v>20</v>
      </c>
      <c r="D149" s="194">
        <f t="shared" si="10"/>
        <v>442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24</v>
      </c>
      <c r="B150" s="187">
        <f>'Données projet'!D143</f>
        <v>30.8</v>
      </c>
      <c r="C150" s="290">
        <v>25</v>
      </c>
      <c r="D150" s="194">
        <f t="shared" si="10"/>
        <v>770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28</v>
      </c>
      <c r="B151" s="187">
        <f>'Données projet'!D144</f>
        <v>35.4</v>
      </c>
      <c r="C151" s="290">
        <v>25</v>
      </c>
      <c r="D151" s="194">
        <f t="shared" si="10"/>
        <v>885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34</v>
      </c>
      <c r="B152" s="187">
        <f>'Données projet'!D145</f>
        <v>46.2</v>
      </c>
      <c r="C152" s="206">
        <v>30</v>
      </c>
      <c r="D152" s="194">
        <f t="shared" si="10"/>
        <v>1386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40</v>
      </c>
      <c r="B153" s="187">
        <f>'Données projet'!D146</f>
        <v>41.3</v>
      </c>
      <c r="C153" s="206">
        <v>35</v>
      </c>
      <c r="D153" s="194">
        <f t="shared" si="10"/>
        <v>1445.5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46</v>
      </c>
      <c r="B154" s="187">
        <f>'Données projet'!D147</f>
        <v>28.7</v>
      </c>
      <c r="C154" s="206">
        <v>40</v>
      </c>
      <c r="D154" s="194">
        <f t="shared" si="10"/>
        <v>1148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54</v>
      </c>
      <c r="B155" s="187">
        <f>'Données projet'!D148</f>
        <v>15.6</v>
      </c>
      <c r="C155" s="206">
        <v>45</v>
      </c>
      <c r="D155" s="194">
        <f t="shared" si="10"/>
        <v>702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62</v>
      </c>
      <c r="B156" s="187">
        <f>'Données projet'!D149</f>
        <v>6.5</v>
      </c>
      <c r="C156" s="206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6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6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6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6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>Thuya géant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287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15</v>
      </c>
      <c r="B178" s="193">
        <f>'Données projet'!D166</f>
        <v>0</v>
      </c>
      <c r="C178" s="290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20</v>
      </c>
      <c r="B179" s="193">
        <f>'Données projet'!D167</f>
        <v>72</v>
      </c>
      <c r="C179" s="290">
        <v>10</v>
      </c>
      <c r="D179" s="191">
        <f t="shared" ref="D179:D197" si="11">B179*C179</f>
        <v>720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25</v>
      </c>
      <c r="B180" s="193">
        <f>'Données projet'!D168</f>
        <v>84</v>
      </c>
      <c r="C180" s="290">
        <v>15</v>
      </c>
      <c r="D180" s="191">
        <f t="shared" si="11"/>
        <v>1260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30</v>
      </c>
      <c r="B181" s="193">
        <f>'Données projet'!D169</f>
        <v>84</v>
      </c>
      <c r="C181" s="290">
        <v>20</v>
      </c>
      <c r="D181" s="191">
        <f t="shared" si="11"/>
        <v>1680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35</v>
      </c>
      <c r="B182" s="193">
        <f>'Données projet'!D170</f>
        <v>84</v>
      </c>
      <c r="C182" s="290">
        <v>25</v>
      </c>
      <c r="D182" s="191">
        <f t="shared" si="11"/>
        <v>2100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40</v>
      </c>
      <c r="B183" s="193">
        <f>'Données projet'!D171</f>
        <v>84</v>
      </c>
      <c r="C183" s="290">
        <v>30</v>
      </c>
      <c r="D183" s="191">
        <f t="shared" si="11"/>
        <v>2520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45</v>
      </c>
      <c r="B184" s="193">
        <f>'Données projet'!D172</f>
        <v>84</v>
      </c>
      <c r="C184" s="206">
        <v>35</v>
      </c>
      <c r="D184" s="191">
        <f t="shared" si="11"/>
        <v>2940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50</v>
      </c>
      <c r="B185" s="193">
        <f>'Données projet'!D173</f>
        <v>79</v>
      </c>
      <c r="C185" s="206">
        <v>40</v>
      </c>
      <c r="D185" s="191">
        <f t="shared" si="11"/>
        <v>3160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55</v>
      </c>
      <c r="B186" s="193">
        <f>'Données projet'!D174</f>
        <v>70</v>
      </c>
      <c r="C186" s="206">
        <v>40</v>
      </c>
      <c r="D186" s="191">
        <f t="shared" si="11"/>
        <v>2800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60</v>
      </c>
      <c r="B187" s="193">
        <f>'Données projet'!D175</f>
        <v>64</v>
      </c>
      <c r="C187" s="206">
        <v>45</v>
      </c>
      <c r="D187" s="191">
        <f t="shared" si="11"/>
        <v>2880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65</v>
      </c>
      <c r="B188" s="193">
        <f>'Données projet'!D176</f>
        <v>60</v>
      </c>
      <c r="C188" s="206">
        <v>50</v>
      </c>
      <c r="D188" s="191">
        <f t="shared" si="11"/>
        <v>3000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70</v>
      </c>
      <c r="B189" s="193">
        <f>'Données projet'!D177</f>
        <v>56</v>
      </c>
      <c r="C189" s="206">
        <v>55</v>
      </c>
      <c r="D189" s="191">
        <f t="shared" si="11"/>
        <v>3080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75</v>
      </c>
      <c r="B190" s="193">
        <f>'Données projet'!D178</f>
        <v>54</v>
      </c>
      <c r="C190" s="206">
        <v>55</v>
      </c>
      <c r="D190" s="191">
        <f t="shared" si="11"/>
        <v>2970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80</v>
      </c>
      <c r="B191" s="193">
        <f>'Données projet'!D179</f>
        <v>52</v>
      </c>
      <c r="C191" s="206">
        <v>60</v>
      </c>
      <c r="D191" s="191">
        <f t="shared" si="11"/>
        <v>3120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>Séquoia toujours vert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287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15</v>
      </c>
      <c r="B209" s="193">
        <f>'Données projet'!D192</f>
        <v>13</v>
      </c>
      <c r="C209" s="290">
        <v>10</v>
      </c>
      <c r="D209" s="191">
        <f>B209*C209</f>
        <v>130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20</v>
      </c>
      <c r="B210" s="193">
        <f>'Données projet'!D193</f>
        <v>105</v>
      </c>
      <c r="C210" s="290">
        <v>15</v>
      </c>
      <c r="D210" s="191">
        <f t="shared" ref="D210:D228" si="12">B210*C210</f>
        <v>1575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25</v>
      </c>
      <c r="B211" s="193">
        <f>'Données projet'!D194</f>
        <v>105</v>
      </c>
      <c r="C211" s="290">
        <v>20</v>
      </c>
      <c r="D211" s="191">
        <f t="shared" si="12"/>
        <v>2100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30</v>
      </c>
      <c r="B212" s="193">
        <f>'Données projet'!D195</f>
        <v>105</v>
      </c>
      <c r="C212" s="290">
        <v>25</v>
      </c>
      <c r="D212" s="191">
        <f t="shared" si="12"/>
        <v>2625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35</v>
      </c>
      <c r="B213" s="193">
        <f>'Données projet'!D196</f>
        <v>105</v>
      </c>
      <c r="C213" s="290">
        <v>30</v>
      </c>
      <c r="D213" s="191">
        <f t="shared" si="12"/>
        <v>3150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40</v>
      </c>
      <c r="B214" s="193">
        <f>'Données projet'!D197</f>
        <v>0</v>
      </c>
      <c r="C214" s="206">
        <v>35</v>
      </c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45</v>
      </c>
      <c r="B215" s="193">
        <f>'Données projet'!D198</f>
        <v>83</v>
      </c>
      <c r="C215" s="206">
        <v>40</v>
      </c>
      <c r="D215" s="191">
        <f t="shared" si="12"/>
        <v>3320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50</v>
      </c>
      <c r="B216" s="193">
        <f>'Données projet'!D199</f>
        <v>71</v>
      </c>
      <c r="C216" s="206">
        <v>40</v>
      </c>
      <c r="D216" s="191">
        <f t="shared" si="12"/>
        <v>2840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55</v>
      </c>
      <c r="B217" s="193">
        <f>'Données projet'!D200</f>
        <v>62</v>
      </c>
      <c r="C217" s="206">
        <v>45</v>
      </c>
      <c r="D217" s="191">
        <f t="shared" si="12"/>
        <v>2790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60</v>
      </c>
      <c r="B218" s="193">
        <f>'Données projet'!D201</f>
        <v>55</v>
      </c>
      <c r="C218" s="206">
        <v>50</v>
      </c>
      <c r="D218" s="191">
        <f t="shared" si="12"/>
        <v>2750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65</v>
      </c>
      <c r="B219" s="193">
        <f>'Données projet'!D202</f>
        <v>49</v>
      </c>
      <c r="C219" s="206">
        <v>55</v>
      </c>
      <c r="D219" s="191">
        <f t="shared" si="12"/>
        <v>2695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70</v>
      </c>
      <c r="B220" s="193">
        <f>'Données projet'!D203</f>
        <v>44</v>
      </c>
      <c r="C220" s="206">
        <v>55</v>
      </c>
      <c r="D220" s="191">
        <f t="shared" si="12"/>
        <v>2420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75</v>
      </c>
      <c r="B221" s="193">
        <f>'Données projet'!D204</f>
        <v>40</v>
      </c>
      <c r="C221" s="206">
        <v>60</v>
      </c>
      <c r="D221" s="191">
        <f t="shared" si="12"/>
        <v>2400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80</v>
      </c>
      <c r="B222" s="193">
        <f>'Données projet'!D205</f>
        <v>35</v>
      </c>
      <c r="C222" s="206">
        <v>60</v>
      </c>
      <c r="D222" s="191">
        <f t="shared" si="12"/>
        <v>2100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>Cèdre de l'Atlas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287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20</v>
      </c>
      <c r="B240" s="193">
        <f>'Données projet'!D218</f>
        <v>0</v>
      </c>
      <c r="C240" s="290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30</v>
      </c>
      <c r="B241" s="193">
        <f>'Données projet'!D219</f>
        <v>0</v>
      </c>
      <c r="C241" s="290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40</v>
      </c>
      <c r="B242" s="193">
        <f>'Données projet'!D220</f>
        <v>91</v>
      </c>
      <c r="C242" s="290">
        <v>15</v>
      </c>
      <c r="D242" s="191">
        <f t="shared" si="13"/>
        <v>1365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50</v>
      </c>
      <c r="B243" s="193">
        <f>'Données projet'!D221</f>
        <v>91</v>
      </c>
      <c r="C243" s="290">
        <v>15</v>
      </c>
      <c r="D243" s="191">
        <f t="shared" si="13"/>
        <v>1365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60</v>
      </c>
      <c r="B244" s="193">
        <f>'Données projet'!D222</f>
        <v>112</v>
      </c>
      <c r="C244" s="290">
        <v>25</v>
      </c>
      <c r="D244" s="191">
        <f t="shared" si="13"/>
        <v>2800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70</v>
      </c>
      <c r="B245" s="193">
        <f>'Données projet'!D223</f>
        <v>109</v>
      </c>
      <c r="C245" s="206">
        <v>35</v>
      </c>
      <c r="D245" s="191">
        <f t="shared" si="13"/>
        <v>3815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80</v>
      </c>
      <c r="B246" s="193">
        <f>'Données projet'!D224</f>
        <v>110</v>
      </c>
      <c r="C246" s="206">
        <v>40</v>
      </c>
      <c r="D246" s="191">
        <f t="shared" si="13"/>
        <v>4400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90</v>
      </c>
      <c r="B247" s="193">
        <f>'Données projet'!D225</f>
        <v>97</v>
      </c>
      <c r="C247" s="206">
        <v>45</v>
      </c>
      <c r="D247" s="191">
        <f t="shared" si="13"/>
        <v>4365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100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>Sapin méditerranéen</v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287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17</v>
      </c>
      <c r="B271" s="193">
        <f>'Données projet'!D244</f>
        <v>15</v>
      </c>
      <c r="C271" s="290">
        <v>10</v>
      </c>
      <c r="D271" s="191">
        <f>B271*C271</f>
        <v>150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20</v>
      </c>
      <c r="B272" s="193">
        <f>'Données projet'!D245</f>
        <v>15</v>
      </c>
      <c r="C272" s="290">
        <v>15</v>
      </c>
      <c r="D272" s="191">
        <f t="shared" ref="D272:D290" si="14">B272*C272</f>
        <v>225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25</v>
      </c>
      <c r="B273" s="193">
        <f>'Données projet'!D246</f>
        <v>36</v>
      </c>
      <c r="C273" s="290">
        <v>20</v>
      </c>
      <c r="D273" s="191">
        <f t="shared" si="14"/>
        <v>720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30</v>
      </c>
      <c r="B274" s="193">
        <f>'Données projet'!D247</f>
        <v>54</v>
      </c>
      <c r="C274" s="290">
        <v>25</v>
      </c>
      <c r="D274" s="191">
        <f t="shared" si="14"/>
        <v>1350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35</v>
      </c>
      <c r="B275" s="193">
        <f>'Données projet'!D248</f>
        <v>52</v>
      </c>
      <c r="C275" s="290">
        <v>25</v>
      </c>
      <c r="D275" s="191">
        <f t="shared" si="14"/>
        <v>1300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40</v>
      </c>
      <c r="B276" s="193">
        <f>'Données projet'!D249</f>
        <v>48</v>
      </c>
      <c r="C276" s="206">
        <v>30</v>
      </c>
      <c r="D276" s="191">
        <f t="shared" si="14"/>
        <v>1440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45</v>
      </c>
      <c r="B277" s="193">
        <f>'Données projet'!D250</f>
        <v>57</v>
      </c>
      <c r="C277" s="206">
        <v>35</v>
      </c>
      <c r="D277" s="191">
        <f t="shared" si="14"/>
        <v>1995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50</v>
      </c>
      <c r="B278" s="193">
        <f>'Données projet'!D251</f>
        <v>47</v>
      </c>
      <c r="C278" s="206">
        <v>35</v>
      </c>
      <c r="D278" s="191">
        <f t="shared" si="14"/>
        <v>1645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55</v>
      </c>
      <c r="B279" s="193">
        <f>'Données projet'!D252</f>
        <v>48</v>
      </c>
      <c r="C279" s="206">
        <v>40</v>
      </c>
      <c r="D279" s="191">
        <f t="shared" si="14"/>
        <v>1920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60</v>
      </c>
      <c r="B280" s="193">
        <f>'Données projet'!D253</f>
        <v>32</v>
      </c>
      <c r="C280" s="206">
        <v>40</v>
      </c>
      <c r="D280" s="191">
        <f t="shared" si="14"/>
        <v>1280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65</v>
      </c>
      <c r="B281" s="193">
        <f>'Données projet'!D254</f>
        <v>28</v>
      </c>
      <c r="C281" s="206">
        <v>45</v>
      </c>
      <c r="D281" s="191">
        <f t="shared" si="14"/>
        <v>1260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287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okQo/kRoK/jfjuAaoMyM0XgB43xLErDOlD6fNnDn0anV8vgxgJ3BLEeIxbFf97SrUUnRqs6xEX05XlNiXHoWag==" saltValue="+h6Xbsy8Ch1n1hTXPTafZw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2022-08-05T19:40:55Z</dcterms:modified>
</cp:coreProperties>
</file>