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Sabres\Projet Aureilhan_042021\"/>
    </mc:Choice>
  </mc:AlternateContent>
  <bookViews>
    <workbookView xWindow="0" yWindow="0" windowWidth="19200" windowHeight="7310" activeTab="3"/>
  </bookViews>
  <sheets>
    <sheet name="REAforêtMBoisement" sheetId="6" r:id="rId1"/>
    <sheet name="REAproduitsMBoisement" sheetId="3" r:id="rId2"/>
    <sheet name="REEsubsM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5" l="1"/>
  <c r="B5" i="5"/>
  <c r="V19" i="5"/>
  <c r="B6" i="3"/>
  <c r="B5" i="3"/>
  <c r="O29" i="3"/>
  <c r="AF28" i="3"/>
  <c r="AF26" i="3"/>
  <c r="W28" i="3"/>
  <c r="W26" i="3"/>
  <c r="S28" i="3"/>
  <c r="S26" i="3"/>
  <c r="C25" i="3"/>
  <c r="C19" i="3"/>
  <c r="C24" i="3"/>
  <c r="B6" i="6"/>
  <c r="B5" i="6"/>
  <c r="B52" i="6"/>
  <c r="B51" i="6"/>
  <c r="B50" i="6"/>
  <c r="B49" i="6"/>
  <c r="B48" i="6"/>
  <c r="B47" i="6"/>
  <c r="B46" i="6"/>
  <c r="B45" i="6"/>
  <c r="AF33" i="6"/>
  <c r="C33" i="6"/>
  <c r="B29" i="6"/>
  <c r="AE21" i="6"/>
  <c r="B21" i="6"/>
  <c r="C26" i="6"/>
  <c r="C25" i="6"/>
  <c r="C24" i="6"/>
  <c r="B22" i="6"/>
  <c r="D23" i="6"/>
  <c r="E23" i="6"/>
  <c r="F23" i="6"/>
  <c r="G23" i="6"/>
  <c r="H23" i="6"/>
  <c r="I23" i="6"/>
  <c r="J23" i="6"/>
  <c r="K23" i="6" s="1"/>
  <c r="L23" i="6" s="1"/>
  <c r="M23" i="6" s="1"/>
  <c r="C23" i="6"/>
  <c r="C29" i="6" l="1"/>
  <c r="D29" i="6"/>
  <c r="E29" i="6"/>
  <c r="F29" i="6"/>
  <c r="G29" i="6"/>
  <c r="H29" i="6"/>
  <c r="I29" i="6"/>
  <c r="J29" i="6"/>
  <c r="K29" i="6"/>
  <c r="L29" i="6"/>
  <c r="M29" i="6"/>
  <c r="N29" i="6"/>
  <c r="O29" i="6"/>
  <c r="P29" i="6"/>
  <c r="Q29" i="6"/>
  <c r="R29" i="6"/>
  <c r="S29" i="6"/>
  <c r="T29" i="6"/>
  <c r="U29" i="6"/>
  <c r="V29" i="6"/>
  <c r="W29" i="6"/>
  <c r="X29" i="6"/>
  <c r="Y29" i="6"/>
  <c r="Z29" i="6"/>
  <c r="AA29" i="6"/>
  <c r="AB29" i="6"/>
  <c r="AC29" i="6"/>
  <c r="AD29" i="6"/>
  <c r="AE29" i="6"/>
  <c r="AF29" i="6"/>
  <c r="B16" i="3" l="1"/>
  <c r="B25" i="6"/>
  <c r="C18" i="4" l="1"/>
  <c r="C17" i="4"/>
  <c r="C15" i="4"/>
  <c r="B13" i="5"/>
  <c r="R19" i="5" s="1"/>
  <c r="R21" i="5" s="1"/>
  <c r="C40" i="3"/>
  <c r="C39" i="3"/>
  <c r="C38" i="3"/>
  <c r="C21" i="3" s="1"/>
  <c r="C37" i="3"/>
  <c r="C18" i="3" s="1"/>
  <c r="C32" i="3"/>
  <c r="AD25" i="3" s="1"/>
  <c r="E37" i="6"/>
  <c r="C37" i="6"/>
  <c r="B36" i="6"/>
  <c r="AF32" i="6"/>
  <c r="AE32" i="6"/>
  <c r="AD32" i="6"/>
  <c r="AC32" i="6"/>
  <c r="AB32" i="6"/>
  <c r="AA32" i="6"/>
  <c r="Z32" i="6"/>
  <c r="Y32" i="6"/>
  <c r="X32" i="6"/>
  <c r="W32" i="6"/>
  <c r="V32" i="6"/>
  <c r="U32" i="6"/>
  <c r="T32" i="6"/>
  <c r="S32" i="6"/>
  <c r="R32" i="6"/>
  <c r="Q32" i="6"/>
  <c r="P32" i="6"/>
  <c r="O32" i="6"/>
  <c r="N32" i="6"/>
  <c r="M32" i="6"/>
  <c r="L32" i="6"/>
  <c r="K32" i="6"/>
  <c r="J32" i="6"/>
  <c r="I32" i="6"/>
  <c r="H32" i="6"/>
  <c r="G32" i="6"/>
  <c r="F32" i="6"/>
  <c r="E32" i="6"/>
  <c r="D32" i="6"/>
  <c r="C32" i="6"/>
  <c r="B32" i="6"/>
  <c r="AF31" i="6"/>
  <c r="AE31" i="6"/>
  <c r="AD31" i="6"/>
  <c r="AC31" i="6"/>
  <c r="AB31" i="6"/>
  <c r="AA31" i="6"/>
  <c r="Z31" i="6"/>
  <c r="Y31" i="6"/>
  <c r="X31" i="6"/>
  <c r="W31" i="6"/>
  <c r="V31" i="6"/>
  <c r="U31" i="6"/>
  <c r="T31" i="6"/>
  <c r="S31" i="6"/>
  <c r="R31" i="6"/>
  <c r="Q31" i="6"/>
  <c r="P31" i="6"/>
  <c r="O31" i="6"/>
  <c r="N31" i="6"/>
  <c r="M31" i="6"/>
  <c r="L31" i="6"/>
  <c r="K31" i="6"/>
  <c r="J31" i="6"/>
  <c r="I31" i="6"/>
  <c r="H31" i="6"/>
  <c r="G31" i="6"/>
  <c r="F31" i="6"/>
  <c r="E31" i="6"/>
  <c r="D31" i="6"/>
  <c r="C31" i="6"/>
  <c r="B31" i="6"/>
  <c r="B30" i="6"/>
  <c r="B28" i="6" s="1"/>
  <c r="AF30" i="6"/>
  <c r="AD30" i="6"/>
  <c r="AC30" i="6"/>
  <c r="AB30" i="6"/>
  <c r="AA30" i="6"/>
  <c r="Z30" i="6"/>
  <c r="Y30" i="6"/>
  <c r="X30" i="6"/>
  <c r="W30" i="6"/>
  <c r="V30" i="6"/>
  <c r="U30" i="6"/>
  <c r="T30" i="6"/>
  <c r="S30" i="6"/>
  <c r="R30" i="6"/>
  <c r="Q30" i="6"/>
  <c r="P30" i="6"/>
  <c r="O30" i="6"/>
  <c r="N30" i="6"/>
  <c r="M30" i="6"/>
  <c r="L30" i="6"/>
  <c r="K30" i="6"/>
  <c r="J30" i="6"/>
  <c r="I30" i="6"/>
  <c r="H30" i="6"/>
  <c r="G30" i="6"/>
  <c r="F30" i="6"/>
  <c r="E30" i="6"/>
  <c r="D30" i="6"/>
  <c r="C30" i="6"/>
  <c r="C28" i="6" s="1"/>
  <c r="N28" i="6"/>
  <c r="F28" i="6"/>
  <c r="AF26" i="6"/>
  <c r="AE26" i="6"/>
  <c r="AD26" i="6"/>
  <c r="AC26" i="6"/>
  <c r="AB26" i="6"/>
  <c r="AA26" i="6"/>
  <c r="Z26" i="6"/>
  <c r="Y26" i="6"/>
  <c r="X26" i="6"/>
  <c r="W26" i="6"/>
  <c r="V26" i="6"/>
  <c r="U26" i="6"/>
  <c r="T26" i="6"/>
  <c r="S26" i="6"/>
  <c r="R26" i="6"/>
  <c r="Q26" i="6"/>
  <c r="P26" i="6"/>
  <c r="O26" i="6"/>
  <c r="N26" i="6"/>
  <c r="M26" i="6"/>
  <c r="L26" i="6"/>
  <c r="K26" i="6"/>
  <c r="J26" i="6"/>
  <c r="I26" i="6"/>
  <c r="H26" i="6"/>
  <c r="G26" i="6"/>
  <c r="F26" i="6"/>
  <c r="E26" i="6"/>
  <c r="D26" i="6"/>
  <c r="B26" i="6"/>
  <c r="AF25" i="6"/>
  <c r="AE25" i="6"/>
  <c r="AD25" i="6"/>
  <c r="AC25" i="6"/>
  <c r="AB25" i="6"/>
  <c r="AA25" i="6"/>
  <c r="Z25" i="6"/>
  <c r="Y25" i="6"/>
  <c r="X25" i="6"/>
  <c r="W25" i="6"/>
  <c r="V25" i="6"/>
  <c r="U25" i="6"/>
  <c r="T25" i="6"/>
  <c r="S25" i="6"/>
  <c r="R25" i="6"/>
  <c r="Q25" i="6"/>
  <c r="P25" i="6"/>
  <c r="O25" i="6"/>
  <c r="N25" i="6"/>
  <c r="M25" i="6"/>
  <c r="L25" i="6"/>
  <c r="K25" i="6"/>
  <c r="J25" i="6"/>
  <c r="I25" i="6"/>
  <c r="H25" i="6"/>
  <c r="G25" i="6"/>
  <c r="F25" i="6"/>
  <c r="E25" i="6"/>
  <c r="D25" i="6"/>
  <c r="U22" i="6" l="1"/>
  <c r="U24" i="6" s="1"/>
  <c r="C22" i="6"/>
  <c r="T19" i="5"/>
  <c r="T21" i="5" s="1"/>
  <c r="K28" i="6"/>
  <c r="D28" i="6"/>
  <c r="L28" i="6"/>
  <c r="T28" i="6"/>
  <c r="AB28" i="6"/>
  <c r="S28" i="6"/>
  <c r="V28" i="6"/>
  <c r="G28" i="6"/>
  <c r="O28" i="6"/>
  <c r="W28" i="6"/>
  <c r="AA28" i="6"/>
  <c r="AD28" i="6"/>
  <c r="I28" i="6"/>
  <c r="Q28" i="6"/>
  <c r="Y28" i="6"/>
  <c r="J28" i="6"/>
  <c r="R28" i="6"/>
  <c r="Z28" i="6"/>
  <c r="AF28" i="6"/>
  <c r="H28" i="6"/>
  <c r="X28" i="6"/>
  <c r="P28" i="6"/>
  <c r="E28" i="6"/>
  <c r="M28" i="6"/>
  <c r="U28" i="6"/>
  <c r="AC28" i="6"/>
  <c r="AE30" i="6"/>
  <c r="AE28" i="6" s="1"/>
  <c r="M22" i="6"/>
  <c r="M24" i="6" s="1"/>
  <c r="M21" i="6" s="1"/>
  <c r="M33" i="6" s="1"/>
  <c r="Z22" i="6"/>
  <c r="Z24" i="6" s="1"/>
  <c r="Z21" i="6" s="1"/>
  <c r="Z33" i="6" s="1"/>
  <c r="N22" i="6"/>
  <c r="N24" i="6" s="1"/>
  <c r="AB22" i="6"/>
  <c r="AB24" i="6" s="1"/>
  <c r="AB21" i="6" s="1"/>
  <c r="L22" i="6"/>
  <c r="L24" i="6" s="1"/>
  <c r="L21" i="6" s="1"/>
  <c r="L33" i="6" s="1"/>
  <c r="AC22" i="6"/>
  <c r="AC24" i="6" s="1"/>
  <c r="AC21" i="6" s="1"/>
  <c r="AC33" i="6" s="1"/>
  <c r="AD22" i="6"/>
  <c r="AD24" i="6" s="1"/>
  <c r="V22" i="6"/>
  <c r="V24" i="6" s="1"/>
  <c r="V21" i="6" s="1"/>
  <c r="V33" i="6" s="1"/>
  <c r="P22" i="6"/>
  <c r="P24" i="6" s="1"/>
  <c r="P21" i="6" s="1"/>
  <c r="T22" i="6"/>
  <c r="T24" i="6" s="1"/>
  <c r="AF22" i="6"/>
  <c r="AF24" i="6" s="1"/>
  <c r="X22" i="6"/>
  <c r="X24" i="6" s="1"/>
  <c r="R22" i="6"/>
  <c r="R24" i="6" s="1"/>
  <c r="R21" i="6" s="1"/>
  <c r="R33" i="6" s="1"/>
  <c r="B29" i="3"/>
  <c r="F22" i="3"/>
  <c r="N19" i="3"/>
  <c r="K22" i="3"/>
  <c r="K25" i="3"/>
  <c r="Q19" i="3"/>
  <c r="N22" i="3"/>
  <c r="S25" i="3"/>
  <c r="V19" i="3"/>
  <c r="S22" i="3"/>
  <c r="AA25" i="3"/>
  <c r="I19" i="3"/>
  <c r="Y19" i="3"/>
  <c r="AA22" i="3"/>
  <c r="AD22" i="3"/>
  <c r="V22" i="3"/>
  <c r="AD19" i="3"/>
  <c r="F19" i="3"/>
  <c r="C22" i="3"/>
  <c r="E19" i="3"/>
  <c r="M19" i="3"/>
  <c r="U19" i="3"/>
  <c r="AC19" i="3"/>
  <c r="B22" i="3"/>
  <c r="C20" i="3" s="1"/>
  <c r="D21" i="3" s="1"/>
  <c r="D20" i="3" s="1"/>
  <c r="E21" i="3" s="1"/>
  <c r="J22" i="3"/>
  <c r="R22" i="3"/>
  <c r="Z22" i="3"/>
  <c r="G25" i="3"/>
  <c r="O25" i="3"/>
  <c r="W25" i="3"/>
  <c r="AE25" i="3"/>
  <c r="H25" i="3"/>
  <c r="P25" i="3"/>
  <c r="X25" i="3"/>
  <c r="AF25" i="3"/>
  <c r="G19" i="3"/>
  <c r="O19" i="3"/>
  <c r="W19" i="3"/>
  <c r="AE19" i="3"/>
  <c r="D22" i="3"/>
  <c r="L22" i="3"/>
  <c r="T22" i="3"/>
  <c r="AB22" i="3"/>
  <c r="I25" i="3"/>
  <c r="Q25" i="3"/>
  <c r="Y25" i="3"/>
  <c r="H19" i="3"/>
  <c r="P19" i="3"/>
  <c r="X19" i="3"/>
  <c r="AF19" i="3"/>
  <c r="E22" i="3"/>
  <c r="M22" i="3"/>
  <c r="U22" i="3"/>
  <c r="AC22" i="3"/>
  <c r="B25" i="3"/>
  <c r="C23" i="3" s="1"/>
  <c r="D24" i="3" s="1"/>
  <c r="J25" i="3"/>
  <c r="R25" i="3"/>
  <c r="Z25" i="3"/>
  <c r="B19" i="3"/>
  <c r="C17" i="3" s="1"/>
  <c r="J19" i="3"/>
  <c r="R19" i="3"/>
  <c r="Z19" i="3"/>
  <c r="G22" i="3"/>
  <c r="O22" i="3"/>
  <c r="W22" i="3"/>
  <c r="AE22" i="3"/>
  <c r="D25" i="3"/>
  <c r="L25" i="3"/>
  <c r="T25" i="3"/>
  <c r="AB25" i="3"/>
  <c r="K19" i="3"/>
  <c r="S19" i="3"/>
  <c r="AA19" i="3"/>
  <c r="H22" i="3"/>
  <c r="P22" i="3"/>
  <c r="X22" i="3"/>
  <c r="AF22" i="3"/>
  <c r="E25" i="3"/>
  <c r="M25" i="3"/>
  <c r="U25" i="3"/>
  <c r="AC25" i="3"/>
  <c r="D19" i="3"/>
  <c r="L19" i="3"/>
  <c r="T19" i="3"/>
  <c r="AB19" i="3"/>
  <c r="I22" i="3"/>
  <c r="Q22" i="3"/>
  <c r="Y22" i="3"/>
  <c r="F25" i="3"/>
  <c r="N25" i="3"/>
  <c r="V25" i="3"/>
  <c r="B19" i="5"/>
  <c r="B21" i="5" s="1"/>
  <c r="J19" i="5"/>
  <c r="J21" i="5" s="1"/>
  <c r="L19" i="5"/>
  <c r="L21" i="5" s="1"/>
  <c r="Y19" i="5"/>
  <c r="Y21" i="5" s="1"/>
  <c r="N19" i="5"/>
  <c r="N21" i="5" s="1"/>
  <c r="Z19" i="5"/>
  <c r="Z21" i="5" s="1"/>
  <c r="AB19" i="5"/>
  <c r="AB21" i="5" s="1"/>
  <c r="D19" i="5"/>
  <c r="D21" i="5" s="1"/>
  <c r="C19" i="5"/>
  <c r="C21" i="5" s="1"/>
  <c r="K19" i="5"/>
  <c r="K21" i="5" s="1"/>
  <c r="S19" i="5"/>
  <c r="S21" i="5" s="1"/>
  <c r="AA19" i="5"/>
  <c r="AA21" i="5" s="1"/>
  <c r="E19" i="5"/>
  <c r="E21" i="5" s="1"/>
  <c r="M19" i="5"/>
  <c r="M21" i="5" s="1"/>
  <c r="U19" i="5"/>
  <c r="U21" i="5" s="1"/>
  <c r="AC19" i="5"/>
  <c r="AC21" i="5" s="1"/>
  <c r="F19" i="5"/>
  <c r="F21" i="5" s="1"/>
  <c r="V21" i="5"/>
  <c r="AD19" i="5"/>
  <c r="AD21" i="5" s="1"/>
  <c r="G19" i="5"/>
  <c r="G21" i="5" s="1"/>
  <c r="O19" i="5"/>
  <c r="O21" i="5" s="1"/>
  <c r="W19" i="5"/>
  <c r="W21" i="5" s="1"/>
  <c r="AE19" i="5"/>
  <c r="AE21" i="5" s="1"/>
  <c r="H19" i="5"/>
  <c r="H21" i="5" s="1"/>
  <c r="P19" i="5"/>
  <c r="P21" i="5" s="1"/>
  <c r="X19" i="5"/>
  <c r="X21" i="5" s="1"/>
  <c r="I19" i="5"/>
  <c r="I21" i="5" s="1"/>
  <c r="Q19" i="5"/>
  <c r="Q21" i="5" s="1"/>
  <c r="B33" i="6"/>
  <c r="D22" i="6"/>
  <c r="O22" i="6"/>
  <c r="W22" i="6"/>
  <c r="AE22" i="6"/>
  <c r="Q22" i="6"/>
  <c r="Y22" i="6"/>
  <c r="S22" i="6"/>
  <c r="AA22" i="6"/>
  <c r="U21" i="6" l="1"/>
  <c r="U33" i="6" s="1"/>
  <c r="B8" i="4"/>
  <c r="B9" i="4" s="1"/>
  <c r="AF21" i="6"/>
  <c r="AD21" i="6"/>
  <c r="AD33" i="6" s="1"/>
  <c r="X21" i="6"/>
  <c r="X33" i="6" s="1"/>
  <c r="T21" i="6"/>
  <c r="T33" i="6" s="1"/>
  <c r="N21" i="6"/>
  <c r="N33" i="6" s="1"/>
  <c r="AB33" i="6"/>
  <c r="P33" i="6"/>
  <c r="D23" i="3"/>
  <c r="E24" i="3" s="1"/>
  <c r="E23" i="3" s="1"/>
  <c r="F24" i="3" s="1"/>
  <c r="F23" i="3" s="1"/>
  <c r="G24" i="3" s="1"/>
  <c r="G23" i="3" s="1"/>
  <c r="H24" i="3" s="1"/>
  <c r="H23" i="3" s="1"/>
  <c r="I24" i="3" s="1"/>
  <c r="I23" i="3" s="1"/>
  <c r="J24" i="3" s="1"/>
  <c r="J23" i="3" s="1"/>
  <c r="K24" i="3" s="1"/>
  <c r="K23" i="3" s="1"/>
  <c r="L24" i="3" s="1"/>
  <c r="L23" i="3" s="1"/>
  <c r="M24" i="3" s="1"/>
  <c r="M23" i="3" s="1"/>
  <c r="N24" i="3" s="1"/>
  <c r="N23" i="3" s="1"/>
  <c r="O24" i="3" s="1"/>
  <c r="O23" i="3" s="1"/>
  <c r="P24" i="3" s="1"/>
  <c r="P23" i="3" s="1"/>
  <c r="C16" i="3"/>
  <c r="E20" i="3"/>
  <c r="F21" i="3" s="1"/>
  <c r="F20" i="3" s="1"/>
  <c r="G21" i="3" s="1"/>
  <c r="G20" i="3" s="1"/>
  <c r="H21" i="3" s="1"/>
  <c r="H20" i="3" s="1"/>
  <c r="I21" i="3" s="1"/>
  <c r="I20" i="3" s="1"/>
  <c r="J21" i="3" s="1"/>
  <c r="J20" i="3" s="1"/>
  <c r="K21" i="3" s="1"/>
  <c r="K20" i="3" s="1"/>
  <c r="L21" i="3" s="1"/>
  <c r="L20" i="3" s="1"/>
  <c r="M21" i="3" s="1"/>
  <c r="M20" i="3" s="1"/>
  <c r="N21" i="3" s="1"/>
  <c r="N20" i="3" s="1"/>
  <c r="O21" i="3" s="1"/>
  <c r="O20" i="3" s="1"/>
  <c r="P21" i="3" s="1"/>
  <c r="P20" i="3" s="1"/>
  <c r="Q21" i="3" s="1"/>
  <c r="Q20" i="3" s="1"/>
  <c r="R21" i="3" s="1"/>
  <c r="R20" i="3" s="1"/>
  <c r="S21" i="3" s="1"/>
  <c r="S20" i="3" s="1"/>
  <c r="T21" i="3" s="1"/>
  <c r="T20" i="3" s="1"/>
  <c r="U21" i="3" s="1"/>
  <c r="U20" i="3" s="1"/>
  <c r="V21" i="3" s="1"/>
  <c r="V20" i="3" s="1"/>
  <c r="W21" i="3" s="1"/>
  <c r="W20" i="3" s="1"/>
  <c r="X21" i="3" s="1"/>
  <c r="X20" i="3" s="1"/>
  <c r="Y21" i="3" s="1"/>
  <c r="Y20" i="3" s="1"/>
  <c r="Z21" i="3" s="1"/>
  <c r="Z20" i="3" s="1"/>
  <c r="AA21" i="3" s="1"/>
  <c r="AA20" i="3" s="1"/>
  <c r="AB21" i="3" s="1"/>
  <c r="AB20" i="3" s="1"/>
  <c r="AC21" i="3" s="1"/>
  <c r="AC20" i="3" s="1"/>
  <c r="AD21" i="3" s="1"/>
  <c r="AD20" i="3" s="1"/>
  <c r="AE21" i="3" s="1"/>
  <c r="AE20" i="3" s="1"/>
  <c r="AF21" i="3" s="1"/>
  <c r="AF20" i="3" s="1"/>
  <c r="D18" i="3"/>
  <c r="D17" i="3" s="1"/>
  <c r="D16" i="3" s="1"/>
  <c r="E22" i="6"/>
  <c r="O24" i="6"/>
  <c r="O21" i="6" s="1"/>
  <c r="O33" i="6" s="1"/>
  <c r="D24" i="6"/>
  <c r="D21" i="6" s="1"/>
  <c r="D33" i="6" s="1"/>
  <c r="AA24" i="6"/>
  <c r="AA21" i="6" s="1"/>
  <c r="AA33" i="6" s="1"/>
  <c r="Y24" i="6"/>
  <c r="Y21" i="6" s="1"/>
  <c r="Y33" i="6" s="1"/>
  <c r="S24" i="6"/>
  <c r="S21" i="6" s="1"/>
  <c r="S33" i="6" s="1"/>
  <c r="Q24" i="6"/>
  <c r="Q21" i="6" s="1"/>
  <c r="Q33" i="6" s="1"/>
  <c r="W24" i="6"/>
  <c r="W21" i="6" s="1"/>
  <c r="W33" i="6" s="1"/>
  <c r="C21" i="6"/>
  <c r="AE24" i="6"/>
  <c r="AE33" i="6" s="1"/>
  <c r="Q24" i="3" l="1"/>
  <c r="Q23" i="3" s="1"/>
  <c r="C29" i="3"/>
  <c r="D29" i="3"/>
  <c r="E18" i="3"/>
  <c r="E17" i="3" s="1"/>
  <c r="E16" i="3" s="1"/>
  <c r="E24" i="6"/>
  <c r="E21" i="6" s="1"/>
  <c r="F22" i="6"/>
  <c r="R24" i="3" l="1"/>
  <c r="R23" i="3" s="1"/>
  <c r="E29" i="3"/>
  <c r="F18" i="3"/>
  <c r="F17" i="3" s="1"/>
  <c r="F16" i="3" s="1"/>
  <c r="E33" i="6"/>
  <c r="F24" i="6"/>
  <c r="F21" i="6" s="1"/>
  <c r="G22" i="6"/>
  <c r="S24" i="3" l="1"/>
  <c r="S23" i="3" s="1"/>
  <c r="F29" i="3"/>
  <c r="G18" i="3"/>
  <c r="G17" i="3" s="1"/>
  <c r="G16" i="3" s="1"/>
  <c r="F33" i="6"/>
  <c r="G24" i="6"/>
  <c r="G21" i="6" s="1"/>
  <c r="H22" i="6"/>
  <c r="T24" i="3" l="1"/>
  <c r="T23" i="3" s="1"/>
  <c r="G29" i="3"/>
  <c r="H18" i="3"/>
  <c r="H17" i="3" s="1"/>
  <c r="H16" i="3" s="1"/>
  <c r="G33" i="6"/>
  <c r="I22" i="6"/>
  <c r="H24" i="6"/>
  <c r="H21" i="6" s="1"/>
  <c r="U24" i="3" l="1"/>
  <c r="U23" i="3" s="1"/>
  <c r="I18" i="3"/>
  <c r="I17" i="3" s="1"/>
  <c r="I16" i="3" s="1"/>
  <c r="H29" i="3"/>
  <c r="H33" i="6"/>
  <c r="I24" i="6"/>
  <c r="I21" i="6" s="1"/>
  <c r="I33" i="6" s="1"/>
  <c r="K22" i="6"/>
  <c r="J22" i="6"/>
  <c r="V24" i="3" l="1"/>
  <c r="V23" i="3" s="1"/>
  <c r="J18" i="3"/>
  <c r="J17" i="3" s="1"/>
  <c r="J16" i="3" s="1"/>
  <c r="I29" i="3"/>
  <c r="J24" i="6"/>
  <c r="J21" i="6" s="1"/>
  <c r="J33" i="6" s="1"/>
  <c r="K24" i="6"/>
  <c r="K21" i="6" s="1"/>
  <c r="W24" i="3" l="1"/>
  <c r="W23" i="3" s="1"/>
  <c r="K18" i="3"/>
  <c r="K17" i="3" s="1"/>
  <c r="K16" i="3" s="1"/>
  <c r="J29" i="3"/>
  <c r="K33" i="6"/>
  <c r="X24" i="3" l="1"/>
  <c r="X23" i="3" s="1"/>
  <c r="K29" i="3"/>
  <c r="L18" i="3"/>
  <c r="L17" i="3" s="1"/>
  <c r="L16" i="3" s="1"/>
  <c r="B4" i="4" l="1"/>
  <c r="Y24" i="3"/>
  <c r="Y23" i="3" s="1"/>
  <c r="L29" i="3"/>
  <c r="M18" i="3"/>
  <c r="M17" i="3" s="1"/>
  <c r="M16" i="3" s="1"/>
  <c r="B5" i="4" l="1"/>
  <c r="Z24" i="3"/>
  <c r="Z23" i="3" s="1"/>
  <c r="M29" i="3"/>
  <c r="N18" i="3"/>
  <c r="N17" i="3" s="1"/>
  <c r="N16" i="3" s="1"/>
  <c r="AA24" i="3" l="1"/>
  <c r="AA23" i="3" s="1"/>
  <c r="N29" i="3"/>
  <c r="O18" i="3"/>
  <c r="O17" i="3" s="1"/>
  <c r="O16" i="3" s="1"/>
  <c r="AB24" i="3" l="1"/>
  <c r="AB23" i="3" s="1"/>
  <c r="P18" i="3"/>
  <c r="P17" i="3" s="1"/>
  <c r="P16" i="3" s="1"/>
  <c r="AC24" i="3" l="1"/>
  <c r="AC23" i="3" s="1"/>
  <c r="Q18" i="3"/>
  <c r="Q17" i="3" s="1"/>
  <c r="Q16" i="3" s="1"/>
  <c r="P29" i="3"/>
  <c r="AD24" i="3" l="1"/>
  <c r="AD23" i="3" s="1"/>
  <c r="R18" i="3"/>
  <c r="R17" i="3" s="1"/>
  <c r="R16" i="3" s="1"/>
  <c r="Q29" i="3"/>
  <c r="AE24" i="3" l="1"/>
  <c r="AE23" i="3" s="1"/>
  <c r="S18" i="3"/>
  <c r="S17" i="3" s="1"/>
  <c r="S16" i="3" s="1"/>
  <c r="R29" i="3"/>
  <c r="AF24" i="3" l="1"/>
  <c r="AF23" i="3" s="1"/>
  <c r="S29" i="3"/>
  <c r="T18" i="3"/>
  <c r="T17" i="3" s="1"/>
  <c r="T16" i="3" s="1"/>
  <c r="U18" i="3" l="1"/>
  <c r="U17" i="3" s="1"/>
  <c r="U16" i="3" s="1"/>
  <c r="T29" i="3"/>
  <c r="U29" i="3" l="1"/>
  <c r="V18" i="3"/>
  <c r="V17" i="3" s="1"/>
  <c r="V16" i="3" s="1"/>
  <c r="V29" i="3" l="1"/>
  <c r="W18" i="3"/>
  <c r="W17" i="3" s="1"/>
  <c r="W16" i="3" s="1"/>
  <c r="W29" i="3" l="1"/>
  <c r="X18" i="3"/>
  <c r="X17" i="3" s="1"/>
  <c r="X16" i="3" s="1"/>
  <c r="Y18" i="3" l="1"/>
  <c r="Y17" i="3" s="1"/>
  <c r="Y16" i="3" s="1"/>
  <c r="X29" i="3"/>
  <c r="Z18" i="3" l="1"/>
  <c r="Z17" i="3" s="1"/>
  <c r="Z16" i="3" s="1"/>
  <c r="Y29" i="3"/>
  <c r="AA18" i="3" l="1"/>
  <c r="AA17" i="3" s="1"/>
  <c r="AA16" i="3" s="1"/>
  <c r="Z29" i="3"/>
  <c r="AA29" i="3" l="1"/>
  <c r="AB18" i="3"/>
  <c r="AB17" i="3" s="1"/>
  <c r="AB16" i="3" s="1"/>
  <c r="AB29" i="3" l="1"/>
  <c r="AC18" i="3"/>
  <c r="AC17" i="3" s="1"/>
  <c r="AC16" i="3" s="1"/>
  <c r="AC29" i="3" l="1"/>
  <c r="AD18" i="3"/>
  <c r="AD17" i="3" s="1"/>
  <c r="AD16" i="3" s="1"/>
  <c r="AD29" i="3" l="1"/>
  <c r="AE18" i="3"/>
  <c r="AE17" i="3" s="1"/>
  <c r="AE16" i="3" s="1"/>
  <c r="AE29" i="3" l="1"/>
  <c r="AF18" i="3"/>
  <c r="AF17" i="3" s="1"/>
  <c r="AF16" i="3" l="1"/>
  <c r="AF29" i="3" s="1"/>
  <c r="B6" i="4" s="1"/>
  <c r="B7" i="4" l="1"/>
  <c r="B11" i="4" s="1"/>
  <c r="B3" i="4"/>
  <c r="B10" i="4" s="1"/>
</calcChain>
</file>

<file path=xl/comments1.xml><?xml version="1.0" encoding="utf-8"?>
<comments xmlns="http://schemas.openxmlformats.org/spreadsheetml/2006/main">
  <authors>
    <author>Florence HEUSCHMIDT</author>
  </authors>
  <commentList>
    <comment ref="A30" authorId="0" shapeId="0">
      <text>
        <r>
          <rPr>
            <sz val="9"/>
            <color indexed="81"/>
            <rFont val="Tahoma"/>
            <family val="2"/>
          </rPr>
          <t>Pour forêt métropolitaine</t>
        </r>
      </text>
    </comment>
    <comment ref="A32" authorId="0" shapeId="0">
      <text>
        <r>
          <rPr>
            <sz val="9"/>
            <color indexed="81"/>
            <rFont val="Tahoma"/>
            <family val="2"/>
          </rPr>
          <t>Après 30, ==10 tC/ha</t>
        </r>
      </text>
    </comment>
    <comment ref="A42" authorId="0" shapeId="0">
      <text>
        <r>
          <rPr>
            <b/>
            <sz val="9"/>
            <color indexed="81"/>
            <rFont val="Tahoma"/>
            <family val="2"/>
          </rPr>
          <t>stocks limités à une profondeur de 30 cm</t>
        </r>
      </text>
    </comment>
    <comment ref="A43"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16" authorId="0" shapeId="0">
      <text>
        <r>
          <rPr>
            <b/>
            <sz val="9"/>
            <color indexed="81"/>
            <rFont val="Tahoma"/>
            <family val="2"/>
          </rPr>
          <t>Stock de carbone au début de l'année n dans les produits bois déjà récoltés</t>
        </r>
      </text>
    </comment>
    <comment ref="A19" authorId="0" shapeId="0">
      <text>
        <r>
          <rPr>
            <b/>
            <sz val="9"/>
            <color indexed="81"/>
            <rFont val="Tahoma"/>
            <family val="2"/>
          </rPr>
          <t>Flux(n) = flux entrant de carbone au cours de l’année n (sur la période entre l’année n et l’année n+1),
c’est-à-dire le stock de carbone des produits bois récoltés (volume bois fort éclairci) au cours de l’année
n (= 0 en l’absence d’éclaircie). Flux(n) est exprimé en tCO2/ha.</t>
        </r>
      </text>
    </comment>
    <comment ref="A26" authorId="0" shapeId="0">
      <text>
        <r>
          <rPr>
            <sz val="9"/>
            <color indexed="81"/>
            <rFont val="Tahoma"/>
            <family val="2"/>
          </rPr>
          <t xml:space="preserve"> Porteur de projet devra intégrer un rendement
sciage pour les produits bois valorisés dans la catégorie « sciages » ; celui-ci est fixé par défaut à 50 %
(le reste étant valorisé en bois énergie, c’est-à-dire négligé car aucun temps de demi-vie est fixé pour
cette catégorie). Par exemple, une éclaircie qui viserait à produire 60 % de bois d’œuvre (= sciages)
constituerait un stock de carbone que pour 30 % du volume entrant.</t>
        </r>
      </text>
    </comment>
  </commentList>
</comments>
</file>

<file path=xl/comments3.xml><?xml version="1.0" encoding="utf-8"?>
<comments xmlns="http://schemas.openxmlformats.org/spreadsheetml/2006/main">
  <authors>
    <author>Florence HEUSCHMIDT</author>
  </authors>
  <commentList>
    <comment ref="A20" authorId="0" shapeId="0">
      <text>
        <r>
          <rPr>
            <b/>
            <sz val="9"/>
            <color indexed="81"/>
            <rFont val="Tahoma"/>
            <family val="2"/>
          </rPr>
          <t>Flux entrant issu des produits bois récoltés au cours de l’année n (sur la période entre l’année n et l’année n+1) dans le scénario de projet</t>
        </r>
      </text>
    </comment>
  </commentList>
</comments>
</file>

<file path=xl/comments4.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<sst xmlns="http://schemas.openxmlformats.org/spreadsheetml/2006/main" count="297" uniqueCount="225">
  <si>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</si>
  <si>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</si>
  <si>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</si>
  <si>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</si>
  <si>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</si>
  <si>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</si>
  <si>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</si>
  <si>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</si>
  <si>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</si>
  <si>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</si>
  <si>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 xml:space="preserve">Constantes </t>
  </si>
  <si>
    <t>Carbone organique du sol (n) (en tC/ha)</t>
  </si>
  <si>
    <t>Volume bois fort tige (n) (en m3/ha)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</si>
  <si>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</si>
  <si>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</si>
  <si>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</si>
  <si>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</si>
  <si>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</si>
  <si>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</si>
  <si>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</si>
  <si>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</si>
  <si>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</si>
  <si>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</si>
  <si>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</si>
  <si>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</si>
  <si>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</si>
  <si>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</si>
  <si>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</si>
  <si>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</si>
  <si>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</si>
  <si>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</si>
  <si>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</si>
  <si>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</si>
  <si>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</si>
  <si>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</si>
  <si>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</si>
  <si>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</si>
  <si>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</si>
  <si>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</si>
  <si>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</si>
  <si>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</si>
  <si>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</si>
  <si>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</si>
  <si>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</si>
  <si>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</si>
  <si>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</si>
  <si>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</si>
  <si>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</si>
  <si>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</si>
  <si>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</si>
  <si>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</si>
  <si>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</si>
  <si>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</si>
  <si>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</si>
  <si>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</si>
  <si>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</si>
  <si>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</si>
  <si>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</si>
  <si>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</si>
  <si>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</si>
  <si>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</si>
  <si>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</si>
  <si>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</si>
  <si>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</si>
  <si>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</si>
  <si>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</si>
  <si>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</si>
  <si>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</si>
  <si>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</si>
  <si>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</si>
  <si>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</si>
  <si>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</si>
  <si>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</si>
  <si>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</si>
  <si>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</si>
  <si>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</si>
  <si>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</si>
  <si>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</si>
  <si>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</si>
  <si>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</si>
  <si>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</si>
  <si>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</si>
  <si>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</si>
  <si>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</si>
  <si>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</si>
  <si>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</si>
  <si>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</si>
  <si>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</si>
  <si>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 xml:space="preserve">REA produits (produits bois) (en tCO2) = </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</si>
  <si>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</si>
  <si>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</si>
  <si>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</si>
  <si>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</si>
  <si>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</si>
  <si>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</si>
  <si>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</si>
  <si>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</si>
  <si>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</si>
  <si>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</si>
  <si>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</si>
  <si>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</si>
  <si>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</si>
  <si>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</si>
  <si>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</si>
  <si>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</si>
  <si>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</si>
  <si>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</si>
  <si>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</si>
  <si>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</si>
  <si>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</si>
  <si>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</si>
  <si>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</si>
  <si>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CS (coefficient de substitution) (en tCO2/m3) scénario référence après récolte</t>
  </si>
  <si>
    <t>Type de friches</t>
  </si>
  <si>
    <t>Résineux pionniers (PM, PA, PS…)</t>
  </si>
  <si>
    <t>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</si>
  <si>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</si>
  <si>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</si>
  <si>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</si>
  <si>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</si>
  <si>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</si>
  <si>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</si>
  <si>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</si>
  <si>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</si>
  <si>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</si>
  <si>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</si>
  <si>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</si>
  <si>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</si>
  <si>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</si>
  <si>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</si>
  <si>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</si>
  <si>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</si>
  <si>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</si>
  <si>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</si>
  <si>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</si>
  <si>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</si>
  <si>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</si>
  <si>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</si>
  <si>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</si>
  <si>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</si>
  <si>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</si>
  <si>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</si>
  <si>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</si>
  <si>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</si>
  <si>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deltaS(30) (différence de stock de C à l’année 30 entre le projet et le scénario de référence) (en tCO2 à 30 ans)</t>
  </si>
  <si>
    <t>Situation de référence</t>
  </si>
  <si>
    <t>Embroussaillement</t>
  </si>
  <si>
    <t>Culture agricole</t>
  </si>
  <si>
    <t>Nature de prairie ou pâture</t>
  </si>
  <si>
    <r>
      <t xml:space="preserve">Quantification carbone pour le scénario de référence de la poursuite de la culture agricole </t>
    </r>
    <r>
      <rPr>
        <sz val="10"/>
        <color theme="1"/>
        <rFont val="Calibri"/>
        <family val="2"/>
        <scheme val="minor"/>
      </rPr>
      <t>(Giec; 2006) (en tC/ha)</t>
    </r>
  </si>
  <si>
    <t>Biomasse aérienne pour le scénario de référence de la poursuite d’une nature de prairie ou de pâture (en tC/ha)</t>
  </si>
  <si>
    <t>Carbone organique du sol sur une friche en phase d’embroussaillement, sur une prairie ou sur une pâture (n) (en tC/ha)</t>
  </si>
  <si>
    <t>di (infradensité de l'essence) (en tMS/m3)</t>
  </si>
  <si>
    <t>Piquet</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</si>
  <si>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</si>
  <si>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</si>
  <si>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</si>
  <si>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</si>
  <si>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</si>
  <si>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</si>
  <si>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</si>
  <si>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</si>
  <si>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</si>
  <si>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</si>
  <si>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</si>
  <si>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</si>
  <si>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</si>
  <si>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</si>
  <si>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</si>
  <si>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</si>
  <si>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</si>
  <si>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</si>
  <si>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</si>
  <si>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</si>
  <si>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</si>
  <si>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</si>
  <si>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</si>
  <si>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</si>
  <si>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</si>
  <si>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</si>
  <si>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</si>
  <si>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</si>
  <si>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L0 (carbone de la litière avant le projet de boisement) (en tC/ha)</t>
  </si>
  <si>
    <t>REA forêt (compartiments forestiers) (en tCO2/ha) =</t>
  </si>
  <si>
    <t xml:space="preserve">moyenne du carbone stocké dans le projet pendant sa durée de vie (en tCO2/an) </t>
  </si>
  <si>
    <t xml:space="preserve">moyenne du carbone stocké dans le scénario de référence pendant sa durée de vie (en tCO2/an) </t>
  </si>
  <si>
    <t xml:space="preserve">différence de la moyenne du carbone stocké dans le projet par rapport au scénario de référence pendant sa durée de vie (en tCO2/an) </t>
  </si>
  <si>
    <t xml:space="preserve">REA produits (produits bois) (en tCO2/ha) = </t>
  </si>
  <si>
    <t>deltaS(30) (différence de stock de C à l’année 30 entre le projet et le scénario de référence) (en tCO2/ha à 30 ans)</t>
  </si>
  <si>
    <t xml:space="preserve">REE substitution (en tCO2/ha) = </t>
  </si>
  <si>
    <t>Biomasse Aérienne (n) (en tMS/ha)</t>
  </si>
  <si>
    <t>Biomasse Racinaire (n) (en tMS/ha)</t>
  </si>
  <si>
    <t>Litière (n) (en tC/ha)</t>
  </si>
  <si>
    <t>S projet (n) (en tCO2/ha)</t>
  </si>
  <si>
    <t>S réf (n) (en tCO2/ha)</t>
  </si>
  <si>
    <t xml:space="preserve">moyenne du carbone stocké dans le projet pendant sa durée de vie (en tCO2/ha/an) </t>
  </si>
  <si>
    <t xml:space="preserve">moyenne du carbone stocké dans le scénario de référence pendant sa durée de vie (en tCO2/ha/an) </t>
  </si>
  <si>
    <t xml:space="preserve">différence de la moyenne du carbone stocké dans le projet par rapport au scénario de référence pendant sa durée de vie (en tCO2/ha/an) </t>
  </si>
  <si>
    <t>Sprojet (n) - Sréf (n) (en tCO2/ha)</t>
  </si>
  <si>
    <t>Flux entrant de carbone en bois de sciage au cours de l'année n et dégradation (en tC/ha)</t>
  </si>
  <si>
    <t>Dégradation du bois de sciage déjà récoltés (en tC/ha)</t>
  </si>
  <si>
    <t>C projet Bois de sciage (n) (en tC/ha)</t>
  </si>
  <si>
    <t>C projet Panneaux de bois (n) (en tC/ha)</t>
  </si>
  <si>
    <t>Dégradation des panneaux de bois déjà récoltés (en tC/ha)</t>
  </si>
  <si>
    <t>Flux entrant de carbone en panneaux de bois  au cours de l'année n et dégradation (en tC/ha)</t>
  </si>
  <si>
    <t>C projet Papier (n) (en tC/ha)</t>
  </si>
  <si>
    <t>Dégradation des papiers déjà récoltés (en tC/ha)</t>
  </si>
  <si>
    <t>Flux entrant de carbone en papiers au cours de l'année n et dégradation (en tC/ha)</t>
  </si>
  <si>
    <t>C projet (n) (en tC/ha)</t>
  </si>
  <si>
    <t>C projet (n) - C réf (n) (en tC/ha)</t>
  </si>
  <si>
    <t>CS*Flux projet (n) (en TCO2/ha)</t>
  </si>
  <si>
    <t>Flux projet (n) (en m3/ha)</t>
  </si>
  <si>
    <t>CSp*Flux projet (n) - CSr*Flux réf (n) (en tCO2/ha)</t>
  </si>
  <si>
    <t>Carbone organique du sol sur une culture (n) (en tC/ha)</t>
  </si>
  <si>
    <t>Moyenne</t>
  </si>
  <si>
    <t>Volume bois fort Bois de sciage (n) (en m3/ha)</t>
  </si>
  <si>
    <t>Volume  bois fort Panneaux de bois (n) (en m3/ha)</t>
  </si>
  <si>
    <t>Volume  bois fort Papier (n) (en m3/ha)</t>
  </si>
  <si>
    <t>Projet situé dans les GRECO de l'IGN "Méditerranée" et "Corse"</t>
  </si>
  <si>
    <t>GRECO IGN</t>
  </si>
  <si>
    <t>OUI</t>
  </si>
  <si>
    <t>NON</t>
  </si>
  <si>
    <t>Risques généraux difficilement maîtrisables</t>
  </si>
  <si>
    <t>Analyse économique de l’additionnalité</t>
  </si>
  <si>
    <t>Les parcelles correspondent à des pâtures abandonnées, en regardant les photos in situ nous pouvons considérer que les prochaines années on aura plutôt des prairies/pâtures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</si>
</sst>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10"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
      <sz val="11"/>
      <color rgb="FFFF0000"/>
      <name val="Calibri"/>
      <family val="2"/>
      <scheme val="minor"/>
    </font>
  </fonts>
  <fills count="17">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9FF99"/>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5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medium">
        <color indexed="64"/>
      </top>
      <bottom/>
      <diagonal/>
    </border>
  </borders>
  <cellStyleXfs count="1">
    <xf numFmtId="0" fontId="0" fillId="0" borderId="0"/>
  </cellStyleXfs>
  <cellXfs count="186">
    <xf numFmtId="0" fontId="0" fillId="0" borderId="0" xfId="0"/>
    <xf numFmtId="0" fontId="0" fillId="0" borderId="0" xfId="0" applyAlignment="1">
      <alignment vertical="center" wrapText="1"/>
    </xf>
    <xf numFmtId="0" fontId="0" fillId="3" borderId="4" xfId="0" applyFill="1" applyBorder="1" applyAlignment="1">
      <alignment vertical="center" wrapText="1"/>
    </xf>
    <xf numFmtId="0" fontId="0" fillId="3" borderId="6" xfId="0" applyFill="1" applyBorder="1" applyAlignment="1">
      <alignment vertical="center" wrapText="1"/>
    </xf>
    <xf numFmtId="0" fontId="0" fillId="3" borderId="8" xfId="0" applyFill="1" applyBorder="1" applyAlignment="1">
      <alignment vertical="center" wrapText="1"/>
    </xf>
    <xf numFmtId="0" fontId="0" fillId="5"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3" borderId="14" xfId="0" applyFill="1" applyBorder="1" applyAlignment="1">
      <alignment vertical="center" wrapText="1"/>
    </xf>
    <xf numFmtId="0" fontId="0" fillId="6" borderId="3" xfId="0" applyFill="1" applyBorder="1" applyAlignment="1">
      <alignment horizontal="center" vertical="center"/>
    </xf>
    <xf numFmtId="0" fontId="0" fillId="6" borderId="10" xfId="0" applyFill="1" applyBorder="1" applyAlignment="1">
      <alignment horizontal="center" vertical="center"/>
    </xf>
    <xf numFmtId="0" fontId="0" fillId="6" borderId="21"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4" borderId="22" xfId="0" applyFont="1" applyFill="1" applyBorder="1" applyAlignment="1">
      <alignment vertical="center" wrapText="1"/>
    </xf>
    <xf numFmtId="0" fontId="0" fillId="6" borderId="9" xfId="0" applyFill="1" applyBorder="1" applyAlignment="1">
      <alignment horizontal="center"/>
    </xf>
    <xf numFmtId="0" fontId="0" fillId="0" borderId="20" xfId="0" applyFill="1" applyBorder="1" applyAlignment="1">
      <alignment horizontal="center" vertical="center"/>
    </xf>
    <xf numFmtId="0" fontId="0" fillId="6" borderId="11" xfId="0" applyFill="1" applyBorder="1" applyAlignment="1">
      <alignment horizontal="center" vertical="center"/>
    </xf>
    <xf numFmtId="0" fontId="0" fillId="6" borderId="7" xfId="0" applyFill="1" applyBorder="1" applyAlignment="1">
      <alignment horizontal="center" vertical="center"/>
    </xf>
    <xf numFmtId="0" fontId="0" fillId="6" borderId="27" xfId="0" applyFill="1" applyBorder="1" applyAlignment="1">
      <alignment horizontal="center" vertical="center"/>
    </xf>
    <xf numFmtId="164" fontId="0" fillId="6" borderId="23" xfId="0" applyNumberFormat="1" applyFill="1" applyBorder="1" applyAlignment="1">
      <alignment horizontal="center" vertical="center"/>
    </xf>
    <xf numFmtId="164" fontId="0" fillId="6" borderId="9" xfId="0" applyNumberFormat="1" applyFill="1" applyBorder="1" applyAlignment="1">
      <alignment horizontal="center" vertical="center"/>
    </xf>
    <xf numFmtId="164" fontId="0" fillId="6" borderId="3" xfId="0" applyNumberFormat="1" applyFill="1" applyBorder="1" applyAlignment="1">
      <alignment horizontal="center" vertical="center"/>
    </xf>
    <xf numFmtId="0" fontId="0" fillId="7" borderId="14" xfId="0" applyFill="1" applyBorder="1" applyAlignment="1">
      <alignment vertical="center" wrapText="1"/>
    </xf>
    <xf numFmtId="0" fontId="4" fillId="4" borderId="4" xfId="0" applyFont="1" applyFill="1" applyBorder="1" applyAlignment="1">
      <alignment horizontal="center" vertical="center" wrapText="1"/>
    </xf>
    <xf numFmtId="0" fontId="5" fillId="4" borderId="22" xfId="0" applyFont="1" applyFill="1" applyBorder="1" applyAlignment="1">
      <alignment vertical="center" wrapText="1"/>
    </xf>
    <xf numFmtId="0" fontId="0" fillId="6" borderId="5" xfId="0" applyFill="1" applyBorder="1" applyAlignment="1">
      <alignment horizontal="center" vertical="center"/>
    </xf>
    <xf numFmtId="0" fontId="0" fillId="6"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6" borderId="23" xfId="0" applyNumberFormat="1" applyFill="1" applyBorder="1" applyAlignment="1">
      <alignment horizontal="center" vertical="center"/>
    </xf>
    <xf numFmtId="2" fontId="0" fillId="6"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6" borderId="9" xfId="0" applyFill="1" applyBorder="1" applyAlignment="1">
      <alignment horizontal="center" vertical="center"/>
    </xf>
    <xf numFmtId="0" fontId="0" fillId="9" borderId="6" xfId="0" applyFill="1" applyBorder="1" applyAlignment="1">
      <alignment vertical="center" wrapText="1"/>
    </xf>
    <xf numFmtId="0" fontId="4" fillId="0" borderId="32" xfId="0" applyFont="1" applyBorder="1" applyAlignment="1">
      <alignment horizontal="center" vertical="center" wrapText="1"/>
    </xf>
    <xf numFmtId="0" fontId="4" fillId="4" borderId="6"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0" fillId="0" borderId="0" xfId="0" applyAlignment="1">
      <alignment wrapText="1"/>
    </xf>
    <xf numFmtId="0" fontId="4" fillId="2" borderId="22" xfId="0" applyFont="1" applyFill="1" applyBorder="1" applyAlignment="1">
      <alignment horizontal="center" vertical="center" wrapText="1"/>
    </xf>
    <xf numFmtId="0" fontId="0" fillId="3" borderId="3" xfId="0" applyFill="1" applyBorder="1" applyAlignment="1">
      <alignment horizontal="center" vertical="center" wrapText="1"/>
    </xf>
    <xf numFmtId="0" fontId="1" fillId="3" borderId="3" xfId="0" applyFont="1" applyFill="1" applyBorder="1" applyAlignment="1">
      <alignment horizontal="center" vertical="center" wrapText="1"/>
    </xf>
    <xf numFmtId="0" fontId="0" fillId="0" borderId="33" xfId="0" applyFill="1" applyBorder="1" applyAlignment="1">
      <alignment horizontal="center" vertical="center" wrapText="1"/>
    </xf>
    <xf numFmtId="0" fontId="0" fillId="0" borderId="3" xfId="0" applyFill="1" applyBorder="1" applyAlignment="1">
      <alignment horizontal="center" vertical="center" wrapText="1"/>
    </xf>
    <xf numFmtId="0" fontId="0" fillId="6" borderId="5" xfId="0" applyFill="1" applyBorder="1" applyAlignment="1">
      <alignment horizontal="center" vertical="center" wrapText="1"/>
    </xf>
    <xf numFmtId="0" fontId="0" fillId="6"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29" xfId="0" applyFill="1" applyBorder="1"/>
    <xf numFmtId="0" fontId="1" fillId="0" borderId="1" xfId="0" applyFont="1" applyFill="1" applyBorder="1" applyAlignment="1">
      <alignment vertical="center" wrapText="1"/>
    </xf>
    <xf numFmtId="0" fontId="0" fillId="0" borderId="29" xfId="0" applyFill="1" applyBorder="1" applyAlignment="1">
      <alignment horizontal="center" vertical="center"/>
    </xf>
    <xf numFmtId="0" fontId="0" fillId="6" borderId="26" xfId="0" applyFill="1" applyBorder="1" applyAlignment="1">
      <alignment horizontal="center" vertical="center"/>
    </xf>
    <xf numFmtId="0" fontId="0" fillId="6" borderId="23" xfId="0" applyFill="1" applyBorder="1" applyAlignment="1">
      <alignment horizontal="center" vertical="center"/>
    </xf>
    <xf numFmtId="0" fontId="0" fillId="6" borderId="20" xfId="0" applyFill="1" applyBorder="1" applyAlignment="1">
      <alignment horizontal="center" vertical="center"/>
    </xf>
    <xf numFmtId="164" fontId="0" fillId="6" borderId="28" xfId="0" applyNumberFormat="1" applyFill="1" applyBorder="1" applyAlignment="1">
      <alignment horizontal="center" vertical="center"/>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8" borderId="6" xfId="0" applyFill="1" applyBorder="1" applyAlignment="1">
      <alignment vertical="center" wrapText="1"/>
    </xf>
    <xf numFmtId="0" fontId="0" fillId="10" borderId="6" xfId="0" applyFill="1" applyBorder="1" applyAlignment="1">
      <alignment vertical="center" wrapText="1"/>
    </xf>
    <xf numFmtId="0" fontId="0" fillId="12" borderId="6" xfId="0" applyFill="1" applyBorder="1" applyAlignment="1">
      <alignment vertical="center" wrapText="1"/>
    </xf>
    <xf numFmtId="0" fontId="0" fillId="6" borderId="3" xfId="0" applyFont="1" applyFill="1" applyBorder="1" applyAlignment="1">
      <alignment horizontal="center" vertical="center" wrapText="1"/>
    </xf>
    <xf numFmtId="0" fontId="0" fillId="3" borderId="14" xfId="0" applyFont="1" applyFill="1" applyBorder="1" applyAlignment="1">
      <alignment horizontal="left" vertical="center" wrapText="1"/>
    </xf>
    <xf numFmtId="0" fontId="4" fillId="2" borderId="34" xfId="0" applyFont="1" applyFill="1" applyBorder="1" applyAlignment="1">
      <alignment horizontal="center" vertical="center"/>
    </xf>
    <xf numFmtId="0" fontId="0" fillId="3" borderId="45" xfId="0" applyFill="1" applyBorder="1" applyAlignment="1">
      <alignment horizontal="center" vertical="center" wrapText="1"/>
    </xf>
    <xf numFmtId="0" fontId="0" fillId="3" borderId="46" xfId="0" applyFill="1" applyBorder="1" applyAlignment="1">
      <alignment horizontal="center" vertical="center" wrapText="1"/>
    </xf>
    <xf numFmtId="0" fontId="0" fillId="3" borderId="47" xfId="0" applyFill="1" applyBorder="1" applyAlignment="1">
      <alignment horizontal="center" vertical="center" wrapText="1"/>
    </xf>
    <xf numFmtId="0" fontId="1" fillId="9" borderId="32" xfId="0" applyFont="1" applyFill="1" applyBorder="1" applyAlignment="1">
      <alignment horizontal="center" vertical="center" wrapText="1"/>
    </xf>
    <xf numFmtId="0" fontId="0" fillId="3" borderId="48"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49" xfId="0" applyFill="1" applyBorder="1" applyAlignment="1">
      <alignment horizontal="center" vertical="center" wrapText="1"/>
    </xf>
    <xf numFmtId="0" fontId="1" fillId="9" borderId="50"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7" xfId="0" applyFill="1" applyBorder="1" applyAlignment="1">
      <alignment horizontal="center" vertical="center" wrapText="1"/>
    </xf>
    <xf numFmtId="0" fontId="0" fillId="3" borderId="9" xfId="0" applyFill="1" applyBorder="1" applyAlignment="1">
      <alignment horizontal="center" vertical="center" wrapText="1"/>
    </xf>
    <xf numFmtId="0" fontId="0" fillId="3" borderId="51"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14" xfId="0" applyFill="1" applyBorder="1" applyAlignment="1">
      <alignment horizontal="center" vertical="center" wrapText="1"/>
    </xf>
    <xf numFmtId="0" fontId="4" fillId="2" borderId="32" xfId="0" applyFont="1" applyFill="1" applyBorder="1" applyAlignment="1">
      <alignment horizontal="center" vertical="center" wrapText="1"/>
    </xf>
    <xf numFmtId="0" fontId="0" fillId="3" borderId="33"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35" xfId="0" applyFill="1" applyBorder="1" applyAlignment="1">
      <alignment horizontal="center" vertical="center" wrapText="1"/>
    </xf>
    <xf numFmtId="0" fontId="0" fillId="0" borderId="0" xfId="0" applyFill="1" applyBorder="1" applyAlignment="1">
      <alignment horizontal="center" vertical="center" wrapText="1"/>
    </xf>
    <xf numFmtId="0" fontId="0" fillId="3" borderId="42" xfId="0" applyFill="1" applyBorder="1" applyAlignment="1">
      <alignment horizontal="center" vertical="center" wrapText="1"/>
    </xf>
    <xf numFmtId="0" fontId="4" fillId="2" borderId="25" xfId="0"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5" fontId="0" fillId="6" borderId="3" xfId="0" applyNumberFormat="1" applyFill="1" applyBorder="1" applyAlignment="1">
      <alignment horizontal="center" vertical="center"/>
    </xf>
    <xf numFmtId="0" fontId="0" fillId="3" borderId="30" xfId="0" applyFill="1" applyBorder="1" applyAlignment="1">
      <alignment vertical="center" wrapText="1"/>
    </xf>
    <xf numFmtId="0" fontId="0" fillId="0" borderId="0" xfId="0" applyBorder="1"/>
    <xf numFmtId="0" fontId="0" fillId="11" borderId="6" xfId="0" applyFill="1" applyBorder="1" applyAlignment="1">
      <alignment vertical="center" wrapText="1"/>
    </xf>
    <xf numFmtId="0" fontId="0" fillId="6" borderId="23" xfId="0" applyFill="1" applyBorder="1" applyAlignment="1">
      <alignment horizontal="center"/>
    </xf>
    <xf numFmtId="165" fontId="0" fillId="8" borderId="25" xfId="0" applyNumberFormat="1" applyFill="1" applyBorder="1" applyAlignment="1">
      <alignment horizontal="center" vertical="center"/>
    </xf>
    <xf numFmtId="0" fontId="4" fillId="14" borderId="6" xfId="0" applyFont="1" applyFill="1" applyBorder="1" applyAlignment="1">
      <alignment horizontal="center" vertical="center" wrapText="1"/>
    </xf>
    <xf numFmtId="0" fontId="4" fillId="14" borderId="8" xfId="0" applyFont="1" applyFill="1" applyBorder="1" applyAlignment="1">
      <alignment horizontal="center" vertical="center" wrapText="1"/>
    </xf>
    <xf numFmtId="164" fontId="0" fillId="6" borderId="7" xfId="0" applyNumberFormat="1" applyFill="1" applyBorder="1" applyAlignment="1">
      <alignment horizontal="center" vertical="center"/>
    </xf>
    <xf numFmtId="0" fontId="0" fillId="0" borderId="7" xfId="0" applyFill="1" applyBorder="1" applyAlignment="1">
      <alignment horizontal="center" vertical="center"/>
    </xf>
    <xf numFmtId="165" fontId="0" fillId="0" borderId="0" xfId="0" applyNumberFormat="1" applyFill="1" applyBorder="1" applyAlignment="1">
      <alignment horizontal="center" vertical="center"/>
    </xf>
    <xf numFmtId="0" fontId="0" fillId="0" borderId="0" xfId="0" applyFill="1" applyAlignment="1">
      <alignment wrapText="1"/>
    </xf>
    <xf numFmtId="0" fontId="0" fillId="3" borderId="8" xfId="0" applyFill="1" applyBorder="1" applyAlignment="1">
      <alignment horizontal="center" vertical="center" wrapText="1"/>
    </xf>
    <xf numFmtId="0" fontId="1" fillId="9" borderId="55" xfId="0" applyFont="1" applyFill="1" applyBorder="1" applyAlignment="1">
      <alignment horizontal="center" vertical="center" wrapText="1"/>
    </xf>
    <xf numFmtId="0" fontId="0" fillId="3" borderId="41" xfId="0" applyFill="1" applyBorder="1" applyAlignment="1">
      <alignment vertical="center" wrapText="1"/>
    </xf>
    <xf numFmtId="0" fontId="0" fillId="15" borderId="53" xfId="0" applyFill="1" applyBorder="1" applyAlignment="1">
      <alignment horizontal="center" vertical="center" wrapText="1"/>
    </xf>
    <xf numFmtId="0" fontId="0" fillId="3" borderId="56" xfId="0" applyFill="1" applyBorder="1" applyAlignment="1">
      <alignment vertical="center" wrapText="1"/>
    </xf>
    <xf numFmtId="0" fontId="0" fillId="0" borderId="57" xfId="0" applyBorder="1" applyAlignment="1">
      <alignment horizontal="center" vertical="center" wrapText="1"/>
    </xf>
    <xf numFmtId="0" fontId="4" fillId="5" borderId="12" xfId="0" applyFont="1" applyFill="1" applyBorder="1" applyAlignment="1">
      <alignment vertical="center" wrapText="1"/>
    </xf>
    <xf numFmtId="0" fontId="4" fillId="5" borderId="13" xfId="0" applyFont="1" applyFill="1" applyBorder="1" applyAlignment="1">
      <alignment vertical="center" wrapText="1"/>
    </xf>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1" fillId="5" borderId="14" xfId="0" applyFont="1" applyFill="1" applyBorder="1" applyAlignment="1">
      <alignment vertical="center" wrapText="1"/>
    </xf>
    <xf numFmtId="0" fontId="1" fillId="5" borderId="15" xfId="0" applyFont="1" applyFill="1" applyBorder="1" applyAlignment="1">
      <alignment vertical="center" wrapText="1"/>
    </xf>
    <xf numFmtId="165" fontId="0" fillId="0" borderId="3" xfId="0" applyNumberFormat="1" applyBorder="1"/>
    <xf numFmtId="165" fontId="0" fillId="0" borderId="10" xfId="0" applyNumberFormat="1" applyBorder="1"/>
    <xf numFmtId="165" fontId="0" fillId="6" borderId="11" xfId="0" applyNumberFormat="1" applyFill="1" applyBorder="1" applyAlignment="1">
      <alignment horizontal="center" vertical="center"/>
    </xf>
    <xf numFmtId="165" fontId="0" fillId="6" borderId="10" xfId="0" applyNumberFormat="1" applyFill="1" applyBorder="1" applyAlignment="1">
      <alignment horizontal="center" vertical="center"/>
    </xf>
    <xf numFmtId="165" fontId="0" fillId="6" borderId="36" xfId="0" applyNumberFormat="1" applyFill="1" applyBorder="1" applyAlignment="1">
      <alignment horizontal="center" vertical="center"/>
    </xf>
    <xf numFmtId="165" fontId="0" fillId="13" borderId="5" xfId="0" applyNumberFormat="1" applyFill="1" applyBorder="1" applyAlignment="1">
      <alignment horizontal="center" vertical="center"/>
    </xf>
    <xf numFmtId="165" fontId="0" fillId="13" borderId="9" xfId="0" applyNumberFormat="1" applyFill="1" applyBorder="1" applyAlignment="1">
      <alignment horizontal="center" vertical="center"/>
    </xf>
    <xf numFmtId="165" fontId="0" fillId="6" borderId="5" xfId="0" applyNumberFormat="1" applyFill="1" applyBorder="1" applyAlignment="1">
      <alignment horizontal="center" vertical="center"/>
    </xf>
    <xf numFmtId="165" fontId="0" fillId="6" borderId="9" xfId="0" applyNumberFormat="1" applyFill="1" applyBorder="1" applyAlignment="1">
      <alignment horizontal="center" vertical="center"/>
    </xf>
    <xf numFmtId="165" fontId="6" fillId="8" borderId="25" xfId="0" applyNumberFormat="1" applyFont="1" applyFill="1" applyBorder="1" applyAlignment="1">
      <alignment horizontal="center" vertical="center"/>
    </xf>
    <xf numFmtId="0" fontId="0" fillId="16" borderId="3" xfId="0" applyFill="1" applyBorder="1" applyAlignment="1">
      <alignment horizontal="center" vertical="center"/>
    </xf>
    <xf numFmtId="165" fontId="0" fillId="0" borderId="3" xfId="0" applyNumberFormat="1" applyFill="1" applyBorder="1" applyAlignment="1">
      <alignment horizontal="center" vertical="center"/>
    </xf>
    <xf numFmtId="165" fontId="0" fillId="6" borderId="3" xfId="0" applyNumberFormat="1" applyFont="1" applyFill="1" applyBorder="1" applyAlignment="1">
      <alignment horizontal="center" vertical="center" wrapText="1"/>
    </xf>
    <xf numFmtId="0" fontId="0" fillId="6" borderId="58" xfId="0" applyFill="1" applyBorder="1" applyAlignment="1">
      <alignment horizontal="center" vertical="center"/>
    </xf>
    <xf numFmtId="164" fontId="0" fillId="6" borderId="10" xfId="0" applyNumberFormat="1" applyFill="1" applyBorder="1" applyAlignment="1">
      <alignment horizontal="center" vertical="center"/>
    </xf>
    <xf numFmtId="0" fontId="4" fillId="0" borderId="43"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9" xfId="0" applyFont="1" applyFill="1" applyBorder="1" applyAlignment="1">
      <alignment vertical="center" wrapText="1"/>
    </xf>
    <xf numFmtId="165" fontId="4" fillId="8" borderId="51" xfId="0" applyNumberFormat="1" applyFont="1" applyFill="1" applyBorder="1" applyAlignment="1">
      <alignment horizontal="center" vertical="center" wrapText="1"/>
    </xf>
    <xf numFmtId="165" fontId="4" fillId="8" borderId="10" xfId="0" applyNumberFormat="1" applyFont="1" applyFill="1" applyBorder="1" applyAlignment="1">
      <alignment horizontal="center" vertical="center" wrapText="1"/>
    </xf>
    <xf numFmtId="165" fontId="4" fillId="8" borderId="36" xfId="0" applyNumberFormat="1" applyFont="1" applyFill="1" applyBorder="1" applyAlignment="1">
      <alignment horizontal="center" vertical="center" wrapText="1"/>
    </xf>
    <xf numFmtId="165" fontId="0" fillId="10" borderId="51" xfId="0" applyNumberFormat="1" applyFill="1" applyBorder="1" applyAlignment="1">
      <alignment horizontal="center" vertical="center"/>
    </xf>
    <xf numFmtId="165" fontId="0" fillId="10" borderId="36" xfId="0" applyNumberFormat="1" applyFill="1" applyBorder="1" applyAlignment="1">
      <alignment horizontal="center" vertical="center"/>
    </xf>
    <xf numFmtId="0" fontId="0" fillId="3" borderId="19" xfId="0"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3" borderId="40" xfId="0" applyFill="1" applyBorder="1" applyAlignment="1">
      <alignment horizontal="center" vertical="center" wrapText="1"/>
    </xf>
    <xf numFmtId="0" fontId="1" fillId="0" borderId="29" xfId="0" applyFont="1" applyFill="1" applyBorder="1" applyAlignment="1">
      <alignment vertical="center" wrapText="1"/>
    </xf>
    <xf numFmtId="165" fontId="0" fillId="0" borderId="29" xfId="0" applyNumberFormat="1" applyFill="1" applyBorder="1" applyAlignment="1">
      <alignment horizontal="center" vertical="center"/>
    </xf>
    <xf numFmtId="165" fontId="0" fillId="0" borderId="29" xfId="0" applyNumberFormat="1" applyFill="1" applyBorder="1"/>
    <xf numFmtId="0" fontId="0" fillId="16" borderId="7" xfId="0" applyFill="1" applyBorder="1" applyAlignment="1">
      <alignment horizontal="center" vertical="center"/>
    </xf>
    <xf numFmtId="165" fontId="0" fillId="6" borderId="7" xfId="0" applyNumberFormat="1" applyFont="1" applyFill="1" applyBorder="1" applyAlignment="1">
      <alignment horizontal="center" vertical="center" wrapText="1"/>
    </xf>
    <xf numFmtId="165" fontId="0" fillId="0" borderId="7" xfId="0" applyNumberFormat="1" applyFill="1" applyBorder="1" applyAlignment="1">
      <alignment horizontal="center" vertical="center"/>
    </xf>
    <xf numFmtId="0" fontId="0" fillId="0" borderId="11" xfId="0" applyFill="1" applyBorder="1" applyAlignment="1">
      <alignment horizontal="center" vertical="center" wrapText="1"/>
    </xf>
    <xf numFmtId="0" fontId="0" fillId="6" borderId="9" xfId="0" applyFill="1" applyBorder="1" applyAlignment="1">
      <alignment horizontal="center" vertical="center" wrapText="1"/>
    </xf>
    <xf numFmtId="0" fontId="0" fillId="5" borderId="16" xfId="0" applyFill="1" applyBorder="1" applyAlignment="1">
      <alignment horizontal="center" vertical="center" wrapText="1"/>
    </xf>
    <xf numFmtId="0" fontId="0" fillId="5" borderId="54"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5" borderId="37" xfId="0" applyFont="1" applyFill="1" applyBorder="1" applyAlignment="1">
      <alignment horizontal="center" vertical="center" wrapText="1"/>
    </xf>
    <xf numFmtId="0" fontId="1" fillId="5" borderId="38" xfId="0" applyFont="1" applyFill="1" applyBorder="1" applyAlignment="1">
      <alignment horizontal="center" vertical="center" wrapText="1"/>
    </xf>
    <xf numFmtId="0" fontId="9" fillId="0" borderId="29" xfId="0" applyFont="1" applyBorder="1" applyAlignment="1">
      <alignment horizontal="center" wrapText="1"/>
    </xf>
    <xf numFmtId="0" fontId="9" fillId="0" borderId="0" xfId="0" applyFont="1" applyAlignment="1">
      <alignment horizontal="center" wrapText="1"/>
    </xf>
    <xf numFmtId="0" fontId="0" fillId="3" borderId="19"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30" xfId="0" applyFill="1" applyBorder="1" applyAlignment="1">
      <alignment horizontal="center" vertical="center" wrapText="1"/>
    </xf>
    <xf numFmtId="0" fontId="4" fillId="5" borderId="12"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39" xfId="0" applyFont="1" applyFill="1" applyBorder="1" applyAlignment="1">
      <alignment horizontal="left" vertical="center" wrapText="1"/>
    </xf>
    <xf numFmtId="0" fontId="1" fillId="5" borderId="16"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54" xfId="0" applyFont="1" applyFill="1" applyBorder="1" applyAlignment="1">
      <alignment horizontal="left" vertical="center" wrapText="1"/>
    </xf>
    <xf numFmtId="0" fontId="1" fillId="5" borderId="14"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5" borderId="31" xfId="0" applyFont="1" applyFill="1" applyBorder="1" applyAlignment="1">
      <alignment horizontal="left" vertical="center" wrapText="1"/>
    </xf>
    <xf numFmtId="0" fontId="1" fillId="2" borderId="52"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9" borderId="52" xfId="0" applyFont="1" applyFill="1" applyBorder="1" applyAlignment="1">
      <alignment horizontal="center" vertical="center" wrapText="1"/>
    </xf>
    <xf numFmtId="0" fontId="1" fillId="9" borderId="43" xfId="0" applyFont="1" applyFill="1" applyBorder="1" applyAlignment="1">
      <alignment horizontal="center" vertical="center" wrapText="1"/>
    </xf>
    <xf numFmtId="0" fontId="1" fillId="9" borderId="44" xfId="0" applyFont="1" applyFill="1" applyBorder="1" applyAlignment="1">
      <alignment horizontal="center" vertical="center" wrapText="1"/>
    </xf>
  </cellXfs>
  <cellStyles count="1">
    <cellStyle name="Normal" xfId="0" builtinId="0"/>
  </cellStyles>
  <dxfs count="1">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52"/>
  <sheetViews>
    <sheetView topLeftCell="A9" zoomScale="124" workbookViewId="0">
      <selection activeCell="E22" sqref="D22:E22"/>
    </sheetView>
  </sheetViews>
  <sheetFormatPr baseColWidth="10" defaultRowHeight="14.5" x14ac:dyDescent="0.35"/>
  <cols>
    <col min="1" max="1" width="33.6328125" style="1" customWidth="1"/>
    <col min="2" max="2" width="19.90625" customWidth="1"/>
    <col min="3" max="3" width="14.6328125" customWidth="1"/>
    <col min="4" max="4" width="15.7265625" customWidth="1"/>
    <col min="5" max="33" width="14.36328125" bestFit="1" customWidth="1"/>
  </cols>
  <sheetData>
    <row r="1" spans="1:5" x14ac:dyDescent="0.35">
      <c r="D1" s="107"/>
    </row>
    <row r="4" spans="1:5" ht="15" thickBot="1" x14ac:dyDescent="0.4">
      <c r="B4" s="9"/>
    </row>
    <row r="5" spans="1:5" ht="37.5" thickBot="1" x14ac:dyDescent="0.4">
      <c r="A5" s="31" t="s">
        <v>183</v>
      </c>
      <c r="B5" s="129">
        <f>IF(B11&gt;=30,MIN(B45,B51),((1/B11)*(SUM(B33:AF33))))</f>
        <v>202.40013803930651</v>
      </c>
    </row>
    <row r="6" spans="1:5" ht="37.5" thickBot="1" x14ac:dyDescent="0.4">
      <c r="A6" s="31" t="s">
        <v>159</v>
      </c>
      <c r="B6" s="129">
        <f>B5*B10</f>
        <v>288.46067673361966</v>
      </c>
    </row>
    <row r="8" spans="1:5" ht="15" thickBot="1" x14ac:dyDescent="0.4"/>
    <row r="9" spans="1:5" ht="15" thickBot="1" x14ac:dyDescent="0.4">
      <c r="A9" s="158" t="s">
        <v>13</v>
      </c>
      <c r="B9" s="159"/>
    </row>
    <row r="10" spans="1:5" x14ac:dyDescent="0.35">
      <c r="A10" s="2" t="s">
        <v>7</v>
      </c>
      <c r="B10" s="94">
        <v>1.4252</v>
      </c>
    </row>
    <row r="11" spans="1:5" x14ac:dyDescent="0.35">
      <c r="A11" s="3" t="s">
        <v>14</v>
      </c>
      <c r="B11" s="95">
        <v>30</v>
      </c>
    </row>
    <row r="12" spans="1:5" x14ac:dyDescent="0.35">
      <c r="A12" s="3" t="s">
        <v>18</v>
      </c>
      <c r="B12" s="95" t="s">
        <v>20</v>
      </c>
    </row>
    <row r="13" spans="1:5" x14ac:dyDescent="0.35">
      <c r="A13" s="3" t="s">
        <v>15</v>
      </c>
      <c r="B13" s="95">
        <v>30</v>
      </c>
    </row>
    <row r="14" spans="1:5" x14ac:dyDescent="0.35">
      <c r="A14" s="3" t="s">
        <v>16</v>
      </c>
      <c r="B14" s="24">
        <v>30</v>
      </c>
    </row>
    <row r="15" spans="1:5" ht="58.5" customHeight="1" x14ac:dyDescent="0.35">
      <c r="A15" s="112" t="s">
        <v>145</v>
      </c>
      <c r="B15" s="113" t="s">
        <v>148</v>
      </c>
      <c r="C15" s="162" t="s">
        <v>224</v>
      </c>
      <c r="D15" s="163"/>
      <c r="E15" s="163"/>
    </row>
    <row r="16" spans="1:5" ht="29.5" thickBot="1" x14ac:dyDescent="0.4">
      <c r="A16" s="110" t="s">
        <v>218</v>
      </c>
      <c r="B16" s="111" t="s">
        <v>221</v>
      </c>
    </row>
    <row r="17" spans="1:177" ht="15" thickBot="1" x14ac:dyDescent="0.4"/>
    <row r="18" spans="1:177" s="5" customFormat="1" ht="15.5" x14ac:dyDescent="0.35">
      <c r="A18" s="114" t="s">
        <v>0</v>
      </c>
      <c r="B18" s="115"/>
      <c r="C18" s="115"/>
      <c r="D18" s="115"/>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38"/>
      <c r="AH18" s="7"/>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 x14ac:dyDescent="0.35">
      <c r="A19" s="3" t="s">
        <v>98</v>
      </c>
      <c r="B19" s="12">
        <v>0</v>
      </c>
      <c r="C19" s="12">
        <v>1</v>
      </c>
      <c r="D19" s="12">
        <v>2</v>
      </c>
      <c r="E19" s="12">
        <v>3</v>
      </c>
      <c r="F19" s="12">
        <v>4</v>
      </c>
      <c r="G19" s="12">
        <v>5</v>
      </c>
      <c r="H19" s="12">
        <v>6</v>
      </c>
      <c r="I19" s="12">
        <v>7</v>
      </c>
      <c r="J19" s="12">
        <v>8</v>
      </c>
      <c r="K19" s="12">
        <v>9</v>
      </c>
      <c r="L19" s="12">
        <v>10</v>
      </c>
      <c r="M19" s="12">
        <v>11</v>
      </c>
      <c r="N19" s="12">
        <v>12</v>
      </c>
      <c r="O19" s="12">
        <v>13</v>
      </c>
      <c r="P19" s="12">
        <v>14</v>
      </c>
      <c r="Q19" s="12">
        <v>15</v>
      </c>
      <c r="R19" s="12">
        <v>16</v>
      </c>
      <c r="S19" s="12">
        <v>17</v>
      </c>
      <c r="T19" s="12">
        <v>18</v>
      </c>
      <c r="U19" s="12">
        <v>19</v>
      </c>
      <c r="V19" s="12">
        <v>20</v>
      </c>
      <c r="W19" s="12">
        <v>21</v>
      </c>
      <c r="X19" s="12">
        <v>22</v>
      </c>
      <c r="Y19" s="12">
        <v>23</v>
      </c>
      <c r="Z19" s="12">
        <v>24</v>
      </c>
      <c r="AA19" s="12">
        <v>25</v>
      </c>
      <c r="AB19" s="12">
        <v>26</v>
      </c>
      <c r="AC19" s="12">
        <v>27</v>
      </c>
      <c r="AD19" s="12">
        <v>28</v>
      </c>
      <c r="AE19" s="12">
        <v>29</v>
      </c>
      <c r="AF19" s="13">
        <v>30</v>
      </c>
      <c r="AG19" s="57"/>
      <c r="AH19" s="7"/>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116" t="s">
        <v>3</v>
      </c>
      <c r="B20" s="117"/>
      <c r="C20" s="117"/>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48"/>
      <c r="AH20" s="7"/>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193</v>
      </c>
      <c r="B21" s="96">
        <f>(((B22+B24)*$B$35)+(B25+B26))*(44/12)</f>
        <v>256.66666666666663</v>
      </c>
      <c r="C21" s="96">
        <f t="shared" ref="C21:AF21" si="0">(((C22+C24)*$B$35)+(C25+C26))*(44/12)</f>
        <v>269.30709560240058</v>
      </c>
      <c r="D21" s="96">
        <f t="shared" si="0"/>
        <v>281.45589041681086</v>
      </c>
      <c r="E21" s="96">
        <f t="shared" si="0"/>
        <v>293.44591208852268</v>
      </c>
      <c r="F21" s="96">
        <f t="shared" si="0"/>
        <v>305.33806230083167</v>
      </c>
      <c r="G21" s="96">
        <f t="shared" si="0"/>
        <v>317.15994369309658</v>
      </c>
      <c r="H21" s="96">
        <f t="shared" si="0"/>
        <v>328.92730196325004</v>
      </c>
      <c r="I21" s="96">
        <f t="shared" si="0"/>
        <v>340.65028775393284</v>
      </c>
      <c r="J21" s="96">
        <f t="shared" si="0"/>
        <v>352.33597138849177</v>
      </c>
      <c r="K21" s="96">
        <f t="shared" si="0"/>
        <v>363.98954964452781</v>
      </c>
      <c r="L21" s="96">
        <f t="shared" si="0"/>
        <v>375.61499671136789</v>
      </c>
      <c r="M21" s="96">
        <f t="shared" si="0"/>
        <v>387.2154459453302</v>
      </c>
      <c r="N21" s="96">
        <f t="shared" si="0"/>
        <v>418.72359664942326</v>
      </c>
      <c r="O21" s="96">
        <f t="shared" si="0"/>
        <v>396.85529239734387</v>
      </c>
      <c r="P21" s="96">
        <f t="shared" si="0"/>
        <v>424.94257520858417</v>
      </c>
      <c r="Q21" s="96">
        <f t="shared" si="0"/>
        <v>454.21186399158978</v>
      </c>
      <c r="R21" s="96">
        <f t="shared" si="0"/>
        <v>484.41133252008541</v>
      </c>
      <c r="S21" s="96">
        <f t="shared" si="0"/>
        <v>515.41884774664902</v>
      </c>
      <c r="T21" s="96">
        <f t="shared" si="0"/>
        <v>473.1558942198514</v>
      </c>
      <c r="U21" s="96">
        <f t="shared" si="0"/>
        <v>499.82255980827</v>
      </c>
      <c r="V21" s="96">
        <f t="shared" si="0"/>
        <v>526.29293361117425</v>
      </c>
      <c r="W21" s="96">
        <f t="shared" si="0"/>
        <v>553.0893468421732</v>
      </c>
      <c r="X21" s="96">
        <f t="shared" si="0"/>
        <v>509.8072010568111</v>
      </c>
      <c r="Y21" s="96">
        <f t="shared" si="0"/>
        <v>533.04701136370215</v>
      </c>
      <c r="Z21" s="96">
        <f t="shared" si="0"/>
        <v>556.11413614057142</v>
      </c>
      <c r="AA21" s="96">
        <f t="shared" si="0"/>
        <v>579.14150942539766</v>
      </c>
      <c r="AB21" s="96">
        <f t="shared" si="0"/>
        <v>602.00456563132673</v>
      </c>
      <c r="AC21" s="96">
        <f t="shared" si="0"/>
        <v>624.57898207699009</v>
      </c>
      <c r="AD21" s="96">
        <f t="shared" si="0"/>
        <v>646.86823071035406</v>
      </c>
      <c r="AE21" s="96">
        <f>(((AE22+AE24)*$B$35)+(AE25+AE26))*(44/12)</f>
        <v>668.7478797348632</v>
      </c>
      <c r="AF21" s="123">
        <f t="shared" si="0"/>
        <v>689.32992453547774</v>
      </c>
      <c r="AG21" s="149"/>
      <c r="AH21" s="7"/>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3" t="s">
        <v>190</v>
      </c>
      <c r="B22" s="96">
        <f>B23*$B$36*$C$37</f>
        <v>0</v>
      </c>
      <c r="C22" s="96">
        <f>C23*$B$36*$C$37</f>
        <v>4.7350727272727271</v>
      </c>
      <c r="D22" s="96">
        <f t="shared" ref="D22:AF22" si="1">D23*$B$36*$C$37</f>
        <v>9.4701454545454542</v>
      </c>
      <c r="E22" s="96">
        <f t="shared" si="1"/>
        <v>14.205218181818184</v>
      </c>
      <c r="F22" s="96">
        <f t="shared" si="1"/>
        <v>18.940290909090908</v>
      </c>
      <c r="G22" s="96">
        <f t="shared" si="1"/>
        <v>23.675363636363642</v>
      </c>
      <c r="H22" s="96">
        <f t="shared" si="1"/>
        <v>28.410436363636371</v>
      </c>
      <c r="I22" s="96">
        <f t="shared" si="1"/>
        <v>33.145509090909101</v>
      </c>
      <c r="J22" s="96">
        <f t="shared" si="1"/>
        <v>37.880581818181831</v>
      </c>
      <c r="K22" s="96">
        <f t="shared" si="1"/>
        <v>42.615654545454561</v>
      </c>
      <c r="L22" s="96">
        <f t="shared" si="1"/>
        <v>47.350727272727291</v>
      </c>
      <c r="M22" s="96">
        <f t="shared" si="1"/>
        <v>52.08580000000002</v>
      </c>
      <c r="N22" s="96">
        <f t="shared" si="1"/>
        <v>65.959400000000016</v>
      </c>
      <c r="O22" s="96">
        <f t="shared" si="1"/>
        <v>55.3748</v>
      </c>
      <c r="P22" s="96">
        <f t="shared" si="1"/>
        <v>67.693600000000004</v>
      </c>
      <c r="Q22" s="96">
        <f t="shared" si="1"/>
        <v>80.610400000000013</v>
      </c>
      <c r="R22" s="96">
        <f t="shared" si="1"/>
        <v>94.005600000000001</v>
      </c>
      <c r="S22" s="96">
        <f t="shared" si="1"/>
        <v>107.81940000000002</v>
      </c>
      <c r="T22" s="96">
        <f t="shared" si="1"/>
        <v>87.666800000000009</v>
      </c>
      <c r="U22" s="96">
        <f t="shared" si="1"/>
        <v>99.447400000000016</v>
      </c>
      <c r="V22" s="96">
        <f t="shared" si="1"/>
        <v>111.16820000000001</v>
      </c>
      <c r="W22" s="96">
        <f t="shared" si="1"/>
        <v>123.06840000000001</v>
      </c>
      <c r="X22" s="96">
        <f t="shared" si="1"/>
        <v>102.3776</v>
      </c>
      <c r="Y22" s="96">
        <f t="shared" si="1"/>
        <v>112.60340000000001</v>
      </c>
      <c r="Z22" s="96">
        <f t="shared" si="1"/>
        <v>122.76940000000002</v>
      </c>
      <c r="AA22" s="96">
        <f t="shared" si="1"/>
        <v>132.93540000000002</v>
      </c>
      <c r="AB22" s="96">
        <f t="shared" si="1"/>
        <v>143.04159999999999</v>
      </c>
      <c r="AC22" s="96">
        <f t="shared" si="1"/>
        <v>153.02820000000003</v>
      </c>
      <c r="AD22" s="96">
        <f t="shared" si="1"/>
        <v>162.89520000000002</v>
      </c>
      <c r="AE22" s="96">
        <f t="shared" si="1"/>
        <v>172.58280000000005</v>
      </c>
      <c r="AF22" s="123">
        <f t="shared" si="1"/>
        <v>181.67240000000004</v>
      </c>
      <c r="AG22" s="149"/>
      <c r="AH22" s="7"/>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18" t="s">
        <v>12</v>
      </c>
      <c r="B23" s="120">
        <v>0</v>
      </c>
      <c r="C23" s="120">
        <f>B23+(87.1/11)</f>
        <v>7.918181818181818</v>
      </c>
      <c r="D23" s="120">
        <f t="shared" ref="D23:M23" si="2">C23+(87.1/11)</f>
        <v>15.836363636363636</v>
      </c>
      <c r="E23" s="120">
        <f t="shared" si="2"/>
        <v>23.754545454545454</v>
      </c>
      <c r="F23" s="120">
        <f t="shared" si="2"/>
        <v>31.672727272727272</v>
      </c>
      <c r="G23" s="120">
        <f t="shared" si="2"/>
        <v>39.590909090909093</v>
      </c>
      <c r="H23" s="120">
        <f t="shared" si="2"/>
        <v>47.509090909090915</v>
      </c>
      <c r="I23" s="120">
        <f t="shared" si="2"/>
        <v>55.427272727272737</v>
      </c>
      <c r="J23" s="120">
        <f t="shared" si="2"/>
        <v>63.345454545454558</v>
      </c>
      <c r="K23" s="120">
        <f t="shared" si="2"/>
        <v>71.26363636363638</v>
      </c>
      <c r="L23" s="120">
        <f t="shared" si="2"/>
        <v>79.181818181818201</v>
      </c>
      <c r="M23" s="120">
        <f t="shared" si="2"/>
        <v>87.100000000000023</v>
      </c>
      <c r="N23" s="120">
        <v>110.3</v>
      </c>
      <c r="O23" s="120">
        <v>92.6</v>
      </c>
      <c r="P23" s="120">
        <v>113.2</v>
      </c>
      <c r="Q23" s="120">
        <v>134.80000000000001</v>
      </c>
      <c r="R23" s="120">
        <v>157.19999999999999</v>
      </c>
      <c r="S23" s="120">
        <v>180.3</v>
      </c>
      <c r="T23" s="120">
        <v>146.6</v>
      </c>
      <c r="U23" s="120">
        <v>166.3</v>
      </c>
      <c r="V23" s="120">
        <v>185.9</v>
      </c>
      <c r="W23" s="120">
        <v>205.8</v>
      </c>
      <c r="X23" s="120">
        <v>171.2</v>
      </c>
      <c r="Y23" s="120">
        <v>188.3</v>
      </c>
      <c r="Z23" s="120">
        <v>205.3</v>
      </c>
      <c r="AA23" s="120">
        <v>222.3</v>
      </c>
      <c r="AB23" s="120">
        <v>239.2</v>
      </c>
      <c r="AC23" s="120">
        <v>255.9</v>
      </c>
      <c r="AD23" s="120">
        <v>272.39999999999998</v>
      </c>
      <c r="AE23" s="120">
        <v>288.60000000000002</v>
      </c>
      <c r="AF23" s="121">
        <v>303.8</v>
      </c>
      <c r="AG23" s="150"/>
      <c r="AH23" s="7"/>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x14ac:dyDescent="0.35">
      <c r="A24" s="3" t="s">
        <v>191</v>
      </c>
      <c r="B24" s="96">
        <v>0</v>
      </c>
      <c r="C24" s="96">
        <f>EXP(-1.0587+0.8836*LN(C22)+0.284)</f>
        <v>1.8208354335952472</v>
      </c>
      <c r="D24" s="96">
        <f t="shared" ref="D24:AF24" si="3">EXP(-1.0587+0.8836*LN(D22)+0.284)</f>
        <v>3.3593929027941214</v>
      </c>
      <c r="E24" s="96">
        <f t="shared" si="3"/>
        <v>4.8067887589603941</v>
      </c>
      <c r="F24" s="96">
        <f t="shared" si="3"/>
        <v>6.1979904757566144</v>
      </c>
      <c r="G24" s="96">
        <f t="shared" si="3"/>
        <v>7.5488464585562403</v>
      </c>
      <c r="H24" s="96">
        <f t="shared" si="3"/>
        <v>8.8683972994736973</v>
      </c>
      <c r="I24" s="96">
        <f t="shared" si="3"/>
        <v>10.162471118685552</v>
      </c>
      <c r="J24" s="96">
        <f t="shared" si="3"/>
        <v>11.435127431988855</v>
      </c>
      <c r="K24" s="96">
        <f t="shared" si="3"/>
        <v>12.689350035135595</v>
      </c>
      <c r="L24" s="96">
        <f t="shared" si="3"/>
        <v>13.927420759318075</v>
      </c>
      <c r="M24" s="96">
        <f t="shared" si="3"/>
        <v>15.151138660795603</v>
      </c>
      <c r="N24" s="96">
        <f t="shared" si="3"/>
        <v>18.666588506845901</v>
      </c>
      <c r="O24" s="96">
        <f t="shared" si="3"/>
        <v>15.99346995700764</v>
      </c>
      <c r="P24" s="96">
        <f t="shared" si="3"/>
        <v>19.099585127735754</v>
      </c>
      <c r="Q24" s="96">
        <f t="shared" si="3"/>
        <v>22.286364014309925</v>
      </c>
      <c r="R24" s="96">
        <f t="shared" si="3"/>
        <v>25.52881739590234</v>
      </c>
      <c r="S24" s="96">
        <f t="shared" si="3"/>
        <v>28.816621034758558</v>
      </c>
      <c r="T24" s="96">
        <f t="shared" si="3"/>
        <v>24.001656011397941</v>
      </c>
      <c r="U24" s="96">
        <f t="shared" si="3"/>
        <v>26.830305791032242</v>
      </c>
      <c r="V24" s="96">
        <f t="shared" si="3"/>
        <v>29.606052153146294</v>
      </c>
      <c r="W24" s="96">
        <f t="shared" si="3"/>
        <v>32.389598186893679</v>
      </c>
      <c r="X24" s="96">
        <f t="shared" si="3"/>
        <v>27.527651005505589</v>
      </c>
      <c r="Y24" s="96">
        <f t="shared" si="3"/>
        <v>29.943528374693404</v>
      </c>
      <c r="Z24" s="96">
        <f t="shared" si="3"/>
        <v>32.320056157265896</v>
      </c>
      <c r="AA24" s="96">
        <f t="shared" si="3"/>
        <v>34.673760116655764</v>
      </c>
      <c r="AB24" s="96">
        <f t="shared" si="3"/>
        <v>36.992919341750572</v>
      </c>
      <c r="AC24" s="96">
        <f t="shared" si="3"/>
        <v>39.265952388702431</v>
      </c>
      <c r="AD24" s="96">
        <f t="shared" si="3"/>
        <v>41.494852720458525</v>
      </c>
      <c r="AE24" s="96">
        <f t="shared" si="3"/>
        <v>43.667976243302661</v>
      </c>
      <c r="AF24" s="123">
        <f t="shared" si="3"/>
        <v>45.694063848121147</v>
      </c>
      <c r="AG24" s="149"/>
      <c r="AH24" s="98"/>
    </row>
    <row r="25" spans="1:177" ht="31.5" customHeight="1" x14ac:dyDescent="0.35">
      <c r="A25" s="3" t="s">
        <v>11</v>
      </c>
      <c r="B25" s="96">
        <f t="shared" ref="B25:AF25" si="4">IF($B$15="Culture agricole",(45+25*(1-(EXP(-0.0175*B19)))),$B$43)</f>
        <v>70</v>
      </c>
      <c r="C25" s="96">
        <f>IF($B$15="Culture agricole",(45+25*(1-(EXP(-0.0175*C19)))),$B$43)</f>
        <v>70</v>
      </c>
      <c r="D25" s="96">
        <f t="shared" si="4"/>
        <v>70</v>
      </c>
      <c r="E25" s="96">
        <f t="shared" si="4"/>
        <v>70</v>
      </c>
      <c r="F25" s="96">
        <f t="shared" si="4"/>
        <v>70</v>
      </c>
      <c r="G25" s="96">
        <f t="shared" si="4"/>
        <v>70</v>
      </c>
      <c r="H25" s="96">
        <f t="shared" si="4"/>
        <v>70</v>
      </c>
      <c r="I25" s="96">
        <f t="shared" si="4"/>
        <v>70</v>
      </c>
      <c r="J25" s="96">
        <f t="shared" si="4"/>
        <v>70</v>
      </c>
      <c r="K25" s="96">
        <f t="shared" si="4"/>
        <v>70</v>
      </c>
      <c r="L25" s="96">
        <f t="shared" si="4"/>
        <v>70</v>
      </c>
      <c r="M25" s="96">
        <f t="shared" si="4"/>
        <v>70</v>
      </c>
      <c r="N25" s="96">
        <f t="shared" si="4"/>
        <v>70</v>
      </c>
      <c r="O25" s="96">
        <f t="shared" si="4"/>
        <v>70</v>
      </c>
      <c r="P25" s="96">
        <f t="shared" si="4"/>
        <v>70</v>
      </c>
      <c r="Q25" s="96">
        <f t="shared" si="4"/>
        <v>70</v>
      </c>
      <c r="R25" s="96">
        <f t="shared" si="4"/>
        <v>70</v>
      </c>
      <c r="S25" s="96">
        <f t="shared" si="4"/>
        <v>70</v>
      </c>
      <c r="T25" s="96">
        <f t="shared" si="4"/>
        <v>70</v>
      </c>
      <c r="U25" s="96">
        <f t="shared" si="4"/>
        <v>70</v>
      </c>
      <c r="V25" s="96">
        <f t="shared" si="4"/>
        <v>70</v>
      </c>
      <c r="W25" s="96">
        <f t="shared" si="4"/>
        <v>70</v>
      </c>
      <c r="X25" s="96">
        <f t="shared" si="4"/>
        <v>70</v>
      </c>
      <c r="Y25" s="96">
        <f t="shared" si="4"/>
        <v>70</v>
      </c>
      <c r="Z25" s="96">
        <f t="shared" si="4"/>
        <v>70</v>
      </c>
      <c r="AA25" s="96">
        <f t="shared" si="4"/>
        <v>70</v>
      </c>
      <c r="AB25" s="96">
        <f t="shared" si="4"/>
        <v>70</v>
      </c>
      <c r="AC25" s="96">
        <f t="shared" si="4"/>
        <v>70</v>
      </c>
      <c r="AD25" s="96">
        <f t="shared" si="4"/>
        <v>70</v>
      </c>
      <c r="AE25" s="96">
        <f t="shared" si="4"/>
        <v>70</v>
      </c>
      <c r="AF25" s="123">
        <f t="shared" si="4"/>
        <v>70</v>
      </c>
      <c r="AG25" s="149"/>
      <c r="AH25" s="98"/>
    </row>
    <row r="26" spans="1:177" x14ac:dyDescent="0.35">
      <c r="A26" s="3" t="s">
        <v>192</v>
      </c>
      <c r="B26" s="96">
        <f t="shared" ref="B26:AF26" si="5">B19*(($B$39-$B$38)/30)</f>
        <v>0</v>
      </c>
      <c r="C26" s="96">
        <f>C19*(($B$39-$B$38)/30)</f>
        <v>0.33333333333333331</v>
      </c>
      <c r="D26" s="96">
        <f t="shared" si="5"/>
        <v>0.66666666666666663</v>
      </c>
      <c r="E26" s="96">
        <f t="shared" si="5"/>
        <v>1</v>
      </c>
      <c r="F26" s="96">
        <f t="shared" si="5"/>
        <v>1.3333333333333333</v>
      </c>
      <c r="G26" s="96">
        <f t="shared" si="5"/>
        <v>1.6666666666666665</v>
      </c>
      <c r="H26" s="96">
        <f t="shared" si="5"/>
        <v>2</v>
      </c>
      <c r="I26" s="96">
        <f t="shared" si="5"/>
        <v>2.333333333333333</v>
      </c>
      <c r="J26" s="96">
        <f t="shared" si="5"/>
        <v>2.6666666666666665</v>
      </c>
      <c r="K26" s="96">
        <f t="shared" si="5"/>
        <v>3</v>
      </c>
      <c r="L26" s="96">
        <f t="shared" si="5"/>
        <v>3.333333333333333</v>
      </c>
      <c r="M26" s="96">
        <f t="shared" si="5"/>
        <v>3.6666666666666665</v>
      </c>
      <c r="N26" s="96">
        <f t="shared" si="5"/>
        <v>4</v>
      </c>
      <c r="O26" s="96">
        <f t="shared" si="5"/>
        <v>4.333333333333333</v>
      </c>
      <c r="P26" s="96">
        <f t="shared" si="5"/>
        <v>4.6666666666666661</v>
      </c>
      <c r="Q26" s="96">
        <f t="shared" si="5"/>
        <v>5</v>
      </c>
      <c r="R26" s="96">
        <f t="shared" si="5"/>
        <v>5.333333333333333</v>
      </c>
      <c r="S26" s="96">
        <f t="shared" si="5"/>
        <v>5.6666666666666661</v>
      </c>
      <c r="T26" s="96">
        <f t="shared" si="5"/>
        <v>6</v>
      </c>
      <c r="U26" s="96">
        <f t="shared" si="5"/>
        <v>6.333333333333333</v>
      </c>
      <c r="V26" s="96">
        <f t="shared" si="5"/>
        <v>6.6666666666666661</v>
      </c>
      <c r="W26" s="96">
        <f t="shared" si="5"/>
        <v>7</v>
      </c>
      <c r="X26" s="96">
        <f t="shared" si="5"/>
        <v>7.333333333333333</v>
      </c>
      <c r="Y26" s="96">
        <f t="shared" si="5"/>
        <v>7.6666666666666661</v>
      </c>
      <c r="Z26" s="96">
        <f t="shared" si="5"/>
        <v>8</v>
      </c>
      <c r="AA26" s="96">
        <f t="shared" si="5"/>
        <v>8.3333333333333321</v>
      </c>
      <c r="AB26" s="96">
        <f t="shared" si="5"/>
        <v>8.6666666666666661</v>
      </c>
      <c r="AC26" s="96">
        <f t="shared" si="5"/>
        <v>9</v>
      </c>
      <c r="AD26" s="96">
        <f t="shared" si="5"/>
        <v>9.3333333333333321</v>
      </c>
      <c r="AE26" s="96">
        <f t="shared" si="5"/>
        <v>9.6666666666666661</v>
      </c>
      <c r="AF26" s="123">
        <f t="shared" si="5"/>
        <v>10</v>
      </c>
      <c r="AG26" s="149"/>
      <c r="AH26" s="98"/>
    </row>
    <row r="27" spans="1:177" x14ac:dyDescent="0.35">
      <c r="A27" s="118" t="s">
        <v>2</v>
      </c>
      <c r="B27" s="119"/>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48"/>
      <c r="AH27" s="98"/>
    </row>
    <row r="28" spans="1:177" x14ac:dyDescent="0.35">
      <c r="A28" s="3" t="s">
        <v>194</v>
      </c>
      <c r="B28" s="96">
        <f>IF($B$15="Culture agricole",($B$40+$B$42)*(44/12),(((B29+B30)*$B$35)+B31+B32)*(44/12))</f>
        <v>256.66666666666663</v>
      </c>
      <c r="C28" s="96">
        <f t="shared" ref="C28:AF28" si="6">IF($B$15="Culture agricole",($B$40+$B$42)*(44/12),(((C29+C30)*$B$35)+C31+C32)*(44/12))</f>
        <v>256.66666666666663</v>
      </c>
      <c r="D28" s="96">
        <f t="shared" si="6"/>
        <v>256.66666666666663</v>
      </c>
      <c r="E28" s="96">
        <f t="shared" si="6"/>
        <v>256.66666666666663</v>
      </c>
      <c r="F28" s="96">
        <f t="shared" si="6"/>
        <v>256.66666666666663</v>
      </c>
      <c r="G28" s="96">
        <f t="shared" si="6"/>
        <v>256.66666666666663</v>
      </c>
      <c r="H28" s="96">
        <f t="shared" si="6"/>
        <v>256.66666666666663</v>
      </c>
      <c r="I28" s="96">
        <f t="shared" si="6"/>
        <v>256.66666666666663</v>
      </c>
      <c r="J28" s="96">
        <f t="shared" si="6"/>
        <v>256.66666666666663</v>
      </c>
      <c r="K28" s="96">
        <f t="shared" si="6"/>
        <v>256.66666666666663</v>
      </c>
      <c r="L28" s="96">
        <f t="shared" si="6"/>
        <v>256.66666666666663</v>
      </c>
      <c r="M28" s="96">
        <f t="shared" si="6"/>
        <v>256.66666666666663</v>
      </c>
      <c r="N28" s="96">
        <f t="shared" si="6"/>
        <v>256.66666666666663</v>
      </c>
      <c r="O28" s="96">
        <f t="shared" si="6"/>
        <v>256.66666666666663</v>
      </c>
      <c r="P28" s="96">
        <f t="shared" si="6"/>
        <v>256.66666666666663</v>
      </c>
      <c r="Q28" s="96">
        <f t="shared" si="6"/>
        <v>256.66666666666663</v>
      </c>
      <c r="R28" s="96">
        <f t="shared" si="6"/>
        <v>256.66666666666663</v>
      </c>
      <c r="S28" s="96">
        <f t="shared" si="6"/>
        <v>256.66666666666663</v>
      </c>
      <c r="T28" s="96">
        <f t="shared" si="6"/>
        <v>256.66666666666663</v>
      </c>
      <c r="U28" s="96">
        <f t="shared" si="6"/>
        <v>256.66666666666663</v>
      </c>
      <c r="V28" s="96">
        <f t="shared" si="6"/>
        <v>256.66666666666663</v>
      </c>
      <c r="W28" s="96">
        <f t="shared" si="6"/>
        <v>256.66666666666663</v>
      </c>
      <c r="X28" s="96">
        <f t="shared" si="6"/>
        <v>256.66666666666663</v>
      </c>
      <c r="Y28" s="96">
        <f t="shared" si="6"/>
        <v>256.66666666666663</v>
      </c>
      <c r="Z28" s="96">
        <f t="shared" si="6"/>
        <v>256.66666666666663</v>
      </c>
      <c r="AA28" s="96">
        <f t="shared" si="6"/>
        <v>256.66666666666663</v>
      </c>
      <c r="AB28" s="96">
        <f t="shared" si="6"/>
        <v>256.66666666666663</v>
      </c>
      <c r="AC28" s="96">
        <f t="shared" si="6"/>
        <v>256.66666666666663</v>
      </c>
      <c r="AD28" s="96">
        <f t="shared" si="6"/>
        <v>256.66666666666663</v>
      </c>
      <c r="AE28" s="96">
        <f t="shared" si="6"/>
        <v>256.66666666666663</v>
      </c>
      <c r="AF28" s="123">
        <f t="shared" si="6"/>
        <v>256.66666666666663</v>
      </c>
      <c r="AG28" s="149"/>
      <c r="AH28" s="98"/>
    </row>
    <row r="29" spans="1:177" x14ac:dyDescent="0.35">
      <c r="A29" s="3" t="s">
        <v>190</v>
      </c>
      <c r="B29" s="12">
        <f>IF($B$15="Nature de prairie ou pâture",0,$B$36*$E$37)</f>
        <v>0</v>
      </c>
      <c r="C29" s="12">
        <f t="shared" ref="C29:AF29" si="7">IF($B$15="Nature de prairie ou pâture",0,$B$36*$E$37)</f>
        <v>0</v>
      </c>
      <c r="D29" s="12">
        <f t="shared" si="7"/>
        <v>0</v>
      </c>
      <c r="E29" s="12">
        <f t="shared" si="7"/>
        <v>0</v>
      </c>
      <c r="F29" s="12">
        <f t="shared" si="7"/>
        <v>0</v>
      </c>
      <c r="G29" s="12">
        <f t="shared" si="7"/>
        <v>0</v>
      </c>
      <c r="H29" s="12">
        <f t="shared" si="7"/>
        <v>0</v>
      </c>
      <c r="I29" s="12">
        <f t="shared" si="7"/>
        <v>0</v>
      </c>
      <c r="J29" s="12">
        <f t="shared" si="7"/>
        <v>0</v>
      </c>
      <c r="K29" s="12">
        <f t="shared" si="7"/>
        <v>0</v>
      </c>
      <c r="L29" s="12">
        <f t="shared" si="7"/>
        <v>0</v>
      </c>
      <c r="M29" s="12">
        <f t="shared" si="7"/>
        <v>0</v>
      </c>
      <c r="N29" s="12">
        <f t="shared" si="7"/>
        <v>0</v>
      </c>
      <c r="O29" s="12">
        <f t="shared" si="7"/>
        <v>0</v>
      </c>
      <c r="P29" s="12">
        <f t="shared" si="7"/>
        <v>0</v>
      </c>
      <c r="Q29" s="12">
        <f t="shared" si="7"/>
        <v>0</v>
      </c>
      <c r="R29" s="12">
        <f t="shared" si="7"/>
        <v>0</v>
      </c>
      <c r="S29" s="12">
        <f t="shared" si="7"/>
        <v>0</v>
      </c>
      <c r="T29" s="12">
        <f t="shared" si="7"/>
        <v>0</v>
      </c>
      <c r="U29" s="12">
        <f t="shared" si="7"/>
        <v>0</v>
      </c>
      <c r="V29" s="12">
        <f t="shared" si="7"/>
        <v>0</v>
      </c>
      <c r="W29" s="12">
        <f t="shared" si="7"/>
        <v>0</v>
      </c>
      <c r="X29" s="12">
        <f t="shared" si="7"/>
        <v>0</v>
      </c>
      <c r="Y29" s="12">
        <f t="shared" si="7"/>
        <v>0</v>
      </c>
      <c r="Z29" s="12">
        <f t="shared" si="7"/>
        <v>0</v>
      </c>
      <c r="AA29" s="12">
        <f t="shared" si="7"/>
        <v>0</v>
      </c>
      <c r="AB29" s="12">
        <f t="shared" si="7"/>
        <v>0</v>
      </c>
      <c r="AC29" s="12">
        <f t="shared" si="7"/>
        <v>0</v>
      </c>
      <c r="AD29" s="12">
        <f t="shared" si="7"/>
        <v>0</v>
      </c>
      <c r="AE29" s="12">
        <f t="shared" si="7"/>
        <v>0</v>
      </c>
      <c r="AF29" s="13">
        <f t="shared" si="7"/>
        <v>0</v>
      </c>
      <c r="AG29" s="57"/>
      <c r="AH29" s="98"/>
    </row>
    <row r="30" spans="1:177" x14ac:dyDescent="0.35">
      <c r="A30" s="3" t="s">
        <v>191</v>
      </c>
      <c r="B30" s="12">
        <f t="shared" ref="B30:AF30" si="8">IF($B$15="Nature de prairie ou pâture",0,EXP(-1.0587+0.8836*LN(B29)+0.284))</f>
        <v>0</v>
      </c>
      <c r="C30" s="12">
        <f t="shared" si="8"/>
        <v>0</v>
      </c>
      <c r="D30" s="12">
        <f t="shared" si="8"/>
        <v>0</v>
      </c>
      <c r="E30" s="12">
        <f t="shared" si="8"/>
        <v>0</v>
      </c>
      <c r="F30" s="12">
        <f t="shared" si="8"/>
        <v>0</v>
      </c>
      <c r="G30" s="12">
        <f t="shared" si="8"/>
        <v>0</v>
      </c>
      <c r="H30" s="12">
        <f t="shared" si="8"/>
        <v>0</v>
      </c>
      <c r="I30" s="12">
        <f t="shared" si="8"/>
        <v>0</v>
      </c>
      <c r="J30" s="12">
        <f t="shared" si="8"/>
        <v>0</v>
      </c>
      <c r="K30" s="12">
        <f t="shared" si="8"/>
        <v>0</v>
      </c>
      <c r="L30" s="12">
        <f t="shared" si="8"/>
        <v>0</v>
      </c>
      <c r="M30" s="12">
        <f t="shared" si="8"/>
        <v>0</v>
      </c>
      <c r="N30" s="12">
        <f t="shared" si="8"/>
        <v>0</v>
      </c>
      <c r="O30" s="12">
        <f t="shared" si="8"/>
        <v>0</v>
      </c>
      <c r="P30" s="12">
        <f t="shared" si="8"/>
        <v>0</v>
      </c>
      <c r="Q30" s="12">
        <f t="shared" si="8"/>
        <v>0</v>
      </c>
      <c r="R30" s="12">
        <f t="shared" si="8"/>
        <v>0</v>
      </c>
      <c r="S30" s="12">
        <f t="shared" si="8"/>
        <v>0</v>
      </c>
      <c r="T30" s="12">
        <f t="shared" si="8"/>
        <v>0</v>
      </c>
      <c r="U30" s="12">
        <f t="shared" si="8"/>
        <v>0</v>
      </c>
      <c r="V30" s="12">
        <f t="shared" si="8"/>
        <v>0</v>
      </c>
      <c r="W30" s="12">
        <f t="shared" si="8"/>
        <v>0</v>
      </c>
      <c r="X30" s="12">
        <f t="shared" si="8"/>
        <v>0</v>
      </c>
      <c r="Y30" s="12">
        <f t="shared" si="8"/>
        <v>0</v>
      </c>
      <c r="Z30" s="12">
        <f t="shared" si="8"/>
        <v>0</v>
      </c>
      <c r="AA30" s="12">
        <f t="shared" si="8"/>
        <v>0</v>
      </c>
      <c r="AB30" s="12">
        <f t="shared" si="8"/>
        <v>0</v>
      </c>
      <c r="AC30" s="12">
        <f t="shared" si="8"/>
        <v>0</v>
      </c>
      <c r="AD30" s="12">
        <f t="shared" si="8"/>
        <v>0</v>
      </c>
      <c r="AE30" s="12">
        <f t="shared" si="8"/>
        <v>0</v>
      </c>
      <c r="AF30" s="13">
        <f t="shared" si="8"/>
        <v>0</v>
      </c>
      <c r="AG30" s="57"/>
      <c r="AH30" s="98"/>
    </row>
    <row r="31" spans="1:177" ht="29" x14ac:dyDescent="0.35">
      <c r="A31" s="3" t="s">
        <v>11</v>
      </c>
      <c r="B31" s="12">
        <f t="shared" ref="B31:AF31" si="9">IF($B$15="Culture agricole",$B$42,$B$43)</f>
        <v>70</v>
      </c>
      <c r="C31" s="12">
        <f t="shared" si="9"/>
        <v>70</v>
      </c>
      <c r="D31" s="12">
        <f t="shared" si="9"/>
        <v>70</v>
      </c>
      <c r="E31" s="12">
        <f t="shared" si="9"/>
        <v>70</v>
      </c>
      <c r="F31" s="12">
        <f t="shared" si="9"/>
        <v>70</v>
      </c>
      <c r="G31" s="12">
        <f t="shared" si="9"/>
        <v>70</v>
      </c>
      <c r="H31" s="12">
        <f t="shared" si="9"/>
        <v>70</v>
      </c>
      <c r="I31" s="12">
        <f t="shared" si="9"/>
        <v>70</v>
      </c>
      <c r="J31" s="12">
        <f t="shared" si="9"/>
        <v>70</v>
      </c>
      <c r="K31" s="12">
        <f t="shared" si="9"/>
        <v>70</v>
      </c>
      <c r="L31" s="12">
        <f t="shared" si="9"/>
        <v>70</v>
      </c>
      <c r="M31" s="12">
        <f t="shared" si="9"/>
        <v>70</v>
      </c>
      <c r="N31" s="12">
        <f t="shared" si="9"/>
        <v>70</v>
      </c>
      <c r="O31" s="12">
        <f t="shared" si="9"/>
        <v>70</v>
      </c>
      <c r="P31" s="12">
        <f t="shared" si="9"/>
        <v>70</v>
      </c>
      <c r="Q31" s="12">
        <f t="shared" si="9"/>
        <v>70</v>
      </c>
      <c r="R31" s="12">
        <f t="shared" si="9"/>
        <v>70</v>
      </c>
      <c r="S31" s="12">
        <f t="shared" si="9"/>
        <v>70</v>
      </c>
      <c r="T31" s="12">
        <f t="shared" si="9"/>
        <v>70</v>
      </c>
      <c r="U31" s="12">
        <f t="shared" si="9"/>
        <v>70</v>
      </c>
      <c r="V31" s="12">
        <f t="shared" si="9"/>
        <v>70</v>
      </c>
      <c r="W31" s="12">
        <f t="shared" si="9"/>
        <v>70</v>
      </c>
      <c r="X31" s="12">
        <f t="shared" si="9"/>
        <v>70</v>
      </c>
      <c r="Y31" s="12">
        <f t="shared" si="9"/>
        <v>70</v>
      </c>
      <c r="Z31" s="12">
        <f t="shared" si="9"/>
        <v>70</v>
      </c>
      <c r="AA31" s="12">
        <f t="shared" si="9"/>
        <v>70</v>
      </c>
      <c r="AB31" s="12">
        <f t="shared" si="9"/>
        <v>70</v>
      </c>
      <c r="AC31" s="12">
        <f t="shared" si="9"/>
        <v>70</v>
      </c>
      <c r="AD31" s="12">
        <f t="shared" si="9"/>
        <v>70</v>
      </c>
      <c r="AE31" s="12">
        <f t="shared" si="9"/>
        <v>70</v>
      </c>
      <c r="AF31" s="13">
        <f t="shared" si="9"/>
        <v>70</v>
      </c>
      <c r="AG31" s="57"/>
      <c r="AH31" s="98"/>
    </row>
    <row r="32" spans="1:177" x14ac:dyDescent="0.35">
      <c r="A32" s="3" t="s">
        <v>192</v>
      </c>
      <c r="B32" s="12">
        <f>$B$38</f>
        <v>0</v>
      </c>
      <c r="C32" s="12">
        <f t="shared" ref="C32:AE32" si="10">$B$38</f>
        <v>0</v>
      </c>
      <c r="D32" s="12">
        <f t="shared" si="10"/>
        <v>0</v>
      </c>
      <c r="E32" s="12">
        <f t="shared" si="10"/>
        <v>0</v>
      </c>
      <c r="F32" s="12">
        <f t="shared" si="10"/>
        <v>0</v>
      </c>
      <c r="G32" s="12">
        <f t="shared" si="10"/>
        <v>0</v>
      </c>
      <c r="H32" s="12">
        <f t="shared" si="10"/>
        <v>0</v>
      </c>
      <c r="I32" s="12">
        <f t="shared" si="10"/>
        <v>0</v>
      </c>
      <c r="J32" s="12">
        <f t="shared" si="10"/>
        <v>0</v>
      </c>
      <c r="K32" s="12">
        <f t="shared" si="10"/>
        <v>0</v>
      </c>
      <c r="L32" s="12">
        <f t="shared" si="10"/>
        <v>0</v>
      </c>
      <c r="M32" s="12">
        <f t="shared" si="10"/>
        <v>0</v>
      </c>
      <c r="N32" s="12">
        <f t="shared" si="10"/>
        <v>0</v>
      </c>
      <c r="O32" s="12">
        <f t="shared" si="10"/>
        <v>0</v>
      </c>
      <c r="P32" s="12">
        <f t="shared" si="10"/>
        <v>0</v>
      </c>
      <c r="Q32" s="12">
        <f t="shared" si="10"/>
        <v>0</v>
      </c>
      <c r="R32" s="12">
        <f t="shared" si="10"/>
        <v>0</v>
      </c>
      <c r="S32" s="12">
        <f t="shared" si="10"/>
        <v>0</v>
      </c>
      <c r="T32" s="12">
        <f t="shared" si="10"/>
        <v>0</v>
      </c>
      <c r="U32" s="12">
        <f t="shared" si="10"/>
        <v>0</v>
      </c>
      <c r="V32" s="12">
        <f t="shared" si="10"/>
        <v>0</v>
      </c>
      <c r="W32" s="12">
        <f t="shared" si="10"/>
        <v>0</v>
      </c>
      <c r="X32" s="12">
        <f t="shared" si="10"/>
        <v>0</v>
      </c>
      <c r="Y32" s="12">
        <f t="shared" si="10"/>
        <v>0</v>
      </c>
      <c r="Z32" s="12">
        <f t="shared" si="10"/>
        <v>0</v>
      </c>
      <c r="AA32" s="12">
        <f t="shared" si="10"/>
        <v>0</v>
      </c>
      <c r="AB32" s="12">
        <f t="shared" si="10"/>
        <v>0</v>
      </c>
      <c r="AC32" s="12">
        <f t="shared" si="10"/>
        <v>0</v>
      </c>
      <c r="AD32" s="12">
        <f t="shared" si="10"/>
        <v>0</v>
      </c>
      <c r="AE32" s="12">
        <f t="shared" si="10"/>
        <v>0</v>
      </c>
      <c r="AF32" s="13">
        <f>$B$38</f>
        <v>0</v>
      </c>
      <c r="AG32" s="57"/>
      <c r="AH32" s="98"/>
    </row>
    <row r="33" spans="1:34" ht="15" thickBot="1" x14ac:dyDescent="0.4">
      <c r="A33" s="99" t="s">
        <v>198</v>
      </c>
      <c r="B33" s="96">
        <f t="shared" ref="B33:AE33" si="11">B21-B28</f>
        <v>0</v>
      </c>
      <c r="C33" s="122">
        <f>C21-C28</f>
        <v>12.640428935733951</v>
      </c>
      <c r="D33" s="122">
        <f t="shared" si="11"/>
        <v>24.789223750144231</v>
      </c>
      <c r="E33" s="122">
        <f t="shared" si="11"/>
        <v>36.779245421856047</v>
      </c>
      <c r="F33" s="122">
        <f t="shared" si="11"/>
        <v>48.671395634165037</v>
      </c>
      <c r="G33" s="122">
        <f t="shared" si="11"/>
        <v>60.493277026429951</v>
      </c>
      <c r="H33" s="122">
        <f t="shared" si="11"/>
        <v>72.260635296583416</v>
      </c>
      <c r="I33" s="122">
        <f t="shared" si="11"/>
        <v>83.983621087266215</v>
      </c>
      <c r="J33" s="122">
        <f t="shared" si="11"/>
        <v>95.669304721825142</v>
      </c>
      <c r="K33" s="122">
        <f t="shared" si="11"/>
        <v>107.32288297786118</v>
      </c>
      <c r="L33" s="122">
        <f t="shared" si="11"/>
        <v>118.94833004470127</v>
      </c>
      <c r="M33" s="122">
        <f t="shared" si="11"/>
        <v>130.54877927866357</v>
      </c>
      <c r="N33" s="122">
        <f t="shared" si="11"/>
        <v>162.05692998275663</v>
      </c>
      <c r="O33" s="122">
        <f t="shared" si="11"/>
        <v>140.18862573067724</v>
      </c>
      <c r="P33" s="122">
        <f t="shared" si="11"/>
        <v>168.27590854191754</v>
      </c>
      <c r="Q33" s="122">
        <f t="shared" si="11"/>
        <v>197.54519732492315</v>
      </c>
      <c r="R33" s="122">
        <f t="shared" si="11"/>
        <v>227.74466585341878</v>
      </c>
      <c r="S33" s="122">
        <f t="shared" si="11"/>
        <v>258.75218107998239</v>
      </c>
      <c r="T33" s="122">
        <f t="shared" si="11"/>
        <v>216.48922755318478</v>
      </c>
      <c r="U33" s="122">
        <f t="shared" si="11"/>
        <v>243.15589314160337</v>
      </c>
      <c r="V33" s="122">
        <f t="shared" si="11"/>
        <v>269.62626694450762</v>
      </c>
      <c r="W33" s="122">
        <f t="shared" si="11"/>
        <v>296.42268017550657</v>
      </c>
      <c r="X33" s="122">
        <f t="shared" si="11"/>
        <v>253.14053439014447</v>
      </c>
      <c r="Y33" s="122">
        <f t="shared" si="11"/>
        <v>276.38034469703553</v>
      </c>
      <c r="Z33" s="122">
        <f t="shared" si="11"/>
        <v>299.44746947390479</v>
      </c>
      <c r="AA33" s="122">
        <f t="shared" si="11"/>
        <v>322.47484275873103</v>
      </c>
      <c r="AB33" s="122">
        <f t="shared" si="11"/>
        <v>345.3378989646601</v>
      </c>
      <c r="AC33" s="122">
        <f t="shared" si="11"/>
        <v>367.91231541032346</v>
      </c>
      <c r="AD33" s="122">
        <f t="shared" si="11"/>
        <v>390.20156404368743</v>
      </c>
      <c r="AE33" s="122">
        <f t="shared" si="11"/>
        <v>412.08121306819658</v>
      </c>
      <c r="AF33" s="124">
        <f>AF21-AF28</f>
        <v>432.66325786881112</v>
      </c>
      <c r="AG33" s="149"/>
      <c r="AH33" s="98"/>
    </row>
    <row r="34" spans="1:34" x14ac:dyDescent="0.35">
      <c r="A34" s="160" t="s">
        <v>10</v>
      </c>
      <c r="B34" s="161"/>
      <c r="C34" s="5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row>
    <row r="35" spans="1:34" ht="29" x14ac:dyDescent="0.35">
      <c r="A35" s="3" t="s">
        <v>4</v>
      </c>
      <c r="B35" s="13">
        <v>0.47499999999999998</v>
      </c>
      <c r="C35" s="55"/>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4" ht="15" thickBot="1" x14ac:dyDescent="0.4">
      <c r="A36" s="3" t="s">
        <v>5</v>
      </c>
      <c r="B36" s="14">
        <f>IF(B12="Conifères",1.3,1.56)</f>
        <v>1.3</v>
      </c>
      <c r="C36" s="57"/>
      <c r="D36" s="15"/>
      <c r="E36" s="15"/>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4" ht="29.5" thickBot="1" x14ac:dyDescent="0.4">
      <c r="A37" s="11" t="s">
        <v>152</v>
      </c>
      <c r="B37" s="17" t="s">
        <v>61</v>
      </c>
      <c r="C37" s="58">
        <f>IF(B37="Alisier torminal",0.62,IF(B37="Arbousier",0.64,IF(B37="Aulne vert",0.42,IF(B37="Grands aulnes",0.42,IF(B37="Bouleaux",0.52,IF(B37="Cèdre de l’Atlas",0.36,IF(B37="Charme",0.61,IF(B37="Charme-houblon",0.66,IF(B37="Châtaignier",0.47,IF(B37="Chêne chevelu",0.67,IF(B37="Chêne-liège",0.7,IF(B37="Chêne pédonculé",0.54,IF(B37="Chêne pubescent",0.65,IF(B37="Chêne rouge d’Amérique",0.56,IF(B37="Chêne rouvre (sessile)",0.58,IF(B37="Chêne tauzin",0.64,IF(B37="Chêne vert",0.73,IF(B37="Chênes indifférenciés",0.56,IF(B37="Cornouiller mâle",0.74,IF(B37="Cyprès",0.4,IF(B37="Cytise aubour",0.6,IF(B37="Douglas",0.43,IF(B37="Epicéa commun",0.37,IF(B37="Epicéa de Sitka",0.36,IF(B37="Grands érables",0.51,IF(B37="Petits érables",0.56,IF(B37="Eucalyptus",0.56,IF(B37="Genévrier thurifère",0.48,IF(B37="Hêtre",0.55,IF(B37="Frênes",0.56,IF(B37="Fruitiers",0.58,IF(B37="If",0.58,IF(B37="Mélèze d’Europe",0.48,IF(B37="Mélèze du Japon",0.42,IF(B37="Merisier",0.5,IF(B37="Micocoulier",0.55,IF(B37="Mûrier",0.53,IF(B37="Noisetier",0.52,IF(B37="Noyer",0.52,IF(B37="Olivier",0.75,IF(B37="Ormes",0.52,IF(B37="Peupliers cultivés",0.35,IF(B37="Peupliers non cultivés",0.37,IF(B37="Pin d'Alep",0.45,IF(B37="Pin cembro",0.39,IF(B37="Pin à crochets",0.44,IF(B37="Pin laricio",0.46,IF(B37="Pin maritime",0.46,IF(B37="Pin mugho",0.44,IF(B37="Pin noir d'Autriche",0.46,IF(B37="Pin pignon",0.48,IF(B37="Pin sylvestre",0.44,IF(B37="Pin Weymouth",0.34,IF(B37="Platanes",0.5,IF(B37="Robinier faux acacia",0.58,IF(B37="Sapin méditerranéen",0.37,IF(B37="Sapin de Nordmann",0.37,IF(B37="Sapin pectiné",0.38,IF(B37="Sapin de Vancouver",0.36,IF(B37="Saules",0.37,IF(B37="Tamaris",0.53,IF(B37="Tilleuls",0.43,IF(B37="Tremble",0.38,IF(B37="Conifères (moyenne)",0.42,IF(B37="Feuillus (moyenne)",0.57,"")))))))))))))))))))))))))))))))))))))))))))))))))))))))))))))))))</f>
        <v>0.46</v>
      </c>
      <c r="D37" s="57"/>
      <c r="E37" s="15" t="str">
        <f>IF(D37="Conifères (moyenne)",0.42,IF(D37="Feuillus (moyenne)",0.57,IF(D37="Moyenne",0.54,"")))</f>
        <v/>
      </c>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4" ht="29" x14ac:dyDescent="0.35">
      <c r="A38" s="3" t="s">
        <v>182</v>
      </c>
      <c r="B38" s="24">
        <v>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4" x14ac:dyDescent="0.35">
      <c r="A39" s="3" t="s">
        <v>8</v>
      </c>
      <c r="B39" s="24">
        <v>10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4" ht="56.5" x14ac:dyDescent="0.35">
      <c r="A40" s="3" t="s">
        <v>149</v>
      </c>
      <c r="B40" s="24">
        <v>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4" ht="43.5" x14ac:dyDescent="0.35">
      <c r="A41" s="3" t="s">
        <v>150</v>
      </c>
      <c r="B41" s="24">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4" ht="29" x14ac:dyDescent="0.35">
      <c r="A42" s="3" t="s">
        <v>213</v>
      </c>
      <c r="B42" s="24">
        <v>45</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4" ht="58" x14ac:dyDescent="0.35">
      <c r="A43" s="3" t="s">
        <v>151</v>
      </c>
      <c r="B43" s="24">
        <v>70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4" ht="15" thickBot="1" x14ac:dyDescent="0.4">
      <c r="A44" s="156"/>
      <c r="B44" s="15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row>
    <row r="45" spans="1:34" ht="43.5" x14ac:dyDescent="0.35">
      <c r="A45" s="2" t="s">
        <v>188</v>
      </c>
      <c r="B45" s="125">
        <f>AF21-AF28</f>
        <v>432.66325786881112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4" ht="44" thickBot="1" x14ac:dyDescent="0.4">
      <c r="A46" s="4" t="s">
        <v>144</v>
      </c>
      <c r="B46" s="126">
        <f>B45*B10</f>
        <v>616.63167511462962</v>
      </c>
      <c r="C46" s="7"/>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c r="AE46" s="98"/>
      <c r="AF46" s="98"/>
    </row>
    <row r="47" spans="1:34" ht="43.5" x14ac:dyDescent="0.35">
      <c r="A47" s="2" t="s">
        <v>195</v>
      </c>
      <c r="B47" s="127">
        <f>(1/B11)*(SUM(B21:AF21))</f>
        <v>467.62236026152885</v>
      </c>
      <c r="C47" s="98"/>
      <c r="D47" s="98"/>
      <c r="E47" s="98"/>
      <c r="F47" s="98"/>
      <c r="G47" s="98"/>
      <c r="H47" s="98"/>
      <c r="I47" s="98"/>
      <c r="J47" s="98"/>
      <c r="K47" s="98"/>
      <c r="L47" s="98"/>
      <c r="M47" s="98"/>
      <c r="N47" s="98"/>
      <c r="O47" s="98"/>
      <c r="P47" s="98"/>
      <c r="Q47" s="98"/>
      <c r="R47" s="98"/>
      <c r="S47" s="98"/>
      <c r="T47" s="98"/>
      <c r="U47" s="98"/>
      <c r="V47" s="98"/>
      <c r="W47" s="98"/>
      <c r="X47" s="98"/>
      <c r="Y47" s="98"/>
      <c r="Z47" s="98"/>
      <c r="AA47" s="98"/>
      <c r="AB47" s="98"/>
      <c r="AC47" s="98"/>
      <c r="AD47" s="98"/>
      <c r="AE47" s="98"/>
      <c r="AF47" s="98"/>
    </row>
    <row r="48" spans="1:34" ht="44" thickBot="1" x14ac:dyDescent="0.4">
      <c r="A48" s="4" t="s">
        <v>184</v>
      </c>
      <c r="B48" s="128">
        <f>B47*B10</f>
        <v>666.45538784473092</v>
      </c>
      <c r="C48" s="98"/>
      <c r="D48" s="98"/>
      <c r="E48" s="98"/>
      <c r="F48" s="98"/>
      <c r="G48" s="98"/>
      <c r="H48" s="98"/>
      <c r="I48" s="98"/>
      <c r="J48" s="98"/>
      <c r="K48" s="98"/>
      <c r="L48" s="98"/>
      <c r="M48" s="98"/>
      <c r="N48" s="98"/>
      <c r="O48" s="98"/>
      <c r="P48" s="98"/>
      <c r="Q48" s="98"/>
      <c r="R48" s="98"/>
      <c r="S48" s="98"/>
      <c r="T48" s="98"/>
      <c r="U48" s="98"/>
      <c r="V48" s="98"/>
      <c r="W48" s="98"/>
      <c r="X48" s="98"/>
      <c r="Y48" s="98"/>
      <c r="Z48" s="98"/>
      <c r="AA48" s="98"/>
      <c r="AB48" s="98"/>
      <c r="AC48" s="98"/>
      <c r="AD48" s="98"/>
      <c r="AE48" s="98"/>
      <c r="AF48" s="98"/>
    </row>
    <row r="49" spans="1:32" ht="43.5" x14ac:dyDescent="0.35">
      <c r="A49" s="2" t="s">
        <v>196</v>
      </c>
      <c r="B49" s="127">
        <f>((1/B13)*(SUM(B28:AF28)))</f>
        <v>265.22222222222234</v>
      </c>
      <c r="C49" s="98"/>
      <c r="D49" s="98"/>
      <c r="E49" s="98"/>
      <c r="F49" s="98"/>
      <c r="G49" s="98"/>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row>
    <row r="50" spans="1:32" ht="44" thickBot="1" x14ac:dyDescent="0.4">
      <c r="A50" s="4" t="s">
        <v>185</v>
      </c>
      <c r="B50" s="128">
        <f>B49*B10</f>
        <v>377.99471111111131</v>
      </c>
      <c r="C50" s="9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row>
    <row r="51" spans="1:32" ht="58" x14ac:dyDescent="0.35">
      <c r="A51" s="2" t="s">
        <v>197</v>
      </c>
      <c r="B51" s="125">
        <f>B47-B49</f>
        <v>202.40013803930651</v>
      </c>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row>
    <row r="52" spans="1:32" ht="58.5" thickBot="1" x14ac:dyDescent="0.4">
      <c r="A52" s="4" t="s">
        <v>186</v>
      </c>
      <c r="B52" s="126">
        <f>B48-B50</f>
        <v>288.46067673361961</v>
      </c>
      <c r="C52" s="9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row>
  </sheetData>
  <sheetProtection algorithmName="SHA-512" hashValue="HX9wkslrNN4Qyq3Q3vPRlwbzBxNnifcstExn0X9nBDGCZVNc3cb59Y3FFuc1qZTcRAx3qWjzjmzsrDhJqgY6bw==" saltValue="Sa42JO58ns3AKdDtiwMV0Q==" spinCount="100000" sheet="1" objects="1" scenarios="1"/>
  <mergeCells count="4">
    <mergeCell ref="A44:B44"/>
    <mergeCell ref="A9:B9"/>
    <mergeCell ref="A34:B34"/>
    <mergeCell ref="C15:E15"/>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Choisir l'essence pour avoir la di pour le scénario de référence">
          <x14:formula1>
            <xm:f>'Listes choix'!$C$65:$C$67</xm:f>
          </x14:formula1>
          <xm:sqref>D37</xm:sqref>
        </x14:dataValidation>
        <x14:dataValidation type="list" showInputMessage="1" showErrorMessage="1" prompt="Choisir l'essence pour avoir la di pour le scénario de projet">
          <x14:formula1>
            <xm:f>'Listes choix'!$C$2:$C$66</xm:f>
          </x14:formula1>
          <xm:sqref>B37</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une de trois options">
          <x14:formula1>
            <xm:f>'Listes choix'!$A$71:$A$73</xm:f>
          </x14:formula1>
          <xm:sqref>B15</xm:sqref>
        </x14:dataValidation>
        <x14:dataValidation type="list" showInputMessage="1" showErrorMessage="1" prompt="Information nécessaire pour le scénario de référence">
          <x14:formula1>
            <xm:f>'Listes choix'!$T$2:$T$3</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2"/>
  <sheetViews>
    <sheetView zoomScale="89" workbookViewId="0">
      <selection activeCell="B8" sqref="B8"/>
    </sheetView>
  </sheetViews>
  <sheetFormatPr baseColWidth="10" defaultRowHeight="14.5" x14ac:dyDescent="0.35"/>
  <cols>
    <col min="1" max="1" width="36.81640625" style="1" customWidth="1"/>
    <col min="2" max="2" width="19.90625" customWidth="1"/>
    <col min="4" max="4" width="13.1796875" customWidth="1"/>
  </cols>
  <sheetData>
    <row r="1" spans="1:177" x14ac:dyDescent="0.35">
      <c r="D1" s="107"/>
    </row>
    <row r="4" spans="1:177" ht="16" thickBot="1" x14ac:dyDescent="0.4">
      <c r="A4" s="19"/>
      <c r="B4" s="7"/>
    </row>
    <row r="5" spans="1:177" ht="31.5" thickBot="1" x14ac:dyDescent="0.4">
      <c r="A5" s="20" t="s">
        <v>187</v>
      </c>
      <c r="B5" s="101">
        <f>(SUM(B29:AF29)/30)*(44/12)</f>
        <v>10.153718085467352</v>
      </c>
    </row>
    <row r="6" spans="1:177" ht="31.5" thickBot="1" x14ac:dyDescent="0.4">
      <c r="A6" s="20" t="s">
        <v>88</v>
      </c>
      <c r="B6" s="101">
        <f>B5*B10</f>
        <v>14.471079015408071</v>
      </c>
    </row>
    <row r="8" spans="1:177" ht="15" thickBot="1" x14ac:dyDescent="0.4"/>
    <row r="9" spans="1:177" ht="15" thickBot="1" x14ac:dyDescent="0.4">
      <c r="A9" s="158" t="s">
        <v>13</v>
      </c>
      <c r="B9" s="159"/>
    </row>
    <row r="10" spans="1:177" x14ac:dyDescent="0.35">
      <c r="A10" s="2" t="s">
        <v>7</v>
      </c>
      <c r="B10" s="94">
        <v>1.4252</v>
      </c>
    </row>
    <row r="11" spans="1:177" ht="15" thickBot="1" x14ac:dyDescent="0.4">
      <c r="A11" s="4" t="s">
        <v>16</v>
      </c>
      <c r="B11" s="21">
        <v>30</v>
      </c>
    </row>
    <row r="12" spans="1:177" ht="15" thickBot="1" x14ac:dyDescent="0.4"/>
    <row r="13" spans="1:177" s="5" customFormat="1" ht="15.5" x14ac:dyDescent="0.35">
      <c r="A13" s="168" t="s">
        <v>1</v>
      </c>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70"/>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row>
    <row r="14" spans="1:177" ht="29" x14ac:dyDescent="0.35">
      <c r="A14" s="3" t="s">
        <v>164</v>
      </c>
      <c r="B14" s="12">
        <v>0</v>
      </c>
      <c r="C14" s="12">
        <v>1</v>
      </c>
      <c r="D14" s="12">
        <v>2</v>
      </c>
      <c r="E14" s="12">
        <v>3</v>
      </c>
      <c r="F14" s="12">
        <v>4</v>
      </c>
      <c r="G14" s="12">
        <v>5</v>
      </c>
      <c r="H14" s="12">
        <v>6</v>
      </c>
      <c r="I14" s="12">
        <v>7</v>
      </c>
      <c r="J14" s="12">
        <v>8</v>
      </c>
      <c r="K14" s="12">
        <v>9</v>
      </c>
      <c r="L14" s="12">
        <v>10</v>
      </c>
      <c r="M14" s="12">
        <v>11</v>
      </c>
      <c r="N14" s="130">
        <v>12</v>
      </c>
      <c r="O14" s="12">
        <v>13</v>
      </c>
      <c r="P14" s="12">
        <v>14</v>
      </c>
      <c r="Q14" s="12">
        <v>15</v>
      </c>
      <c r="R14" s="12">
        <v>16</v>
      </c>
      <c r="S14" s="130">
        <v>17</v>
      </c>
      <c r="T14" s="12">
        <v>18</v>
      </c>
      <c r="U14" s="12">
        <v>19</v>
      </c>
      <c r="V14" s="12">
        <v>20</v>
      </c>
      <c r="W14" s="130">
        <v>21</v>
      </c>
      <c r="X14" s="12">
        <v>22</v>
      </c>
      <c r="Y14" s="12">
        <v>23</v>
      </c>
      <c r="Z14" s="12">
        <v>24</v>
      </c>
      <c r="AA14" s="12">
        <v>25</v>
      </c>
      <c r="AB14" s="12">
        <v>26</v>
      </c>
      <c r="AC14" s="12">
        <v>27</v>
      </c>
      <c r="AD14" s="12">
        <v>28</v>
      </c>
      <c r="AE14" s="12">
        <v>29</v>
      </c>
      <c r="AF14" s="151">
        <v>30</v>
      </c>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row>
    <row r="15" spans="1:177" s="5" customFormat="1" x14ac:dyDescent="0.35">
      <c r="A15" s="171" t="s">
        <v>3</v>
      </c>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c r="AA15" s="172"/>
      <c r="AB15" s="172"/>
      <c r="AC15" s="172"/>
      <c r="AD15" s="172"/>
      <c r="AE15" s="172"/>
      <c r="AF15" s="173"/>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x14ac:dyDescent="0.35">
      <c r="A16" s="3" t="s">
        <v>208</v>
      </c>
      <c r="B16" s="12">
        <f>SUM(B17,B20,B23)</f>
        <v>0</v>
      </c>
      <c r="C16" s="12">
        <f t="shared" ref="C16:AE16" si="0">SUM(C17,C20,C23)</f>
        <v>0</v>
      </c>
      <c r="D16" s="12">
        <f t="shared" si="0"/>
        <v>0</v>
      </c>
      <c r="E16" s="12">
        <f t="shared" si="0"/>
        <v>0</v>
      </c>
      <c r="F16" s="12">
        <f t="shared" si="0"/>
        <v>0</v>
      </c>
      <c r="G16" s="12">
        <f t="shared" si="0"/>
        <v>0</v>
      </c>
      <c r="H16" s="12">
        <f t="shared" si="0"/>
        <v>0</v>
      </c>
      <c r="I16" s="12">
        <f t="shared" si="0"/>
        <v>0</v>
      </c>
      <c r="J16" s="12">
        <f t="shared" si="0"/>
        <v>0</v>
      </c>
      <c r="K16" s="12">
        <f t="shared" si="0"/>
        <v>0</v>
      </c>
      <c r="L16" s="12">
        <f t="shared" si="0"/>
        <v>0</v>
      </c>
      <c r="M16" s="12">
        <f t="shared" si="0"/>
        <v>0</v>
      </c>
      <c r="N16" s="12">
        <f t="shared" si="0"/>
        <v>0</v>
      </c>
      <c r="O16" s="12">
        <f t="shared" si="0"/>
        <v>6.0021486835637541</v>
      </c>
      <c r="P16" s="12">
        <f t="shared" si="0"/>
        <v>4.2441600358378402</v>
      </c>
      <c r="Q16" s="12">
        <f t="shared" si="0"/>
        <v>3.0010743417818775</v>
      </c>
      <c r="R16" s="12">
        <f t="shared" si="0"/>
        <v>2.1220800179189205</v>
      </c>
      <c r="S16" s="12">
        <f t="shared" si="0"/>
        <v>1.5005371708909392</v>
      </c>
      <c r="T16" s="12">
        <f t="shared" si="0"/>
        <v>9.2873244025434012</v>
      </c>
      <c r="U16" s="12">
        <f t="shared" si="0"/>
        <v>6.7045188510505067</v>
      </c>
      <c r="V16" s="12">
        <f t="shared" si="0"/>
        <v>4.8755054207907538</v>
      </c>
      <c r="W16" s="12">
        <f t="shared" si="0"/>
        <v>3.5795563409199382</v>
      </c>
      <c r="X16" s="12">
        <f t="shared" si="0"/>
        <v>10.172347385843574</v>
      </c>
      <c r="Y16" s="12">
        <f t="shared" si="0"/>
        <v>7.6552354148185806</v>
      </c>
      <c r="Z16" s="12">
        <f t="shared" si="0"/>
        <v>5.8663030579649202</v>
      </c>
      <c r="AA16" s="12">
        <f t="shared" si="0"/>
        <v>4.5924492114358557</v>
      </c>
      <c r="AB16" s="12">
        <f t="shared" si="0"/>
        <v>3.6829851537162197</v>
      </c>
      <c r="AC16" s="12">
        <f t="shared" si="0"/>
        <v>3.0313544504240095</v>
      </c>
      <c r="AD16" s="12">
        <f t="shared" si="0"/>
        <v>2.5622069736944355</v>
      </c>
      <c r="AE16" s="12">
        <f t="shared" si="0"/>
        <v>2.2222588523187459</v>
      </c>
      <c r="AF16" s="134">
        <f>SUM(AF17,AF20,AF23)</f>
        <v>1.9738294792186335</v>
      </c>
      <c r="AG16" s="55"/>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x14ac:dyDescent="0.35">
      <c r="A17" s="64" t="s">
        <v>201</v>
      </c>
      <c r="B17" s="12">
        <v>0</v>
      </c>
      <c r="C17" s="28">
        <f>C18+B19</f>
        <v>0</v>
      </c>
      <c r="D17" s="28">
        <f>D18+C19</f>
        <v>0</v>
      </c>
      <c r="E17" s="28">
        <f>E18+D19</f>
        <v>0</v>
      </c>
      <c r="F17" s="28">
        <f>F18+E19</f>
        <v>0</v>
      </c>
      <c r="G17" s="28">
        <f t="shared" ref="G17:AE17" si="1">G18+F19</f>
        <v>0</v>
      </c>
      <c r="H17" s="28">
        <f t="shared" si="1"/>
        <v>0</v>
      </c>
      <c r="I17" s="28">
        <f t="shared" si="1"/>
        <v>0</v>
      </c>
      <c r="J17" s="28">
        <f t="shared" si="1"/>
        <v>0</v>
      </c>
      <c r="K17" s="28">
        <f t="shared" si="1"/>
        <v>0</v>
      </c>
      <c r="L17" s="28">
        <f t="shared" si="1"/>
        <v>0</v>
      </c>
      <c r="M17" s="28">
        <f t="shared" si="1"/>
        <v>0</v>
      </c>
      <c r="N17" s="28">
        <f t="shared" si="1"/>
        <v>0</v>
      </c>
      <c r="O17" s="28">
        <f t="shared" si="1"/>
        <v>0</v>
      </c>
      <c r="P17" s="28">
        <f t="shared" si="1"/>
        <v>0</v>
      </c>
      <c r="Q17" s="28">
        <f t="shared" si="1"/>
        <v>0</v>
      </c>
      <c r="R17" s="28">
        <f t="shared" si="1"/>
        <v>0</v>
      </c>
      <c r="S17" s="28">
        <f t="shared" si="1"/>
        <v>0</v>
      </c>
      <c r="T17" s="28">
        <f t="shared" si="1"/>
        <v>0.50273295554866959</v>
      </c>
      <c r="U17" s="28">
        <f t="shared" si="1"/>
        <v>0.49287466892718518</v>
      </c>
      <c r="V17" s="28">
        <f t="shared" si="1"/>
        <v>0.48320969729338697</v>
      </c>
      <c r="W17" s="28">
        <f t="shared" si="1"/>
        <v>0.47373424985827695</v>
      </c>
      <c r="X17" s="28">
        <f t="shared" si="1"/>
        <v>1.6916463729758189</v>
      </c>
      <c r="Y17" s="28">
        <f t="shared" si="1"/>
        <v>1.6584742194041686</v>
      </c>
      <c r="Z17" s="28">
        <f t="shared" si="1"/>
        <v>1.6259525515310425</v>
      </c>
      <c r="AA17" s="28">
        <f t="shared" si="1"/>
        <v>1.5940686137286497</v>
      </c>
      <c r="AB17" s="28">
        <f t="shared" si="1"/>
        <v>1.5628099004992799</v>
      </c>
      <c r="AC17" s="28">
        <f t="shared" si="1"/>
        <v>1.5321641515704056</v>
      </c>
      <c r="AD17" s="28">
        <f>AD18+AC19</f>
        <v>1.5021193470859655</v>
      </c>
      <c r="AE17" s="28">
        <f t="shared" si="1"/>
        <v>1.472663702891944</v>
      </c>
      <c r="AF17" s="104">
        <f>AF18+AE19</f>
        <v>1.4437856659143984</v>
      </c>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ht="29" x14ac:dyDescent="0.35">
      <c r="A18" s="64" t="s">
        <v>200</v>
      </c>
      <c r="B18" s="12">
        <v>0</v>
      </c>
      <c r="C18" s="28">
        <f t="shared" ref="C18:AF18" si="2">(EXP(-$C$37))*B17</f>
        <v>0</v>
      </c>
      <c r="D18" s="28">
        <f t="shared" si="2"/>
        <v>0</v>
      </c>
      <c r="E18" s="28">
        <f t="shared" si="2"/>
        <v>0</v>
      </c>
      <c r="F18" s="28">
        <f t="shared" si="2"/>
        <v>0</v>
      </c>
      <c r="G18" s="28">
        <f t="shared" si="2"/>
        <v>0</v>
      </c>
      <c r="H18" s="28">
        <f t="shared" si="2"/>
        <v>0</v>
      </c>
      <c r="I18" s="28">
        <f t="shared" si="2"/>
        <v>0</v>
      </c>
      <c r="J18" s="28">
        <f t="shared" si="2"/>
        <v>0</v>
      </c>
      <c r="K18" s="28">
        <f t="shared" si="2"/>
        <v>0</v>
      </c>
      <c r="L18" s="28">
        <f t="shared" si="2"/>
        <v>0</v>
      </c>
      <c r="M18" s="28">
        <f t="shared" si="2"/>
        <v>0</v>
      </c>
      <c r="N18" s="28">
        <f t="shared" si="2"/>
        <v>0</v>
      </c>
      <c r="O18" s="28">
        <f t="shared" si="2"/>
        <v>0</v>
      </c>
      <c r="P18" s="28">
        <f t="shared" si="2"/>
        <v>0</v>
      </c>
      <c r="Q18" s="28">
        <f t="shared" si="2"/>
        <v>0</v>
      </c>
      <c r="R18" s="28">
        <f t="shared" si="2"/>
        <v>0</v>
      </c>
      <c r="S18" s="28">
        <f t="shared" si="2"/>
        <v>0</v>
      </c>
      <c r="T18" s="28">
        <f t="shared" si="2"/>
        <v>0</v>
      </c>
      <c r="U18" s="28">
        <f t="shared" si="2"/>
        <v>0.49287466892718518</v>
      </c>
      <c r="V18" s="28">
        <f t="shared" si="2"/>
        <v>0.48320969729338697</v>
      </c>
      <c r="W18" s="28">
        <f t="shared" si="2"/>
        <v>0.47373424985827695</v>
      </c>
      <c r="X18" s="28">
        <f t="shared" si="2"/>
        <v>0.46444461016791716</v>
      </c>
      <c r="Y18" s="28">
        <f t="shared" si="2"/>
        <v>1.6584742194041686</v>
      </c>
      <c r="Z18" s="28">
        <f t="shared" si="2"/>
        <v>1.6259525515310425</v>
      </c>
      <c r="AA18" s="28">
        <f t="shared" si="2"/>
        <v>1.5940686137286497</v>
      </c>
      <c r="AB18" s="28">
        <f t="shared" si="2"/>
        <v>1.5628099004992799</v>
      </c>
      <c r="AC18" s="28">
        <f t="shared" si="2"/>
        <v>1.5321641515704056</v>
      </c>
      <c r="AD18" s="28">
        <f t="shared" si="2"/>
        <v>1.5021193470859655</v>
      </c>
      <c r="AE18" s="28">
        <f t="shared" si="2"/>
        <v>1.472663702891944</v>
      </c>
      <c r="AF18" s="104">
        <f t="shared" si="2"/>
        <v>1.4437856659143984</v>
      </c>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43.5" x14ac:dyDescent="0.35">
      <c r="A19" s="64" t="s">
        <v>199</v>
      </c>
      <c r="B19" s="12">
        <f t="shared" ref="B19:AF19" si="3">((1-EXP(-$C$37))/$C$37)*(B26*$C$32*$B$31)</f>
        <v>0</v>
      </c>
      <c r="C19" s="12">
        <f>((1-EXP(-$C$37))/$C$37)*(C26*$C$32*$B$31)</f>
        <v>0</v>
      </c>
      <c r="D19" s="12">
        <f t="shared" si="3"/>
        <v>0</v>
      </c>
      <c r="E19" s="12">
        <f t="shared" si="3"/>
        <v>0</v>
      </c>
      <c r="F19" s="12">
        <f t="shared" si="3"/>
        <v>0</v>
      </c>
      <c r="G19" s="12">
        <f t="shared" si="3"/>
        <v>0</v>
      </c>
      <c r="H19" s="12">
        <f t="shared" si="3"/>
        <v>0</v>
      </c>
      <c r="I19" s="12">
        <f t="shared" si="3"/>
        <v>0</v>
      </c>
      <c r="J19" s="12">
        <f t="shared" si="3"/>
        <v>0</v>
      </c>
      <c r="K19" s="12">
        <f t="shared" si="3"/>
        <v>0</v>
      </c>
      <c r="L19" s="12">
        <f t="shared" si="3"/>
        <v>0</v>
      </c>
      <c r="M19" s="12">
        <f t="shared" si="3"/>
        <v>0</v>
      </c>
      <c r="N19" s="12">
        <f t="shared" si="3"/>
        <v>0</v>
      </c>
      <c r="O19" s="12">
        <f t="shared" si="3"/>
        <v>0</v>
      </c>
      <c r="P19" s="12">
        <f t="shared" si="3"/>
        <v>0</v>
      </c>
      <c r="Q19" s="12">
        <f t="shared" si="3"/>
        <v>0</v>
      </c>
      <c r="R19" s="12">
        <f t="shared" si="3"/>
        <v>0</v>
      </c>
      <c r="S19" s="12">
        <f t="shared" si="3"/>
        <v>0.50273295554866959</v>
      </c>
      <c r="T19" s="12">
        <f t="shared" si="3"/>
        <v>0</v>
      </c>
      <c r="U19" s="12">
        <f t="shared" si="3"/>
        <v>0</v>
      </c>
      <c r="V19" s="12">
        <f t="shared" si="3"/>
        <v>0</v>
      </c>
      <c r="W19" s="12">
        <f t="shared" si="3"/>
        <v>1.2272017628079017</v>
      </c>
      <c r="X19" s="12">
        <f t="shared" si="3"/>
        <v>0</v>
      </c>
      <c r="Y19" s="12">
        <f t="shared" si="3"/>
        <v>0</v>
      </c>
      <c r="Z19" s="12">
        <f t="shared" si="3"/>
        <v>0</v>
      </c>
      <c r="AA19" s="12">
        <f t="shared" si="3"/>
        <v>0</v>
      </c>
      <c r="AB19" s="12">
        <f t="shared" si="3"/>
        <v>0</v>
      </c>
      <c r="AC19" s="12">
        <f t="shared" si="3"/>
        <v>0</v>
      </c>
      <c r="AD19" s="12">
        <f t="shared" si="3"/>
        <v>0</v>
      </c>
      <c r="AE19" s="12">
        <f t="shared" si="3"/>
        <v>0</v>
      </c>
      <c r="AF19" s="24">
        <f t="shared" si="3"/>
        <v>18.003568396348033</v>
      </c>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x14ac:dyDescent="0.35">
      <c r="A20" s="65" t="s">
        <v>202</v>
      </c>
      <c r="B20" s="12">
        <v>0</v>
      </c>
      <c r="C20" s="28">
        <f>C21+B22</f>
        <v>0</v>
      </c>
      <c r="D20" s="28">
        <f>D21+C22</f>
        <v>0</v>
      </c>
      <c r="E20" s="28">
        <f>E21+D22</f>
        <v>0</v>
      </c>
      <c r="F20" s="28">
        <f t="shared" ref="F20:AF20" si="4">F21+E22</f>
        <v>0</v>
      </c>
      <c r="G20" s="28">
        <f t="shared" si="4"/>
        <v>0</v>
      </c>
      <c r="H20" s="28">
        <f t="shared" si="4"/>
        <v>0</v>
      </c>
      <c r="I20" s="28">
        <f t="shared" si="4"/>
        <v>0</v>
      </c>
      <c r="J20" s="28">
        <f t="shared" si="4"/>
        <v>0</v>
      </c>
      <c r="K20" s="28">
        <f t="shared" si="4"/>
        <v>0</v>
      </c>
      <c r="L20" s="28">
        <f t="shared" si="4"/>
        <v>0</v>
      </c>
      <c r="M20" s="28">
        <f t="shared" si="4"/>
        <v>0</v>
      </c>
      <c r="N20" s="28">
        <f t="shared" si="4"/>
        <v>0</v>
      </c>
      <c r="O20" s="28">
        <f t="shared" si="4"/>
        <v>0</v>
      </c>
      <c r="P20" s="28">
        <f t="shared" si="4"/>
        <v>0</v>
      </c>
      <c r="Q20" s="28">
        <f t="shared" si="4"/>
        <v>0</v>
      </c>
      <c r="R20" s="28">
        <f t="shared" si="4"/>
        <v>0</v>
      </c>
      <c r="S20" s="28">
        <f t="shared" si="4"/>
        <v>0</v>
      </c>
      <c r="T20" s="28">
        <f t="shared" si="4"/>
        <v>0</v>
      </c>
      <c r="U20" s="28">
        <f t="shared" si="4"/>
        <v>0</v>
      </c>
      <c r="V20" s="28">
        <f t="shared" si="4"/>
        <v>0</v>
      </c>
      <c r="W20" s="28">
        <f t="shared" si="4"/>
        <v>0</v>
      </c>
      <c r="X20" s="28">
        <f t="shared" si="4"/>
        <v>0</v>
      </c>
      <c r="Y20" s="28">
        <f t="shared" si="4"/>
        <v>0</v>
      </c>
      <c r="Z20" s="28">
        <f t="shared" si="4"/>
        <v>0</v>
      </c>
      <c r="AA20" s="28">
        <f t="shared" si="4"/>
        <v>0</v>
      </c>
      <c r="AB20" s="28">
        <f t="shared" si="4"/>
        <v>0</v>
      </c>
      <c r="AC20" s="28">
        <f t="shared" si="4"/>
        <v>0</v>
      </c>
      <c r="AD20" s="28">
        <f t="shared" si="4"/>
        <v>0</v>
      </c>
      <c r="AE20" s="28">
        <f>AE21+AD22</f>
        <v>0</v>
      </c>
      <c r="AF20" s="104">
        <f t="shared" si="4"/>
        <v>0</v>
      </c>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 x14ac:dyDescent="0.35">
      <c r="A21" s="65" t="s">
        <v>203</v>
      </c>
      <c r="B21" s="12">
        <v>0</v>
      </c>
      <c r="C21" s="28">
        <f t="shared" ref="C21:AF21" si="5">(EXP(-$C$38))*B20</f>
        <v>0</v>
      </c>
      <c r="D21" s="28">
        <f t="shared" si="5"/>
        <v>0</v>
      </c>
      <c r="E21" s="28">
        <f t="shared" si="5"/>
        <v>0</v>
      </c>
      <c r="F21" s="28">
        <f t="shared" si="5"/>
        <v>0</v>
      </c>
      <c r="G21" s="28">
        <f t="shared" si="5"/>
        <v>0</v>
      </c>
      <c r="H21" s="28">
        <f t="shared" si="5"/>
        <v>0</v>
      </c>
      <c r="I21" s="28">
        <f t="shared" si="5"/>
        <v>0</v>
      </c>
      <c r="J21" s="28">
        <f t="shared" si="5"/>
        <v>0</v>
      </c>
      <c r="K21" s="28">
        <f t="shared" si="5"/>
        <v>0</v>
      </c>
      <c r="L21" s="28">
        <f t="shared" si="5"/>
        <v>0</v>
      </c>
      <c r="M21" s="28">
        <f t="shared" si="5"/>
        <v>0</v>
      </c>
      <c r="N21" s="28">
        <f t="shared" si="5"/>
        <v>0</v>
      </c>
      <c r="O21" s="28">
        <f t="shared" si="5"/>
        <v>0</v>
      </c>
      <c r="P21" s="28">
        <f t="shared" si="5"/>
        <v>0</v>
      </c>
      <c r="Q21" s="28">
        <f t="shared" si="5"/>
        <v>0</v>
      </c>
      <c r="R21" s="28">
        <f t="shared" si="5"/>
        <v>0</v>
      </c>
      <c r="S21" s="28">
        <f t="shared" si="5"/>
        <v>0</v>
      </c>
      <c r="T21" s="28">
        <f t="shared" si="5"/>
        <v>0</v>
      </c>
      <c r="U21" s="28">
        <f t="shared" si="5"/>
        <v>0</v>
      </c>
      <c r="V21" s="28">
        <f t="shared" si="5"/>
        <v>0</v>
      </c>
      <c r="W21" s="28">
        <f t="shared" si="5"/>
        <v>0</v>
      </c>
      <c r="X21" s="28">
        <f t="shared" si="5"/>
        <v>0</v>
      </c>
      <c r="Y21" s="28">
        <f t="shared" si="5"/>
        <v>0</v>
      </c>
      <c r="Z21" s="28">
        <f t="shared" si="5"/>
        <v>0</v>
      </c>
      <c r="AA21" s="28">
        <f t="shared" si="5"/>
        <v>0</v>
      </c>
      <c r="AB21" s="28">
        <f t="shared" si="5"/>
        <v>0</v>
      </c>
      <c r="AC21" s="28">
        <f t="shared" si="5"/>
        <v>0</v>
      </c>
      <c r="AD21" s="28">
        <f t="shared" si="5"/>
        <v>0</v>
      </c>
      <c r="AE21" s="28">
        <f t="shared" si="5"/>
        <v>0</v>
      </c>
      <c r="AF21" s="104">
        <f t="shared" si="5"/>
        <v>0</v>
      </c>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43.5" x14ac:dyDescent="0.35">
      <c r="A22" s="65" t="s">
        <v>204</v>
      </c>
      <c r="B22" s="12">
        <f t="shared" ref="B22:AF22" si="6">((1-EXP(-$C$38))/$C$38)*(B27*$C$32*$B$31)</f>
        <v>0</v>
      </c>
      <c r="C22" s="12">
        <f t="shared" si="6"/>
        <v>0</v>
      </c>
      <c r="D22" s="12">
        <f t="shared" si="6"/>
        <v>0</v>
      </c>
      <c r="E22" s="12">
        <f t="shared" si="6"/>
        <v>0</v>
      </c>
      <c r="F22" s="12">
        <f t="shared" si="6"/>
        <v>0</v>
      </c>
      <c r="G22" s="12">
        <f t="shared" si="6"/>
        <v>0</v>
      </c>
      <c r="H22" s="12">
        <f t="shared" si="6"/>
        <v>0</v>
      </c>
      <c r="I22" s="12">
        <f t="shared" si="6"/>
        <v>0</v>
      </c>
      <c r="J22" s="12">
        <f t="shared" si="6"/>
        <v>0</v>
      </c>
      <c r="K22" s="12">
        <f t="shared" si="6"/>
        <v>0</v>
      </c>
      <c r="L22" s="12">
        <f t="shared" si="6"/>
        <v>0</v>
      </c>
      <c r="M22" s="12">
        <f t="shared" si="6"/>
        <v>0</v>
      </c>
      <c r="N22" s="12">
        <f t="shared" si="6"/>
        <v>0</v>
      </c>
      <c r="O22" s="12">
        <f t="shared" si="6"/>
        <v>0</v>
      </c>
      <c r="P22" s="12">
        <f t="shared" si="6"/>
        <v>0</v>
      </c>
      <c r="Q22" s="12">
        <f t="shared" si="6"/>
        <v>0</v>
      </c>
      <c r="R22" s="12">
        <f t="shared" si="6"/>
        <v>0</v>
      </c>
      <c r="S22" s="12">
        <f t="shared" si="6"/>
        <v>0</v>
      </c>
      <c r="T22" s="12">
        <f t="shared" si="6"/>
        <v>0</v>
      </c>
      <c r="U22" s="12">
        <f t="shared" si="6"/>
        <v>0</v>
      </c>
      <c r="V22" s="12">
        <f t="shared" si="6"/>
        <v>0</v>
      </c>
      <c r="W22" s="12">
        <f t="shared" si="6"/>
        <v>0</v>
      </c>
      <c r="X22" s="12">
        <f t="shared" si="6"/>
        <v>0</v>
      </c>
      <c r="Y22" s="12">
        <f t="shared" si="6"/>
        <v>0</v>
      </c>
      <c r="Z22" s="12">
        <f t="shared" si="6"/>
        <v>0</v>
      </c>
      <c r="AA22" s="12">
        <f t="shared" si="6"/>
        <v>0</v>
      </c>
      <c r="AB22" s="12">
        <f t="shared" si="6"/>
        <v>0</v>
      </c>
      <c r="AC22" s="12">
        <f t="shared" si="6"/>
        <v>0</v>
      </c>
      <c r="AD22" s="12">
        <f t="shared" si="6"/>
        <v>0</v>
      </c>
      <c r="AE22" s="12">
        <f t="shared" si="6"/>
        <v>0</v>
      </c>
      <c r="AF22" s="24">
        <f t="shared" si="6"/>
        <v>0</v>
      </c>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66" t="s">
        <v>205</v>
      </c>
      <c r="B23" s="12">
        <v>0</v>
      </c>
      <c r="C23" s="28">
        <f>C24+B25</f>
        <v>0</v>
      </c>
      <c r="D23" s="28">
        <f>D24+C25</f>
        <v>0</v>
      </c>
      <c r="E23" s="28">
        <f t="shared" ref="E23:AF23" si="7">E24+D25</f>
        <v>0</v>
      </c>
      <c r="F23" s="28">
        <f>F24+E25</f>
        <v>0</v>
      </c>
      <c r="G23" s="28">
        <f t="shared" si="7"/>
        <v>0</v>
      </c>
      <c r="H23" s="28">
        <f t="shared" si="7"/>
        <v>0</v>
      </c>
      <c r="I23" s="28">
        <f t="shared" si="7"/>
        <v>0</v>
      </c>
      <c r="J23" s="28">
        <f t="shared" si="7"/>
        <v>0</v>
      </c>
      <c r="K23" s="28">
        <f t="shared" si="7"/>
        <v>0</v>
      </c>
      <c r="L23" s="28">
        <f t="shared" si="7"/>
        <v>0</v>
      </c>
      <c r="M23" s="28">
        <f>M24+L25</f>
        <v>0</v>
      </c>
      <c r="N23" s="28">
        <f t="shared" si="7"/>
        <v>0</v>
      </c>
      <c r="O23" s="28">
        <f t="shared" si="7"/>
        <v>6.0021486835637541</v>
      </c>
      <c r="P23" s="28">
        <f t="shared" si="7"/>
        <v>4.2441600358378402</v>
      </c>
      <c r="Q23" s="28">
        <f t="shared" si="7"/>
        <v>3.0010743417818775</v>
      </c>
      <c r="R23" s="28">
        <f t="shared" si="7"/>
        <v>2.1220800179189205</v>
      </c>
      <c r="S23" s="28">
        <f t="shared" si="7"/>
        <v>1.5005371708909392</v>
      </c>
      <c r="T23" s="28">
        <f t="shared" si="7"/>
        <v>8.7845914469947317</v>
      </c>
      <c r="U23" s="28">
        <f t="shared" si="7"/>
        <v>6.2116441821233215</v>
      </c>
      <c r="V23" s="28">
        <f t="shared" si="7"/>
        <v>4.3922957234973667</v>
      </c>
      <c r="W23" s="28">
        <f t="shared" si="7"/>
        <v>3.1058220910616612</v>
      </c>
      <c r="X23" s="28">
        <f t="shared" si="7"/>
        <v>8.4807010128677547</v>
      </c>
      <c r="Y23" s="28">
        <f t="shared" si="7"/>
        <v>5.996761195414412</v>
      </c>
      <c r="Z23" s="28">
        <f t="shared" si="7"/>
        <v>4.2403505064338782</v>
      </c>
      <c r="AA23" s="28">
        <f t="shared" si="7"/>
        <v>2.9983805977072064</v>
      </c>
      <c r="AB23" s="28">
        <f t="shared" si="7"/>
        <v>2.1201752532169396</v>
      </c>
      <c r="AC23" s="28">
        <f t="shared" si="7"/>
        <v>1.4991902988536037</v>
      </c>
      <c r="AD23" s="28">
        <f t="shared" si="7"/>
        <v>1.06008762660847</v>
      </c>
      <c r="AE23" s="28">
        <f t="shared" si="7"/>
        <v>0.74959514942680194</v>
      </c>
      <c r="AF23" s="104">
        <f t="shared" si="7"/>
        <v>0.53004381330423511</v>
      </c>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ht="29" x14ac:dyDescent="0.35">
      <c r="A24" s="66" t="s">
        <v>206</v>
      </c>
      <c r="B24" s="12">
        <v>0</v>
      </c>
      <c r="C24" s="28">
        <f>(EXP(-$C$39))*B23</f>
        <v>0</v>
      </c>
      <c r="D24" s="28">
        <f t="shared" ref="D24:AF24" si="8">(EXP(-$C$39))*C23</f>
        <v>0</v>
      </c>
      <c r="E24" s="28">
        <f t="shared" si="8"/>
        <v>0</v>
      </c>
      <c r="F24" s="28">
        <f t="shared" si="8"/>
        <v>0</v>
      </c>
      <c r="G24" s="28">
        <f t="shared" si="8"/>
        <v>0</v>
      </c>
      <c r="H24" s="28">
        <f t="shared" si="8"/>
        <v>0</v>
      </c>
      <c r="I24" s="28">
        <f t="shared" si="8"/>
        <v>0</v>
      </c>
      <c r="J24" s="28">
        <f t="shared" si="8"/>
        <v>0</v>
      </c>
      <c r="K24" s="28">
        <f t="shared" si="8"/>
        <v>0</v>
      </c>
      <c r="L24" s="28">
        <f t="shared" si="8"/>
        <v>0</v>
      </c>
      <c r="M24" s="28">
        <f t="shared" si="8"/>
        <v>0</v>
      </c>
      <c r="N24" s="28">
        <f t="shared" si="8"/>
        <v>0</v>
      </c>
      <c r="O24" s="28">
        <f t="shared" si="8"/>
        <v>0</v>
      </c>
      <c r="P24" s="28">
        <f t="shared" si="8"/>
        <v>4.2441600358378402</v>
      </c>
      <c r="Q24" s="28">
        <f t="shared" si="8"/>
        <v>3.0010743417818775</v>
      </c>
      <c r="R24" s="28">
        <f t="shared" si="8"/>
        <v>2.1220800179189205</v>
      </c>
      <c r="S24" s="28">
        <f t="shared" si="8"/>
        <v>1.5005371708909392</v>
      </c>
      <c r="T24" s="28">
        <f t="shared" si="8"/>
        <v>1.0610400089594605</v>
      </c>
      <c r="U24" s="28">
        <f t="shared" si="8"/>
        <v>6.2116441821233215</v>
      </c>
      <c r="V24" s="28">
        <f t="shared" si="8"/>
        <v>4.3922957234973667</v>
      </c>
      <c r="W24" s="28">
        <f t="shared" si="8"/>
        <v>3.1058220910616612</v>
      </c>
      <c r="X24" s="28">
        <f t="shared" si="8"/>
        <v>2.1961478617486838</v>
      </c>
      <c r="Y24" s="28">
        <f t="shared" si="8"/>
        <v>5.996761195414412</v>
      </c>
      <c r="Z24" s="28">
        <f t="shared" si="8"/>
        <v>4.2403505064338782</v>
      </c>
      <c r="AA24" s="28">
        <f t="shared" si="8"/>
        <v>2.9983805977072064</v>
      </c>
      <c r="AB24" s="28">
        <f t="shared" si="8"/>
        <v>2.1201752532169396</v>
      </c>
      <c r="AC24" s="28">
        <f t="shared" si="8"/>
        <v>1.4991902988536037</v>
      </c>
      <c r="AD24" s="28">
        <f t="shared" si="8"/>
        <v>1.06008762660847</v>
      </c>
      <c r="AE24" s="28">
        <f t="shared" si="8"/>
        <v>0.74959514942680194</v>
      </c>
      <c r="AF24" s="104">
        <f t="shared" si="8"/>
        <v>0.53004381330423511</v>
      </c>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row>
    <row r="25" spans="1:177" ht="43.5" x14ac:dyDescent="0.35">
      <c r="A25" s="66" t="s">
        <v>207</v>
      </c>
      <c r="B25" s="12">
        <f t="shared" ref="B25:AF25" si="9">((1-EXP(-$C$39))/$C$39)*(B28*$C$32*$B$31)</f>
        <v>0</v>
      </c>
      <c r="C25" s="12">
        <f>((1-EXP(-$C$39))/$C$39)*(C28*$C$32*$B$31)</f>
        <v>0</v>
      </c>
      <c r="D25" s="12">
        <f t="shared" si="9"/>
        <v>0</v>
      </c>
      <c r="E25" s="12">
        <f t="shared" si="9"/>
        <v>0</v>
      </c>
      <c r="F25" s="12">
        <f t="shared" si="9"/>
        <v>0</v>
      </c>
      <c r="G25" s="12">
        <f t="shared" si="9"/>
        <v>0</v>
      </c>
      <c r="H25" s="12">
        <f t="shared" si="9"/>
        <v>0</v>
      </c>
      <c r="I25" s="12">
        <f t="shared" si="9"/>
        <v>0</v>
      </c>
      <c r="J25" s="12">
        <f t="shared" si="9"/>
        <v>0</v>
      </c>
      <c r="K25" s="12">
        <f t="shared" si="9"/>
        <v>0</v>
      </c>
      <c r="L25" s="12">
        <f t="shared" si="9"/>
        <v>0</v>
      </c>
      <c r="M25" s="12">
        <f t="shared" si="9"/>
        <v>0</v>
      </c>
      <c r="N25" s="12">
        <f t="shared" si="9"/>
        <v>6.0021486835637541</v>
      </c>
      <c r="O25" s="12">
        <f t="shared" si="9"/>
        <v>0</v>
      </c>
      <c r="P25" s="12">
        <f t="shared" si="9"/>
        <v>0</v>
      </c>
      <c r="Q25" s="12">
        <f t="shared" si="9"/>
        <v>0</v>
      </c>
      <c r="R25" s="12">
        <f t="shared" si="9"/>
        <v>0</v>
      </c>
      <c r="S25" s="12">
        <f t="shared" si="9"/>
        <v>7.7235514380352708</v>
      </c>
      <c r="T25" s="12">
        <f t="shared" si="9"/>
        <v>0</v>
      </c>
      <c r="U25" s="12">
        <f t="shared" si="9"/>
        <v>0</v>
      </c>
      <c r="V25" s="12">
        <f t="shared" si="9"/>
        <v>0</v>
      </c>
      <c r="W25" s="12">
        <f t="shared" si="9"/>
        <v>6.2845531511190718</v>
      </c>
      <c r="X25" s="12">
        <f t="shared" si="9"/>
        <v>0</v>
      </c>
      <c r="Y25" s="12">
        <f t="shared" si="9"/>
        <v>0</v>
      </c>
      <c r="Z25" s="12">
        <f t="shared" si="9"/>
        <v>0</v>
      </c>
      <c r="AA25" s="12">
        <f t="shared" si="9"/>
        <v>0</v>
      </c>
      <c r="AB25" s="12">
        <f t="shared" si="9"/>
        <v>0</v>
      </c>
      <c r="AC25" s="12">
        <f t="shared" si="9"/>
        <v>0</v>
      </c>
      <c r="AD25" s="12">
        <f t="shared" si="9"/>
        <v>0</v>
      </c>
      <c r="AE25" s="12">
        <f t="shared" si="9"/>
        <v>0</v>
      </c>
      <c r="AF25" s="24">
        <f t="shared" si="9"/>
        <v>20.488233371535603</v>
      </c>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row>
    <row r="26" spans="1:177" ht="32" customHeight="1" x14ac:dyDescent="0.35">
      <c r="A26" s="18" t="s">
        <v>215</v>
      </c>
      <c r="B26" s="17"/>
      <c r="C26" s="17"/>
      <c r="D26" s="17"/>
      <c r="E26" s="17"/>
      <c r="F26" s="17"/>
      <c r="G26" s="17"/>
      <c r="H26" s="17"/>
      <c r="I26" s="17"/>
      <c r="J26" s="17"/>
      <c r="K26" s="17"/>
      <c r="L26" s="17"/>
      <c r="M26" s="17"/>
      <c r="N26" s="17"/>
      <c r="O26" s="17"/>
      <c r="P26" s="17"/>
      <c r="Q26" s="17"/>
      <c r="R26" s="17"/>
      <c r="S26" s="17">
        <f>(0.1*50.9)/2</f>
        <v>2.5449999999999999</v>
      </c>
      <c r="T26" s="17"/>
      <c r="U26" s="17"/>
      <c r="V26" s="17"/>
      <c r="W26" s="17">
        <f>(0.25*49.7)/2</f>
        <v>6.2125000000000004</v>
      </c>
      <c r="X26" s="17"/>
      <c r="Y26" s="17"/>
      <c r="Z26" s="17"/>
      <c r="AA26" s="17"/>
      <c r="AB26" s="17"/>
      <c r="AC26" s="17"/>
      <c r="AD26" s="17"/>
      <c r="AE26" s="17"/>
      <c r="AF26" s="105">
        <f>(0.6*303.8)/2</f>
        <v>91.14</v>
      </c>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row>
    <row r="27" spans="1:177" ht="32" customHeight="1" x14ac:dyDescent="0.35">
      <c r="A27" s="18" t="s">
        <v>216</v>
      </c>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05"/>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row>
    <row r="28" spans="1:177" x14ac:dyDescent="0.35">
      <c r="A28" s="18" t="s">
        <v>217</v>
      </c>
      <c r="B28" s="17"/>
      <c r="C28" s="17"/>
      <c r="D28" s="17"/>
      <c r="E28" s="17"/>
      <c r="F28" s="17"/>
      <c r="G28" s="17"/>
      <c r="H28" s="17"/>
      <c r="I28" s="17"/>
      <c r="J28" s="17"/>
      <c r="K28" s="17"/>
      <c r="L28" s="17"/>
      <c r="M28" s="17"/>
      <c r="N28" s="17">
        <v>35.6</v>
      </c>
      <c r="O28" s="17"/>
      <c r="P28" s="17"/>
      <c r="Q28" s="17"/>
      <c r="R28" s="17"/>
      <c r="S28" s="17">
        <f>0.9*50.9</f>
        <v>45.81</v>
      </c>
      <c r="T28" s="17"/>
      <c r="U28" s="17"/>
      <c r="V28" s="17"/>
      <c r="W28" s="17">
        <f>0.75*49.7</f>
        <v>37.275000000000006</v>
      </c>
      <c r="X28" s="17"/>
      <c r="Y28" s="17"/>
      <c r="Z28" s="17"/>
      <c r="AA28" s="17"/>
      <c r="AB28" s="17"/>
      <c r="AC28" s="17"/>
      <c r="AD28" s="17"/>
      <c r="AE28" s="17"/>
      <c r="AF28" s="105">
        <f>0.4*303.8</f>
        <v>121.52000000000001</v>
      </c>
    </row>
    <row r="29" spans="1:177" ht="15" thickBot="1" x14ac:dyDescent="0.4">
      <c r="A29" s="29" t="s">
        <v>209</v>
      </c>
      <c r="B29" s="12">
        <f>B16</f>
        <v>0</v>
      </c>
      <c r="C29" s="23">
        <f t="shared" ref="C29:AF29" si="10">C16</f>
        <v>0</v>
      </c>
      <c r="D29" s="23">
        <f t="shared" si="10"/>
        <v>0</v>
      </c>
      <c r="E29" s="23">
        <f t="shared" si="10"/>
        <v>0</v>
      </c>
      <c r="F29" s="23">
        <f t="shared" si="10"/>
        <v>0</v>
      </c>
      <c r="G29" s="23">
        <f t="shared" si="10"/>
        <v>0</v>
      </c>
      <c r="H29" s="23">
        <f t="shared" si="10"/>
        <v>0</v>
      </c>
      <c r="I29" s="23">
        <f t="shared" si="10"/>
        <v>0</v>
      </c>
      <c r="J29" s="23">
        <f t="shared" si="10"/>
        <v>0</v>
      </c>
      <c r="K29" s="23">
        <f t="shared" si="10"/>
        <v>0</v>
      </c>
      <c r="L29" s="23">
        <f t="shared" si="10"/>
        <v>0</v>
      </c>
      <c r="M29" s="23">
        <f t="shared" si="10"/>
        <v>0</v>
      </c>
      <c r="N29" s="23">
        <f t="shared" si="10"/>
        <v>0</v>
      </c>
      <c r="O29" s="23">
        <f>O16</f>
        <v>6.0021486835637541</v>
      </c>
      <c r="P29" s="23">
        <f t="shared" si="10"/>
        <v>4.2441600358378402</v>
      </c>
      <c r="Q29" s="23">
        <f t="shared" si="10"/>
        <v>3.0010743417818775</v>
      </c>
      <c r="R29" s="23">
        <f t="shared" si="10"/>
        <v>2.1220800179189205</v>
      </c>
      <c r="S29" s="23">
        <f t="shared" si="10"/>
        <v>1.5005371708909392</v>
      </c>
      <c r="T29" s="23">
        <f t="shared" si="10"/>
        <v>9.2873244025434012</v>
      </c>
      <c r="U29" s="23">
        <f t="shared" si="10"/>
        <v>6.7045188510505067</v>
      </c>
      <c r="V29" s="23">
        <f t="shared" si="10"/>
        <v>4.8755054207907538</v>
      </c>
      <c r="W29" s="23">
        <f t="shared" si="10"/>
        <v>3.5795563409199382</v>
      </c>
      <c r="X29" s="23">
        <f t="shared" si="10"/>
        <v>10.172347385843574</v>
      </c>
      <c r="Y29" s="23">
        <f t="shared" si="10"/>
        <v>7.6552354148185806</v>
      </c>
      <c r="Z29" s="23">
        <f t="shared" si="10"/>
        <v>5.8663030579649202</v>
      </c>
      <c r="AA29" s="23">
        <f t="shared" si="10"/>
        <v>4.5924492114358557</v>
      </c>
      <c r="AB29" s="23">
        <f t="shared" si="10"/>
        <v>3.6829851537162197</v>
      </c>
      <c r="AC29" s="23">
        <f t="shared" si="10"/>
        <v>3.0313544504240095</v>
      </c>
      <c r="AD29" s="23">
        <f t="shared" si="10"/>
        <v>2.5622069736944355</v>
      </c>
      <c r="AE29" s="23">
        <f t="shared" si="10"/>
        <v>2.2222588523187459</v>
      </c>
      <c r="AF29" s="39">
        <f t="shared" si="10"/>
        <v>1.9738294792186335</v>
      </c>
    </row>
    <row r="30" spans="1:177" x14ac:dyDescent="0.35">
      <c r="A30" s="174" t="s">
        <v>10</v>
      </c>
      <c r="B30" s="17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row>
    <row r="31" spans="1:177" ht="29.5" thickBot="1" x14ac:dyDescent="0.4">
      <c r="A31" s="3" t="s">
        <v>4</v>
      </c>
      <c r="B31" s="24">
        <v>0.47499999999999998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1:177" ht="29" x14ac:dyDescent="0.35">
      <c r="A32" s="3" t="s">
        <v>6</v>
      </c>
      <c r="B32" s="22" t="s">
        <v>75</v>
      </c>
      <c r="C32" s="133">
        <f>IF(B32="Alisier torminal",0.62,IF(B32="Arbousier",0.64,IF(B32="Aulne vert",0.42,IF(B32="Grands aulnes",0.42,IF(B32="Bouleaux",0.52,IF(B32="Cèdre de l’Atlas",0.36,IF(B32="Charme",0.61,IF(B32="Charme-houblon",0.66,IF(B32="Châtaignier",0.47,IF(B32="Chêne chevelu",0.67,IF(B32="Chêne-liège",0.7,IF(B32="Chêne pédonculé",0.54,IF(B32="Chêne pubescent",0.65,IF(B32="Chêne rouge d’Amérique",0.56,IF(B32="Chêne rouvre (sessile)",0.58,IF(B32="Chêne tauzin",0.64,IF(B32="Chêne vert",0.73,IF(B32="Chênes indifférenciés",0.56,IF(B32="Cornouiller mâle",0.74,IF(B32="Cyprès",0.4,IF(B32="Cytise aubour",0.6,IF(B32="Douglas",0.43,IF(B32="Epicéa commun",0.37,IF(B32="Epicéa de Sitka",0.36,IF(B32="Grands érables",0.51,IF(B32="Petits érables",0.56,IF(B32="Eucalyptus",0.56,IF(B32="Genévrier thurifère",0.48,IF(B32="Hêtre",0.55,IF(B32="Frênes",0.56,IF(B32="Fruitiers",0.58,IF(B32="If",0.58,IF(B32="Mélèze d’Europe",0.48,IF(B32="Mélèze du Japon",0.42,IF(B32="Merisier",0.5,IF(B32="Micocoulier",0.55,IF(B32="Mûrier",0.53,IF(B32="Noisetier",0.52,IF(B32="Noyer",0.52,IF(B32="Olivier",0.75,IF(B32="Ormes",0.52,IF(B32="Peupliers cultivés",0.35,IF(B32="Peupliers non cultivés",0.37,IF(B32="Pin d'Alep",0.45,IF(B32="Pin cembro",0.39,IF(B32="Pin à crochets",0.44,IF(B32="Pin laricio",0.46,IF(B32="Pin maritime",0.46,IF(B32="Pin mugho",0.44,IF(B32="Pin noir d'Autriche",0.46,IF(B32="Pin pignon",0.48,IF(B32="Pin sylvestre",0.44,IF(B32="Pin Weymouth",0.34,IF(B32="Platanes",0.5,IF(B32="Robinier faux acacia",0.58,IF(B32="Sapin méditerranéen",0.37,IF(B32="Sapin de Nordmann",0.37,IF(B32="Sapin pectiné",0.38,IF(B32="Sapin de Vancouver",0.36,IF(B32="Saules",0.37,IF(B32="Tamaris",0.53,IF(B32="Tilleuls",0.43,IF(B32="Tremble",0.38,IF(B32="Conifères (moyenne)",0.42,IF(B32="Feuillus (moyenne)",0.57,0)))))))))))))))))))))))))))))))))))))))))))))))))))))))))))))))))</f>
        <v>0.42</v>
      </c>
      <c r="D32" s="57"/>
      <c r="E32" s="15"/>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1:32" ht="14.5" customHeight="1" x14ac:dyDescent="0.35">
      <c r="A33" s="164" t="s">
        <v>89</v>
      </c>
      <c r="B33" s="12" t="s">
        <v>92</v>
      </c>
      <c r="C33" s="24">
        <v>35</v>
      </c>
      <c r="D33" s="15"/>
      <c r="E33" s="15"/>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1:32" x14ac:dyDescent="0.35">
      <c r="A34" s="165"/>
      <c r="B34" s="12" t="s">
        <v>93</v>
      </c>
      <c r="C34" s="24">
        <v>25</v>
      </c>
      <c r="D34" s="15"/>
      <c r="E34" s="15"/>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x14ac:dyDescent="0.35">
      <c r="A35" s="165"/>
      <c r="B35" s="12" t="s">
        <v>94</v>
      </c>
      <c r="C35" s="24">
        <v>2</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x14ac:dyDescent="0.35">
      <c r="A36" s="167"/>
      <c r="B36" s="25" t="s">
        <v>153</v>
      </c>
      <c r="C36" s="59">
        <v>5</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ht="29" customHeight="1" x14ac:dyDescent="0.35">
      <c r="A37" s="164" t="s">
        <v>95</v>
      </c>
      <c r="B37" s="25" t="s">
        <v>92</v>
      </c>
      <c r="C37" s="26">
        <f>LN(2)/C33</f>
        <v>1.980420515885558E-2</v>
      </c>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row>
    <row r="38" spans="1:32" x14ac:dyDescent="0.35">
      <c r="A38" s="165"/>
      <c r="B38" s="12" t="s">
        <v>93</v>
      </c>
      <c r="C38" s="26">
        <f>LN(2)/C34</f>
        <v>2.7725887222397813E-2</v>
      </c>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row>
    <row r="39" spans="1:32" x14ac:dyDescent="0.35">
      <c r="A39" s="165"/>
      <c r="B39" s="60" t="s">
        <v>94</v>
      </c>
      <c r="C39" s="61">
        <f>LN(2)/C35</f>
        <v>0.34657359027997264</v>
      </c>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row>
    <row r="40" spans="1:32" ht="15" thickBot="1" x14ac:dyDescent="0.4">
      <c r="A40" s="166"/>
      <c r="B40" s="23" t="s">
        <v>153</v>
      </c>
      <c r="C40" s="27">
        <f>LN(2)/C36</f>
        <v>0.13862943611198905</v>
      </c>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row>
    <row r="41" spans="1:32" x14ac:dyDescent="0.35">
      <c r="A41" s="8"/>
      <c r="B41" s="106"/>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row>
    <row r="42" spans="1:32" x14ac:dyDescent="0.35">
      <c r="A42" s="8"/>
      <c r="B42" s="106"/>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row>
  </sheetData>
  <sheetProtection algorithmName="SHA-512" hashValue="8PqxsvYQ2E3cegY4ZaQ/KLS2pmrg7cYxe8mJxOpuZ4J3bf3Ttp/V4eWbk31b0vN6GdOCJ5OXra07M+fflnkHkQ==" saltValue="Oo5oHncHmFktKlHhiatLDw==" spinCount="100000" sheet="1" objects="1" scenarios="1"/>
  <mergeCells count="6">
    <mergeCell ref="A37:A40"/>
    <mergeCell ref="A33:A36"/>
    <mergeCell ref="A9:B9"/>
    <mergeCell ref="A13:AF13"/>
    <mergeCell ref="A15:AF15"/>
    <mergeCell ref="A30:B30"/>
  </mergeCells>
  <conditionalFormatting sqref="B16:AF28">
    <cfRule type="cellIs" dxfId="0" priority="2" operator="greaterThan">
      <formula>0</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D32:D34</xm:sqref>
        </x14:dataValidation>
        <x14:dataValidation type="list" showInputMessage="1" showErrorMessage="1" prompt="Choisir l'essence pour avoir la di pour le scénario de projet">
          <x14:formula1>
            <xm:f>'Listes choix'!$C$2:$C$66</xm:f>
          </x14:formula1>
          <xm:sqref>B32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30"/>
  <sheetViews>
    <sheetView topLeftCell="A2" zoomScale="77" workbookViewId="0">
      <selection activeCell="B7" sqref="B7"/>
    </sheetView>
  </sheetViews>
  <sheetFormatPr baseColWidth="10" defaultRowHeight="14.5" x14ac:dyDescent="0.35"/>
  <cols>
    <col min="1" max="1" width="38.08984375" style="1" customWidth="1"/>
    <col min="2" max="2" width="27.08984375" customWidth="1"/>
    <col min="4" max="4" width="13.1796875" customWidth="1"/>
  </cols>
  <sheetData>
    <row r="4" spans="1:177" ht="16" thickBot="1" x14ac:dyDescent="0.4">
      <c r="A4" s="19"/>
      <c r="B4" s="7"/>
    </row>
    <row r="5" spans="1:177" ht="16" thickBot="1" x14ac:dyDescent="0.4">
      <c r="A5" s="20" t="s">
        <v>189</v>
      </c>
      <c r="B5" s="101">
        <f>SUM(B21:AE21)</f>
        <v>259.60000000000002</v>
      </c>
    </row>
    <row r="6" spans="1:177" ht="16" thickBot="1" x14ac:dyDescent="0.4">
      <c r="A6" s="20" t="s">
        <v>96</v>
      </c>
      <c r="B6" s="101">
        <f>B5*B10</f>
        <v>369.98192000000006</v>
      </c>
    </row>
    <row r="8" spans="1:177" ht="15" thickBot="1" x14ac:dyDescent="0.4"/>
    <row r="9" spans="1:177" ht="15" thickBot="1" x14ac:dyDescent="0.4">
      <c r="A9" s="158" t="s">
        <v>13</v>
      </c>
      <c r="B9" s="159"/>
    </row>
    <row r="10" spans="1:177" x14ac:dyDescent="0.35">
      <c r="A10" s="2" t="s">
        <v>7</v>
      </c>
      <c r="B10" s="94">
        <v>1.4252</v>
      </c>
    </row>
    <row r="11" spans="1:177" x14ac:dyDescent="0.35">
      <c r="A11" s="97" t="s">
        <v>16</v>
      </c>
      <c r="B11" s="100">
        <v>30</v>
      </c>
    </row>
    <row r="12" spans="1:177" ht="43.5" x14ac:dyDescent="0.35">
      <c r="A12" s="3" t="s">
        <v>109</v>
      </c>
      <c r="B12" s="35" t="s">
        <v>111</v>
      </c>
    </row>
    <row r="13" spans="1:177" ht="36" customHeight="1" x14ac:dyDescent="0.35">
      <c r="A13" s="3" t="s">
        <v>165</v>
      </c>
      <c r="B13" s="24">
        <f>IF(B12="Feuillus",C27,IF(B12="Peuplier",C28,IF(B12="Résineux",C30,IF(B12="Pin maritime en gestion dynamique (3 éclaircies durant les 30 1ères années)",C29,0))))</f>
        <v>0.59</v>
      </c>
    </row>
    <row r="14" spans="1:177" ht="29.5" thickBot="1" x14ac:dyDescent="0.4">
      <c r="A14" s="4" t="s">
        <v>112</v>
      </c>
      <c r="B14" s="39">
        <v>0</v>
      </c>
    </row>
    <row r="15" spans="1:177" ht="15" thickBot="1" x14ac:dyDescent="0.4">
      <c r="AF15" s="7"/>
    </row>
    <row r="16" spans="1:177" s="5" customFormat="1" ht="15.5" x14ac:dyDescent="0.35">
      <c r="A16" s="168" t="s">
        <v>97</v>
      </c>
      <c r="B16" s="169"/>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70"/>
      <c r="AF16" s="19"/>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x14ac:dyDescent="0.35">
      <c r="A17" s="3" t="s">
        <v>17</v>
      </c>
      <c r="B17" s="12">
        <v>1</v>
      </c>
      <c r="C17" s="12">
        <v>2</v>
      </c>
      <c r="D17" s="12">
        <v>3</v>
      </c>
      <c r="E17" s="12">
        <v>4</v>
      </c>
      <c r="F17" s="12">
        <v>5</v>
      </c>
      <c r="G17" s="12">
        <v>6</v>
      </c>
      <c r="H17" s="12">
        <v>7</v>
      </c>
      <c r="I17" s="12">
        <v>8</v>
      </c>
      <c r="J17" s="12">
        <v>9</v>
      </c>
      <c r="K17" s="12">
        <v>10</v>
      </c>
      <c r="L17" s="12">
        <v>11</v>
      </c>
      <c r="M17" s="130">
        <v>12</v>
      </c>
      <c r="N17" s="12">
        <v>13</v>
      </c>
      <c r="O17" s="12">
        <v>14</v>
      </c>
      <c r="P17" s="12">
        <v>15</v>
      </c>
      <c r="Q17" s="12">
        <v>16</v>
      </c>
      <c r="R17" s="130">
        <v>17</v>
      </c>
      <c r="S17" s="12">
        <v>18</v>
      </c>
      <c r="T17" s="12">
        <v>19</v>
      </c>
      <c r="U17" s="12">
        <v>20</v>
      </c>
      <c r="V17" s="130">
        <v>21</v>
      </c>
      <c r="W17" s="12">
        <v>22</v>
      </c>
      <c r="X17" s="12">
        <v>23</v>
      </c>
      <c r="Y17" s="12">
        <v>24</v>
      </c>
      <c r="Z17" s="12">
        <v>25</v>
      </c>
      <c r="AA17" s="12">
        <v>26</v>
      </c>
      <c r="AB17" s="12">
        <v>27</v>
      </c>
      <c r="AC17" s="12">
        <v>28</v>
      </c>
      <c r="AD17" s="12">
        <v>29</v>
      </c>
      <c r="AE17" s="151">
        <v>30</v>
      </c>
      <c r="AF17" s="15"/>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s="5" customFormat="1" x14ac:dyDescent="0.35">
      <c r="A18" s="178" t="s">
        <v>3</v>
      </c>
      <c r="B18" s="179"/>
      <c r="C18" s="179"/>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80"/>
      <c r="AF18" s="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s="5" customFormat="1" x14ac:dyDescent="0.35">
      <c r="A19" s="68" t="s">
        <v>210</v>
      </c>
      <c r="B19" s="67">
        <f t="shared" ref="B19:AE19" si="0">$B$13*B20</f>
        <v>0</v>
      </c>
      <c r="C19" s="67">
        <f t="shared" si="0"/>
        <v>0</v>
      </c>
      <c r="D19" s="67">
        <f t="shared" si="0"/>
        <v>0</v>
      </c>
      <c r="E19" s="67">
        <f t="shared" si="0"/>
        <v>0</v>
      </c>
      <c r="F19" s="67">
        <f t="shared" si="0"/>
        <v>0</v>
      </c>
      <c r="G19" s="67">
        <f t="shared" si="0"/>
        <v>0</v>
      </c>
      <c r="H19" s="67">
        <f t="shared" si="0"/>
        <v>0</v>
      </c>
      <c r="I19" s="67">
        <f t="shared" si="0"/>
        <v>0</v>
      </c>
      <c r="J19" s="67">
        <f t="shared" si="0"/>
        <v>0</v>
      </c>
      <c r="K19" s="67">
        <f t="shared" si="0"/>
        <v>0</v>
      </c>
      <c r="L19" s="67">
        <f t="shared" si="0"/>
        <v>0</v>
      </c>
      <c r="M19" s="67">
        <f t="shared" si="0"/>
        <v>21.004000000000001</v>
      </c>
      <c r="N19" s="67">
        <f t="shared" si="0"/>
        <v>0</v>
      </c>
      <c r="O19" s="67">
        <f t="shared" si="0"/>
        <v>0</v>
      </c>
      <c r="P19" s="67">
        <f t="shared" si="0"/>
        <v>0</v>
      </c>
      <c r="Q19" s="67">
        <f t="shared" si="0"/>
        <v>0</v>
      </c>
      <c r="R19" s="67">
        <f t="shared" si="0"/>
        <v>30.030999999999999</v>
      </c>
      <c r="S19" s="67">
        <f t="shared" si="0"/>
        <v>0</v>
      </c>
      <c r="T19" s="67">
        <f t="shared" si="0"/>
        <v>0</v>
      </c>
      <c r="U19" s="132">
        <f t="shared" si="0"/>
        <v>0</v>
      </c>
      <c r="V19" s="67">
        <f>$B$13*V20</f>
        <v>29.323</v>
      </c>
      <c r="W19" s="67">
        <f t="shared" si="0"/>
        <v>0</v>
      </c>
      <c r="X19" s="67">
        <f t="shared" si="0"/>
        <v>0</v>
      </c>
      <c r="Y19" s="67">
        <f t="shared" si="0"/>
        <v>0</v>
      </c>
      <c r="Z19" s="67">
        <f t="shared" si="0"/>
        <v>0</v>
      </c>
      <c r="AA19" s="67">
        <f t="shared" si="0"/>
        <v>0</v>
      </c>
      <c r="AB19" s="67">
        <f t="shared" si="0"/>
        <v>0</v>
      </c>
      <c r="AC19" s="67">
        <f t="shared" si="0"/>
        <v>0</v>
      </c>
      <c r="AD19" s="67">
        <f t="shared" si="0"/>
        <v>0</v>
      </c>
      <c r="AE19" s="152">
        <f t="shared" si="0"/>
        <v>179.24199999999999</v>
      </c>
      <c r="AF19" s="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x14ac:dyDescent="0.35">
      <c r="A20" s="3" t="s">
        <v>211</v>
      </c>
      <c r="B20" s="17"/>
      <c r="C20" s="17"/>
      <c r="D20" s="34"/>
      <c r="E20" s="34"/>
      <c r="F20" s="34"/>
      <c r="G20" s="34"/>
      <c r="H20" s="34"/>
      <c r="I20" s="34"/>
      <c r="J20" s="34"/>
      <c r="K20" s="34"/>
      <c r="L20" s="34"/>
      <c r="M20" s="34">
        <v>35.6</v>
      </c>
      <c r="N20" s="131"/>
      <c r="O20" s="34"/>
      <c r="P20" s="34"/>
      <c r="Q20" s="34"/>
      <c r="R20" s="34">
        <v>50.9</v>
      </c>
      <c r="S20" s="34"/>
      <c r="T20" s="34"/>
      <c r="U20" s="131"/>
      <c r="V20" s="34">
        <v>49.7</v>
      </c>
      <c r="W20" s="34"/>
      <c r="X20" s="34"/>
      <c r="Y20" s="34"/>
      <c r="Z20" s="34"/>
      <c r="AA20" s="34"/>
      <c r="AB20" s="34"/>
      <c r="AC20" s="34"/>
      <c r="AD20" s="34"/>
      <c r="AE20" s="153">
        <v>303.8</v>
      </c>
      <c r="AF20" s="38"/>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5" thickBot="1" x14ac:dyDescent="0.4">
      <c r="A21" s="40" t="s">
        <v>212</v>
      </c>
      <c r="B21" s="12">
        <f>B19-0</f>
        <v>0</v>
      </c>
      <c r="C21" s="23">
        <f>C19-0</f>
        <v>0</v>
      </c>
      <c r="D21" s="23">
        <f t="shared" ref="D21:AE21" si="1">D19-0</f>
        <v>0</v>
      </c>
      <c r="E21" s="23">
        <f t="shared" si="1"/>
        <v>0</v>
      </c>
      <c r="F21" s="23">
        <f t="shared" si="1"/>
        <v>0</v>
      </c>
      <c r="G21" s="23">
        <f t="shared" si="1"/>
        <v>0</v>
      </c>
      <c r="H21" s="23">
        <f t="shared" si="1"/>
        <v>0</v>
      </c>
      <c r="I21" s="23">
        <f t="shared" si="1"/>
        <v>0</v>
      </c>
      <c r="J21" s="23">
        <f t="shared" si="1"/>
        <v>0</v>
      </c>
      <c r="K21" s="23">
        <f t="shared" si="1"/>
        <v>0</v>
      </c>
      <c r="L21" s="23">
        <f t="shared" si="1"/>
        <v>0</v>
      </c>
      <c r="M21" s="23">
        <f t="shared" si="1"/>
        <v>21.004000000000001</v>
      </c>
      <c r="N21" s="23">
        <f t="shared" si="1"/>
        <v>0</v>
      </c>
      <c r="O21" s="23">
        <f t="shared" si="1"/>
        <v>0</v>
      </c>
      <c r="P21" s="23">
        <f t="shared" si="1"/>
        <v>0</v>
      </c>
      <c r="Q21" s="23">
        <f t="shared" si="1"/>
        <v>0</v>
      </c>
      <c r="R21" s="23">
        <f t="shared" si="1"/>
        <v>30.030999999999999</v>
      </c>
      <c r="S21" s="23">
        <f t="shared" si="1"/>
        <v>0</v>
      </c>
      <c r="T21" s="23">
        <f t="shared" si="1"/>
        <v>0</v>
      </c>
      <c r="U21" s="122">
        <f>U19-0</f>
        <v>0</v>
      </c>
      <c r="V21" s="23">
        <f t="shared" si="1"/>
        <v>29.323</v>
      </c>
      <c r="W21" s="23">
        <f t="shared" si="1"/>
        <v>0</v>
      </c>
      <c r="X21" s="23">
        <f t="shared" si="1"/>
        <v>0</v>
      </c>
      <c r="Y21" s="23">
        <f t="shared" si="1"/>
        <v>0</v>
      </c>
      <c r="Z21" s="23">
        <f t="shared" si="1"/>
        <v>0</v>
      </c>
      <c r="AA21" s="23">
        <f t="shared" si="1"/>
        <v>0</v>
      </c>
      <c r="AB21" s="23">
        <f t="shared" si="1"/>
        <v>0</v>
      </c>
      <c r="AC21" s="23">
        <f t="shared" si="1"/>
        <v>0</v>
      </c>
      <c r="AD21" s="23">
        <f t="shared" si="1"/>
        <v>0</v>
      </c>
      <c r="AE21" s="124">
        <f t="shared" si="1"/>
        <v>179.24199999999999</v>
      </c>
      <c r="AF21" s="57"/>
    </row>
    <row r="22" spans="1:177" ht="15" thickBot="1" x14ac:dyDescent="0.4">
      <c r="A22" s="174" t="s">
        <v>10</v>
      </c>
      <c r="B22" s="17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row>
    <row r="23" spans="1:177" x14ac:dyDescent="0.35">
      <c r="A23" s="164" t="s">
        <v>99</v>
      </c>
      <c r="B23" s="12" t="s">
        <v>100</v>
      </c>
      <c r="C23" s="32">
        <v>1.52</v>
      </c>
      <c r="D23" s="15"/>
      <c r="E23" s="15"/>
      <c r="F23" s="7"/>
      <c r="G23" s="7"/>
      <c r="H23" s="7"/>
      <c r="I23" s="7"/>
      <c r="J23" s="7"/>
      <c r="K23" s="7"/>
      <c r="L23" s="7"/>
      <c r="M23" s="7"/>
      <c r="N23" s="7"/>
      <c r="O23" s="7"/>
      <c r="P23" s="7"/>
      <c r="Q23" s="7"/>
      <c r="R23" s="7"/>
      <c r="S23" s="7"/>
      <c r="T23" s="7"/>
      <c r="U23" s="7"/>
      <c r="V23" s="7"/>
      <c r="W23" s="7"/>
      <c r="X23" s="7"/>
      <c r="Y23" s="7"/>
      <c r="Z23" s="7"/>
      <c r="AA23" s="7"/>
      <c r="AB23" s="7"/>
      <c r="AC23" s="7"/>
      <c r="AD23" s="7"/>
      <c r="AE23" s="7"/>
      <c r="AF23" s="7"/>
    </row>
    <row r="24" spans="1:177" x14ac:dyDescent="0.35">
      <c r="A24" s="165"/>
      <c r="B24" s="12" t="s">
        <v>102</v>
      </c>
      <c r="C24" s="24">
        <v>0</v>
      </c>
      <c r="D24" s="15"/>
      <c r="E24" s="15"/>
      <c r="F24" s="7"/>
      <c r="G24" s="7"/>
      <c r="H24" s="7"/>
      <c r="I24" s="7"/>
      <c r="J24" s="7"/>
      <c r="K24" s="7"/>
      <c r="L24" s="7"/>
      <c r="M24" s="7"/>
      <c r="N24" s="7"/>
      <c r="O24" s="7"/>
      <c r="P24" s="7"/>
      <c r="Q24" s="7"/>
      <c r="R24" s="7"/>
      <c r="S24" s="7"/>
      <c r="T24" s="7"/>
      <c r="U24" s="7"/>
      <c r="V24" s="7"/>
      <c r="W24" s="7"/>
      <c r="X24" s="7"/>
      <c r="Y24" s="7"/>
      <c r="Z24" s="7"/>
      <c r="AA24" s="7"/>
      <c r="AB24" s="7"/>
      <c r="AC24" s="7"/>
      <c r="AD24" s="7"/>
      <c r="AE24" s="7"/>
      <c r="AF24" s="7"/>
    </row>
    <row r="25" spans="1:177" x14ac:dyDescent="0.35">
      <c r="A25" s="165"/>
      <c r="B25" s="12" t="s">
        <v>103</v>
      </c>
      <c r="C25" s="24">
        <v>0.77</v>
      </c>
      <c r="D25" s="15"/>
      <c r="E25" s="15"/>
      <c r="F25" s="7"/>
      <c r="G25" s="7"/>
      <c r="H25" s="7"/>
      <c r="I25" s="7"/>
      <c r="J25" s="7"/>
      <c r="K25" s="7"/>
      <c r="L25" s="7"/>
      <c r="M25" s="7"/>
      <c r="N25" s="7"/>
      <c r="O25" s="7"/>
      <c r="P25" s="7"/>
      <c r="Q25" s="7"/>
      <c r="R25" s="7"/>
      <c r="S25" s="7"/>
      <c r="T25" s="7"/>
      <c r="U25" s="7"/>
      <c r="V25" s="7"/>
      <c r="W25" s="7"/>
      <c r="X25" s="7"/>
      <c r="Y25" s="7"/>
      <c r="Z25" s="7"/>
      <c r="AA25" s="7"/>
      <c r="AB25" s="7"/>
      <c r="AC25" s="7"/>
      <c r="AD25" s="7"/>
      <c r="AE25" s="7"/>
      <c r="AF25" s="7"/>
    </row>
    <row r="26" spans="1:177" x14ac:dyDescent="0.35">
      <c r="A26" s="165"/>
      <c r="B26" s="12" t="s">
        <v>101</v>
      </c>
      <c r="C26" s="24">
        <v>0.25</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row>
    <row r="27" spans="1:177" x14ac:dyDescent="0.35">
      <c r="A27" s="176" t="s">
        <v>104</v>
      </c>
      <c r="B27" s="25" t="s">
        <v>105</v>
      </c>
      <c r="C27" s="36">
        <v>0.25</v>
      </c>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row>
    <row r="28" spans="1:177" x14ac:dyDescent="0.35">
      <c r="A28" s="176"/>
      <c r="B28" s="25" t="s">
        <v>106</v>
      </c>
      <c r="C28" s="36">
        <v>1.03</v>
      </c>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row>
    <row r="29" spans="1:177" ht="29" x14ac:dyDescent="0.35">
      <c r="A29" s="176"/>
      <c r="B29" s="33" t="s">
        <v>107</v>
      </c>
      <c r="C29" s="36">
        <v>0.59</v>
      </c>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row>
    <row r="30" spans="1:177" ht="15" thickBot="1" x14ac:dyDescent="0.4">
      <c r="A30" s="177"/>
      <c r="B30" s="23" t="s">
        <v>108</v>
      </c>
      <c r="C30" s="37">
        <v>0.43</v>
      </c>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row>
  </sheetData>
  <sheetProtection algorithmName="SHA-512" hashValue="Ss26wBwucaw+p6aIrRpWSFHxIEoS6Hv4F/MS4k2TyFBFwHk3MyUuL4v1qYeEPNs/fYjDPcZxOyu52lk1wM759g==" saltValue="8/jiAcUXefxl3BQSUoTmcQ==" spinCount="100000" sheet="1" objects="1" scenarios="1"/>
  <mergeCells count="6">
    <mergeCell ref="A27:A30"/>
    <mergeCell ref="A9:B9"/>
    <mergeCell ref="A22:B22"/>
    <mergeCell ref="A23:A26"/>
    <mergeCell ref="A16:AE16"/>
    <mergeCell ref="A18:AE18"/>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D23:D25</xm:sqref>
        </x14:dataValidation>
        <x14:dataValidation type="list" showInputMessage="1" showErrorMessage="1" prompt="Choisir un type de reboisement pour le calcul du CS projet">
          <x14:formula1>
            <xm:f>'Listes choix'!$G$2:$G$5</xm:f>
          </x14:formula1>
          <xm:sqref>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zoomScale="149" workbookViewId="0">
      <selection activeCell="B9" sqref="B9"/>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c r="C1" s="7"/>
      <c r="D1" s="7"/>
    </row>
    <row r="2" spans="1:4" ht="16" thickBot="1" x14ac:dyDescent="0.4">
      <c r="A2" s="41" t="s">
        <v>116</v>
      </c>
      <c r="B2" s="135" t="s">
        <v>115</v>
      </c>
      <c r="C2" s="137"/>
      <c r="D2" s="136"/>
    </row>
    <row r="3" spans="1:4" ht="15.5" x14ac:dyDescent="0.35">
      <c r="A3" s="30" t="s">
        <v>117</v>
      </c>
      <c r="B3" s="139">
        <f>SUM(B4,B6)</f>
        <v>302.93175574902773</v>
      </c>
      <c r="C3" s="137"/>
      <c r="D3" s="136"/>
    </row>
    <row r="4" spans="1:4" ht="15.5" x14ac:dyDescent="0.35">
      <c r="A4" s="42" t="s">
        <v>118</v>
      </c>
      <c r="B4" s="140">
        <f>REAforêtMBoisement!B6</f>
        <v>288.46067673361966</v>
      </c>
      <c r="C4" s="137"/>
      <c r="D4" s="136"/>
    </row>
    <row r="5" spans="1:4" ht="15.5" x14ac:dyDescent="0.35">
      <c r="A5" s="102" t="s">
        <v>122</v>
      </c>
      <c r="B5" s="140">
        <f>B4*(1-C15)*(1-C16)*(1-C17)*(1-C18)</f>
        <v>176.53793416097523</v>
      </c>
      <c r="C5" s="137"/>
      <c r="D5" s="136"/>
    </row>
    <row r="6" spans="1:4" ht="15.5" x14ac:dyDescent="0.35">
      <c r="A6" s="42" t="s">
        <v>119</v>
      </c>
      <c r="B6" s="140">
        <f>REAproduitsMBoisement!B6</f>
        <v>14.471079015408071</v>
      </c>
      <c r="C6" s="137"/>
      <c r="D6" s="136"/>
    </row>
    <row r="7" spans="1:4" ht="15.5" x14ac:dyDescent="0.35">
      <c r="A7" s="102" t="s">
        <v>123</v>
      </c>
      <c r="B7" s="140">
        <f>B6*(1-C15)*(1-C16)*(1-C17)*(1-C18)</f>
        <v>8.8563003574297401</v>
      </c>
      <c r="C7" s="137"/>
      <c r="D7" s="136"/>
    </row>
    <row r="8" spans="1:4" ht="15.5" x14ac:dyDescent="0.35">
      <c r="A8" s="42" t="s">
        <v>120</v>
      </c>
      <c r="B8" s="140">
        <f>REEsubsMBoisement!B6</f>
        <v>369.98192000000006</v>
      </c>
      <c r="C8" s="137"/>
      <c r="D8" s="136"/>
    </row>
    <row r="9" spans="1:4" ht="16" thickBot="1" x14ac:dyDescent="0.4">
      <c r="A9" s="103" t="s">
        <v>124</v>
      </c>
      <c r="B9" s="141">
        <f>B8*(1-C15)*(1-C16)*(1-C17)*(1-C18)</f>
        <v>226.42893504000006</v>
      </c>
      <c r="C9" s="137"/>
      <c r="D9" s="136"/>
    </row>
    <row r="10" spans="1:4" ht="15.5" x14ac:dyDescent="0.35">
      <c r="A10" s="43" t="s">
        <v>121</v>
      </c>
      <c r="B10" s="142">
        <f>SUM(B3,B8)</f>
        <v>672.91367574902779</v>
      </c>
      <c r="C10" s="57"/>
      <c r="D10" s="15"/>
    </row>
    <row r="11" spans="1:4" ht="16" thickBot="1" x14ac:dyDescent="0.4">
      <c r="A11" s="44" t="s">
        <v>125</v>
      </c>
      <c r="B11" s="143">
        <f>SUM(B5,B7,B9)</f>
        <v>411.82316955840503</v>
      </c>
      <c r="C11" s="57"/>
      <c r="D11" s="15"/>
    </row>
    <row r="13" spans="1:4" ht="15" thickBot="1" x14ac:dyDescent="0.4"/>
    <row r="14" spans="1:4" ht="16" thickBot="1" x14ac:dyDescent="0.4">
      <c r="A14" s="46" t="s">
        <v>126</v>
      </c>
      <c r="B14" s="69" t="s">
        <v>127</v>
      </c>
      <c r="C14" s="93" t="s">
        <v>134</v>
      </c>
    </row>
    <row r="15" spans="1:4" x14ac:dyDescent="0.35">
      <c r="A15" s="147" t="s">
        <v>223</v>
      </c>
      <c r="B15" s="49" t="s">
        <v>181</v>
      </c>
      <c r="C15" s="51">
        <f>IF(B15="Réalisée",0,IF(B15="Pas réalisée",0.2,""))</f>
        <v>0.2</v>
      </c>
    </row>
    <row r="16" spans="1:4" x14ac:dyDescent="0.35">
      <c r="A16" s="145" t="s">
        <v>222</v>
      </c>
      <c r="B16" s="48" t="s">
        <v>131</v>
      </c>
      <c r="C16" s="52">
        <v>0.1</v>
      </c>
      <c r="D16" s="45"/>
    </row>
    <row r="17" spans="1:5" ht="29" x14ac:dyDescent="0.35">
      <c r="A17" s="144" t="s">
        <v>157</v>
      </c>
      <c r="B17" s="50" t="s">
        <v>138</v>
      </c>
      <c r="C17" s="52">
        <f>IF(B17="Départements sans risque ou risque négligeable",0,IF(B17="Départements avec risque très faible ou faible",0.05,IF(B17="Départements avec risque moyen",0.1,IF(B17="Départements avec risque fort ou très fort", 0.15,""))))</f>
        <v>0.15</v>
      </c>
      <c r="D17" s="45"/>
    </row>
    <row r="18" spans="1:5" ht="15" thickBot="1" x14ac:dyDescent="0.4">
      <c r="A18" s="146" t="s">
        <v>133</v>
      </c>
      <c r="B18" s="154" t="s">
        <v>140</v>
      </c>
      <c r="C18" s="155">
        <f>IF(B18="Démontrée",0,IF(B18="Non démontrée",0.1,""))</f>
        <v>0</v>
      </c>
    </row>
    <row r="19" spans="1:5" x14ac:dyDescent="0.35">
      <c r="A19" s="53"/>
      <c r="B19" s="15"/>
      <c r="C19" s="15"/>
      <c r="D19" s="53"/>
      <c r="E19" s="91"/>
    </row>
    <row r="20" spans="1:5" x14ac:dyDescent="0.35">
      <c r="A20" s="53"/>
      <c r="B20" s="15"/>
      <c r="C20" s="15"/>
      <c r="D20" s="53"/>
      <c r="E20" s="91"/>
    </row>
    <row r="21" spans="1:5" x14ac:dyDescent="0.35">
      <c r="A21" s="53"/>
      <c r="B21" s="15"/>
      <c r="C21" s="15"/>
      <c r="D21" s="53"/>
      <c r="E21" s="91"/>
    </row>
    <row r="22" spans="1:5" x14ac:dyDescent="0.35">
      <c r="A22" s="53"/>
      <c r="B22" s="15"/>
      <c r="C22" s="54"/>
      <c r="D22" s="53"/>
    </row>
    <row r="23" spans="1:5" x14ac:dyDescent="0.35">
      <c r="A23" s="53"/>
      <c r="B23" s="53"/>
      <c r="C23" s="53"/>
      <c r="D23" s="53"/>
    </row>
    <row r="24" spans="1:5" x14ac:dyDescent="0.35">
      <c r="A24" s="53"/>
      <c r="B24" s="53"/>
      <c r="C24" s="53"/>
      <c r="D24" s="53"/>
    </row>
    <row r="25" spans="1:5" x14ac:dyDescent="0.35">
      <c r="A25" s="53"/>
      <c r="B25" s="53"/>
      <c r="C25" s="53"/>
      <c r="D25" s="53"/>
    </row>
    <row r="26" spans="1:5" x14ac:dyDescent="0.35">
      <c r="A26" s="53"/>
      <c r="B26" s="53"/>
      <c r="C26" s="53"/>
      <c r="D26" s="53"/>
    </row>
  </sheetData>
  <sheetProtection algorithmName="SHA-512" hashValue="xQQeH/ey4baDDWL0MhTrkCTTt8bFvFFaPWbL+LvEBwvMqWhgCkc7mUd5pOrbrSVHSxR26qNaYzmSljnffWGiYA==" saltValue="W2sR8Bsw1czECk91kJK2hA==" spinCount="100000" sheet="1" objects="1" scenarios="1"/>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45" customWidth="1"/>
    <col min="2" max="2" width="10.90625" style="45"/>
    <col min="3" max="3" width="22.08984375" style="45" customWidth="1"/>
    <col min="4" max="6" width="10.90625" style="45"/>
    <col min="7" max="7" width="14.90625" style="45" customWidth="1"/>
    <col min="8" max="8" width="16.7265625" style="45" customWidth="1"/>
    <col min="9" max="9" width="22.26953125" style="45" customWidth="1"/>
    <col min="10" max="10" width="25" style="45" customWidth="1"/>
    <col min="11" max="11" width="26.90625" style="45" customWidth="1"/>
    <col min="12" max="15" width="10.90625" style="45"/>
    <col min="16" max="16" width="13.6328125" style="45" customWidth="1"/>
    <col min="17" max="16384" width="10.90625" style="45"/>
  </cols>
  <sheetData>
    <row r="1" spans="1:20" ht="44" thickBot="1" x14ac:dyDescent="0.4">
      <c r="A1" s="73" t="s">
        <v>9</v>
      </c>
      <c r="B1" s="73" t="s">
        <v>18</v>
      </c>
      <c r="C1" s="77" t="s">
        <v>56</v>
      </c>
      <c r="D1" s="78" t="s">
        <v>21</v>
      </c>
      <c r="E1" s="77" t="s">
        <v>90</v>
      </c>
      <c r="F1" s="77" t="s">
        <v>91</v>
      </c>
      <c r="G1" s="77" t="s">
        <v>110</v>
      </c>
      <c r="H1" s="77" t="s">
        <v>113</v>
      </c>
      <c r="I1" s="86" t="s">
        <v>126</v>
      </c>
      <c r="J1" s="181" t="s">
        <v>127</v>
      </c>
      <c r="K1" s="182"/>
      <c r="L1" s="10"/>
      <c r="M1" s="10"/>
      <c r="N1" s="77" t="s">
        <v>56</v>
      </c>
      <c r="O1" s="77" t="s">
        <v>154</v>
      </c>
      <c r="P1" s="78" t="s">
        <v>157</v>
      </c>
      <c r="Q1" s="183" t="s">
        <v>167</v>
      </c>
      <c r="R1" s="184"/>
      <c r="S1" s="185"/>
      <c r="T1" s="77" t="s">
        <v>219</v>
      </c>
    </row>
    <row r="2" spans="1:20" ht="87.5" thickBot="1" x14ac:dyDescent="0.4">
      <c r="A2" s="70" t="s">
        <v>160</v>
      </c>
      <c r="B2" s="75" t="s">
        <v>20</v>
      </c>
      <c r="C2" s="79" t="s">
        <v>22</v>
      </c>
      <c r="D2" s="82">
        <v>0.62</v>
      </c>
      <c r="E2" s="79" t="s">
        <v>92</v>
      </c>
      <c r="F2" s="82">
        <v>35</v>
      </c>
      <c r="G2" s="75" t="s">
        <v>19</v>
      </c>
      <c r="H2" s="75" t="s">
        <v>19</v>
      </c>
      <c r="I2" s="79" t="s">
        <v>128</v>
      </c>
      <c r="J2" s="87" t="s">
        <v>135</v>
      </c>
      <c r="K2" s="87" t="s">
        <v>181</v>
      </c>
      <c r="L2" s="90" t="s">
        <v>135</v>
      </c>
      <c r="M2" s="89" t="s">
        <v>181</v>
      </c>
      <c r="N2" s="75" t="s">
        <v>22</v>
      </c>
      <c r="O2" s="75" t="s">
        <v>155</v>
      </c>
      <c r="P2" s="74" t="s">
        <v>158</v>
      </c>
      <c r="Q2" s="77" t="s">
        <v>166</v>
      </c>
      <c r="R2" s="77" t="s">
        <v>168</v>
      </c>
      <c r="S2" s="109" t="s">
        <v>169</v>
      </c>
      <c r="T2" s="47" t="s">
        <v>220</v>
      </c>
    </row>
    <row r="3" spans="1:20" ht="102" thickBot="1" x14ac:dyDescent="0.4">
      <c r="A3" s="71" t="s">
        <v>161</v>
      </c>
      <c r="B3" s="76" t="s">
        <v>19</v>
      </c>
      <c r="C3" s="62" t="s">
        <v>78</v>
      </c>
      <c r="D3" s="83">
        <v>0.64</v>
      </c>
      <c r="E3" s="62" t="s">
        <v>93</v>
      </c>
      <c r="F3" s="83">
        <v>25</v>
      </c>
      <c r="G3" s="85" t="s">
        <v>106</v>
      </c>
      <c r="H3" s="76" t="s">
        <v>114</v>
      </c>
      <c r="I3" s="62" t="s">
        <v>129</v>
      </c>
      <c r="J3" s="47" t="s">
        <v>141</v>
      </c>
      <c r="K3" s="80" t="s">
        <v>143</v>
      </c>
      <c r="L3" s="10"/>
      <c r="M3" s="10"/>
      <c r="N3" s="85" t="s">
        <v>23</v>
      </c>
      <c r="O3" s="85" t="s">
        <v>27</v>
      </c>
      <c r="P3" s="76" t="s">
        <v>138</v>
      </c>
      <c r="Q3" s="75" t="s">
        <v>170</v>
      </c>
      <c r="R3" s="75" t="s">
        <v>179</v>
      </c>
      <c r="S3" s="75" t="s">
        <v>173</v>
      </c>
      <c r="T3" s="47" t="s">
        <v>221</v>
      </c>
    </row>
    <row r="4" spans="1:20" ht="87.5" thickBot="1" x14ac:dyDescent="0.4">
      <c r="A4" s="71" t="s">
        <v>162</v>
      </c>
      <c r="B4" s="10"/>
      <c r="C4" s="62" t="s">
        <v>23</v>
      </c>
      <c r="D4" s="83">
        <v>0.42</v>
      </c>
      <c r="E4" s="63" t="s">
        <v>94</v>
      </c>
      <c r="F4" s="84">
        <v>2</v>
      </c>
      <c r="G4" s="71" t="s">
        <v>108</v>
      </c>
      <c r="H4" s="10"/>
      <c r="I4" s="62" t="s">
        <v>130</v>
      </c>
      <c r="J4" s="47" t="s">
        <v>131</v>
      </c>
      <c r="K4" s="80" t="s">
        <v>131</v>
      </c>
      <c r="L4" s="10"/>
      <c r="M4" s="10"/>
      <c r="N4" s="85" t="s">
        <v>79</v>
      </c>
      <c r="O4" s="72" t="s">
        <v>156</v>
      </c>
      <c r="P4" s="10"/>
      <c r="Q4" s="85" t="s">
        <v>171</v>
      </c>
      <c r="R4" s="76" t="s">
        <v>172</v>
      </c>
      <c r="S4" s="71" t="s">
        <v>174</v>
      </c>
    </row>
    <row r="5" spans="1:20" ht="87.5" thickBot="1" x14ac:dyDescent="0.4">
      <c r="A5" s="72" t="s">
        <v>163</v>
      </c>
      <c r="B5" s="10"/>
      <c r="C5" s="62" t="s">
        <v>79</v>
      </c>
      <c r="D5" s="80">
        <v>0.42</v>
      </c>
      <c r="E5" s="10"/>
      <c r="F5" s="10"/>
      <c r="G5" s="72" t="s">
        <v>111</v>
      </c>
      <c r="H5" s="10"/>
      <c r="I5" s="164" t="s">
        <v>132</v>
      </c>
      <c r="J5" s="47"/>
      <c r="K5" s="80" t="s">
        <v>142</v>
      </c>
      <c r="L5" s="10"/>
      <c r="M5" s="10"/>
      <c r="N5" s="71" t="s">
        <v>25</v>
      </c>
      <c r="O5" s="10"/>
      <c r="P5" s="10"/>
      <c r="Q5" s="72" t="s">
        <v>178</v>
      </c>
      <c r="S5" s="71" t="s">
        <v>175</v>
      </c>
    </row>
    <row r="6" spans="1:20" ht="72.5" x14ac:dyDescent="0.35">
      <c r="A6" s="10"/>
      <c r="B6" s="10"/>
      <c r="C6" s="62" t="s">
        <v>80</v>
      </c>
      <c r="D6" s="80">
        <v>0.52</v>
      </c>
      <c r="E6" s="10"/>
      <c r="F6" s="10"/>
      <c r="G6" s="10"/>
      <c r="H6" s="10"/>
      <c r="I6" s="165"/>
      <c r="J6" s="47"/>
      <c r="K6" s="80" t="s">
        <v>136</v>
      </c>
      <c r="L6" s="10"/>
      <c r="M6" s="10"/>
      <c r="N6" s="71" t="s">
        <v>26</v>
      </c>
      <c r="O6" s="10"/>
      <c r="P6" s="10"/>
      <c r="S6" s="71" t="s">
        <v>176</v>
      </c>
    </row>
    <row r="7" spans="1:20" ht="101.5" x14ac:dyDescent="0.35">
      <c r="A7" s="10"/>
      <c r="B7" s="10"/>
      <c r="C7" s="62" t="s">
        <v>24</v>
      </c>
      <c r="D7" s="80">
        <v>0.36</v>
      </c>
      <c r="E7" s="10"/>
      <c r="F7" s="10"/>
      <c r="G7" s="10"/>
      <c r="H7" s="10"/>
      <c r="I7" s="165"/>
      <c r="J7" s="47"/>
      <c r="K7" s="80" t="s">
        <v>137</v>
      </c>
      <c r="L7" s="10"/>
      <c r="M7" s="10"/>
      <c r="N7" s="71" t="s">
        <v>27</v>
      </c>
      <c r="O7" s="10"/>
      <c r="P7" s="10"/>
      <c r="S7" s="92" t="s">
        <v>177</v>
      </c>
    </row>
    <row r="8" spans="1:20" ht="29.5" thickBot="1" x14ac:dyDescent="0.4">
      <c r="A8" s="10"/>
      <c r="B8" s="10"/>
      <c r="C8" s="62" t="s">
        <v>25</v>
      </c>
      <c r="D8" s="80">
        <v>0.61</v>
      </c>
      <c r="E8" s="10"/>
      <c r="F8" s="10"/>
      <c r="G8" s="10"/>
      <c r="H8" s="10"/>
      <c r="I8" s="167"/>
      <c r="J8" s="47"/>
      <c r="K8" s="80" t="s">
        <v>138</v>
      </c>
      <c r="L8" s="10"/>
      <c r="M8" s="10"/>
      <c r="N8" s="71" t="s">
        <v>28</v>
      </c>
      <c r="O8" s="10"/>
      <c r="P8" s="10"/>
      <c r="S8" s="72" t="s">
        <v>180</v>
      </c>
    </row>
    <row r="9" spans="1:20" ht="29.5" thickBot="1" x14ac:dyDescent="0.4">
      <c r="A9" s="10"/>
      <c r="B9" s="10"/>
      <c r="C9" s="62" t="s">
        <v>26</v>
      </c>
      <c r="D9" s="80">
        <v>0.66</v>
      </c>
      <c r="E9" s="10"/>
      <c r="F9" s="10"/>
      <c r="G9" s="10"/>
      <c r="H9" s="10"/>
      <c r="I9" s="63" t="s">
        <v>133</v>
      </c>
      <c r="J9" s="88" t="s">
        <v>140</v>
      </c>
      <c r="K9" s="81" t="s">
        <v>139</v>
      </c>
      <c r="L9" s="10"/>
      <c r="M9" s="10"/>
      <c r="N9" s="71" t="s">
        <v>29</v>
      </c>
      <c r="O9" s="10"/>
      <c r="P9" s="10"/>
    </row>
    <row r="10" spans="1:20" ht="29" x14ac:dyDescent="0.35">
      <c r="A10" s="10"/>
      <c r="B10" s="10"/>
      <c r="C10" s="62" t="s">
        <v>27</v>
      </c>
      <c r="D10" s="80">
        <v>0.47</v>
      </c>
      <c r="E10" s="10"/>
      <c r="F10" s="10"/>
      <c r="G10" s="10"/>
      <c r="H10" s="10"/>
      <c r="I10" s="10"/>
      <c r="J10" s="10"/>
      <c r="K10" s="10"/>
      <c r="L10" s="10"/>
      <c r="M10" s="10"/>
      <c r="N10" s="71" t="s">
        <v>30</v>
      </c>
      <c r="O10" s="10"/>
      <c r="P10" s="10"/>
    </row>
    <row r="11" spans="1:20" ht="29" x14ac:dyDescent="0.35">
      <c r="A11" s="10"/>
      <c r="B11" s="10"/>
      <c r="C11" s="62" t="s">
        <v>28</v>
      </c>
      <c r="D11" s="80">
        <v>0.67</v>
      </c>
      <c r="E11" s="10"/>
      <c r="F11" s="10"/>
      <c r="G11" s="10"/>
      <c r="H11" s="10"/>
      <c r="I11" s="10"/>
      <c r="J11" s="10"/>
      <c r="K11" s="10"/>
      <c r="L11" s="10"/>
      <c r="M11" s="10"/>
      <c r="N11" s="71" t="s">
        <v>31</v>
      </c>
      <c r="O11" s="10"/>
      <c r="P11" s="10"/>
    </row>
    <row r="12" spans="1:20" ht="43.5" x14ac:dyDescent="0.35">
      <c r="A12" s="10"/>
      <c r="B12" s="10"/>
      <c r="C12" s="62" t="s">
        <v>29</v>
      </c>
      <c r="D12" s="80">
        <v>0.7</v>
      </c>
      <c r="E12" s="10"/>
      <c r="F12" s="10"/>
      <c r="G12" s="10"/>
      <c r="H12" s="10"/>
      <c r="I12" s="10"/>
      <c r="J12" s="10"/>
      <c r="K12" s="10"/>
      <c r="L12" s="10"/>
      <c r="M12" s="10"/>
      <c r="N12" s="71" t="s">
        <v>32</v>
      </c>
      <c r="O12" s="10"/>
      <c r="P12" s="10"/>
    </row>
    <row r="13" spans="1:20" ht="29" x14ac:dyDescent="0.35">
      <c r="A13" s="10"/>
      <c r="B13" s="10"/>
      <c r="C13" s="62" t="s">
        <v>30</v>
      </c>
      <c r="D13" s="80">
        <v>0.54</v>
      </c>
      <c r="E13" s="10"/>
      <c r="F13" s="10"/>
      <c r="G13" s="10"/>
      <c r="H13" s="10"/>
      <c r="I13" s="10"/>
      <c r="J13" s="10"/>
      <c r="K13" s="10"/>
      <c r="L13" s="10"/>
      <c r="M13" s="10"/>
      <c r="N13" s="71" t="s">
        <v>33</v>
      </c>
      <c r="O13" s="10"/>
      <c r="P13" s="10"/>
    </row>
    <row r="14" spans="1:20" x14ac:dyDescent="0.35">
      <c r="A14" s="10"/>
      <c r="B14" s="10"/>
      <c r="C14" s="62" t="s">
        <v>31</v>
      </c>
      <c r="D14" s="80">
        <v>0.65</v>
      </c>
      <c r="E14" s="10"/>
      <c r="F14" s="10"/>
      <c r="G14" s="10"/>
      <c r="H14" s="10"/>
      <c r="I14" s="10"/>
      <c r="J14" s="10"/>
      <c r="K14" s="10"/>
      <c r="L14" s="10"/>
      <c r="M14" s="10"/>
      <c r="N14" s="71" t="s">
        <v>34</v>
      </c>
      <c r="O14" s="10"/>
      <c r="P14" s="10"/>
    </row>
    <row r="15" spans="1:20" ht="43.5" x14ac:dyDescent="0.35">
      <c r="A15" s="10"/>
      <c r="B15" s="10"/>
      <c r="C15" s="62" t="s">
        <v>81</v>
      </c>
      <c r="D15" s="80">
        <v>0.56000000000000005</v>
      </c>
      <c r="E15" s="10"/>
      <c r="F15" s="10"/>
      <c r="G15" s="10"/>
      <c r="H15" s="10"/>
      <c r="I15" s="10"/>
      <c r="J15" s="10"/>
      <c r="K15" s="10"/>
      <c r="L15" s="10"/>
      <c r="M15" s="10"/>
      <c r="N15" s="71" t="s">
        <v>35</v>
      </c>
      <c r="O15" s="10"/>
      <c r="P15" s="10"/>
    </row>
    <row r="16" spans="1:20" ht="29" x14ac:dyDescent="0.35">
      <c r="A16" s="10"/>
      <c r="B16" s="10"/>
      <c r="C16" s="62" t="s">
        <v>32</v>
      </c>
      <c r="D16" s="80">
        <v>0.57999999999999996</v>
      </c>
      <c r="E16" s="10"/>
      <c r="F16" s="10"/>
      <c r="G16" s="10"/>
      <c r="H16" s="10"/>
      <c r="I16" s="10"/>
      <c r="J16" s="10"/>
      <c r="K16" s="10"/>
      <c r="L16" s="10"/>
      <c r="M16" s="10"/>
      <c r="N16" s="71" t="s">
        <v>42</v>
      </c>
      <c r="O16" s="10"/>
      <c r="P16" s="10"/>
    </row>
    <row r="17" spans="1:16" ht="29" x14ac:dyDescent="0.35">
      <c r="A17" s="10"/>
      <c r="B17" s="10"/>
      <c r="C17" s="62" t="s">
        <v>33</v>
      </c>
      <c r="D17" s="80">
        <v>0.64</v>
      </c>
      <c r="E17" s="10"/>
      <c r="F17" s="10"/>
      <c r="G17" s="10"/>
      <c r="H17" s="10"/>
      <c r="I17" s="10"/>
      <c r="J17" s="10"/>
      <c r="K17" s="10"/>
      <c r="L17" s="10"/>
      <c r="M17" s="10"/>
      <c r="N17" s="71" t="s">
        <v>43</v>
      </c>
      <c r="O17" s="10"/>
      <c r="P17" s="10"/>
    </row>
    <row r="18" spans="1:16" x14ac:dyDescent="0.35">
      <c r="A18" s="10"/>
      <c r="B18" s="10"/>
      <c r="C18" s="62" t="s">
        <v>34</v>
      </c>
      <c r="D18" s="80">
        <v>0.73</v>
      </c>
      <c r="E18" s="10"/>
      <c r="F18" s="10"/>
      <c r="G18" s="10"/>
      <c r="H18" s="10"/>
      <c r="I18" s="10"/>
      <c r="J18" s="10"/>
      <c r="K18" s="10"/>
      <c r="L18" s="10"/>
      <c r="M18" s="10"/>
      <c r="N18" s="71" t="s">
        <v>45</v>
      </c>
      <c r="O18" s="10"/>
      <c r="P18" s="10"/>
    </row>
    <row r="19" spans="1:16" x14ac:dyDescent="0.35">
      <c r="A19" s="10"/>
      <c r="B19" s="10"/>
      <c r="C19" s="62" t="s">
        <v>35</v>
      </c>
      <c r="D19" s="80">
        <v>0.56000000000000005</v>
      </c>
      <c r="E19" s="10"/>
      <c r="F19" s="10"/>
      <c r="G19" s="10"/>
      <c r="H19" s="10"/>
      <c r="I19" s="10"/>
      <c r="J19" s="10"/>
      <c r="K19" s="10"/>
      <c r="L19" s="10"/>
      <c r="M19" s="10"/>
      <c r="N19" s="71" t="s">
        <v>83</v>
      </c>
      <c r="O19" s="10"/>
      <c r="P19" s="10"/>
    </row>
    <row r="20" spans="1:16" x14ac:dyDescent="0.35">
      <c r="A20" s="10"/>
      <c r="B20" s="10"/>
      <c r="C20" s="62" t="s">
        <v>36</v>
      </c>
      <c r="D20" s="80">
        <v>0.74</v>
      </c>
      <c r="E20" s="10"/>
      <c r="F20" s="10"/>
      <c r="G20" s="10"/>
      <c r="H20" s="10"/>
      <c r="I20" s="10"/>
      <c r="J20" s="10"/>
      <c r="K20" s="10"/>
      <c r="L20" s="10"/>
      <c r="M20" s="10"/>
      <c r="N20" s="71" t="s">
        <v>86</v>
      </c>
      <c r="O20" s="10"/>
      <c r="P20" s="10"/>
    </row>
    <row r="21" spans="1:16" x14ac:dyDescent="0.35">
      <c r="A21" s="10"/>
      <c r="B21" s="10"/>
      <c r="C21" s="62" t="s">
        <v>37</v>
      </c>
      <c r="D21" s="80">
        <v>0.4</v>
      </c>
      <c r="E21" s="10"/>
      <c r="F21" s="10"/>
      <c r="G21" s="10"/>
      <c r="H21" s="10"/>
      <c r="I21" s="10"/>
      <c r="J21" s="10"/>
      <c r="K21" s="10"/>
      <c r="L21" s="10"/>
      <c r="M21" s="10"/>
      <c r="N21" s="71" t="s">
        <v>53</v>
      </c>
      <c r="O21" s="10"/>
      <c r="P21" s="10"/>
    </row>
    <row r="22" spans="1:16" x14ac:dyDescent="0.35">
      <c r="A22" s="10"/>
      <c r="B22" s="10"/>
      <c r="C22" s="62" t="s">
        <v>38</v>
      </c>
      <c r="D22" s="80">
        <v>0.6</v>
      </c>
      <c r="E22" s="10"/>
      <c r="F22" s="10"/>
      <c r="G22" s="10"/>
      <c r="H22" s="10"/>
      <c r="I22" s="10"/>
      <c r="J22" s="10"/>
      <c r="K22" s="10"/>
      <c r="L22" s="10"/>
      <c r="M22" s="10"/>
      <c r="N22" s="71" t="s">
        <v>66</v>
      </c>
      <c r="O22" s="10"/>
      <c r="P22" s="10"/>
    </row>
    <row r="23" spans="1:16" ht="29" x14ac:dyDescent="0.35">
      <c r="A23" s="10"/>
      <c r="B23" s="10"/>
      <c r="C23" s="62" t="s">
        <v>39</v>
      </c>
      <c r="D23" s="80">
        <v>0.43</v>
      </c>
      <c r="E23" s="10"/>
      <c r="F23" s="10"/>
      <c r="G23" s="10"/>
      <c r="H23" s="10"/>
      <c r="I23" s="10"/>
      <c r="J23" s="10"/>
      <c r="K23" s="10"/>
      <c r="L23" s="10"/>
      <c r="M23" s="10"/>
      <c r="N23" s="71" t="s">
        <v>87</v>
      </c>
      <c r="O23" s="10"/>
      <c r="P23" s="10"/>
    </row>
    <row r="24" spans="1:16" x14ac:dyDescent="0.35">
      <c r="A24" s="10"/>
      <c r="B24" s="10"/>
      <c r="C24" s="62" t="s">
        <v>40</v>
      </c>
      <c r="D24" s="80">
        <v>0.37</v>
      </c>
      <c r="E24" s="10"/>
      <c r="F24" s="10"/>
      <c r="G24" s="10"/>
      <c r="H24" s="10"/>
      <c r="I24" s="10"/>
      <c r="J24" s="10"/>
      <c r="K24" s="10"/>
      <c r="L24" s="10"/>
      <c r="M24" s="10"/>
      <c r="N24" s="71" t="s">
        <v>73</v>
      </c>
      <c r="O24" s="10"/>
      <c r="P24" s="10"/>
    </row>
    <row r="25" spans="1:16" ht="29.5" thickBot="1" x14ac:dyDescent="0.4">
      <c r="A25" s="10"/>
      <c r="B25" s="10"/>
      <c r="C25" s="62" t="s">
        <v>41</v>
      </c>
      <c r="D25" s="80">
        <v>0.36</v>
      </c>
      <c r="E25" s="10"/>
      <c r="F25" s="10"/>
      <c r="G25" s="10"/>
      <c r="H25" s="10"/>
      <c r="I25" s="10"/>
      <c r="J25" s="10"/>
      <c r="K25" s="10"/>
      <c r="L25" s="10"/>
      <c r="M25" s="10"/>
      <c r="N25" s="72" t="s">
        <v>76</v>
      </c>
      <c r="O25" s="10"/>
      <c r="P25" s="10"/>
    </row>
    <row r="26" spans="1:16" x14ac:dyDescent="0.35">
      <c r="A26" s="10"/>
      <c r="B26" s="10"/>
      <c r="C26" s="62" t="s">
        <v>42</v>
      </c>
      <c r="D26" s="80">
        <v>0.51</v>
      </c>
      <c r="E26" s="10"/>
      <c r="F26" s="10"/>
      <c r="G26" s="10"/>
      <c r="H26" s="10"/>
      <c r="I26" s="10"/>
      <c r="J26" s="10"/>
      <c r="K26" s="10"/>
      <c r="L26" s="10"/>
      <c r="M26" s="10"/>
      <c r="N26" s="10"/>
      <c r="O26" s="10"/>
      <c r="P26" s="10"/>
    </row>
    <row r="27" spans="1:16" x14ac:dyDescent="0.35">
      <c r="A27" s="10"/>
      <c r="B27" s="10"/>
      <c r="C27" s="62" t="s">
        <v>43</v>
      </c>
      <c r="D27" s="80">
        <v>0.56000000000000005</v>
      </c>
      <c r="E27" s="10"/>
      <c r="F27" s="10"/>
      <c r="G27" s="10"/>
      <c r="H27" s="10"/>
      <c r="I27" s="10"/>
      <c r="J27" s="10"/>
      <c r="K27" s="10"/>
      <c r="L27" s="10"/>
      <c r="M27" s="10"/>
      <c r="N27" s="10"/>
      <c r="O27" s="10"/>
      <c r="P27" s="10"/>
    </row>
    <row r="28" spans="1:16" x14ac:dyDescent="0.35">
      <c r="A28" s="10"/>
      <c r="B28" s="10"/>
      <c r="C28" s="62" t="s">
        <v>44</v>
      </c>
      <c r="D28" s="80">
        <v>0.56000000000000005</v>
      </c>
      <c r="E28" s="10"/>
      <c r="F28" s="10"/>
      <c r="G28" s="10"/>
      <c r="H28" s="10"/>
      <c r="I28" s="10"/>
      <c r="J28" s="10"/>
      <c r="K28" s="10"/>
      <c r="L28" s="10"/>
      <c r="M28" s="10"/>
      <c r="N28" s="10"/>
      <c r="O28" s="10"/>
      <c r="P28" s="10"/>
    </row>
    <row r="29" spans="1:16" x14ac:dyDescent="0.35">
      <c r="A29" s="10"/>
      <c r="B29" s="10"/>
      <c r="C29" s="62" t="s">
        <v>82</v>
      </c>
      <c r="D29" s="80">
        <v>0.48</v>
      </c>
      <c r="E29" s="10"/>
      <c r="F29" s="10"/>
      <c r="G29" s="10"/>
      <c r="H29" s="10"/>
      <c r="I29" s="10"/>
      <c r="J29" s="10"/>
      <c r="K29" s="10"/>
      <c r="L29" s="10"/>
      <c r="M29" s="10"/>
      <c r="N29" s="10"/>
      <c r="O29" s="10"/>
      <c r="P29" s="10"/>
    </row>
    <row r="30" spans="1:16" x14ac:dyDescent="0.35">
      <c r="A30" s="10"/>
      <c r="B30" s="10"/>
      <c r="C30" s="62" t="s">
        <v>45</v>
      </c>
      <c r="D30" s="80">
        <v>0.55000000000000004</v>
      </c>
      <c r="E30" s="10"/>
      <c r="F30" s="10"/>
      <c r="G30" s="10"/>
      <c r="H30" s="10"/>
      <c r="I30" s="10"/>
      <c r="J30" s="10"/>
      <c r="K30" s="10"/>
      <c r="L30" s="10"/>
      <c r="M30" s="10"/>
      <c r="N30" s="10"/>
      <c r="O30" s="10"/>
      <c r="P30" s="10"/>
    </row>
    <row r="31" spans="1:16" x14ac:dyDescent="0.35">
      <c r="A31" s="10"/>
      <c r="B31" s="10"/>
      <c r="C31" s="62" t="s">
        <v>83</v>
      </c>
      <c r="D31" s="80">
        <v>0.56000000000000005</v>
      </c>
      <c r="E31" s="10"/>
      <c r="F31" s="10"/>
      <c r="G31" s="10"/>
      <c r="H31" s="10"/>
      <c r="I31" s="10"/>
      <c r="J31" s="10"/>
      <c r="K31" s="10"/>
      <c r="L31" s="10"/>
      <c r="M31" s="10"/>
      <c r="N31" s="10"/>
      <c r="O31" s="10"/>
      <c r="P31" s="10"/>
    </row>
    <row r="32" spans="1:16" x14ac:dyDescent="0.35">
      <c r="A32" s="10"/>
      <c r="B32" s="10"/>
      <c r="C32" s="62" t="s">
        <v>46</v>
      </c>
      <c r="D32" s="80">
        <v>0.57999999999999996</v>
      </c>
      <c r="E32" s="10"/>
      <c r="F32" s="10"/>
      <c r="G32" s="10"/>
      <c r="H32" s="10"/>
      <c r="I32" s="10"/>
      <c r="J32" s="10"/>
      <c r="K32" s="10"/>
      <c r="L32" s="10"/>
      <c r="M32" s="10"/>
      <c r="N32" s="10"/>
      <c r="O32" s="10"/>
      <c r="P32" s="10"/>
    </row>
    <row r="33" spans="1:16" x14ac:dyDescent="0.35">
      <c r="A33" s="10"/>
      <c r="B33" s="10"/>
      <c r="C33" s="62" t="s">
        <v>47</v>
      </c>
      <c r="D33" s="80">
        <v>0.57999999999999996</v>
      </c>
      <c r="E33" s="10"/>
      <c r="F33" s="10"/>
      <c r="G33" s="10"/>
      <c r="H33" s="10"/>
      <c r="I33" s="10"/>
      <c r="J33" s="10"/>
      <c r="K33" s="10"/>
      <c r="L33" s="10"/>
      <c r="M33" s="10"/>
      <c r="N33" s="10"/>
      <c r="O33" s="10"/>
      <c r="P33" s="10"/>
    </row>
    <row r="34" spans="1:16" x14ac:dyDescent="0.35">
      <c r="A34" s="10"/>
      <c r="B34" s="10"/>
      <c r="C34" s="62" t="s">
        <v>48</v>
      </c>
      <c r="D34" s="80">
        <v>0.48</v>
      </c>
      <c r="E34" s="10"/>
      <c r="F34" s="10"/>
      <c r="G34" s="10"/>
      <c r="H34" s="10"/>
      <c r="I34" s="10"/>
      <c r="J34" s="10"/>
      <c r="K34" s="10"/>
      <c r="L34" s="10"/>
      <c r="M34" s="10"/>
      <c r="N34" s="10"/>
      <c r="O34" s="10"/>
      <c r="P34" s="10"/>
    </row>
    <row r="35" spans="1:16" x14ac:dyDescent="0.35">
      <c r="A35" s="10"/>
      <c r="B35" s="10"/>
      <c r="C35" s="62" t="s">
        <v>49</v>
      </c>
      <c r="D35" s="80">
        <v>0.42</v>
      </c>
      <c r="E35" s="10"/>
      <c r="F35" s="10"/>
      <c r="G35" s="10"/>
      <c r="H35" s="10"/>
      <c r="I35" s="10"/>
      <c r="J35" s="10"/>
      <c r="K35" s="10"/>
      <c r="L35" s="10"/>
      <c r="M35" s="10"/>
      <c r="N35" s="10"/>
      <c r="O35" s="10"/>
      <c r="P35" s="10"/>
    </row>
    <row r="36" spans="1:16" x14ac:dyDescent="0.35">
      <c r="A36" s="10"/>
      <c r="B36" s="10"/>
      <c r="C36" s="62" t="s">
        <v>84</v>
      </c>
      <c r="D36" s="80">
        <v>0.5</v>
      </c>
      <c r="E36" s="10"/>
      <c r="F36" s="10"/>
      <c r="G36" s="10"/>
      <c r="H36" s="10"/>
      <c r="I36" s="10"/>
      <c r="J36" s="10"/>
      <c r="K36" s="10"/>
      <c r="L36" s="10"/>
      <c r="M36" s="10"/>
      <c r="N36" s="10"/>
      <c r="O36" s="10"/>
      <c r="P36" s="10"/>
    </row>
    <row r="37" spans="1:16" x14ac:dyDescent="0.35">
      <c r="A37" s="10"/>
      <c r="B37" s="10"/>
      <c r="C37" s="62" t="s">
        <v>50</v>
      </c>
      <c r="D37" s="80">
        <v>0.55000000000000004</v>
      </c>
      <c r="E37" s="10"/>
      <c r="F37" s="10"/>
      <c r="G37" s="10"/>
      <c r="H37" s="10"/>
      <c r="I37" s="10"/>
      <c r="J37" s="10"/>
      <c r="K37" s="10"/>
      <c r="L37" s="10"/>
      <c r="M37" s="10"/>
      <c r="N37" s="10"/>
      <c r="O37" s="10"/>
      <c r="P37" s="10"/>
    </row>
    <row r="38" spans="1:16" x14ac:dyDescent="0.35">
      <c r="A38" s="10"/>
      <c r="B38" s="10"/>
      <c r="C38" s="62" t="s">
        <v>85</v>
      </c>
      <c r="D38" s="80">
        <v>0.53</v>
      </c>
      <c r="E38" s="10"/>
      <c r="F38" s="10"/>
      <c r="G38" s="10"/>
      <c r="H38" s="10"/>
      <c r="I38" s="10"/>
      <c r="J38" s="10"/>
      <c r="K38" s="10"/>
      <c r="L38" s="10"/>
      <c r="M38" s="10"/>
      <c r="N38" s="10"/>
      <c r="O38" s="10"/>
      <c r="P38" s="10"/>
    </row>
    <row r="39" spans="1:16" x14ac:dyDescent="0.35">
      <c r="A39" s="10"/>
      <c r="B39" s="10"/>
      <c r="C39" s="62" t="s">
        <v>86</v>
      </c>
      <c r="D39" s="80">
        <v>0.52</v>
      </c>
      <c r="E39" s="10"/>
      <c r="F39" s="10"/>
      <c r="G39" s="10"/>
      <c r="H39" s="10"/>
      <c r="I39" s="10"/>
      <c r="J39" s="10"/>
      <c r="K39" s="10"/>
      <c r="L39" s="10"/>
      <c r="M39" s="10"/>
      <c r="N39" s="10"/>
      <c r="O39" s="10"/>
      <c r="P39" s="10"/>
    </row>
    <row r="40" spans="1:16" x14ac:dyDescent="0.35">
      <c r="A40" s="10"/>
      <c r="B40" s="10"/>
      <c r="C40" s="62" t="s">
        <v>51</v>
      </c>
      <c r="D40" s="80">
        <v>0.52</v>
      </c>
      <c r="E40" s="10"/>
      <c r="F40" s="10"/>
      <c r="G40" s="10"/>
      <c r="H40" s="10"/>
      <c r="I40" s="10"/>
      <c r="J40" s="10"/>
      <c r="K40" s="10"/>
      <c r="L40" s="10"/>
      <c r="M40" s="10"/>
      <c r="N40" s="10"/>
      <c r="O40" s="10"/>
      <c r="P40" s="10"/>
    </row>
    <row r="41" spans="1:16" x14ac:dyDescent="0.35">
      <c r="A41" s="10"/>
      <c r="B41" s="10"/>
      <c r="C41" s="62" t="s">
        <v>52</v>
      </c>
      <c r="D41" s="80">
        <v>0.75</v>
      </c>
      <c r="E41" s="10"/>
      <c r="F41" s="10"/>
      <c r="G41" s="10"/>
      <c r="H41" s="10"/>
      <c r="I41" s="10"/>
      <c r="J41" s="10"/>
      <c r="K41" s="10"/>
      <c r="L41" s="10"/>
      <c r="M41" s="10"/>
      <c r="N41" s="10"/>
      <c r="O41" s="10"/>
      <c r="P41" s="10"/>
    </row>
    <row r="42" spans="1:16" x14ac:dyDescent="0.35">
      <c r="A42" s="10"/>
      <c r="B42" s="10"/>
      <c r="C42" s="62" t="s">
        <v>53</v>
      </c>
      <c r="D42" s="80">
        <v>0.52</v>
      </c>
      <c r="E42" s="10"/>
      <c r="F42" s="10"/>
      <c r="G42" s="10"/>
      <c r="H42" s="10"/>
      <c r="I42" s="10"/>
      <c r="J42" s="10"/>
      <c r="K42" s="10"/>
      <c r="L42" s="10"/>
      <c r="M42" s="10"/>
      <c r="N42" s="10"/>
      <c r="O42" s="10"/>
      <c r="P42" s="10"/>
    </row>
    <row r="43" spans="1:16" x14ac:dyDescent="0.35">
      <c r="A43" s="10"/>
      <c r="B43" s="10"/>
      <c r="C43" s="62" t="s">
        <v>54</v>
      </c>
      <c r="D43" s="80">
        <v>0.35</v>
      </c>
      <c r="E43" s="10"/>
      <c r="F43" s="10"/>
      <c r="G43" s="10"/>
      <c r="H43" s="10"/>
      <c r="I43" s="10"/>
      <c r="J43" s="10"/>
      <c r="K43" s="10"/>
      <c r="L43" s="10"/>
      <c r="M43" s="10"/>
      <c r="N43" s="10"/>
      <c r="O43" s="10"/>
      <c r="P43" s="10"/>
    </row>
    <row r="44" spans="1:16" x14ac:dyDescent="0.35">
      <c r="A44" s="10"/>
      <c r="B44" s="10"/>
      <c r="C44" s="62" t="s">
        <v>55</v>
      </c>
      <c r="D44" s="80">
        <v>0.37</v>
      </c>
      <c r="E44" s="10"/>
      <c r="F44" s="10"/>
      <c r="G44" s="10"/>
      <c r="H44" s="10"/>
      <c r="I44" s="10"/>
      <c r="J44" s="10"/>
      <c r="K44" s="10"/>
      <c r="L44" s="10"/>
      <c r="M44" s="10"/>
      <c r="N44" s="10"/>
      <c r="O44" s="10"/>
      <c r="P44" s="10"/>
    </row>
    <row r="45" spans="1:16" x14ac:dyDescent="0.35">
      <c r="A45" s="10"/>
      <c r="B45" s="10"/>
      <c r="C45" s="62" t="s">
        <v>57</v>
      </c>
      <c r="D45" s="80">
        <v>0.45</v>
      </c>
      <c r="E45" s="10"/>
      <c r="F45" s="10"/>
      <c r="G45" s="10"/>
      <c r="H45" s="10"/>
      <c r="I45" s="10"/>
      <c r="J45" s="10"/>
      <c r="K45" s="10"/>
      <c r="L45" s="10"/>
      <c r="M45" s="10"/>
      <c r="N45" s="10"/>
      <c r="O45" s="10"/>
      <c r="P45" s="10"/>
    </row>
    <row r="46" spans="1:16" x14ac:dyDescent="0.35">
      <c r="A46" s="10"/>
      <c r="B46" s="10"/>
      <c r="C46" s="62" t="s">
        <v>58</v>
      </c>
      <c r="D46" s="80">
        <v>0.39</v>
      </c>
      <c r="E46" s="10"/>
      <c r="F46" s="10"/>
      <c r="G46" s="10"/>
      <c r="H46" s="10"/>
      <c r="I46" s="10"/>
      <c r="J46" s="10"/>
      <c r="K46" s="10"/>
      <c r="L46" s="10"/>
      <c r="M46" s="10"/>
      <c r="N46" s="10"/>
      <c r="O46" s="10"/>
      <c r="P46" s="10"/>
    </row>
    <row r="47" spans="1:16" x14ac:dyDescent="0.35">
      <c r="A47" s="10"/>
      <c r="B47" s="10"/>
      <c r="C47" s="62" t="s">
        <v>59</v>
      </c>
      <c r="D47" s="80">
        <v>0.44</v>
      </c>
      <c r="E47" s="10"/>
      <c r="F47" s="10"/>
      <c r="G47" s="10"/>
      <c r="H47" s="10"/>
      <c r="I47" s="10"/>
      <c r="J47" s="10"/>
      <c r="K47" s="10"/>
      <c r="L47" s="10"/>
      <c r="M47" s="10"/>
      <c r="N47" s="10"/>
      <c r="O47" s="10"/>
      <c r="P47" s="10"/>
    </row>
    <row r="48" spans="1:16" x14ac:dyDescent="0.35">
      <c r="A48" s="10"/>
      <c r="B48" s="10"/>
      <c r="C48" s="62" t="s">
        <v>60</v>
      </c>
      <c r="D48" s="80">
        <v>0.46</v>
      </c>
      <c r="E48" s="10"/>
      <c r="F48" s="10"/>
      <c r="G48" s="10"/>
      <c r="H48" s="10"/>
      <c r="I48" s="10"/>
      <c r="J48" s="10"/>
      <c r="K48" s="10"/>
      <c r="L48" s="10"/>
      <c r="M48" s="10"/>
      <c r="N48" s="10"/>
      <c r="O48" s="10"/>
      <c r="P48" s="10"/>
    </row>
    <row r="49" spans="1:16" x14ac:dyDescent="0.35">
      <c r="A49" s="10"/>
      <c r="B49" s="10"/>
      <c r="C49" s="62" t="s">
        <v>61</v>
      </c>
      <c r="D49" s="80">
        <v>0.46</v>
      </c>
      <c r="E49" s="10"/>
      <c r="F49" s="10"/>
      <c r="G49" s="10"/>
      <c r="H49" s="10"/>
      <c r="I49" s="10"/>
      <c r="J49" s="10"/>
      <c r="K49" s="10"/>
      <c r="L49" s="10"/>
      <c r="M49" s="10"/>
      <c r="N49" s="10"/>
      <c r="O49" s="10"/>
      <c r="P49" s="10"/>
    </row>
    <row r="50" spans="1:16" x14ac:dyDescent="0.35">
      <c r="A50" s="10"/>
      <c r="B50" s="10"/>
      <c r="C50" s="62" t="s">
        <v>62</v>
      </c>
      <c r="D50" s="80">
        <v>0.44</v>
      </c>
      <c r="E50" s="10"/>
      <c r="F50" s="10"/>
      <c r="G50" s="10"/>
      <c r="H50" s="10"/>
      <c r="I50" s="10"/>
      <c r="J50" s="10"/>
      <c r="K50" s="10"/>
      <c r="L50" s="10"/>
      <c r="M50" s="10"/>
      <c r="N50" s="10"/>
      <c r="O50" s="10"/>
      <c r="P50" s="10"/>
    </row>
    <row r="51" spans="1:16" x14ac:dyDescent="0.35">
      <c r="A51" s="10"/>
      <c r="B51" s="10"/>
      <c r="C51" s="62" t="s">
        <v>63</v>
      </c>
      <c r="D51" s="80">
        <v>0.46</v>
      </c>
      <c r="E51" s="10"/>
      <c r="F51" s="10"/>
      <c r="G51" s="10"/>
      <c r="H51" s="10"/>
      <c r="I51" s="10"/>
      <c r="J51" s="10"/>
      <c r="K51" s="10"/>
      <c r="L51" s="10"/>
      <c r="M51" s="10"/>
      <c r="N51" s="10"/>
      <c r="O51" s="10"/>
      <c r="P51" s="10"/>
    </row>
    <row r="52" spans="1:16" x14ac:dyDescent="0.35">
      <c r="A52" s="10"/>
      <c r="B52" s="10"/>
      <c r="C52" s="62" t="s">
        <v>77</v>
      </c>
      <c r="D52" s="80">
        <v>0.48</v>
      </c>
      <c r="E52" s="10"/>
      <c r="F52" s="10"/>
      <c r="G52" s="10"/>
      <c r="H52" s="10"/>
      <c r="I52" s="10"/>
      <c r="J52" s="10"/>
      <c r="K52" s="10"/>
      <c r="L52" s="10"/>
      <c r="M52" s="10"/>
      <c r="N52" s="10"/>
      <c r="O52" s="10"/>
      <c r="P52" s="10"/>
    </row>
    <row r="53" spans="1:16" x14ac:dyDescent="0.35">
      <c r="A53" s="10"/>
      <c r="B53" s="10"/>
      <c r="C53" s="62" t="s">
        <v>64</v>
      </c>
      <c r="D53" s="80">
        <v>0.44</v>
      </c>
      <c r="E53" s="10"/>
      <c r="F53" s="10"/>
      <c r="G53" s="10"/>
      <c r="H53" s="10"/>
      <c r="I53" s="10"/>
      <c r="J53" s="10"/>
      <c r="K53" s="10"/>
      <c r="L53" s="10"/>
      <c r="M53" s="10"/>
      <c r="N53" s="10"/>
      <c r="O53" s="10"/>
      <c r="P53" s="10"/>
    </row>
    <row r="54" spans="1:16" x14ac:dyDescent="0.35">
      <c r="A54" s="10"/>
      <c r="B54" s="10"/>
      <c r="C54" s="62" t="s">
        <v>65</v>
      </c>
      <c r="D54" s="80">
        <v>0.34</v>
      </c>
      <c r="E54" s="10"/>
      <c r="F54" s="10"/>
      <c r="G54" s="10"/>
      <c r="H54" s="10"/>
      <c r="I54" s="10"/>
      <c r="J54" s="10"/>
      <c r="K54" s="10"/>
      <c r="L54" s="10"/>
      <c r="M54" s="10"/>
      <c r="N54" s="10"/>
      <c r="O54" s="10"/>
      <c r="P54" s="10"/>
    </row>
    <row r="55" spans="1:16" x14ac:dyDescent="0.35">
      <c r="A55" s="10"/>
      <c r="B55" s="10"/>
      <c r="C55" s="62" t="s">
        <v>66</v>
      </c>
      <c r="D55" s="80">
        <v>0.5</v>
      </c>
      <c r="E55" s="10"/>
      <c r="F55" s="10"/>
      <c r="G55" s="10"/>
      <c r="H55" s="10"/>
      <c r="I55" s="10"/>
      <c r="J55" s="10"/>
      <c r="K55" s="10"/>
      <c r="L55" s="10"/>
      <c r="M55" s="10"/>
      <c r="N55" s="10"/>
      <c r="O55" s="10"/>
      <c r="P55" s="10"/>
    </row>
    <row r="56" spans="1:16" x14ac:dyDescent="0.35">
      <c r="A56" s="10"/>
      <c r="B56" s="10"/>
      <c r="C56" s="62" t="s">
        <v>87</v>
      </c>
      <c r="D56" s="80">
        <v>0.57999999999999996</v>
      </c>
      <c r="E56" s="10"/>
      <c r="F56" s="10"/>
      <c r="G56" s="10"/>
      <c r="H56" s="10"/>
      <c r="I56" s="10"/>
      <c r="J56" s="10"/>
      <c r="K56" s="10"/>
      <c r="L56" s="10"/>
      <c r="M56" s="10"/>
      <c r="N56" s="10"/>
      <c r="O56" s="10"/>
      <c r="P56" s="10"/>
    </row>
    <row r="57" spans="1:16" x14ac:dyDescent="0.35">
      <c r="A57" s="10"/>
      <c r="B57" s="10"/>
      <c r="C57" s="62" t="s">
        <v>67</v>
      </c>
      <c r="D57" s="80">
        <v>0.37</v>
      </c>
      <c r="E57" s="10"/>
      <c r="F57" s="10"/>
      <c r="G57" s="10"/>
      <c r="H57" s="10"/>
      <c r="I57" s="10"/>
      <c r="J57" s="10"/>
      <c r="K57" s="10"/>
      <c r="L57" s="10"/>
      <c r="M57" s="10"/>
      <c r="N57" s="10"/>
      <c r="O57" s="10"/>
      <c r="P57" s="10"/>
    </row>
    <row r="58" spans="1:16" x14ac:dyDescent="0.35">
      <c r="A58" s="10"/>
      <c r="B58" s="10"/>
      <c r="C58" s="62" t="s">
        <v>68</v>
      </c>
      <c r="D58" s="80">
        <v>0.37</v>
      </c>
      <c r="E58" s="10"/>
      <c r="F58" s="10"/>
      <c r="G58" s="10"/>
      <c r="H58" s="10"/>
      <c r="I58" s="10"/>
      <c r="J58" s="10"/>
      <c r="K58" s="10"/>
      <c r="L58" s="10"/>
      <c r="M58" s="10"/>
      <c r="N58" s="10"/>
      <c r="O58" s="10"/>
      <c r="P58" s="10"/>
    </row>
    <row r="59" spans="1:16" x14ac:dyDescent="0.35">
      <c r="A59" s="10"/>
      <c r="B59" s="10"/>
      <c r="C59" s="62" t="s">
        <v>69</v>
      </c>
      <c r="D59" s="80">
        <v>0.38</v>
      </c>
      <c r="E59" s="10"/>
      <c r="F59" s="10"/>
      <c r="G59" s="10"/>
      <c r="H59" s="10"/>
      <c r="I59" s="10"/>
      <c r="J59" s="10"/>
      <c r="K59" s="10"/>
      <c r="L59" s="10"/>
      <c r="M59" s="10"/>
      <c r="N59" s="10"/>
      <c r="O59" s="10"/>
      <c r="P59" s="10"/>
    </row>
    <row r="60" spans="1:16" x14ac:dyDescent="0.35">
      <c r="A60" s="10"/>
      <c r="B60" s="10"/>
      <c r="C60" s="62" t="s">
        <v>70</v>
      </c>
      <c r="D60" s="80">
        <v>0.36</v>
      </c>
      <c r="E60" s="10"/>
      <c r="F60" s="10"/>
      <c r="G60" s="10"/>
      <c r="H60" s="10"/>
      <c r="I60" s="10"/>
      <c r="J60" s="10"/>
      <c r="K60" s="10"/>
      <c r="L60" s="10"/>
      <c r="M60" s="10"/>
      <c r="N60" s="10"/>
      <c r="O60" s="10"/>
      <c r="P60" s="10"/>
    </row>
    <row r="61" spans="1:16" x14ac:dyDescent="0.35">
      <c r="A61" s="10"/>
      <c r="B61" s="10"/>
      <c r="C61" s="62" t="s">
        <v>71</v>
      </c>
      <c r="D61" s="80">
        <v>0.37</v>
      </c>
      <c r="E61" s="10"/>
      <c r="F61" s="10"/>
      <c r="G61" s="10"/>
      <c r="H61" s="10"/>
      <c r="I61" s="10"/>
      <c r="J61" s="10"/>
      <c r="K61" s="10"/>
      <c r="L61" s="10"/>
      <c r="M61" s="10"/>
      <c r="N61" s="10"/>
      <c r="O61" s="10"/>
      <c r="P61" s="10"/>
    </row>
    <row r="62" spans="1:16" x14ac:dyDescent="0.35">
      <c r="A62" s="10"/>
      <c r="B62" s="10"/>
      <c r="C62" s="62" t="s">
        <v>72</v>
      </c>
      <c r="D62" s="80">
        <v>0.53</v>
      </c>
      <c r="E62" s="10"/>
      <c r="F62" s="10"/>
      <c r="G62" s="10"/>
      <c r="H62" s="10"/>
      <c r="I62" s="10"/>
      <c r="J62" s="10"/>
      <c r="K62" s="10"/>
      <c r="L62" s="10"/>
      <c r="M62" s="10"/>
      <c r="N62" s="10"/>
      <c r="O62" s="10"/>
      <c r="P62" s="10"/>
    </row>
    <row r="63" spans="1:16" x14ac:dyDescent="0.35">
      <c r="A63" s="10"/>
      <c r="B63" s="10"/>
      <c r="C63" s="62" t="s">
        <v>73</v>
      </c>
      <c r="D63" s="80">
        <v>0.43</v>
      </c>
      <c r="E63" s="10"/>
      <c r="F63" s="10"/>
      <c r="G63" s="10"/>
      <c r="H63" s="10"/>
      <c r="I63" s="10"/>
      <c r="J63" s="10"/>
      <c r="K63" s="10"/>
      <c r="L63" s="10"/>
      <c r="M63" s="10"/>
      <c r="N63" s="10"/>
      <c r="O63" s="10"/>
      <c r="P63" s="10"/>
    </row>
    <row r="64" spans="1:16" x14ac:dyDescent="0.35">
      <c r="A64" s="10"/>
      <c r="B64" s="10"/>
      <c r="C64" s="62" t="s">
        <v>74</v>
      </c>
      <c r="D64" s="80">
        <v>0.38</v>
      </c>
      <c r="E64" s="10"/>
      <c r="F64" s="10"/>
      <c r="G64" s="10"/>
      <c r="H64" s="10"/>
      <c r="I64" s="10"/>
      <c r="J64" s="10"/>
      <c r="K64" s="10"/>
      <c r="L64" s="10"/>
      <c r="M64" s="10"/>
      <c r="N64" s="10"/>
      <c r="O64" s="10"/>
      <c r="P64" s="10"/>
    </row>
    <row r="65" spans="1:16" x14ac:dyDescent="0.35">
      <c r="A65" s="10"/>
      <c r="B65" s="10"/>
      <c r="C65" s="62" t="s">
        <v>75</v>
      </c>
      <c r="D65" s="80">
        <v>0.42</v>
      </c>
      <c r="E65" s="10"/>
      <c r="F65" s="10"/>
      <c r="G65" s="10"/>
      <c r="H65" s="10"/>
      <c r="I65" s="10"/>
      <c r="J65" s="10"/>
      <c r="K65" s="10"/>
      <c r="L65" s="10"/>
      <c r="M65" s="10"/>
      <c r="N65" s="10"/>
      <c r="O65" s="10"/>
      <c r="P65" s="10"/>
    </row>
    <row r="66" spans="1:16" ht="15" thickBot="1" x14ac:dyDescent="0.4">
      <c r="A66" s="10"/>
      <c r="B66" s="10"/>
      <c r="C66" s="63" t="s">
        <v>76</v>
      </c>
      <c r="D66" s="81">
        <v>0.56999999999999995</v>
      </c>
      <c r="E66" s="10"/>
      <c r="F66" s="10"/>
      <c r="G66" s="10"/>
      <c r="H66" s="10"/>
      <c r="I66" s="10"/>
      <c r="J66" s="10"/>
      <c r="K66" s="10"/>
      <c r="L66" s="10"/>
      <c r="M66" s="10"/>
      <c r="N66" s="10"/>
      <c r="O66" s="10"/>
      <c r="P66" s="10"/>
    </row>
    <row r="67" spans="1:16" ht="15" thickBot="1" x14ac:dyDescent="0.4">
      <c r="A67" s="10"/>
      <c r="B67" s="10"/>
      <c r="C67" s="108" t="s">
        <v>214</v>
      </c>
      <c r="D67" s="81">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77" t="s">
        <v>145</v>
      </c>
      <c r="B70" s="10"/>
      <c r="C70" s="10"/>
      <c r="D70" s="10"/>
      <c r="E70" s="10"/>
      <c r="F70" s="10"/>
      <c r="G70" s="10"/>
      <c r="H70" s="10"/>
      <c r="I70" s="10"/>
      <c r="J70" s="10"/>
      <c r="K70" s="10"/>
      <c r="L70" s="10"/>
      <c r="M70" s="10"/>
      <c r="N70" s="10"/>
      <c r="O70" s="10"/>
      <c r="P70" s="10"/>
    </row>
    <row r="71" spans="1:16" x14ac:dyDescent="0.35">
      <c r="A71" s="74" t="s">
        <v>146</v>
      </c>
      <c r="B71" s="10"/>
      <c r="C71" s="10"/>
      <c r="D71" s="10"/>
      <c r="E71" s="10"/>
      <c r="F71" s="10"/>
      <c r="G71" s="10"/>
      <c r="H71" s="10"/>
      <c r="I71" s="10"/>
      <c r="J71" s="10"/>
      <c r="K71" s="10"/>
      <c r="L71" s="10"/>
      <c r="M71" s="10"/>
      <c r="N71" s="10"/>
      <c r="O71" s="10"/>
      <c r="P71" s="10"/>
    </row>
    <row r="72" spans="1:16" x14ac:dyDescent="0.35">
      <c r="A72" s="71" t="s">
        <v>147</v>
      </c>
      <c r="B72" s="10"/>
      <c r="C72" s="10"/>
      <c r="D72" s="10"/>
      <c r="E72" s="10"/>
      <c r="F72" s="10"/>
      <c r="G72" s="10"/>
      <c r="H72" s="10"/>
      <c r="I72" s="10"/>
      <c r="J72" s="10"/>
      <c r="K72" s="10"/>
      <c r="L72" s="10"/>
      <c r="M72" s="10"/>
      <c r="N72" s="10"/>
      <c r="O72" s="10"/>
      <c r="P72" s="10"/>
    </row>
    <row r="73" spans="1:16" ht="29.5" thickBot="1" x14ac:dyDescent="0.4">
      <c r="A73" s="72" t="s">
        <v>148</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REAforêtMBoisement</vt:lpstr>
      <vt:lpstr>REAproduitsMBoisement</vt:lpstr>
      <vt:lpstr>REEsubsMBoisement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2021-05-19T09:51:38Z</dcterms:modified>
</cp:coreProperties>
</file>