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oma\Documents\URBAN ODYSSEY\OUTILS EXCEL\"/>
    </mc:Choice>
  </mc:AlternateContent>
  <bookViews>
    <workbookView xWindow="21120" yWindow="-24564" windowWidth="19416" windowHeight="21144" tabRatio="866" firstSheet="1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  <sheet name="Valeur BO BI BE" sheetId="8" r:id="rId8"/>
  </sheets>
  <externalReferences>
    <externalReference r:id="rId9"/>
  </externalReference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6" l="1"/>
  <c r="I23" i="6"/>
  <c r="I22" i="6"/>
  <c r="I21" i="6"/>
  <c r="I20" i="6"/>
  <c r="E110" i="6"/>
  <c r="E79" i="6"/>
  <c r="E48" i="6"/>
  <c r="E17" i="6"/>
  <c r="C117" i="6"/>
  <c r="C118" i="6"/>
  <c r="C119" i="6"/>
  <c r="C120" i="6"/>
  <c r="C116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85" i="6"/>
  <c r="C55" i="6"/>
  <c r="C56" i="6"/>
  <c r="C57" i="6"/>
  <c r="C58" i="6"/>
  <c r="C59" i="6"/>
  <c r="C60" i="6"/>
  <c r="C54" i="6"/>
  <c r="C24" i="6"/>
  <c r="C25" i="6"/>
  <c r="C26" i="6"/>
  <c r="C27" i="6"/>
  <c r="C28" i="6"/>
  <c r="C29" i="6"/>
  <c r="C30" i="6"/>
  <c r="C23" i="6"/>
  <c r="G116" i="1" l="1"/>
  <c r="F116" i="1"/>
  <c r="G40" i="1" l="1"/>
  <c r="F40" i="1"/>
  <c r="G39" i="1" l="1"/>
  <c r="F39" i="1"/>
  <c r="C303" i="6" l="1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F67" i="8"/>
  <c r="F66" i="8"/>
  <c r="F65" i="8"/>
  <c r="F64" i="8"/>
  <c r="F63" i="8"/>
  <c r="F62" i="8"/>
  <c r="F61" i="8"/>
  <c r="F60" i="8"/>
  <c r="F59" i="8"/>
  <c r="F58" i="8"/>
  <c r="F57" i="8"/>
  <c r="F56" i="8"/>
  <c r="F55" i="8"/>
  <c r="F54" i="8"/>
  <c r="F53" i="8"/>
  <c r="F52" i="8"/>
  <c r="F51" i="8"/>
  <c r="F50" i="8"/>
  <c r="F49" i="8"/>
  <c r="F48" i="8"/>
  <c r="F47" i="8"/>
  <c r="F46" i="8"/>
  <c r="F45" i="8"/>
  <c r="F44" i="8"/>
  <c r="F43" i="8"/>
  <c r="F42" i="8"/>
  <c r="F41" i="8"/>
  <c r="F40" i="8"/>
  <c r="F39" i="8"/>
  <c r="F38" i="8"/>
  <c r="F37" i="8"/>
  <c r="F36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99" i="6"/>
  <c r="C100" i="6"/>
  <c r="C101" i="6"/>
  <c r="C102" i="6"/>
  <c r="C103" i="6"/>
  <c r="C104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31" i="6"/>
  <c r="C32" i="6"/>
  <c r="C33" i="6"/>
  <c r="C34" i="6"/>
  <c r="C35" i="6"/>
  <c r="C36" i="6"/>
  <c r="C37" i="6"/>
  <c r="C38" i="6"/>
  <c r="C39" i="6"/>
  <c r="C40" i="6"/>
  <c r="C41" i="6"/>
  <c r="C42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GL4" i="2"/>
  <c r="FQ4" i="2"/>
  <c r="EA4" i="2"/>
  <c r="HI4" i="2"/>
  <c r="BQ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C5" i="2"/>
  <c r="EX5" i="2"/>
  <c r="EA5" i="2"/>
  <c r="FR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I6" i="2" l="1"/>
  <c r="EC6" i="2"/>
  <c r="FR6" i="2"/>
  <c r="EA6" i="2"/>
  <c r="HH6" i="2"/>
  <c r="EV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FS7" i="2"/>
  <c r="EB7" i="2"/>
  <c r="EA7" i="2"/>
  <c r="EW7" i="2"/>
  <c r="EV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FS8" i="2" l="1"/>
  <c r="EX8" i="2"/>
  <c r="EC8" i="2"/>
  <c r="HG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HG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A10" i="2"/>
  <c r="HH10" i="2"/>
  <c r="EB10" i="2"/>
  <c r="HG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FS11" i="2" s="1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EC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HH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HI13" i="2" s="1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I14" i="2"/>
  <c r="HH14" i="2"/>
  <c r="EX14" i="2"/>
  <c r="HG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V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I16" i="2" l="1"/>
  <c r="FS16" i="2"/>
  <c r="HH16" i="2"/>
  <c r="EX16" i="2"/>
  <c r="EC16" i="2"/>
  <c r="EA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C18" i="2" l="1"/>
  <c r="FS18" i="2"/>
  <c r="EA18" i="2"/>
  <c r="HI18" i="2"/>
  <c r="EV18" i="2"/>
  <c r="EW18" i="2"/>
  <c r="EX18" i="2"/>
  <c r="HG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EC19" i="2"/>
  <c r="FS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HI20" i="2"/>
  <c r="FS20" i="2"/>
  <c r="EV20" i="2"/>
  <c r="EW20" i="2"/>
  <c r="EC20" i="2"/>
  <c r="HG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X21" i="2"/>
  <c r="HH21" i="2"/>
  <c r="EW21" i="2"/>
  <c r="EB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HH22" i="2"/>
  <c r="EC22" i="2"/>
  <c r="EB22" i="2"/>
  <c r="EA22" i="2"/>
  <c r="HI22" i="2"/>
  <c r="EW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C24" i="2"/>
  <c r="HI24" i="2"/>
  <c r="FR24" i="2"/>
  <c r="EW24" i="2"/>
  <c r="HG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X27" i="2"/>
  <c r="EC27" i="2"/>
  <c r="FS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FS28" i="2"/>
  <c r="EX28" i="2"/>
  <c r="EC28" i="2"/>
  <c r="HG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C30" i="2"/>
  <c r="EB30" i="2"/>
  <c r="EX30" i="2"/>
  <c r="EV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HG31" i="2"/>
  <c r="DG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GN34" i="2" l="1"/>
  <c r="EW34" i="2"/>
  <c r="CM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CM35" i="2"/>
  <c r="FS35" i="2"/>
  <c r="EA35" i="2"/>
  <c r="FQ35" i="2"/>
  <c r="HI35" i="2"/>
  <c r="HH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Q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EB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HI39" i="2" l="1"/>
  <c r="EX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I40" i="2" s="1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FS40" i="2" l="1"/>
  <c r="EX40" i="2"/>
  <c r="HH40" i="2"/>
  <c r="HG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FS43" i="2"/>
  <c r="HG43" i="2"/>
  <c r="DG43" i="2"/>
  <c r="EX43" i="2"/>
  <c r="EA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G44" i="2"/>
  <c r="HI44" i="2"/>
  <c r="HH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X45" i="2"/>
  <c r="EC45" i="2"/>
  <c r="HI45" i="2"/>
  <c r="EB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C46" i="2"/>
  <c r="HI46" i="2"/>
  <c r="EW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EC47" i="2"/>
  <c r="HG47" i="2"/>
  <c r="FS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X48" i="2"/>
  <c r="HH48" i="2"/>
  <c r="EC48" i="2"/>
  <c r="HG48" i="2"/>
  <c r="FS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X49" i="2" l="1"/>
  <c r="EC49" i="2"/>
  <c r="HI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HI50" i="2"/>
  <c r="EW50" i="2"/>
  <c r="HG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EX51" i="2"/>
  <c r="EA51" i="2"/>
  <c r="EB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B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V57" i="2"/>
  <c r="EC57" i="2"/>
  <c r="FS57" i="2"/>
  <c r="HH57" i="2"/>
  <c r="EB57" i="2"/>
  <c r="HG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I58" i="2" s="1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FS58" i="2"/>
  <c r="EA58" i="2"/>
  <c r="EX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FS60" i="2"/>
  <c r="EV60" i="2"/>
  <c r="EW60" i="2"/>
  <c r="HH60" i="2"/>
  <c r="EC60" i="2"/>
  <c r="HG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FS61" i="2"/>
  <c r="EX61" i="2"/>
  <c r="EA61" i="2"/>
  <c r="HI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HI64" i="2" s="1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FS65" i="2" l="1"/>
  <c r="EX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HI68" i="2" l="1"/>
  <c r="EX68" i="2"/>
  <c r="FS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C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EB70" i="2"/>
  <c r="HG70" i="2"/>
  <c r="FS70" i="2"/>
  <c r="HI70" i="2"/>
  <c r="EW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A71" i="2"/>
  <c r="HH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FS74" i="2"/>
  <c r="FR74" i="2"/>
  <c r="EW74" i="2"/>
  <c r="HG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FS76" i="2"/>
  <c r="HH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FS77" i="2"/>
  <c r="EX77" i="2"/>
  <c r="EW77" i="2"/>
  <c r="HI77" i="2"/>
  <c r="EB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HI78" i="2"/>
  <c r="EW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I79" i="2" s="1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EC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EV82" i="2"/>
  <c r="HH82" i="2"/>
  <c r="HG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EW83" i="2"/>
  <c r="HI83" i="2"/>
  <c r="EV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FS84" i="2"/>
  <c r="HG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FS85" i="2"/>
  <c r="EW85" i="2"/>
  <c r="EV85" i="2"/>
  <c r="EC85" i="2"/>
  <c r="HH85" i="2"/>
  <c r="HG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A86" i="2"/>
  <c r="HI86" i="2"/>
  <c r="EX86" i="2"/>
  <c r="EB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FS87" i="2"/>
  <c r="HI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HG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X89" i="2"/>
  <c r="EC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HI91" i="2" l="1"/>
  <c r="EX91" i="2"/>
  <c r="EA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FS92" i="2" l="1"/>
  <c r="HI92" i="2"/>
  <c r="EX92" i="2"/>
  <c r="EW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FS94" i="2"/>
  <c r="EC94" i="2"/>
  <c r="EX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I95" i="2"/>
  <c r="FS95" i="2"/>
  <c r="EB95" i="2"/>
  <c r="FQ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HI98" i="2"/>
  <c r="EW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I99" i="2" s="1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FS99" i="2" l="1"/>
  <c r="EX99" i="2"/>
  <c r="EB99" i="2"/>
  <c r="HH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HI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X102" i="2" l="1"/>
  <c r="EC102" i="2"/>
  <c r="HI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FS103" i="2"/>
  <c r="EC103" i="2"/>
  <c r="EX103" i="2"/>
  <c r="EA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C104" i="2"/>
  <c r="HI104" i="2"/>
  <c r="EW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EX105" i="2"/>
  <c r="FS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FS106" i="2"/>
  <c r="HI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EC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X108" i="2"/>
  <c r="EB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X109" i="2"/>
  <c r="EC109" i="2"/>
  <c r="EB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HG110" i="2"/>
  <c r="EB110" i="2"/>
  <c r="HH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EX111" i="2" l="1"/>
  <c r="FS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FS112" i="2"/>
  <c r="HI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C113" i="2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C114" i="2"/>
  <c r="EW114" i="2"/>
  <c r="EV114" i="2"/>
  <c r="HH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FS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X116" i="2" l="1"/>
  <c r="EC116" i="2"/>
  <c r="EA116" i="2"/>
  <c r="HG116" i="2"/>
  <c r="HI116" i="2"/>
  <c r="EV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A117" i="2"/>
  <c r="HG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X118" i="2"/>
  <c r="EC118" i="2"/>
  <c r="FS118" i="2"/>
  <c r="FQ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EX119" i="2"/>
  <c r="HG119" i="2"/>
  <c r="FR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EC120" i="2"/>
  <c r="FQ120" i="2"/>
  <c r="HI120" i="2"/>
  <c r="HH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EC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I123" i="2" l="1"/>
  <c r="EC123" i="2"/>
  <c r="HH123" i="2"/>
  <c r="FS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HH124" i="2"/>
  <c r="EC124" i="2"/>
  <c r="HG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HI125" i="2"/>
  <c r="EC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I126" i="2" s="1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EX126" i="2"/>
  <c r="HG126" i="2"/>
  <c r="FS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HI128" i="2"/>
  <c r="EX128" i="2"/>
  <c r="EB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HI129" i="2"/>
  <c r="EV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HI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C132" i="2"/>
  <c r="FS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HI133" i="2" s="1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C134" i="2"/>
  <c r="HG134" i="2"/>
  <c r="EV134" i="2"/>
  <c r="EW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I135" i="2" s="1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FS135" i="2"/>
  <c r="EW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EC136" i="2"/>
  <c r="HI136" i="2"/>
  <c r="EX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B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FS140" i="2"/>
  <c r="EC140" i="2"/>
  <c r="EX140" i="2"/>
  <c r="EB140" i="2"/>
  <c r="FR140" i="2"/>
  <c r="HH140" i="2"/>
  <c r="HG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HI141" i="2" s="1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A141" i="2"/>
  <c r="EX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C142" i="2"/>
  <c r="EW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HI143" i="2"/>
  <c r="EC143" i="2"/>
  <c r="EA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HI144" i="2" s="1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EX144" i="2"/>
  <c r="HH144" i="2"/>
  <c r="HG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HG145" i="2"/>
  <c r="EB145" i="2"/>
  <c r="HH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X146" i="2"/>
  <c r="EA146" i="2"/>
  <c r="HH146" i="2"/>
  <c r="FR146" i="2"/>
  <c r="HG146" i="2"/>
  <c r="FS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I147" i="2" s="1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C147" i="2"/>
  <c r="EX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HI148" i="2" s="1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EX148" i="2" l="1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X149" i="2"/>
  <c r="EC149" i="2"/>
  <c r="HH149" i="2"/>
  <c r="HG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C150" i="2"/>
  <c r="HH150" i="2"/>
  <c r="HI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HI151" i="2"/>
  <c r="EV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FS152" i="2"/>
  <c r="EB152" i="2"/>
  <c r="EC152" i="2"/>
  <c r="EV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A153" i="2"/>
  <c r="EB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EB154" i="2"/>
  <c r="HG154" i="2"/>
  <c r="HJ154" i="2" s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HG155" i="2"/>
  <c r="EY154" i="2"/>
  <c r="ED154" i="2"/>
  <c r="DI154" i="2"/>
  <c r="EA155" i="2"/>
  <c r="AC154" i="2"/>
  <c r="EW155" i="2"/>
  <c r="EC155" i="2"/>
  <c r="EX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EY155" i="2"/>
  <c r="ED155" i="2"/>
  <c r="EX156" i="2"/>
  <c r="EB156" i="2"/>
  <c r="DH156" i="2"/>
  <c r="FS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CN156" i="2"/>
  <c r="FS157" i="2"/>
  <c r="EX157" i="2"/>
  <c r="EB157" i="2"/>
  <c r="EC157" i="2"/>
  <c r="EA157" i="2"/>
  <c r="HG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D157" i="2"/>
  <c r="EV158" i="2"/>
  <c r="EC158" i="2"/>
  <c r="EW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X159" i="2"/>
  <c r="FS159" i="2"/>
  <c r="EC159" i="2"/>
  <c r="HI159" i="2"/>
  <c r="ED158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DG160" i="2"/>
  <c r="EC160" i="2"/>
  <c r="ED159" i="2"/>
  <c r="EX160" i="2"/>
  <c r="FS160" i="2"/>
  <c r="HI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FS161" i="2"/>
  <c r="EX161" i="2"/>
  <c r="EB161" i="2"/>
  <c r="ED160" i="2"/>
  <c r="AB161" i="2"/>
  <c r="EA161" i="2"/>
  <c r="ED161" i="2" s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C162" i="2"/>
  <c r="DI161" i="2"/>
  <c r="EW162" i="2"/>
  <c r="HH162" i="2"/>
  <c r="HG162" i="2"/>
  <c r="FS162" i="2"/>
  <c r="EB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I163" i="2"/>
  <c r="EY162" i="2"/>
  <c r="EB163" i="2"/>
  <c r="EC163" i="2"/>
  <c r="ED162" i="2"/>
  <c r="EA163" i="2"/>
  <c r="EV163" i="2"/>
  <c r="FS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HG164" i="2"/>
  <c r="HH164" i="2"/>
  <c r="EY163" i="2"/>
  <c r="FS164" i="2"/>
  <c r="EX164" i="2"/>
  <c r="DH164" i="2"/>
  <c r="EC164" i="2"/>
  <c r="EA164" i="2"/>
  <c r="HI164" i="2"/>
  <c r="EV164" i="2"/>
  <c r="FR164" i="2"/>
  <c r="DI163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X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X166" i="2"/>
  <c r="EC166" i="2"/>
  <c r="CN165" i="2"/>
  <c r="FS166" i="2"/>
  <c r="HI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Y166" i="2"/>
  <c r="FR167" i="2"/>
  <c r="EX167" i="2"/>
  <c r="EC167" i="2"/>
  <c r="DG167" i="2"/>
  <c r="EA167" i="2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HH168" i="2"/>
  <c r="DG168" i="2"/>
  <c r="EX168" i="2"/>
  <c r="EB168" i="2"/>
  <c r="EC168" i="2"/>
  <c r="DI167" i="2"/>
  <c r="FS168" i="2"/>
  <c r="EV168" i="2"/>
  <c r="EW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FS169" i="2"/>
  <c r="EB169" i="2"/>
  <c r="EX169" i="2"/>
  <c r="HI169" i="2"/>
  <c r="EA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EX170" i="2"/>
  <c r="HI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I171" i="2" s="1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X171" i="2" l="1"/>
  <c r="EA171" i="2"/>
  <c r="EB171" i="2"/>
  <c r="FS171" i="2"/>
  <c r="EC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B172" i="2"/>
  <c r="EW172" i="2"/>
  <c r="EV172" i="2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I173" i="2" l="1"/>
  <c r="ED172" i="2"/>
  <c r="EW173" i="2"/>
  <c r="EC173" i="2"/>
  <c r="EB173" i="2"/>
  <c r="EX173" i="2"/>
  <c r="HH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FS175" i="2"/>
  <c r="EX175" i="2"/>
  <c r="EC175" i="2"/>
  <c r="EB175" i="2"/>
  <c r="AA175" i="2"/>
  <c r="EW175" i="2"/>
  <c r="EA175" i="2"/>
  <c r="HI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HI177" i="2" s="1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EX177" i="2"/>
  <c r="HH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FQ178" i="2"/>
  <c r="ED177" i="2"/>
  <c r="EW178" i="2"/>
  <c r="EB178" i="2"/>
  <c r="EA178" i="2"/>
  <c r="HH178" i="2"/>
  <c r="EX178" i="2"/>
  <c r="HG178" i="2"/>
  <c r="HI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X179" i="2"/>
  <c r="EB179" i="2"/>
  <c r="HH179" i="2"/>
  <c r="EV179" i="2"/>
  <c r="DF179" i="2"/>
  <c r="EA179" i="2"/>
  <c r="HG179" i="2"/>
  <c r="FS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HG180" i="2"/>
  <c r="HI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HG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FS183" i="2"/>
  <c r="EX183" i="2"/>
  <c r="EA183" i="2"/>
  <c r="EB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Y183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HH185" i="2"/>
  <c r="HG185" i="2"/>
  <c r="EV185" i="2"/>
  <c r="EA185" i="2"/>
  <c r="EB185" i="2"/>
  <c r="EW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W186" i="2"/>
  <c r="EB186" i="2"/>
  <c r="EA186" i="2"/>
  <c r="HH186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I187" i="2" s="1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X187" i="2"/>
  <c r="EC187" i="2"/>
  <c r="EB187" i="2"/>
  <c r="HH187" i="2"/>
  <c r="HG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ED187" i="2"/>
  <c r="FS188" i="2"/>
  <c r="HI188" i="2"/>
  <c r="HG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HI189" i="2"/>
  <c r="HH189" i="2"/>
  <c r="EY188" i="2"/>
  <c r="EV189" i="2"/>
  <c r="EB189" i="2"/>
  <c r="EC189" i="2"/>
  <c r="FS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EY189" i="2"/>
  <c r="ED189" i="2"/>
  <c r="HI190" i="2"/>
  <c r="EB190" i="2"/>
  <c r="EV190" i="2"/>
  <c r="EW190" i="2"/>
  <c r="HG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X191" i="2"/>
  <c r="EC191" i="2"/>
  <c r="EW191" i="2"/>
  <c r="HI191" i="2"/>
  <c r="HH191" i="2"/>
  <c r="HG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W192" i="2"/>
  <c r="HG192" i="2"/>
  <c r="HI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HI193" i="2"/>
  <c r="ED192" i="2"/>
  <c r="FQ193" i="2"/>
  <c r="EB193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FQ194" i="2"/>
  <c r="ED193" i="2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HI195" i="2" l="1"/>
  <c r="FQ195" i="2"/>
  <c r="ED194" i="2"/>
  <c r="EX195" i="2"/>
  <c r="EY194" i="2"/>
  <c r="EB195" i="2"/>
  <c r="DH195" i="2"/>
  <c r="HG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FS196" i="2"/>
  <c r="EW196" i="2"/>
  <c r="EY195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EY196" i="2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D197" i="2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I199" i="2" l="1"/>
  <c r="EY198" i="2"/>
  <c r="EV199" i="2"/>
  <c r="EW199" i="2"/>
  <c r="EB199" i="2"/>
  <c r="EA199" i="2"/>
  <c r="HH199" i="2"/>
  <c r="HG199" i="2"/>
  <c r="HJ199" i="2" s="1"/>
  <c r="FS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I200" i="2" l="1"/>
  <c r="EW200" i="2"/>
  <c r="EX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HH201" i="2"/>
  <c r="HG201" i="2"/>
  <c r="DI200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HG202" i="2"/>
  <c r="EX202" i="2"/>
  <c r="HH202" i="2"/>
  <c r="FS202" i="2"/>
  <c r="FR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HI203" i="2" s="1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186" i="2" a="1"/>
  <c r="FY186" i="2" s="1"/>
  <c r="BC181" i="2" a="1"/>
  <c r="BC181" i="2" s="1"/>
  <c r="DN56" i="2" a="1"/>
  <c r="DN56" i="2" s="1"/>
  <c r="GT115" i="2" a="1"/>
  <c r="GT115" i="2" s="1"/>
  <c r="GT184" i="2" a="1"/>
  <c r="GT184" i="2" s="1"/>
  <c r="GT68" i="2" a="1"/>
  <c r="GT68" i="2" s="1"/>
  <c r="GT51" i="2" a="1"/>
  <c r="GT51" i="2" s="1"/>
  <c r="GT122" i="2" a="1"/>
  <c r="GT122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25" i="2" a="1"/>
  <c r="DN25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D48" i="2" a="1"/>
  <c r="FD48" i="2" s="1"/>
  <c r="FD159" i="2" a="1"/>
  <c r="FD159" i="2" s="1"/>
  <c r="BC55" i="2" a="1"/>
  <c r="BC55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DN187" i="2" a="1"/>
  <c r="DN187" i="2" s="1"/>
  <c r="HJ202" i="2"/>
  <c r="AX200" i="2"/>
  <c r="BC58" i="2" l="1" a="1"/>
  <c r="BC58" i="2" s="1"/>
  <c r="BC7" i="2" a="1"/>
  <c r="BC7" i="2" s="1"/>
  <c r="BC185" i="2" a="1"/>
  <c r="BC185" i="2" s="1"/>
  <c r="BC151" i="2" a="1"/>
  <c r="BC151" i="2" s="1"/>
  <c r="BC143" i="2" a="1"/>
  <c r="BC143" i="2" s="1"/>
  <c r="BC83" i="2" a="1"/>
  <c r="BC83" i="2" s="1"/>
  <c r="BC31" i="2" a="1"/>
  <c r="BC31" i="2" s="1"/>
  <c r="BC18" i="2" a="1"/>
  <c r="BC18" i="2" s="1"/>
  <c r="BC84" i="2" a="1"/>
  <c r="BC84" i="2" s="1"/>
  <c r="BC130" i="2" a="1"/>
  <c r="BC130" i="2" s="1"/>
  <c r="BC65" i="2" a="1"/>
  <c r="BC65" i="2" s="1"/>
  <c r="BC47" i="2" a="1"/>
  <c r="BC47" i="2" s="1"/>
  <c r="BC32" i="2" a="1"/>
  <c r="BC32" i="2" s="1"/>
  <c r="BC164" i="2" a="1"/>
  <c r="BC164" i="2" s="1"/>
  <c r="BC192" i="2" a="1"/>
  <c r="BC192" i="2" s="1"/>
  <c r="BC117" i="2" a="1"/>
  <c r="BC117" i="2" s="1"/>
  <c r="BC34" i="2" a="1"/>
  <c r="BC34" i="2" s="1"/>
  <c r="BC114" i="2" a="1"/>
  <c r="BC114" i="2" s="1"/>
  <c r="BC126" i="2" a="1"/>
  <c r="BC126" i="2" s="1"/>
  <c r="BC82" i="2" a="1"/>
  <c r="BC82" i="2" s="1"/>
  <c r="BC68" i="2" a="1"/>
  <c r="BC68" i="2" s="1"/>
  <c r="AH92" i="2" a="1"/>
  <c r="AH92" i="2" s="1"/>
  <c r="AH163" i="2" a="1"/>
  <c r="AH163" i="2" s="1"/>
  <c r="AH19" i="2" a="1"/>
  <c r="AH19" i="2" s="1"/>
  <c r="AH62" i="2" a="1"/>
  <c r="AH62" i="2" s="1"/>
  <c r="AH166" i="2" a="1"/>
  <c r="AH166" i="2" s="1"/>
  <c r="AH90" i="2" a="1"/>
  <c r="AH90" i="2" s="1"/>
  <c r="AH151" i="2" a="1"/>
  <c r="AH151" i="2" s="1"/>
  <c r="DN113" i="2" a="1"/>
  <c r="DN113" i="2" s="1"/>
  <c r="GT181" i="2" a="1"/>
  <c r="GT181" i="2" s="1"/>
  <c r="GT133" i="2" a="1"/>
  <c r="GT133" i="2" s="1"/>
  <c r="GT121" i="2" a="1"/>
  <c r="GT121" i="2" s="1"/>
  <c r="FY69" i="2" a="1"/>
  <c r="FY69" i="2" s="1"/>
  <c r="FY35" i="2" a="1"/>
  <c r="FY35" i="2" s="1"/>
  <c r="FY30" i="2" a="1"/>
  <c r="FY30" i="2" s="1"/>
  <c r="FY104" i="2" a="1"/>
  <c r="FY104" i="2" s="1"/>
  <c r="FY190" i="2" a="1"/>
  <c r="FY190" i="2" s="1"/>
  <c r="FY50" i="2" a="1"/>
  <c r="FY50" i="2" s="1"/>
  <c r="FY78" i="2" a="1"/>
  <c r="FY78" i="2" s="1"/>
  <c r="EI162" i="2" a="1"/>
  <c r="EI162" i="2" s="1"/>
  <c r="EI150" i="2" a="1"/>
  <c r="EI150" i="2" s="1"/>
  <c r="DN184" i="2" a="1"/>
  <c r="DN184" i="2" s="1"/>
  <c r="BX107" i="2" a="1"/>
  <c r="BX107" i="2" s="1"/>
  <c r="AH199" i="2" a="1"/>
  <c r="AH199" i="2" s="1"/>
  <c r="FS203" i="2"/>
  <c r="EX203" i="2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EC203" i="2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82" i="2" a="1"/>
  <c r="FD82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DI203" i="2"/>
  <c r="ED203" i="2"/>
  <c r="FZ11" i="2"/>
  <c r="FZ12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13" i="2" l="1"/>
  <c r="FJ156" i="2"/>
  <c r="FJ46" i="2"/>
  <c r="FJ155" i="2"/>
  <c r="FJ133" i="2"/>
  <c r="FJ91" i="2"/>
  <c r="FJ18" i="2"/>
  <c r="FJ134" i="2"/>
  <c r="FJ196" i="2"/>
  <c r="FJ70" i="2"/>
  <c r="FJ55" i="2"/>
  <c r="FJ59" i="2"/>
  <c r="FJ139" i="2"/>
  <c r="FJ132" i="2"/>
  <c r="FJ76" i="2"/>
  <c r="FJ171" i="2"/>
  <c r="FJ110" i="2"/>
  <c r="FJ49" i="2"/>
  <c r="FJ159" i="2"/>
  <c r="FJ77" i="2"/>
  <c r="FJ105" i="2"/>
  <c r="FJ30" i="2"/>
  <c r="FJ63" i="2"/>
  <c r="FJ48" i="2"/>
  <c r="FJ78" i="2"/>
  <c r="FJ7" i="2"/>
  <c r="FJ183" i="2"/>
  <c r="FJ200" i="2"/>
  <c r="FJ83" i="2"/>
  <c r="FJ27" i="2"/>
  <c r="FJ3" i="2"/>
  <c r="C13" i="4" s="1"/>
  <c r="E13" i="4" s="1"/>
  <c r="F13" i="4" s="1"/>
  <c r="G13" i="4" s="1"/>
  <c r="L13" i="4" s="1"/>
  <c r="FJ36" i="2"/>
  <c r="FJ34" i="2"/>
  <c r="FJ26" i="2"/>
  <c r="FJ89" i="2"/>
  <c r="FJ11" i="2"/>
  <c r="FJ20" i="2"/>
  <c r="FJ47" i="2"/>
  <c r="FJ82" i="2"/>
  <c r="FJ187" i="2"/>
  <c r="FJ69" i="2"/>
  <c r="FJ123" i="2"/>
  <c r="FJ122" i="2"/>
  <c r="FJ12" i="2"/>
  <c r="FJ179" i="2"/>
  <c r="FJ111" i="2"/>
  <c r="FJ17" i="2"/>
  <c r="FJ158" i="2"/>
  <c r="FJ152" i="2"/>
  <c r="FJ43" i="2"/>
  <c r="FJ84" i="2"/>
  <c r="FJ112" i="2"/>
  <c r="FJ194" i="2"/>
  <c r="FJ154" i="2"/>
  <c r="FJ10" i="2"/>
  <c r="FJ130" i="2"/>
  <c r="FJ142" i="2"/>
  <c r="FJ52" i="2"/>
  <c r="FJ115" i="2"/>
  <c r="FJ102" i="2"/>
  <c r="FJ73" i="2"/>
  <c r="FJ129" i="2"/>
  <c r="FJ5" i="2"/>
  <c r="FJ65" i="2"/>
  <c r="FJ146" i="2"/>
  <c r="FJ182" i="2"/>
  <c r="FJ178" i="2"/>
  <c r="FJ94" i="2"/>
  <c r="FJ184" i="2"/>
  <c r="FJ67" i="2"/>
  <c r="FJ181" i="2"/>
  <c r="FJ121" i="2"/>
  <c r="FJ124" i="2"/>
  <c r="FJ169" i="2"/>
  <c r="FJ202" i="2"/>
  <c r="FJ104" i="2"/>
  <c r="FJ145" i="2"/>
  <c r="FJ143" i="2"/>
  <c r="FJ54" i="2"/>
  <c r="FJ79" i="2"/>
  <c r="FJ62" i="2"/>
  <c r="FJ42" i="2"/>
  <c r="FJ98" i="2"/>
  <c r="FJ201" i="2"/>
  <c r="FJ188" i="2"/>
  <c r="FJ126" i="2"/>
  <c r="FJ165" i="2"/>
  <c r="FJ137" i="2"/>
  <c r="FJ23" i="2"/>
  <c r="FJ45" i="2"/>
  <c r="FJ119" i="2"/>
  <c r="FJ8" i="2"/>
  <c r="FJ61" i="2"/>
  <c r="FJ141" i="2"/>
  <c r="FJ107" i="2"/>
  <c r="FJ131" i="2"/>
  <c r="FJ166" i="2"/>
  <c r="FJ13" i="2"/>
  <c r="FJ135" i="2"/>
  <c r="FJ162" i="2"/>
  <c r="FJ101" i="2"/>
  <c r="FJ144" i="2"/>
  <c r="FJ177" i="2"/>
  <c r="FJ100" i="2"/>
  <c r="FJ29" i="2"/>
  <c r="FJ39" i="2"/>
  <c r="FJ193" i="2"/>
  <c r="FJ180" i="2"/>
  <c r="FJ37" i="2"/>
  <c r="FJ22" i="2"/>
  <c r="FJ97" i="2"/>
  <c r="FJ108" i="2"/>
  <c r="FJ161" i="2"/>
  <c r="FJ86" i="2"/>
  <c r="FJ163" i="2"/>
  <c r="FJ109" i="2"/>
  <c r="FJ72" i="2"/>
  <c r="FJ185" i="2"/>
  <c r="FJ136" i="2"/>
  <c r="FJ117" i="2"/>
  <c r="FJ31" i="2"/>
  <c r="FJ85" i="2"/>
  <c r="FJ138" i="2"/>
  <c r="FJ198" i="2"/>
  <c r="FJ28" i="2"/>
  <c r="FJ66" i="2"/>
  <c r="FJ195" i="2"/>
  <c r="FJ64" i="2"/>
  <c r="FJ148" i="2"/>
  <c r="FJ189" i="2"/>
  <c r="FJ57" i="2"/>
  <c r="FJ173" i="2"/>
  <c r="FJ19" i="2"/>
  <c r="FJ56" i="2"/>
  <c r="FJ103" i="2"/>
  <c r="FJ35" i="2"/>
  <c r="FJ68" i="2"/>
  <c r="FJ96" i="2"/>
  <c r="FJ128" i="2"/>
  <c r="FJ60" i="2"/>
  <c r="FJ106" i="2"/>
  <c r="FJ120" i="2"/>
  <c r="FJ21" i="2"/>
  <c r="FJ32" i="2"/>
  <c r="FJ170" i="2"/>
  <c r="FJ172" i="2"/>
  <c r="FJ38" i="2"/>
  <c r="FJ191" i="2"/>
  <c r="FJ88" i="2"/>
  <c r="FJ80" i="2"/>
  <c r="FJ147" i="2"/>
  <c r="FJ175" i="2"/>
  <c r="FJ164" i="2"/>
  <c r="FJ150" i="2"/>
  <c r="FJ33" i="2"/>
  <c r="FJ75" i="2"/>
  <c r="FJ6" i="2"/>
  <c r="FJ114" i="2"/>
  <c r="FJ197" i="2"/>
  <c r="FJ40" i="2"/>
  <c r="FJ71" i="2"/>
  <c r="FJ16" i="2"/>
  <c r="FJ95" i="2"/>
  <c r="FJ51" i="2"/>
  <c r="FJ157" i="2"/>
  <c r="FJ24" i="2"/>
  <c r="FJ58" i="2"/>
  <c r="FJ81" i="2"/>
  <c r="FJ25" i="2"/>
  <c r="FJ153" i="2"/>
  <c r="FJ176" i="2"/>
  <c r="FJ118" i="2"/>
  <c r="FJ140" i="2"/>
  <c r="FJ190" i="2"/>
  <c r="FJ4" i="2"/>
  <c r="FJ53" i="2"/>
  <c r="FJ168" i="2"/>
  <c r="FJ90" i="2"/>
  <c r="FJ149" i="2"/>
  <c r="FJ160" i="2"/>
  <c r="FJ174" i="2"/>
  <c r="FJ151" i="2"/>
  <c r="FJ125" i="2"/>
  <c r="FJ44" i="2"/>
  <c r="FJ99" i="2"/>
  <c r="FJ127" i="2"/>
  <c r="FJ116" i="2"/>
  <c r="FJ9" i="2"/>
  <c r="FJ15" i="2"/>
  <c r="FJ14" i="2"/>
  <c r="FJ186" i="2"/>
  <c r="FJ74" i="2"/>
  <c r="FJ203" i="2"/>
  <c r="FJ41" i="2"/>
  <c r="FJ199" i="2"/>
  <c r="FJ87" i="2"/>
  <c r="FJ93" i="2"/>
  <c r="FJ50" i="2"/>
  <c r="FJ192" i="2"/>
  <c r="FJ92" i="2"/>
  <c r="FJ167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24" i="2" l="1"/>
  <c r="CY195" i="2"/>
  <c r="CY182" i="2"/>
  <c r="CY58" i="2"/>
  <c r="CY155" i="2"/>
  <c r="CY130" i="2"/>
  <c r="CY11" i="2"/>
  <c r="CY51" i="2"/>
  <c r="CY190" i="2"/>
  <c r="CY150" i="2"/>
  <c r="CY153" i="2"/>
  <c r="CY77" i="2"/>
  <c r="CY60" i="2"/>
  <c r="CY144" i="2"/>
  <c r="CY40" i="2"/>
  <c r="CY107" i="2"/>
  <c r="CY121" i="2"/>
  <c r="CY12" i="2"/>
  <c r="CY147" i="2"/>
  <c r="CY42" i="2"/>
  <c r="CY167" i="2"/>
  <c r="CY99" i="2"/>
  <c r="CY15" i="2"/>
  <c r="CY145" i="2"/>
  <c r="CY78" i="2"/>
  <c r="CY38" i="2"/>
  <c r="CY116" i="2"/>
  <c r="CY43" i="2"/>
  <c r="CY202" i="2"/>
  <c r="CY56" i="2"/>
  <c r="CY52" i="2"/>
  <c r="CY81" i="2"/>
  <c r="CY137" i="2"/>
  <c r="CY126" i="2"/>
  <c r="CY185" i="2"/>
  <c r="CY73" i="2"/>
  <c r="CY102" i="2"/>
  <c r="CY25" i="2"/>
  <c r="CY87" i="2"/>
  <c r="CY34" i="2"/>
  <c r="CY93" i="2"/>
  <c r="CY3" i="2"/>
  <c r="C10" i="4" s="1"/>
  <c r="E10" i="4" s="1"/>
  <c r="F10" i="4" s="1"/>
  <c r="G10" i="4" s="1"/>
  <c r="L10" i="4" s="1"/>
  <c r="CY19" i="2"/>
  <c r="CY127" i="2"/>
  <c r="CY177" i="2"/>
  <c r="CY9" i="2"/>
  <c r="CY132" i="2"/>
  <c r="CY139" i="2"/>
  <c r="CY203" i="2"/>
  <c r="CY112" i="2"/>
  <c r="CY162" i="2"/>
  <c r="CY110" i="2"/>
  <c r="CY26" i="2"/>
  <c r="CY63" i="2"/>
  <c r="CY109" i="2"/>
  <c r="CY71" i="2"/>
  <c r="CY79" i="2"/>
  <c r="CY173" i="2"/>
  <c r="CY135" i="2"/>
  <c r="CY191" i="2"/>
  <c r="CY188" i="2"/>
  <c r="CY57" i="2"/>
  <c r="CY141" i="2"/>
  <c r="CY149" i="2"/>
  <c r="CY6" i="2"/>
  <c r="CY90" i="2"/>
  <c r="CY70" i="2"/>
  <c r="CY36" i="2"/>
  <c r="CY100" i="2"/>
  <c r="CY7" i="2"/>
  <c r="CY131" i="2"/>
  <c r="CY44" i="2"/>
  <c r="CY74" i="2"/>
  <c r="CY198" i="2"/>
  <c r="CY75" i="2"/>
  <c r="CY106" i="2"/>
  <c r="CY50" i="2"/>
  <c r="CY134" i="2"/>
  <c r="CY111" i="2"/>
  <c r="CY13" i="2"/>
  <c r="CY10" i="2"/>
  <c r="CY124" i="2"/>
  <c r="CY186" i="2"/>
  <c r="CY16" i="2"/>
  <c r="CY30" i="2"/>
  <c r="CY5" i="2"/>
  <c r="CY91" i="2"/>
  <c r="CY148" i="2"/>
  <c r="CY120" i="2"/>
  <c r="CY108" i="2"/>
  <c r="CY23" i="2"/>
  <c r="CY136" i="2"/>
  <c r="CY37" i="2"/>
  <c r="CY35" i="2"/>
  <c r="CY66" i="2"/>
  <c r="CY201" i="2"/>
  <c r="CY47" i="2"/>
  <c r="CY20" i="2"/>
  <c r="CY158" i="2"/>
  <c r="CY89" i="2"/>
  <c r="CY143" i="2"/>
  <c r="CY171" i="2"/>
  <c r="CY113" i="2"/>
  <c r="CY101" i="2"/>
  <c r="CY123" i="2"/>
  <c r="CY45" i="2"/>
  <c r="CY4" i="2"/>
  <c r="CY157" i="2"/>
  <c r="CY142" i="2"/>
  <c r="CY94" i="2"/>
  <c r="CY156" i="2"/>
  <c r="CY178" i="2"/>
  <c r="CY146" i="2"/>
  <c r="CY27" i="2"/>
  <c r="CY14" i="2"/>
  <c r="CY128" i="2"/>
  <c r="CY168" i="2"/>
  <c r="CY164" i="2"/>
  <c r="CY28" i="2"/>
  <c r="CY133" i="2"/>
  <c r="CY69" i="2"/>
  <c r="CY160" i="2"/>
  <c r="CY31" i="2"/>
  <c r="CY192" i="2"/>
  <c r="CY65" i="2"/>
  <c r="CY67" i="2"/>
  <c r="CY118" i="2"/>
  <c r="CY170" i="2"/>
  <c r="CY122" i="2"/>
  <c r="CY154" i="2"/>
  <c r="CY200" i="2"/>
  <c r="CY97" i="2"/>
  <c r="CY59" i="2"/>
  <c r="CY32" i="2"/>
  <c r="CY159" i="2"/>
  <c r="CY119" i="2"/>
  <c r="CY86" i="2"/>
  <c r="CY183" i="2"/>
  <c r="CY194" i="2"/>
  <c r="CY174" i="2"/>
  <c r="CY175" i="2"/>
  <c r="CY181" i="2"/>
  <c r="CY161" i="2"/>
  <c r="CY189" i="2"/>
  <c r="CY68" i="2"/>
  <c r="CY197" i="2"/>
  <c r="CY140" i="2"/>
  <c r="CY92" i="2"/>
  <c r="CY64" i="2"/>
  <c r="CY41" i="2"/>
  <c r="CY22" i="2"/>
  <c r="CY54" i="2"/>
  <c r="CY53" i="2"/>
  <c r="CY169" i="2"/>
  <c r="CY88" i="2"/>
  <c r="CY172" i="2"/>
  <c r="CY125" i="2"/>
  <c r="CY84" i="2"/>
  <c r="CY114" i="2"/>
  <c r="CY8" i="2"/>
  <c r="CY62" i="2"/>
  <c r="CY163" i="2"/>
  <c r="CY48" i="2"/>
  <c r="CY103" i="2"/>
  <c r="CY176" i="2"/>
  <c r="CY105" i="2"/>
  <c r="CY49" i="2"/>
  <c r="CY166" i="2"/>
  <c r="CY104" i="2"/>
  <c r="CY72" i="2"/>
  <c r="CY187" i="2"/>
  <c r="CY21" i="2"/>
  <c r="CY39" i="2"/>
  <c r="CY61" i="2"/>
  <c r="CY151" i="2"/>
  <c r="CY115" i="2"/>
  <c r="CY196" i="2"/>
  <c r="CY18" i="2"/>
  <c r="CY152" i="2"/>
  <c r="CY17" i="2"/>
  <c r="CY199" i="2"/>
  <c r="CY179" i="2"/>
  <c r="CY55" i="2"/>
  <c r="CY96" i="2"/>
  <c r="CY33" i="2"/>
  <c r="CY29" i="2"/>
  <c r="CY117" i="2"/>
  <c r="CY46" i="2"/>
  <c r="CY98" i="2"/>
  <c r="CY193" i="2"/>
  <c r="CY82" i="2"/>
  <c r="CY129" i="2"/>
  <c r="CY83" i="2"/>
  <c r="CY184" i="2"/>
  <c r="CY180" i="2"/>
  <c r="CY76" i="2"/>
  <c r="CY95" i="2"/>
  <c r="CY165" i="2"/>
  <c r="CY85" i="2"/>
  <c r="CY80" i="2"/>
  <c r="CY138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81" i="2"/>
  <c r="BI200" i="2"/>
  <c r="BI27" i="2"/>
  <c r="BI201" i="2"/>
  <c r="BI117" i="2"/>
  <c r="BI126" i="2"/>
  <c r="BI30" i="2"/>
  <c r="BI191" i="2"/>
  <c r="BI193" i="2"/>
  <c r="BI44" i="2"/>
  <c r="BI87" i="2"/>
  <c r="BI69" i="2"/>
  <c r="BI170" i="2"/>
  <c r="BI166" i="2"/>
  <c r="BI133" i="2"/>
  <c r="BI14" i="2"/>
  <c r="BI160" i="2"/>
  <c r="BI155" i="2"/>
  <c r="BI74" i="2"/>
  <c r="BI80" i="2"/>
  <c r="BI39" i="2"/>
  <c r="BI124" i="2"/>
  <c r="BI106" i="2"/>
  <c r="BI9" i="2"/>
  <c r="BI159" i="2"/>
  <c r="BI107" i="2"/>
  <c r="BI144" i="2"/>
  <c r="BI29" i="2"/>
  <c r="BI163" i="2"/>
  <c r="BI203" i="2"/>
  <c r="BI88" i="2"/>
  <c r="BI13" i="2"/>
  <c r="BI103" i="2"/>
  <c r="BI68" i="2"/>
  <c r="BI54" i="2"/>
  <c r="BI75" i="2"/>
  <c r="BI53" i="2"/>
  <c r="BI16" i="2"/>
  <c r="BI128" i="2"/>
  <c r="BI6" i="2"/>
  <c r="BI89" i="2"/>
  <c r="BI34" i="2"/>
  <c r="BI76" i="2"/>
  <c r="BI123" i="2"/>
  <c r="BI164" i="2"/>
  <c r="BI150" i="2"/>
  <c r="BI90" i="2"/>
  <c r="BI73" i="2"/>
  <c r="BI148" i="2"/>
  <c r="BI202" i="2"/>
  <c r="BI122" i="2"/>
  <c r="BI153" i="2"/>
  <c r="BI99" i="2"/>
  <c r="BI43" i="2"/>
  <c r="BI173" i="2"/>
  <c r="BI195" i="2"/>
  <c r="BI142" i="2"/>
  <c r="BI20" i="2"/>
  <c r="BI42" i="2"/>
  <c r="BI151" i="2"/>
  <c r="BI40" i="2"/>
  <c r="BI70" i="2"/>
  <c r="BI181" i="2"/>
  <c r="BI32" i="2"/>
  <c r="BI113" i="2"/>
  <c r="BI172" i="2"/>
  <c r="BI4" i="2"/>
  <c r="BI26" i="2"/>
  <c r="BI147" i="2"/>
  <c r="BI120" i="2"/>
  <c r="BI104" i="2"/>
  <c r="BI86" i="2"/>
  <c r="BI157" i="2"/>
  <c r="BI15" i="2"/>
  <c r="BI77" i="2"/>
  <c r="BI121" i="2"/>
  <c r="BI17" i="2"/>
  <c r="BI161" i="2"/>
  <c r="BI108" i="2"/>
  <c r="BI187" i="2"/>
  <c r="BI199" i="2"/>
  <c r="BI197" i="2"/>
  <c r="BI98" i="2"/>
  <c r="BI179" i="2"/>
  <c r="BI65" i="2"/>
  <c r="BI168" i="2"/>
  <c r="BI24" i="2"/>
  <c r="BI141" i="2"/>
  <c r="BI184" i="2"/>
  <c r="BI138" i="2"/>
  <c r="BI134" i="2"/>
  <c r="BI194" i="2"/>
  <c r="BI64" i="2"/>
  <c r="BI189" i="2"/>
  <c r="BI178" i="2"/>
  <c r="BI91" i="2"/>
  <c r="BI56" i="2"/>
  <c r="BI198" i="2"/>
  <c r="BI114" i="2"/>
  <c r="BI109" i="2"/>
  <c r="BI94" i="2"/>
  <c r="BI115" i="2"/>
  <c r="BI84" i="2"/>
  <c r="BI37" i="2"/>
  <c r="BI118" i="2"/>
  <c r="BI49" i="2"/>
  <c r="BI12" i="2"/>
  <c r="BI101" i="2"/>
  <c r="BI41" i="2"/>
  <c r="BI3" i="2"/>
  <c r="C8" i="4" s="1"/>
  <c r="E8" i="4" s="1"/>
  <c r="F8" i="4" s="1"/>
  <c r="G8" i="4" s="1"/>
  <c r="L8" i="4" s="1"/>
  <c r="BI146" i="2"/>
  <c r="BI190" i="2"/>
  <c r="BI25" i="2"/>
  <c r="BI192" i="2"/>
  <c r="BI46" i="2"/>
  <c r="BI63" i="2"/>
  <c r="BI36" i="2"/>
  <c r="BI60" i="2"/>
  <c r="BI18" i="2"/>
  <c r="BI145" i="2"/>
  <c r="BI51" i="2"/>
  <c r="BI143" i="2"/>
  <c r="BI7" i="2"/>
  <c r="BI125" i="2"/>
  <c r="BI129" i="2"/>
  <c r="BI10" i="2"/>
  <c r="BI92" i="2"/>
  <c r="BI21" i="2"/>
  <c r="BI33" i="2"/>
  <c r="BI35" i="2"/>
  <c r="BI183" i="2"/>
  <c r="BI78" i="2"/>
  <c r="BI23" i="2"/>
  <c r="BI127" i="2"/>
  <c r="BI176" i="2"/>
  <c r="BI149" i="2"/>
  <c r="BI48" i="2"/>
  <c r="BI156" i="2"/>
  <c r="BI93" i="2"/>
  <c r="BI85" i="2"/>
  <c r="BI188" i="2"/>
  <c r="BI154" i="2"/>
  <c r="BI162" i="2"/>
  <c r="BI82" i="2"/>
  <c r="BI165" i="2"/>
  <c r="BI22" i="2"/>
  <c r="BI105" i="2"/>
  <c r="BI66" i="2"/>
  <c r="BI112" i="2"/>
  <c r="BI62" i="2"/>
  <c r="BI11" i="2"/>
  <c r="BI111" i="2"/>
  <c r="BI52" i="2"/>
  <c r="BI50" i="2"/>
  <c r="BI97" i="2"/>
  <c r="BI83" i="2"/>
  <c r="BI31" i="2"/>
  <c r="BI171" i="2"/>
  <c r="BI28" i="2"/>
  <c r="BI110" i="2"/>
  <c r="BI135" i="2"/>
  <c r="BI67" i="2"/>
  <c r="BI140" i="2"/>
  <c r="BI174" i="2"/>
  <c r="BI57" i="2"/>
  <c r="BI8" i="2"/>
  <c r="BI158" i="2"/>
  <c r="BI130" i="2"/>
  <c r="BI95" i="2"/>
  <c r="BI137" i="2"/>
  <c r="BI132" i="2"/>
  <c r="BI175" i="2"/>
  <c r="BI180" i="2"/>
  <c r="BI182" i="2"/>
  <c r="BI116" i="2"/>
  <c r="BI79" i="2"/>
  <c r="BI102" i="2"/>
  <c r="BI58" i="2"/>
  <c r="BI136" i="2"/>
  <c r="BI38" i="2"/>
  <c r="BI167" i="2"/>
  <c r="BI55" i="2"/>
  <c r="BI119" i="2"/>
  <c r="BI61" i="2"/>
  <c r="BI59" i="2"/>
  <c r="BI5" i="2"/>
  <c r="BI96" i="2"/>
  <c r="BI131" i="2"/>
  <c r="BI185" i="2"/>
  <c r="BI72" i="2"/>
  <c r="BI196" i="2"/>
  <c r="BI19" i="2"/>
  <c r="BI45" i="2"/>
  <c r="BI186" i="2"/>
  <c r="BI177" i="2"/>
  <c r="BI71" i="2"/>
  <c r="BI139" i="2"/>
  <c r="BI100" i="2"/>
  <c r="BI169" i="2"/>
  <c r="BI152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<sst xmlns="http://schemas.openxmlformats.org/spreadsheetml/2006/main" count="1323" uniqueCount="408">
  <si>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</si>
  <si>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</si>
  <si>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</si>
  <si>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</si>
  <si>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</si>
  <si>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</si>
  <si>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</si>
  <si>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</si>
  <si>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</si>
  <si>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</si>
  <si>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</si>
  <si>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</si>
  <si>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</si>
  <si>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</si>
  <si>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</si>
  <si>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</si>
  <si>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</si>
  <si>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</si>
  <si>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</si>
  <si>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</si>
  <si>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</si>
  <si>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</si>
  <si>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</si>
  <si>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</si>
  <si>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</si>
  <si>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</si>
  <si>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</si>
  <si>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</si>
  <si>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</si>
  <si>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</si>
  <si>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</si>
  <si>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</si>
  <si>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</si>
  <si>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</si>
  <si>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</si>
  <si>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</si>
  <si>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</si>
  <si>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</si>
  <si>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</si>
  <si>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</si>
  <si>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</si>
  <si>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</si>
  <si>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</si>
  <si>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</si>
  <si>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</si>
  <si>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</si>
  <si>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</si>
  <si>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</si>
  <si>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</si>
  <si>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</si>
  <si>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</si>
  <si>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</si>
  <si>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</si>
  <si>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</si>
  <si>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</si>
  <si>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</si>
  <si>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</si>
  <si>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</si>
  <si>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</si>
  <si>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</si>
  <si>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</si>
  <si>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</si>
  <si>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</si>
  <si>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</si>
  <si>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</si>
  <si>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</si>
  <si>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</si>
  <si>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</si>
  <si>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</si>
  <si>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</si>
  <si>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</si>
  <si>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</si>
  <si>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</si>
  <si>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</si>
  <si>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</si>
  <si>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</si>
  <si>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</si>
  <si>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</si>
  <si>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</si>
  <si>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</si>
  <si>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</si>
  <si>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</si>
  <si>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</si>
  <si>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</si>
  <si>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</si>
  <si>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</si>
  <si>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</si>
  <si>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</si>
  <si>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</si>
  <si>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</si>
  <si>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</si>
  <si>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</si>
  <si>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</si>
  <si>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</si>
  <si>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</si>
  <si>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</si>
  <si>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</si>
  <si>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</si>
  <si>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</si>
  <si>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</si>
  <si>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</si>
  <si>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</si>
  <si>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</si>
  <si>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</si>
  <si>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</si>
  <si>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</si>
  <si>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</si>
  <si>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</si>
  <si>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</si>
  <si>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</si>
  <si>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</si>
  <si>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</si>
  <si>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</si>
  <si>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</si>
  <si>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</si>
  <si>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</si>
  <si>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</si>
  <si>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</si>
  <si>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</si>
  <si>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</si>
  <si>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</si>
  <si>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</si>
  <si>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</si>
  <si>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</si>
  <si>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</si>
  <si>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</si>
  <si>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</si>
  <si>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</si>
  <si>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</si>
  <si>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</si>
  <si>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</si>
  <si>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</si>
  <si>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</si>
  <si>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</si>
  <si>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</si>
  <si>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</si>
  <si>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</si>
  <si>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</si>
  <si>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</si>
  <si>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</si>
  <si>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</si>
  <si>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</si>
  <si>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</si>
  <si>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</si>
  <si>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</si>
  <si>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</si>
  <si>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</si>
  <si>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</si>
  <si>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</si>
  <si>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</si>
  <si>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</si>
  <si>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</si>
  <si>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</si>
  <si>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</si>
  <si>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</si>
  <si>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</si>
  <si>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</si>
  <si>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</si>
  <si>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</si>
  <si>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</si>
  <si>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</si>
  <si>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</si>
  <si>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</si>
  <si>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</si>
  <si>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</si>
  <si>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</si>
  <si>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</si>
  <si>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</si>
  <si>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</si>
  <si>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</si>
  <si>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</si>
  <si>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</si>
  <si>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</si>
  <si>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</si>
  <si>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</si>
  <si>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</si>
  <si>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</si>
  <si>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</si>
  <si>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</si>
  <si>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</si>
  <si>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</si>
  <si>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</si>
  <si>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</si>
  <si>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</si>
  <si>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</si>
  <si>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</si>
  <si>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</si>
  <si>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</si>
  <si>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</si>
  <si>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</si>
  <si>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</si>
  <si>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</si>
  <si>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</si>
  <si>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</si>
  <si>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</si>
  <si>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</si>
  <si>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</si>
  <si>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</si>
  <si>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</si>
  <si>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</si>
  <si>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</si>
  <si>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</si>
  <si>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</si>
  <si>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</si>
  <si>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</si>
  <si>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</si>
  <si>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</si>
  <si>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</si>
  <si>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</si>
  <si>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</si>
  <si>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</si>
  <si>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</si>
  <si>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</si>
  <si>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</si>
  <si>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</si>
  <si>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</si>
  <si>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</si>
  <si>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</si>
  <si>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</si>
  <si>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</si>
  <si>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</si>
  <si>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</si>
  <si>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</si>
  <si>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</si>
  <si>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</si>
  <si>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</si>
  <si>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</si>
  <si>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</si>
  <si>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</si>
  <si>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</si>
  <si>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</si>
  <si>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</si>
  <si>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</si>
  <si>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</si>
  <si>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</si>
  <si>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</si>
  <si>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</si>
  <si>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</si>
  <si>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</si>
  <si>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</si>
  <si>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</si>
  <si>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</si>
  <si>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</si>
  <si>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</si>
  <si>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</si>
  <si>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</si>
  <si>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</si>
  <si>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</si>
  <si>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</si>
  <si>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</si>
  <si>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</si>
  <si>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</si>
  <si>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</si>
  <si>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</si>
  <si>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</si>
  <si>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</si>
  <si>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</si>
  <si>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</si>
  <si>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</si>
  <si>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</si>
  <si>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</si>
  <si>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</si>
  <si>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</si>
  <si>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</si>
  <si>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</si>
  <si>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</si>
  <si>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</si>
  <si>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</si>
  <si>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</si>
  <si>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</si>
  <si>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</si>
  <si>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</si>
  <si>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</si>
  <si>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</si>
  <si>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</si>
  <si>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</si>
  <si>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</si>
  <si>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</si>
  <si>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</si>
  <si>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</si>
  <si>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</si>
  <si>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</si>
  <si>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</si>
  <si>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</si>
  <si>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</si>
  <si>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</si>
  <si>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</si>
  <si>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</si>
  <si>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</si>
  <si>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</si>
  <si>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</si>
  <si>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</si>
  <si>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</si>
  <si>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</si>
  <si>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</si>
  <si>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</si>
  <si>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</si>
  <si>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</si>
  <si>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</si>
  <si>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</si>
  <si>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</si>
  <si>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</si>
  <si>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</si>
  <si>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</si>
  <si>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</si>
  <si>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</si>
  <si>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</si>
  <si>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</si>
  <si>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</si>
  <si>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</si>
  <si>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</si>
  <si>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</si>
  <si>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</si>
  <si>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</si>
  <si>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</si>
  <si>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</si>
  <si>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</si>
  <si>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</si>
  <si>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</si>
  <si>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</si>
  <si>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</si>
  <si>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r>
      <rPr>
        <b/>
        <sz val="11"/>
        <color rgb="FF000000"/>
        <rFont val="Times New Roman"/>
      </rPr>
      <t>Infradensité (tMS/m</t>
    </r>
    <r>
      <rPr>
        <b/>
        <sz val="7"/>
        <color rgb="FF000000"/>
        <rFont val="Times New Roman"/>
      </rPr>
      <t>3</t>
    </r>
    <r>
      <rPr>
        <b/>
        <sz val="11"/>
        <color rgb="FF000000"/>
        <rFont val="Times New Roman"/>
      </rPr>
      <t xml:space="preserve">) </t>
    </r>
  </si>
  <si>
    <t>Type</t>
  </si>
  <si>
    <t>Valeur BO</t>
  </si>
  <si>
    <t>Valeur BI</t>
  </si>
  <si>
    <t>Valeur BE</t>
  </si>
  <si>
    <t xml:space="preserve">Alisier torminal </t>
  </si>
  <si>
    <t>Feuillus</t>
  </si>
  <si>
    <t xml:space="preserve">Arbousier </t>
  </si>
  <si>
    <t>??</t>
  </si>
  <si>
    <t xml:space="preserve">Aulne vert </t>
  </si>
  <si>
    <t xml:space="preserve">Grands aulnes </t>
  </si>
  <si>
    <t xml:space="preserve">Bouleaux </t>
  </si>
  <si>
    <t xml:space="preserve">Cèdre de l’Atlas </t>
  </si>
  <si>
    <t>Résineux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</si>
  <si>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</si>
  <si>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</si>
  <si>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</si>
  <si>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</si>
  <si>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</si>
  <si>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</si>
  <si>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</si>
  <si>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</si>
  <si>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</si>
  <si>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</si>
  <si>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</si>
  <si>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</si>
  <si>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</si>
  <si>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</si>
  <si>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</si>
  <si>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</si>
  <si>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</si>
  <si>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</si>
  <si>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</si>
  <si>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</si>
  <si>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</si>
  <si>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</si>
  <si>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</si>
  <si>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</si>
  <si>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</si>
  <si>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</si>
  <si>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</si>
  <si>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</si>
  <si>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</si>
  <si>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</si>
  <si>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</si>
  <si>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</si>
  <si>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</si>
  <si>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</si>
  <si>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</si>
  <si>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</si>
  <si>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>Peupliers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</si>
  <si>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</si>
  <si>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</si>
  <si>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</si>
  <si>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</si>
  <si>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</si>
  <si>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</si>
  <si>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>Pin Maritime intensif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</si>
  <si>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</si>
  <si>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</si>
  <si>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</si>
  <si>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</si>
  <si>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</si>
  <si>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</si>
  <si>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</si>
  <si>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</si>
  <si>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</si>
  <si>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</si>
  <si>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</si>
  <si>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</si>
  <si>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</si>
  <si>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</si>
  <si>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</si>
  <si>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</si>
  <si>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</si>
  <si>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</si>
  <si>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</si>
  <si>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</si>
  <si>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</si>
  <si>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</si>
  <si>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</si>
  <si>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</si>
  <si>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</si>
  <si>
    <t>l</t>
  </si>
  <si>
    <t>Pin Maritime</t>
  </si>
  <si>
    <t>Bouleau</t>
  </si>
  <si>
    <t>Chêne Pubescent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</si>
</sst>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  <numFmt numFmtId="169" formatCode="_-* #,##0.00\ _€_-;\-* #,##0.00\ _€_-;_-* &quot;-&quot;??\ _€_-;_-@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000000"/>
      <name val="Times New Roman"/>
    </font>
    <font>
      <b/>
      <sz val="7"/>
      <color rgb="FF000000"/>
      <name val="Times New Roman"/>
    </font>
    <font>
      <sz val="11"/>
      <color rgb="FF000000"/>
      <name val="Times New Roman"/>
    </font>
    <font>
      <b/>
      <sz val="11"/>
      <color rgb="FFFF0000"/>
      <name val="Times New Roman"/>
    </font>
    <font>
      <sz val="11"/>
      <color theme="1"/>
      <name val="Calibri"/>
    </font>
    <font>
      <b/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DEEAF6"/>
        <bgColor rgb="FFDEEAF6"/>
      </patternFill>
    </fill>
    <fill>
      <patternFill patternType="solid">
        <fgColor rgb="FFD9EAD3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8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168" fontId="0" fillId="14" borderId="1" xfId="0" quotePrefix="1" applyNumberFormat="1" applyFill="1" applyBorder="1" applyAlignment="1" applyProtection="1">
      <alignment horizontal="center" vertical="center"/>
      <protection locked="0"/>
    </xf>
    <xf numFmtId="0" fontId="32" fillId="0" borderId="0" xfId="0" applyFont="1" applyAlignment="1">
      <alignment vertical="center" wrapText="1"/>
    </xf>
    <xf numFmtId="169" fontId="32" fillId="0" borderId="0" xfId="0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164" fontId="35" fillId="0" borderId="0" xfId="0" applyNumberFormat="1" applyFont="1" applyAlignment="1">
      <alignment vertical="center" wrapText="1"/>
    </xf>
    <xf numFmtId="0" fontId="35" fillId="21" borderId="0" xfId="0" applyFont="1" applyFill="1" applyAlignment="1">
      <alignment vertical="center" wrapText="1"/>
    </xf>
    <xf numFmtId="0" fontId="34" fillId="22" borderId="0" xfId="0" applyFont="1" applyFill="1" applyAlignment="1">
      <alignment vertical="center"/>
    </xf>
    <xf numFmtId="0" fontId="34" fillId="22" borderId="0" xfId="0" applyFont="1" applyFill="1" applyAlignment="1">
      <alignment vertical="center" wrapText="1"/>
    </xf>
    <xf numFmtId="0" fontId="32" fillId="0" borderId="0" xfId="0" applyFont="1" applyAlignment="1">
      <alignment vertical="center"/>
    </xf>
    <xf numFmtId="0" fontId="36" fillId="0" borderId="0" xfId="0" applyFont="1"/>
    <xf numFmtId="0" fontId="9" fillId="14" borderId="54" xfId="0" applyFont="1" applyFill="1" applyBorder="1" applyAlignment="1" applyProtection="1">
      <alignment horizontal="center"/>
      <protection locked="0"/>
    </xf>
    <xf numFmtId="0" fontId="37" fillId="23" borderId="55" xfId="0" applyFont="1" applyFill="1" applyBorder="1" applyAlignment="1">
      <alignment wrapText="1"/>
    </xf>
    <xf numFmtId="0" fontId="37" fillId="23" borderId="0" xfId="0" applyFont="1" applyFill="1" applyAlignment="1">
      <alignment wrapText="1"/>
    </xf>
    <xf numFmtId="0" fontId="37" fillId="23" borderId="56" xfId="0" applyFont="1" applyFill="1" applyBorder="1" applyAlignment="1">
      <alignment wrapText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35" fillId="0" borderId="0" xfId="0" applyFont="1" applyFill="1" applyAlignment="1">
      <alignment vertical="center" wrapText="1"/>
    </xf>
  </cellXfs>
  <cellStyles count="3">
    <cellStyle name="Lien hypertexte" xfId="2" builtinId="8"/>
    <cellStyle name="Normal" xfId="0" builtinId="0"/>
    <cellStyle name="Pourcentage" xfId="1" builtinId="5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VAN-style" pivot="0" count="3">
      <tableStyleElement type="headerRow" dxfId="2"/>
      <tableStyleElement type="firstRowStripe" dxfId="1"/>
      <tableStyleElement type="secondRowStripe" dxfId="0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2.078719473181069</c:v>
                </c:pt>
                <c:pt idx="2">
                  <c:v>2.7865850129593706</c:v>
                </c:pt>
                <c:pt idx="3">
                  <c:v>3.7365077022044524</c:v>
                </c:pt>
                <c:pt idx="4">
                  <c:v>5.011584609853144</c:v>
                </c:pt>
                <c:pt idx="5">
                  <c:v>6.7235438343971579</c:v>
                </c:pt>
                <c:pt idx="6">
                  <c:v>9.0226426049322868</c:v>
                </c:pt>
                <c:pt idx="7">
                  <c:v>12.11099788282929</c:v>
                </c:pt>
                <c:pt idx="8">
                  <c:v>16.26054316500877</c:v>
                </c:pt>
                <c:pt idx="9">
                  <c:v>21.837221381121793</c:v>
                </c:pt>
                <c:pt idx="10">
                  <c:v>29.333585411901712</c:v>
                </c:pt>
                <c:pt idx="11">
                  <c:v>39.412735767507769</c:v>
                </c:pt>
                <c:pt idx="12">
                  <c:v>52.967548155187792</c:v>
                </c:pt>
                <c:pt idx="13">
                  <c:v>71.20052498655302</c:v>
                </c:pt>
                <c:pt idx="14">
                  <c:v>95.731469916676531</c:v>
                </c:pt>
                <c:pt idx="15">
                  <c:v>128.74270297836009</c:v>
                </c:pt>
                <c:pt idx="16">
                  <c:v>111.47133468645548</c:v>
                </c:pt>
                <c:pt idx="17">
                  <c:v>132.1377537828912</c:v>
                </c:pt>
                <c:pt idx="18">
                  <c:v>152.72601307009879</c:v>
                </c:pt>
                <c:pt idx="19">
                  <c:v>173.24815008510896</c:v>
                </c:pt>
                <c:pt idx="20">
                  <c:v>193.71310674706146</c:v>
                </c:pt>
                <c:pt idx="21">
                  <c:v>160.5264781284076</c:v>
                </c:pt>
                <c:pt idx="22">
                  <c:v>177.91580614039387</c:v>
                </c:pt>
                <c:pt idx="23">
                  <c:v>195.26527633967115</c:v>
                </c:pt>
                <c:pt idx="24">
                  <c:v>212.5789297342011</c:v>
                </c:pt>
                <c:pt idx="25">
                  <c:v>229.8600945354747</c:v>
                </c:pt>
                <c:pt idx="26">
                  <c:v>192.67816640336261</c:v>
                </c:pt>
                <c:pt idx="27">
                  <c:v>209.7386999787991</c:v>
                </c:pt>
                <c:pt idx="28">
                  <c:v>226.76721841993992</c:v>
                </c:pt>
                <c:pt idx="29">
                  <c:v>243.76646443655656</c:v>
                </c:pt>
                <c:pt idx="30">
                  <c:v>260.73876672061448</c:v>
                </c:pt>
                <c:pt idx="31">
                  <c:v>228.31377636185218</c:v>
                </c:pt>
                <c:pt idx="32">
                  <c:v>248.65509844799513</c:v>
                </c:pt>
                <c:pt idx="33">
                  <c:v>268.95867027637138</c:v>
                </c:pt>
                <c:pt idx="34">
                  <c:v>289.22774169786459</c:v>
                </c:pt>
                <c:pt idx="35">
                  <c:v>309.46506976031435</c:v>
                </c:pt>
                <c:pt idx="36">
                  <c:v>277.94272151523359</c:v>
                </c:pt>
                <c:pt idx="37">
                  <c:v>297.68502562639242</c:v>
                </c:pt>
                <c:pt idx="38">
                  <c:v>317.3981544360592</c:v>
                </c:pt>
                <c:pt idx="39">
                  <c:v>337.0841741791441</c:v>
                </c:pt>
                <c:pt idx="40">
                  <c:v>356.7448900832191</c:v>
                </c:pt>
                <c:pt idx="41">
                  <c:v>333.89015695374513</c:v>
                </c:pt>
                <c:pt idx="42">
                  <c:v>345.513196505407</c:v>
                </c:pt>
                <c:pt idx="43">
                  <c:v>357.12765071829654</c:v>
                </c:pt>
                <c:pt idx="44">
                  <c:v>368.73383823272394</c:v>
                </c:pt>
                <c:pt idx="45">
                  <c:v>380.33205598752232</c:v>
                </c:pt>
                <c:pt idx="46">
                  <c:v>391.92258132889089</c:v>
                </c:pt>
                <c:pt idx="47">
                  <c:v>403.50567385669837</c:v>
                </c:pt>
                <c:pt idx="48">
                  <c:v>415.08157704768911</c:v>
                </c:pt>
                <c:pt idx="49">
                  <c:v>426.65051968814277</c:v>
                </c:pt>
                <c:pt idx="50">
                  <c:v>438.21271714302702</c:v>
                </c:pt>
                <c:pt idx="51">
                  <c:v>411.64770468851765</c:v>
                </c:pt>
                <c:pt idx="52">
                  <c:v>423.2186894946729</c:v>
                </c:pt>
                <c:pt idx="53">
                  <c:v>434.78286654674861</c:v>
                </c:pt>
                <c:pt idx="54">
                  <c:v>446.34044245386031</c:v>
                </c:pt>
                <c:pt idx="55">
                  <c:v>457.89161225142408</c:v>
                </c:pt>
                <c:pt idx="56">
                  <c:v>469.43656033130043</c:v>
                </c:pt>
                <c:pt idx="57">
                  <c:v>480.97546127567165</c:v>
                </c:pt>
                <c:pt idx="58">
                  <c:v>492.50848060673246</c:v>
                </c:pt>
                <c:pt idx="59">
                  <c:v>504.03577546250631</c:v>
                </c:pt>
                <c:pt idx="60">
                  <c:v>515.55749520762708</c:v>
                </c:pt>
                <c:pt idx="61">
                  <c:v>6.8067219078872727E-12</c:v>
                </c:pt>
                <c:pt idx="62">
                  <c:v>6.8067219078872727E-12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54.4082315257725</c:v>
                </c:pt>
                <c:pt idx="17">
                  <c:v>65.607254438518083</c:v>
                </c:pt>
                <c:pt idx="18">
                  <c:v>76.756782812610467</c:v>
                </c:pt>
                <c:pt idx="19">
                  <c:v>87.865047096170201</c:v>
                </c:pt>
                <c:pt idx="20">
                  <c:v>98.938013551923504</c:v>
                </c:pt>
                <c:pt idx="21">
                  <c:v>92.512559752041952</c:v>
                </c:pt>
                <c:pt idx="22">
                  <c:v>100.36445826608774</c:v>
                </c:pt>
                <c:pt idx="23">
                  <c:v>108.20112627091545</c:v>
                </c:pt>
                <c:pt idx="24">
                  <c:v>116.02382448588564</c:v>
                </c:pt>
                <c:pt idx="25">
                  <c:v>123.83362931472317</c:v>
                </c:pt>
                <c:pt idx="26">
                  <c:v>116.73432460418324</c:v>
                </c:pt>
                <c:pt idx="27">
                  <c:v>125.60688557852342</c:v>
                </c:pt>
                <c:pt idx="28">
                  <c:v>134.46424353098067</c:v>
                </c:pt>
                <c:pt idx="29">
                  <c:v>143.30754256422122</c:v>
                </c:pt>
                <c:pt idx="30">
                  <c:v>152.13777377111367</c:v>
                </c:pt>
                <c:pt idx="31">
                  <c:v>143.30754256422122</c:v>
                </c:pt>
                <c:pt idx="32">
                  <c:v>152.13777377111367</c:v>
                </c:pt>
                <c:pt idx="33">
                  <c:v>160.95580359158967</c:v>
                </c:pt>
                <c:pt idx="34">
                  <c:v>169.76239561427801</c:v>
                </c:pt>
                <c:pt idx="35">
                  <c:v>178.55822760704461</c:v>
                </c:pt>
                <c:pt idx="36">
                  <c:v>169.41034278527829</c:v>
                </c:pt>
                <c:pt idx="37">
                  <c:v>177.85494234060425</c:v>
                </c:pt>
                <c:pt idx="38">
                  <c:v>186.29014136595836</c:v>
                </c:pt>
                <c:pt idx="39">
                  <c:v>194.71642608832357</c:v>
                </c:pt>
                <c:pt idx="40">
                  <c:v>203.13423715529464</c:v>
                </c:pt>
                <c:pt idx="41">
                  <c:v>192.61066580735999</c:v>
                </c:pt>
                <c:pt idx="42">
                  <c:v>201.38120500067484</c:v>
                </c:pt>
                <c:pt idx="43">
                  <c:v>210.14289721932326</c:v>
                </c:pt>
                <c:pt idx="44">
                  <c:v>218.89616376079505</c:v>
                </c:pt>
                <c:pt idx="45">
                  <c:v>227.64138943591365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5.421030793965155</c:v>
                </c:pt>
                <c:pt idx="2">
                  <c:v>10.593228152666363</c:v>
                </c:pt>
                <c:pt idx="3">
                  <c:v>15.685064802434397</c:v>
                </c:pt>
                <c:pt idx="4">
                  <c:v>20.72736524142859</c:v>
                </c:pt>
                <c:pt idx="5">
                  <c:v>25.734100142708613</c:v>
                </c:pt>
                <c:pt idx="6">
                  <c:v>30.71323896147959</c:v>
                </c:pt>
                <c:pt idx="7">
                  <c:v>35.669919297368793</c:v>
                </c:pt>
                <c:pt idx="8">
                  <c:v>40.607719691348933</c:v>
                </c:pt>
                <c:pt idx="9">
                  <c:v>45.529270416557658</c:v>
                </c:pt>
                <c:pt idx="10">
                  <c:v>50.436582950920531</c:v>
                </c:pt>
                <c:pt idx="11">
                  <c:v>55.331243197007772</c:v>
                </c:pt>
                <c:pt idx="12">
                  <c:v>60.214532172894138</c:v>
                </c:pt>
                <c:pt idx="13">
                  <c:v>65.087505218799393</c:v>
                </c:pt>
                <c:pt idx="14">
                  <c:v>69.951046091814831</c:v>
                </c:pt>
                <c:pt idx="15">
                  <c:v>74.805905144040807</c:v>
                </c:pt>
                <c:pt idx="16">
                  <c:v>79.65272702051341</c:v>
                </c:pt>
                <c:pt idx="17">
                  <c:v>84.492071231207262</c:v>
                </c:pt>
                <c:pt idx="18">
                  <c:v>89.324427742908711</c:v>
                </c:pt>
                <c:pt idx="19">
                  <c:v>94.150229006893596</c:v>
                </c:pt>
                <c:pt idx="20">
                  <c:v>98.969859382226218</c:v>
                </c:pt>
                <c:pt idx="21">
                  <c:v>103.78366262083948</c:v>
                </c:pt>
                <c:pt idx="22">
                  <c:v>108.59194788648983</c:v>
                </c:pt>
                <c:pt idx="23">
                  <c:v>113.39499464842184</c:v>
                </c:pt>
                <c:pt idx="24">
                  <c:v>118.19305669994577</c:v>
                </c:pt>
                <c:pt idx="25">
                  <c:v>122.98636548838016</c:v>
                </c:pt>
                <c:pt idx="26">
                  <c:v>127.77513289720537</c:v>
                </c:pt>
                <c:pt idx="27">
                  <c:v>132.55955358815487</c:v>
                </c:pt>
                <c:pt idx="28">
                  <c:v>137.33980698657572</c:v>
                </c:pt>
                <c:pt idx="29">
                  <c:v>142.1160589751963</c:v>
                </c:pt>
                <c:pt idx="30">
                  <c:v>146.88846334770702</c:v>
                </c:pt>
                <c:pt idx="31">
                  <c:v>151.65716306308596</c:v>
                </c:pt>
                <c:pt idx="32">
                  <c:v>156.42229133352976</c:v>
                </c:pt>
                <c:pt idx="33">
                  <c:v>161.18397257257254</c:v>
                </c:pt>
                <c:pt idx="34">
                  <c:v>165.9423232250526</c:v>
                </c:pt>
                <c:pt idx="35">
                  <c:v>170.69745249669219</c:v>
                </c:pt>
                <c:pt idx="36">
                  <c:v>175.44946299795288</c:v>
                </c:pt>
                <c:pt idx="37">
                  <c:v>180.19845131434079</c:v>
                </c:pt>
                <c:pt idx="38">
                  <c:v>184.94450851332246</c:v>
                </c:pt>
                <c:pt idx="39">
                  <c:v>189.68772059638104</c:v>
                </c:pt>
                <c:pt idx="40">
                  <c:v>194.42816890340285</c:v>
                </c:pt>
                <c:pt idx="41">
                  <c:v>199.16593047548631</c:v>
                </c:pt>
                <c:pt idx="42">
                  <c:v>203.90107838135944</c:v>
                </c:pt>
                <c:pt idx="43">
                  <c:v>208.63368201183309</c:v>
                </c:pt>
                <c:pt idx="44">
                  <c:v>213.3638073460925</c:v>
                </c:pt>
                <c:pt idx="45">
                  <c:v>218.09151719309725</c:v>
                </c:pt>
                <c:pt idx="46">
                  <c:v>222.81687141091859</c:v>
                </c:pt>
                <c:pt idx="47">
                  <c:v>227.53992710646682</c:v>
                </c:pt>
                <c:pt idx="48">
                  <c:v>232.26073881773922</c:v>
                </c:pt>
                <c:pt idx="49">
                  <c:v>236.97935868045394</c:v>
                </c:pt>
                <c:pt idx="50">
                  <c:v>241.69583658069553</c:v>
                </c:pt>
                <c:pt idx="51">
                  <c:v>246.41022029500422</c:v>
                </c:pt>
                <c:pt idx="52">
                  <c:v>251.12255561916814</c:v>
                </c:pt>
                <c:pt idx="53">
                  <c:v>255.83288648682719</c:v>
                </c:pt>
                <c:pt idx="54">
                  <c:v>260.54125507887341</c:v>
                </c:pt>
                <c:pt idx="55">
                  <c:v>265.24770192451803</c:v>
                </c:pt>
                <c:pt idx="56">
                  <c:v>269.9522659948002</c:v>
                </c:pt>
                <c:pt idx="57">
                  <c:v>218.95084600867349</c:v>
                </c:pt>
                <c:pt idx="58">
                  <c:v>231.24653615719913</c:v>
                </c:pt>
                <c:pt idx="59">
                  <c:v>243.52728965710412</c:v>
                </c:pt>
                <c:pt idx="60">
                  <c:v>255.79396623104984</c:v>
                </c:pt>
                <c:pt idx="61">
                  <c:v>268.04733635899896</c:v>
                </c:pt>
                <c:pt idx="62">
                  <c:v>280.28809428578745</c:v>
                </c:pt>
                <c:pt idx="63">
                  <c:v>292.51686863555472</c:v>
                </c:pt>
                <c:pt idx="64">
                  <c:v>304.734231157019</c:v>
                </c:pt>
                <c:pt idx="65">
                  <c:v>245.70903779858475</c:v>
                </c:pt>
                <c:pt idx="66">
                  <c:v>256.33883762489904</c:v>
                </c:pt>
                <c:pt idx="67">
                  <c:v>266.95866833431609</c:v>
                </c:pt>
                <c:pt idx="68">
                  <c:v>277.56898266245986</c:v>
                </c:pt>
                <c:pt idx="69">
                  <c:v>288.17019588234376</c:v>
                </c:pt>
                <c:pt idx="70">
                  <c:v>298.76269019823678</c:v>
                </c:pt>
                <c:pt idx="71">
                  <c:v>309.34681848337613</c:v>
                </c:pt>
                <c:pt idx="72">
                  <c:v>319.92290747907731</c:v>
                </c:pt>
                <c:pt idx="73">
                  <c:v>273.33806197781428</c:v>
                </c:pt>
                <c:pt idx="74">
                  <c:v>283.24823216852855</c:v>
                </c:pt>
                <c:pt idx="75">
                  <c:v>293.15063733120496</c:v>
                </c:pt>
                <c:pt idx="76">
                  <c:v>303.04557691994938</c:v>
                </c:pt>
                <c:pt idx="77">
                  <c:v>312.93332922365431</c:v>
                </c:pt>
                <c:pt idx="78">
                  <c:v>322.81415349793821</c:v>
                </c:pt>
                <c:pt idx="79">
                  <c:v>332.68829182226784</c:v>
                </c:pt>
                <c:pt idx="80">
                  <c:v>342.55597072496533</c:v>
                </c:pt>
                <c:pt idx="81">
                  <c:v>352.41740261109891</c:v>
                </c:pt>
                <c:pt idx="82">
                  <c:v>303.52807087420672</c:v>
                </c:pt>
                <c:pt idx="83">
                  <c:v>313.17440634860293</c:v>
                </c:pt>
                <c:pt idx="84">
                  <c:v>322.81415349793821</c:v>
                </c:pt>
                <c:pt idx="85">
                  <c:v>332.44753692321484</c:v>
                </c:pt>
                <c:pt idx="86">
                  <c:v>342.07476713829465</c:v>
                </c:pt>
                <c:pt idx="87">
                  <c:v>351.69604183365294</c:v>
                </c:pt>
                <c:pt idx="88">
                  <c:v>361.31154699455379</c:v>
                </c:pt>
                <c:pt idx="89">
                  <c:v>370.92145789392771</c:v>
                </c:pt>
                <c:pt idx="90">
                  <c:v>380.5259399769397</c:v>
                </c:pt>
                <c:pt idx="91">
                  <c:v>333.65127303114576</c:v>
                </c:pt>
                <c:pt idx="92">
                  <c:v>343.03715944917622</c:v>
                </c:pt>
                <c:pt idx="93">
                  <c:v>352.41740261109913</c:v>
                </c:pt>
                <c:pt idx="94">
                  <c:v>361.79217398953114</c:v>
                </c:pt>
                <c:pt idx="95">
                  <c:v>371.16163544045133</c:v>
                </c:pt>
                <c:pt idx="96">
                  <c:v>380.52593997693975</c:v>
                </c:pt>
                <c:pt idx="97">
                  <c:v>389.88523246274684</c:v>
                </c:pt>
                <c:pt idx="98">
                  <c:v>399.23965023576716</c:v>
                </c:pt>
                <c:pt idx="99">
                  <c:v>408.5893236700112</c:v>
                </c:pt>
                <c:pt idx="100">
                  <c:v>362.03248224980388</c:v>
                </c:pt>
                <c:pt idx="101">
                  <c:v>371.64198036591318</c:v>
                </c:pt>
                <c:pt idx="102">
                  <c:v>381.24606170046491</c:v>
                </c:pt>
                <c:pt idx="103">
                  <c:v>390.84488201315349</c:v>
                </c:pt>
                <c:pt idx="104">
                  <c:v>400.43858878529392</c:v>
                </c:pt>
                <c:pt idx="105">
                  <c:v>410.02732185188546</c:v>
                </c:pt>
                <c:pt idx="106">
                  <c:v>419.61121397144865</c:v>
                </c:pt>
                <c:pt idx="107">
                  <c:v>429.19039134107476</c:v>
                </c:pt>
                <c:pt idx="108">
                  <c:v>438.76497406308562</c:v>
                </c:pt>
                <c:pt idx="109">
                  <c:v>391.32468760597948</c:v>
                </c:pt>
                <c:pt idx="110">
                  <c:v>399.95902270499636</c:v>
                </c:pt>
                <c:pt idx="111">
                  <c:v>408.58932367001148</c:v>
                </c:pt>
                <c:pt idx="112">
                  <c:v>417.21568777135036</c:v>
                </c:pt>
                <c:pt idx="113">
                  <c:v>425.83820792683832</c:v>
                </c:pt>
                <c:pt idx="114">
                  <c:v>434.45697298266305</c:v>
                </c:pt>
                <c:pt idx="115">
                  <c:v>443.07206797078396</c:v>
                </c:pt>
                <c:pt idx="116">
                  <c:v>451.6835743452703</c:v>
                </c:pt>
                <c:pt idx="117">
                  <c:v>460.29157019967369</c:v>
                </c:pt>
                <c:pt idx="118">
                  <c:v>468.89613046728874</c:v>
                </c:pt>
                <c:pt idx="119">
                  <c:v>421.52742269713502</c:v>
                </c:pt>
                <c:pt idx="120">
                  <c:v>432.30262904622208</c:v>
                </c:pt>
                <c:pt idx="121">
                  <c:v>443.07206797078396</c:v>
                </c:pt>
                <c:pt idx="122">
                  <c:v>453.83589944051192</c:v>
                </c:pt>
                <c:pt idx="123">
                  <c:v>464.59427521679453</c:v>
                </c:pt>
                <c:pt idx="124">
                  <c:v>475.34733945827946</c:v>
                </c:pt>
                <c:pt idx="125">
                  <c:v>486.0952292687864</c:v>
                </c:pt>
                <c:pt idx="126">
                  <c:v>496.83807519423544</c:v>
                </c:pt>
                <c:pt idx="127">
                  <c:v>507.57600167436016</c:v>
                </c:pt>
                <c:pt idx="128">
                  <c:v>518.30912745420881</c:v>
                </c:pt>
                <c:pt idx="129">
                  <c:v>529.03756595978666</c:v>
                </c:pt>
                <c:pt idx="130">
                  <c:v>457.60194401336412</c:v>
                </c:pt>
                <c:pt idx="131">
                  <c:v>467.82074583035995</c:v>
                </c:pt>
                <c:pt idx="132">
                  <c:v>478.03479180591131</c:v>
                </c:pt>
                <c:pt idx="133">
                  <c:v>488.24419789740023</c:v>
                </c:pt>
                <c:pt idx="134">
                  <c:v>498.44907481660238</c:v>
                </c:pt>
                <c:pt idx="135">
                  <c:v>508.64952837181994</c:v>
                </c:pt>
                <c:pt idx="136">
                  <c:v>518.84565978113972</c:v>
                </c:pt>
                <c:pt idx="137">
                  <c:v>529.03756595978666</c:v>
                </c:pt>
                <c:pt idx="138">
                  <c:v>539.22533978418471</c:v>
                </c:pt>
                <c:pt idx="139">
                  <c:v>549.40907033502128</c:v>
                </c:pt>
                <c:pt idx="140">
                  <c:v>559.58884312135831</c:v>
                </c:pt>
                <c:pt idx="141">
                  <c:v>569.76474028758696</c:v>
                </c:pt>
                <c:pt idx="142">
                  <c:v>498.62806796050086</c:v>
                </c:pt>
                <c:pt idx="143">
                  <c:v>509.00735995707601</c:v>
                </c:pt>
                <c:pt idx="144">
                  <c:v>519.3821804047592</c:v>
                </c:pt>
                <c:pt idx="145">
                  <c:v>529.75263121852197</c:v>
                </c:pt>
                <c:pt idx="146">
                  <c:v>540.11880999768562</c:v>
                </c:pt>
                <c:pt idx="147">
                  <c:v>550.48081028975776</c:v>
                </c:pt>
                <c:pt idx="148">
                  <c:v>560.83872183337007</c:v>
                </c:pt>
                <c:pt idx="149">
                  <c:v>571.19263078233803</c:v>
                </c:pt>
                <c:pt idx="150">
                  <c:v>581.54261991263525</c:v>
                </c:pt>
                <c:pt idx="151">
                  <c:v>591.88876881386602</c:v>
                </c:pt>
                <c:pt idx="152">
                  <c:v>602.23115406665841</c:v>
                </c:pt>
                <c:pt idx="153">
                  <c:v>612.56984940724237</c:v>
                </c:pt>
                <c:pt idx="154">
                  <c:v>537.43830596997316</c:v>
                </c:pt>
                <c:pt idx="155">
                  <c:v>547.98001550025299</c:v>
                </c:pt>
                <c:pt idx="156">
                  <c:v>558.51747199808881</c:v>
                </c:pt>
                <c:pt idx="157">
                  <c:v>569.05076700998472</c:v>
                </c:pt>
                <c:pt idx="158">
                  <c:v>579.57998841728124</c:v>
                </c:pt>
                <c:pt idx="159">
                  <c:v>590.10522064822851</c:v>
                </c:pt>
                <c:pt idx="160">
                  <c:v>600.62654487414477</c:v>
                </c:pt>
                <c:pt idx="161">
                  <c:v>611.14403919111999</c:v>
                </c:pt>
                <c:pt idx="162">
                  <c:v>621.65777878856306</c:v>
                </c:pt>
                <c:pt idx="163">
                  <c:v>632.16783610575862</c:v>
                </c:pt>
                <c:pt idx="164">
                  <c:v>642.67428097747325</c:v>
                </c:pt>
                <c:pt idx="165">
                  <c:v>653.17718076954941</c:v>
                </c:pt>
                <c:pt idx="166">
                  <c:v>578.50940373993501</c:v>
                </c:pt>
                <c:pt idx="167">
                  <c:v>589.39176997100469</c:v>
                </c:pt>
                <c:pt idx="168">
                  <c:v>600.26995296135362</c:v>
                </c:pt>
                <c:pt idx="169">
                  <c:v>611.14403919111999</c:v>
                </c:pt>
                <c:pt idx="170">
                  <c:v>622.01411181268463</c:v>
                </c:pt>
                <c:pt idx="171">
                  <c:v>632.88025083586831</c:v>
                </c:pt>
                <c:pt idx="172">
                  <c:v>643.74253329975511</c:v>
                </c:pt>
                <c:pt idx="173">
                  <c:v>654.60103343232061</c:v>
                </c:pt>
                <c:pt idx="174">
                  <c:v>665.45582279892108</c:v>
                </c:pt>
                <c:pt idx="175">
                  <c:v>676.30697044059355</c:v>
                </c:pt>
                <c:pt idx="176">
                  <c:v>687.15454300302474</c:v>
                </c:pt>
                <c:pt idx="177">
                  <c:v>697.99860485695547</c:v>
                </c:pt>
                <c:pt idx="178">
                  <c:v>670.97079130450425</c:v>
                </c:pt>
                <c:pt idx="179">
                  <c:v>727.13619988068251</c:v>
                </c:pt>
                <c:pt idx="180">
                  <c:v>783.21318247934266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1.4446494747924661</c:v>
                </c:pt>
                <c:pt idx="2">
                  <c:v>1.7032179941020262</c:v>
                </c:pt>
                <c:pt idx="3">
                  <c:v>2.0082412457544763</c:v>
                </c:pt>
                <c:pt idx="4">
                  <c:v>2.3680951937653405</c:v>
                </c:pt>
                <c:pt idx="5">
                  <c:v>2.7926710865029833</c:v>
                </c:pt>
                <c:pt idx="6">
                  <c:v>3.2936504415475194</c:v>
                </c:pt>
                <c:pt idx="7">
                  <c:v>3.8848300775960793</c:v>
                </c:pt>
                <c:pt idx="8">
                  <c:v>4.5825063262069596</c:v>
                </c:pt>
                <c:pt idx="9">
                  <c:v>5.4059292268305654</c:v>
                </c:pt>
                <c:pt idx="10">
                  <c:v>6.377839485521748</c:v>
                </c:pt>
                <c:pt idx="11">
                  <c:v>7.5251033172333761</c:v>
                </c:pt>
                <c:pt idx="12">
                  <c:v>8.8794630602777733</c:v>
                </c:pt>
                <c:pt idx="13">
                  <c:v>10.478424728298359</c:v>
                </c:pt>
                <c:pt idx="14">
                  <c:v>12.366307543331528</c:v>
                </c:pt>
                <c:pt idx="15">
                  <c:v>14.595485083876353</c:v>
                </c:pt>
                <c:pt idx="16">
                  <c:v>17.227853115323715</c:v>
                </c:pt>
                <c:pt idx="17">
                  <c:v>20.336565601761166</c:v>
                </c:pt>
                <c:pt idx="18">
                  <c:v>24.008088011793529</c:v>
                </c:pt>
                <c:pt idx="19">
                  <c:v>28.34462604420094</c:v>
                </c:pt>
                <c:pt idx="20">
                  <c:v>33.466998569717767</c:v>
                </c:pt>
                <c:pt idx="21">
                  <c:v>39.518036218216324</c:v>
                </c:pt>
                <c:pt idx="22">
                  <c:v>46.666601997687287</c:v>
                </c:pt>
                <c:pt idx="23">
                  <c:v>55.112348040911343</c:v>
                </c:pt>
                <c:pt idx="24">
                  <c:v>65.091343544944792</c:v>
                </c:pt>
                <c:pt idx="25">
                  <c:v>76.882733798474405</c:v>
                </c:pt>
                <c:pt idx="26">
                  <c:v>90.816619594682138</c:v>
                </c:pt>
                <c:pt idx="27">
                  <c:v>107.28338114591146</c:v>
                </c:pt>
                <c:pt idx="28">
                  <c:v>126.74471185035777</c:v>
                </c:pt>
                <c:pt idx="29">
                  <c:v>149.74667609401612</c:v>
                </c:pt>
                <c:pt idx="30">
                  <c:v>176.93516310576453</c:v>
                </c:pt>
                <c:pt idx="31">
                  <c:v>146.43353271796309</c:v>
                </c:pt>
                <c:pt idx="32">
                  <c:v>156.61609434461207</c:v>
                </c:pt>
                <c:pt idx="33">
                  <c:v>166.78293977832863</c:v>
                </c:pt>
                <c:pt idx="34">
                  <c:v>176.93516310576453</c:v>
                </c:pt>
                <c:pt idx="35">
                  <c:v>187.07372242622981</c:v>
                </c:pt>
                <c:pt idx="36">
                  <c:v>197.19946337106239</c:v>
                </c:pt>
                <c:pt idx="37">
                  <c:v>207.31313753029789</c:v>
                </c:pt>
                <c:pt idx="38">
                  <c:v>217.41541708927389</c:v>
                </c:pt>
                <c:pt idx="39">
                  <c:v>227.50690659831915</c:v>
                </c:pt>
                <c:pt idx="40">
                  <c:v>237.58815254200749</c:v>
                </c:pt>
                <c:pt idx="41">
                  <c:v>207.31313753029789</c:v>
                </c:pt>
                <c:pt idx="42">
                  <c:v>217.41541708927389</c:v>
                </c:pt>
                <c:pt idx="43">
                  <c:v>227.50690659831915</c:v>
                </c:pt>
                <c:pt idx="44">
                  <c:v>237.58815254200749</c:v>
                </c:pt>
                <c:pt idx="45">
                  <c:v>247.65965119723435</c:v>
                </c:pt>
                <c:pt idx="46">
                  <c:v>257.72185514470988</c:v>
                </c:pt>
                <c:pt idx="47">
                  <c:v>267.77517870928631</c:v>
                </c:pt>
                <c:pt idx="48">
                  <c:v>277.82000253977031</c:v>
                </c:pt>
                <c:pt idx="49">
                  <c:v>287.85667749117107</c:v>
                </c:pt>
                <c:pt idx="50">
                  <c:v>297.88552793675632</c:v>
                </c:pt>
                <c:pt idx="51">
                  <c:v>267.77517870928631</c:v>
                </c:pt>
                <c:pt idx="52">
                  <c:v>277.82000253977031</c:v>
                </c:pt>
                <c:pt idx="53">
                  <c:v>287.85667749117107</c:v>
                </c:pt>
                <c:pt idx="54">
                  <c:v>297.88552793675632</c:v>
                </c:pt>
                <c:pt idx="55">
                  <c:v>307.90685461043864</c:v>
                </c:pt>
                <c:pt idx="56">
                  <c:v>317.92093705953039</c:v>
                </c:pt>
                <c:pt idx="57">
                  <c:v>327.92803577212442</c:v>
                </c:pt>
                <c:pt idx="58">
                  <c:v>337.92839403108081</c:v>
                </c:pt>
                <c:pt idx="59">
                  <c:v>347.92223953697521</c:v>
                </c:pt>
                <c:pt idx="60">
                  <c:v>357.90978583474595</c:v>
                </c:pt>
                <c:pt idx="61">
                  <c:v>326.92763310831185</c:v>
                </c:pt>
                <c:pt idx="62">
                  <c:v>335.9288504736034</c:v>
                </c:pt>
                <c:pt idx="63">
                  <c:v>344.92475675838381</c:v>
                </c:pt>
                <c:pt idx="64">
                  <c:v>353.9155101038445</c:v>
                </c:pt>
                <c:pt idx="65">
                  <c:v>362.90125995557429</c:v>
                </c:pt>
                <c:pt idx="66">
                  <c:v>371.88214774985948</c:v>
                </c:pt>
                <c:pt idx="67">
                  <c:v>380.85830753019786</c:v>
                </c:pt>
                <c:pt idx="68">
                  <c:v>389.82986650263297</c:v>
                </c:pt>
                <c:pt idx="69">
                  <c:v>398.79694553728069</c:v>
                </c:pt>
                <c:pt idx="70">
                  <c:v>407.75965962237683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UBIN/Desktop/VAN-Re&#769;fe&#769;rence%20valeur%20BI%20BO%20B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N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le_7" displayName="Table_7" ref="B2:G68">
  <tableColumns count="6">
    <tableColumn id="1" name="l"/>
    <tableColumn id="2" name="Infradensité (tMS/m3) "/>
    <tableColumn id="3" name="Type"/>
    <tableColumn id="4" name="Valeur BO"/>
    <tableColumn id="5" name="Valeur BI"/>
    <tableColumn id="6" name="Valeur BE"/>
  </tableColumns>
  <tableStyleInfo name="VAN-style" showFirstColumn="1" showLastColumn="1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C35" sqref="C35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96" t="s">
        <v>292</v>
      </c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</row>
    <row r="13" spans="2:13" ht="15" customHeight="1" x14ac:dyDescent="0.3">
      <c r="B13" s="296"/>
      <c r="C13" s="296"/>
      <c r="D13" s="296"/>
      <c r="E13" s="296"/>
      <c r="F13" s="296"/>
      <c r="G13" s="296"/>
      <c r="H13" s="296"/>
      <c r="I13" s="296"/>
      <c r="J13" s="296"/>
      <c r="K13" s="296"/>
      <c r="L13" s="296"/>
      <c r="M13" s="296"/>
    </row>
    <row r="14" spans="2:13" ht="15" customHeight="1" x14ac:dyDescent="0.3">
      <c r="B14" s="296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</row>
    <row r="15" spans="2:13" ht="18.75" customHeight="1" x14ac:dyDescent="0.3">
      <c r="B15" s="296"/>
      <c r="C15" s="296"/>
      <c r="D15" s="296"/>
      <c r="E15" s="296"/>
      <c r="F15" s="296"/>
      <c r="G15" s="296"/>
      <c r="H15" s="296"/>
      <c r="I15" s="296"/>
      <c r="J15" s="296"/>
      <c r="K15" s="296"/>
      <c r="L15" s="296"/>
      <c r="M15" s="296"/>
    </row>
    <row r="16" spans="2:13" ht="18.75" customHeight="1" x14ac:dyDescent="0.3"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</row>
    <row r="18" spans="2:13" ht="12" customHeight="1" x14ac:dyDescent="0.3">
      <c r="B18" s="296" t="s">
        <v>293</v>
      </c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</row>
    <row r="19" spans="2:13" ht="12" customHeight="1" x14ac:dyDescent="0.3">
      <c r="B19" s="296"/>
      <c r="C19" s="296"/>
      <c r="D19" s="296"/>
      <c r="E19" s="296"/>
      <c r="F19" s="296"/>
      <c r="G19" s="296"/>
      <c r="H19" s="296"/>
      <c r="I19" s="296"/>
      <c r="J19" s="296"/>
      <c r="K19" s="296"/>
      <c r="L19" s="296"/>
      <c r="M19" s="296"/>
    </row>
    <row r="20" spans="2:13" ht="12" customHeight="1" x14ac:dyDescent="0.3">
      <c r="B20" s="296"/>
      <c r="C20" s="296"/>
      <c r="D20" s="296"/>
      <c r="E20" s="296"/>
      <c r="F20" s="296"/>
      <c r="G20" s="296"/>
      <c r="H20" s="296"/>
      <c r="I20" s="296"/>
      <c r="J20" s="296"/>
      <c r="K20" s="296"/>
      <c r="L20" s="296"/>
      <c r="M20" s="296"/>
    </row>
    <row r="21" spans="2:13" ht="12" customHeight="1" x14ac:dyDescent="0.3">
      <c r="B21" s="296"/>
      <c r="C21" s="296"/>
      <c r="D21" s="296"/>
      <c r="E21" s="296"/>
      <c r="F21" s="296"/>
      <c r="G21" s="296"/>
      <c r="H21" s="296"/>
      <c r="I21" s="296"/>
      <c r="J21" s="296"/>
      <c r="K21" s="296"/>
      <c r="L21" s="296"/>
      <c r="M21" s="296"/>
    </row>
    <row r="22" spans="2:13" ht="12" customHeight="1" x14ac:dyDescent="0.3">
      <c r="B22" s="296"/>
      <c r="C22" s="296"/>
      <c r="D22" s="296"/>
      <c r="E22" s="296"/>
      <c r="F22" s="296"/>
      <c r="G22" s="296"/>
      <c r="H22" s="296"/>
      <c r="I22" s="296"/>
      <c r="J22" s="296"/>
      <c r="K22" s="296"/>
      <c r="L22" s="296"/>
      <c r="M22" s="296"/>
    </row>
    <row r="23" spans="2:13" ht="12" customHeight="1" x14ac:dyDescent="0.3">
      <c r="B23" s="296"/>
      <c r="C23" s="296"/>
      <c r="D23" s="296"/>
      <c r="E23" s="296"/>
      <c r="F23" s="296"/>
      <c r="G23" s="296"/>
      <c r="H23" s="296"/>
      <c r="I23" s="296"/>
      <c r="J23" s="296"/>
      <c r="K23" s="296"/>
      <c r="L23" s="296"/>
      <c r="M23" s="296"/>
    </row>
    <row r="24" spans="2:13" ht="12" customHeight="1" x14ac:dyDescent="0.3">
      <c r="B24" s="296"/>
      <c r="C24" s="296"/>
      <c r="D24" s="296"/>
      <c r="E24" s="296"/>
      <c r="F24" s="296"/>
      <c r="G24" s="296"/>
      <c r="H24" s="296"/>
      <c r="I24" s="296"/>
      <c r="J24" s="296"/>
      <c r="K24" s="296"/>
      <c r="L24" s="296"/>
      <c r="M24" s="296"/>
    </row>
    <row r="25" spans="2:13" ht="12" customHeight="1" x14ac:dyDescent="0.3">
      <c r="B25" s="296"/>
      <c r="C25" s="296"/>
      <c r="D25" s="296"/>
      <c r="E25" s="296"/>
      <c r="F25" s="296"/>
      <c r="G25" s="296"/>
      <c r="H25" s="296"/>
      <c r="I25" s="296"/>
      <c r="J25" s="296"/>
      <c r="K25" s="296"/>
      <c r="L25" s="296"/>
      <c r="M25" s="296"/>
    </row>
    <row r="26" spans="2:13" ht="12" customHeight="1" x14ac:dyDescent="0.3">
      <c r="B26" s="296"/>
      <c r="C26" s="296"/>
      <c r="D26" s="296"/>
      <c r="E26" s="296"/>
      <c r="F26" s="296"/>
      <c r="G26" s="296"/>
      <c r="H26" s="296"/>
      <c r="I26" s="296"/>
      <c r="J26" s="296"/>
      <c r="K26" s="296"/>
      <c r="L26" s="296"/>
      <c r="M26" s="296"/>
    </row>
    <row r="27" spans="2:13" ht="12" customHeight="1" x14ac:dyDescent="0.3">
      <c r="B27" s="296"/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</row>
    <row r="28" spans="2:13" ht="12" customHeight="1" x14ac:dyDescent="0.3">
      <c r="B28" s="296"/>
      <c r="C28" s="296"/>
      <c r="D28" s="296"/>
      <c r="E28" s="296"/>
      <c r="F28" s="296"/>
      <c r="G28" s="296"/>
      <c r="H28" s="296"/>
      <c r="I28" s="296"/>
      <c r="J28" s="296"/>
      <c r="K28" s="296"/>
      <c r="L28" s="296"/>
      <c r="M28" s="296"/>
    </row>
    <row r="29" spans="2:13" ht="12" customHeight="1" x14ac:dyDescent="0.3">
      <c r="B29" s="296"/>
      <c r="C29" s="296"/>
      <c r="D29" s="296"/>
      <c r="E29" s="296"/>
      <c r="F29" s="296"/>
      <c r="G29" s="296"/>
      <c r="H29" s="296"/>
      <c r="I29" s="296"/>
      <c r="J29" s="296"/>
      <c r="K29" s="296"/>
      <c r="L29" s="296"/>
      <c r="M29" s="296"/>
    </row>
    <row r="30" spans="2:13" ht="12" customHeight="1" x14ac:dyDescent="0.3">
      <c r="B30" s="296"/>
      <c r="C30" s="296"/>
      <c r="D30" s="296"/>
      <c r="E30" s="296"/>
      <c r="F30" s="296"/>
      <c r="G30" s="296"/>
      <c r="H30" s="296"/>
      <c r="I30" s="296"/>
      <c r="J30" s="296"/>
      <c r="K30" s="296"/>
      <c r="L30" s="296"/>
      <c r="M30" s="296"/>
    </row>
    <row r="31" spans="2:13" ht="12" customHeight="1" x14ac:dyDescent="0.3">
      <c r="B31" s="296"/>
      <c r="C31" s="296"/>
      <c r="D31" s="296"/>
      <c r="E31" s="296"/>
      <c r="F31" s="296"/>
      <c r="G31" s="296"/>
      <c r="H31" s="296"/>
      <c r="I31" s="296"/>
      <c r="J31" s="296"/>
      <c r="K31" s="296"/>
      <c r="L31" s="296"/>
      <c r="M31" s="29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1" zoomScale="53" zoomScaleNormal="90" workbookViewId="0">
      <selection activeCell="E106" sqref="E10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77734375" style="25" bestFit="1" customWidth="1"/>
    <col min="4" max="4" width="16.44140625" style="25" customWidth="1"/>
    <col min="5" max="5" width="23.33203125" style="25" customWidth="1"/>
    <col min="6" max="6" width="28.77734375" style="25" bestFit="1" customWidth="1"/>
    <col min="7" max="8" width="14.664062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301" t="s">
        <v>190</v>
      </c>
      <c r="D1" s="301"/>
      <c r="E1" s="30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3" t="s">
        <v>320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302" t="s">
        <v>192</v>
      </c>
      <c r="C3" s="303"/>
      <c r="D3" s="303"/>
      <c r="E3" s="303"/>
      <c r="F3" s="304"/>
      <c r="G3" s="91"/>
      <c r="I3" s="223" t="s">
        <v>305</v>
      </c>
      <c r="J3" s="9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3"/>
      <c r="B4" s="93"/>
      <c r="C4" s="93"/>
      <c r="D4" s="93"/>
      <c r="E4" s="93"/>
      <c r="F4" s="93"/>
      <c r="G4" s="233"/>
      <c r="I4" s="223" t="s">
        <v>306</v>
      </c>
      <c r="J4" s="92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8" t="s">
        <v>231</v>
      </c>
      <c r="B5" s="308"/>
      <c r="C5" s="26">
        <v>4.5</v>
      </c>
      <c r="D5" s="309" t="s">
        <v>229</v>
      </c>
      <c r="E5" s="310"/>
      <c r="F5" s="93"/>
      <c r="G5" s="233"/>
      <c r="H5" s="234"/>
      <c r="I5" s="234"/>
      <c r="J5" s="242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4"/>
      <c r="B6" s="94"/>
      <c r="C6" s="95"/>
      <c r="D6" s="89"/>
      <c r="E6" s="89"/>
      <c r="F6" s="29"/>
      <c r="G6" s="235"/>
      <c r="H6" s="236"/>
      <c r="I6" s="236"/>
      <c r="J6" s="243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38" ht="25.8" x14ac:dyDescent="0.3">
      <c r="A7" s="306" t="s">
        <v>226</v>
      </c>
      <c r="B7" s="306"/>
      <c r="C7" s="93"/>
      <c r="D7" s="93"/>
      <c r="E7" s="5"/>
      <c r="F7" s="93"/>
      <c r="G7" s="233"/>
      <c r="H7" s="234"/>
      <c r="I7" s="234"/>
      <c r="J7" s="242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48"/>
      <c r="J8" s="242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0.8</v>
      </c>
      <c r="D9" s="36">
        <f t="shared" ref="D9:D18" si="0">C9*$C$5</f>
        <v>3.6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2" t="s">
        <v>307</v>
      </c>
      <c r="I9" s="249"/>
      <c r="J9" s="242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5</v>
      </c>
      <c r="C10" s="35">
        <v>0.05</v>
      </c>
      <c r="D10" s="36">
        <f t="shared" si="0"/>
        <v>0.22500000000000001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49"/>
      <c r="J10" s="242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12</v>
      </c>
      <c r="C11" s="35">
        <v>0.05</v>
      </c>
      <c r="D11" s="36">
        <f t="shared" si="0"/>
        <v>0.22500000000000001</v>
      </c>
      <c r="E11" s="37">
        <v>180</v>
      </c>
      <c r="F11" s="38" t="str">
        <f t="array" ref="F11">IF(E11="","",IF(INDEX(A:A,MAX(IF(ISNUMBER($A$88:$A$107),ROW($A$88:$A$107),"")))&lt;&gt;E11,"Corrigez : révolution incorrecte","OK"))</f>
        <v>OK</v>
      </c>
      <c r="H11" s="226"/>
      <c r="I11" s="249"/>
      <c r="J11" s="242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0.1</v>
      </c>
      <c r="D12" s="36">
        <f t="shared" si="0"/>
        <v>0.45</v>
      </c>
      <c r="E12" s="37">
        <v>70</v>
      </c>
      <c r="F12" s="38" t="str">
        <f t="array" ref="F12">IF(E12="","",IF(INDEX(A:A,MAX(IF(ISNUMBER($A$114:$A$133),ROW($A$114:$A$133),"")))&lt;&gt;E12,"Corrigez : révolution incorrecte","OK"))</f>
        <v>OK</v>
      </c>
      <c r="H12" s="226"/>
      <c r="I12" s="249"/>
      <c r="J12" s="242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26"/>
      <c r="I13" s="249"/>
      <c r="J13" s="242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26"/>
      <c r="I14" s="249"/>
      <c r="J14" s="242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6"/>
      <c r="I15" s="249"/>
      <c r="J15" s="242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6"/>
      <c r="I16" s="249"/>
      <c r="J16" s="242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ht="15" thickBot="1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6"/>
      <c r="I17" s="249"/>
      <c r="J17" s="242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6"/>
      <c r="I18" s="293" t="s">
        <v>405</v>
      </c>
      <c r="J18" s="242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6"/>
      <c r="B19" s="39" t="s">
        <v>175</v>
      </c>
      <c r="C19" s="40">
        <f>SUM(C9:C18)</f>
        <v>1.0000000000000002</v>
      </c>
      <c r="D19" s="41">
        <f>SUM(D9:D18)</f>
        <v>4.5</v>
      </c>
      <c r="E19" s="5"/>
      <c r="F19" s="97"/>
      <c r="G19" s="237"/>
      <c r="H19" s="238"/>
      <c r="I19" s="294" t="s">
        <v>406</v>
      </c>
      <c r="J19" s="242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6"/>
      <c r="B20" s="42" t="s">
        <v>230</v>
      </c>
      <c r="C20" s="43" t="str">
        <f>IF(C19&gt;100%,"Erreur : corrigez","OK")</f>
        <v>OK</v>
      </c>
      <c r="D20" s="244"/>
      <c r="F20" s="236"/>
      <c r="G20" s="236"/>
      <c r="H20" s="238"/>
      <c r="I20" s="294" t="s">
        <v>407</v>
      </c>
      <c r="J20" s="242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ht="15" thickBot="1" x14ac:dyDescent="0.35">
      <c r="A21" s="5"/>
      <c r="B21" s="5"/>
      <c r="C21" s="5"/>
      <c r="H21" s="239"/>
      <c r="I21" s="295" t="s">
        <v>164</v>
      </c>
      <c r="J21" s="242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5" t="s">
        <v>232</v>
      </c>
      <c r="B22" s="305"/>
      <c r="C22" s="95"/>
      <c r="H22" s="225"/>
      <c r="I22" s="243"/>
      <c r="J22" s="243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</row>
    <row r="23" spans="1:45" x14ac:dyDescent="0.3">
      <c r="A23" s="5"/>
      <c r="B23" s="5"/>
      <c r="C23" s="5"/>
      <c r="H23" s="216"/>
      <c r="I23" s="242"/>
      <c r="J23" s="242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98"/>
      <c r="F24" s="98"/>
      <c r="G24" s="240"/>
      <c r="H24" s="226"/>
      <c r="I24" s="240"/>
      <c r="J24" s="241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99"/>
      <c r="E25" s="5"/>
      <c r="F25" s="99"/>
      <c r="G25" s="241"/>
      <c r="H25" s="226"/>
      <c r="I25" s="241"/>
      <c r="J25" s="241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98"/>
      <c r="F26" s="98"/>
      <c r="G26" s="240"/>
      <c r="I26" s="240"/>
      <c r="J26" s="240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98"/>
      <c r="F27" s="98"/>
      <c r="G27" s="240"/>
      <c r="I27" s="240"/>
      <c r="J27" s="240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2"/>
      <c r="I28" s="242"/>
      <c r="J28" s="242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2"/>
      <c r="I29" s="242"/>
      <c r="J29" s="242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7" t="s">
        <v>227</v>
      </c>
      <c r="B30" s="307"/>
      <c r="D30" s="245"/>
      <c r="H30" s="243"/>
      <c r="I30" s="243"/>
      <c r="J30" s="243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</row>
    <row r="31" spans="1:45" x14ac:dyDescent="0.3">
      <c r="A31" s="5"/>
      <c r="B31" s="5"/>
      <c r="H31" s="242"/>
      <c r="I31" s="242"/>
      <c r="J31" s="242"/>
      <c r="K31" s="24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3" t="s">
        <v>308</v>
      </c>
      <c r="K32" s="2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8" t="s">
        <v>185</v>
      </c>
      <c r="C34" s="297" t="s">
        <v>186</v>
      </c>
      <c r="D34" s="297"/>
      <c r="E34" s="298" t="s">
        <v>187</v>
      </c>
      <c r="F34" s="299"/>
      <c r="G34" s="299"/>
      <c r="H34" s="300"/>
      <c r="I34" s="100"/>
      <c r="J34" s="246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7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292">
        <v>15</v>
      </c>
      <c r="B36" s="61">
        <v>96</v>
      </c>
      <c r="C36" s="61">
        <v>1</v>
      </c>
      <c r="D36" s="61">
        <v>29</v>
      </c>
      <c r="E36" s="54"/>
      <c r="F36" s="54">
        <v>0.56000000000000005</v>
      </c>
      <c r="G36" s="54">
        <v>0.44</v>
      </c>
      <c r="H36" s="54"/>
      <c r="I36" s="52">
        <f>IFERROR(B36/A36,"")</f>
        <v>6.4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292">
        <v>20</v>
      </c>
      <c r="B37" s="61">
        <v>146</v>
      </c>
      <c r="C37" s="61">
        <v>2</v>
      </c>
      <c r="D37" s="61">
        <v>39</v>
      </c>
      <c r="E37" s="54"/>
      <c r="F37" s="54">
        <v>0.56000000000000005</v>
      </c>
      <c r="G37" s="54">
        <v>0.44</v>
      </c>
      <c r="H37" s="54"/>
      <c r="I37" s="56">
        <f t="shared" ref="I37:I55" si="1">IF(A37&lt;&gt;0,(B37-(B36-D36))/(A37-A36),"")</f>
        <v>15.8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292">
        <v>25</v>
      </c>
      <c r="B38" s="61">
        <v>174</v>
      </c>
      <c r="C38" s="61">
        <v>3</v>
      </c>
      <c r="D38" s="61">
        <v>42</v>
      </c>
      <c r="E38" s="54"/>
      <c r="F38" s="54">
        <v>0.56000000000000005</v>
      </c>
      <c r="G38" s="54">
        <v>0.44</v>
      </c>
      <c r="H38" s="54"/>
      <c r="I38" s="56">
        <f t="shared" si="1"/>
        <v>13.4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292">
        <v>30</v>
      </c>
      <c r="B39" s="61">
        <v>198</v>
      </c>
      <c r="C39" s="61">
        <v>4</v>
      </c>
      <c r="D39" s="61">
        <v>41</v>
      </c>
      <c r="E39" s="54">
        <v>0.2</v>
      </c>
      <c r="F39" s="54">
        <f>0.56*0.8</f>
        <v>0.44800000000000006</v>
      </c>
      <c r="G39" s="54">
        <f>0.44*0.8</f>
        <v>0.35200000000000004</v>
      </c>
      <c r="H39" s="54"/>
      <c r="I39" s="52">
        <f t="shared" si="1"/>
        <v>13.2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292">
        <v>35</v>
      </c>
      <c r="B40" s="61">
        <v>236</v>
      </c>
      <c r="C40" s="61">
        <v>5</v>
      </c>
      <c r="D40" s="61">
        <v>40</v>
      </c>
      <c r="E40" s="54">
        <v>0.3</v>
      </c>
      <c r="F40" s="54">
        <f>0.56*0.7</f>
        <v>0.39200000000000002</v>
      </c>
      <c r="G40" s="54">
        <f>0.7*0.44</f>
        <v>0.308</v>
      </c>
      <c r="H40" s="54"/>
      <c r="I40" s="52">
        <f t="shared" si="1"/>
        <v>15.8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292">
        <v>40</v>
      </c>
      <c r="B41" s="61">
        <v>273</v>
      </c>
      <c r="C41" s="61">
        <v>6</v>
      </c>
      <c r="D41" s="61">
        <v>27</v>
      </c>
      <c r="E41" s="54">
        <v>0.8</v>
      </c>
      <c r="F41" s="54">
        <v>0.11200000000000002</v>
      </c>
      <c r="G41" s="54">
        <v>8.7999999999999967E-2</v>
      </c>
      <c r="H41" s="54"/>
      <c r="I41" s="56">
        <f t="shared" si="1"/>
        <v>15.4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292">
        <v>50</v>
      </c>
      <c r="B42" s="61">
        <v>337</v>
      </c>
      <c r="C42" s="61">
        <v>7</v>
      </c>
      <c r="D42" s="61">
        <v>30</v>
      </c>
      <c r="E42" s="54">
        <v>0.8</v>
      </c>
      <c r="F42" s="54">
        <v>0.11200000000000002</v>
      </c>
      <c r="G42" s="54">
        <v>8.7999999999999967E-2</v>
      </c>
      <c r="H42" s="54"/>
      <c r="I42" s="56">
        <f t="shared" si="1"/>
        <v>9.1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92">
        <v>60</v>
      </c>
      <c r="B43" s="61">
        <v>398</v>
      </c>
      <c r="C43" s="61">
        <v>8</v>
      </c>
      <c r="D43" s="61">
        <v>398</v>
      </c>
      <c r="E43" s="54">
        <v>0.8</v>
      </c>
      <c r="F43" s="54">
        <v>0.11200000000000002</v>
      </c>
      <c r="G43" s="54">
        <v>8.7999999999999967E-2</v>
      </c>
      <c r="H43" s="54"/>
      <c r="I43" s="52">
        <f t="shared" si="1"/>
        <v>9.1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92"/>
      <c r="B44" s="61"/>
      <c r="C44" s="61"/>
      <c r="D44" s="61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92"/>
      <c r="B45" s="61"/>
      <c r="C45" s="61"/>
      <c r="D45" s="61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92"/>
      <c r="B46" s="61"/>
      <c r="C46" s="61"/>
      <c r="D46" s="61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92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92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77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77"/>
      <c r="B50" s="53"/>
      <c r="C50" s="61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77"/>
      <c r="B51" s="53"/>
      <c r="C51" s="61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77"/>
      <c r="B52" s="53"/>
      <c r="C52" s="61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77"/>
      <c r="B53" s="53"/>
      <c r="C53" s="61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77"/>
      <c r="B54" s="53"/>
      <c r="C54" s="61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77"/>
      <c r="B55" s="53"/>
      <c r="C55" s="61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Bouleau verruqueux</v>
      </c>
      <c r="D58" s="253" t="s">
        <v>308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1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8" t="s">
        <v>185</v>
      </c>
      <c r="C60" s="297" t="s">
        <v>186</v>
      </c>
      <c r="D60" s="297"/>
      <c r="E60" s="298" t="s">
        <v>187</v>
      </c>
      <c r="F60" s="299"/>
      <c r="G60" s="299"/>
      <c r="H60" s="300"/>
      <c r="I60" s="100"/>
      <c r="J60" s="246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7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15</v>
      </c>
      <c r="B62" s="61">
        <v>32</v>
      </c>
      <c r="C62" s="61">
        <v>1</v>
      </c>
      <c r="D62" s="61">
        <v>9</v>
      </c>
      <c r="E62" s="54"/>
      <c r="F62" s="54"/>
      <c r="G62" s="54"/>
      <c r="H62" s="54">
        <v>1</v>
      </c>
      <c r="I62" s="56">
        <f>IFERROR(B62/A62,"")</f>
        <v>2.1333333333333333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20</v>
      </c>
      <c r="B63" s="61">
        <v>54</v>
      </c>
      <c r="C63" s="61">
        <v>2</v>
      </c>
      <c r="D63" s="61">
        <v>8</v>
      </c>
      <c r="E63" s="54"/>
      <c r="F63" s="54"/>
      <c r="G63" s="54"/>
      <c r="H63" s="54">
        <v>1</v>
      </c>
      <c r="I63" s="52">
        <f>IF(A63&lt;&gt;0,(B63-(B62-D62))/(A63-A62),"")</f>
        <v>6.2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25</v>
      </c>
      <c r="B64" s="61">
        <v>68</v>
      </c>
      <c r="C64" s="61">
        <v>3</v>
      </c>
      <c r="D64" s="61">
        <v>9</v>
      </c>
      <c r="E64" s="54"/>
      <c r="F64" s="54"/>
      <c r="G64" s="54"/>
      <c r="H64" s="54">
        <v>1</v>
      </c>
      <c r="I64" s="52">
        <f>IF(A64&lt;&gt;0,(B64-(B63-D63))/(A64-A63),"")</f>
        <v>4.4000000000000004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30</v>
      </c>
      <c r="B65" s="61">
        <v>84</v>
      </c>
      <c r="C65" s="61">
        <v>4</v>
      </c>
      <c r="D65" s="61">
        <v>10</v>
      </c>
      <c r="E65" s="54">
        <v>0.2</v>
      </c>
      <c r="F65" s="54"/>
      <c r="G65" s="54"/>
      <c r="H65" s="54">
        <v>0.8</v>
      </c>
      <c r="I65" s="52">
        <f>IF(A65&lt;&gt;0,(B65-(B64-D64))/(A65-A64),"")</f>
        <v>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35</v>
      </c>
      <c r="B66" s="61">
        <v>99</v>
      </c>
      <c r="C66" s="61">
        <v>5</v>
      </c>
      <c r="D66" s="61">
        <v>10</v>
      </c>
      <c r="E66" s="54">
        <v>0.4</v>
      </c>
      <c r="F66" s="54"/>
      <c r="G66" s="54"/>
      <c r="H66" s="54">
        <v>0.6</v>
      </c>
      <c r="I66" s="52">
        <f t="shared" ref="I66:I81" si="2">IF(A66&lt;&gt;0,(B66-(B65-D65))/(A66-A65),"")</f>
        <v>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40</v>
      </c>
      <c r="B67" s="61">
        <v>113</v>
      </c>
      <c r="C67" s="61">
        <v>6</v>
      </c>
      <c r="D67" s="61">
        <v>11</v>
      </c>
      <c r="E67" s="54">
        <v>0.4</v>
      </c>
      <c r="F67" s="54"/>
      <c r="G67" s="54"/>
      <c r="H67" s="54">
        <v>0.6</v>
      </c>
      <c r="I67" s="52">
        <f t="shared" si="2"/>
        <v>4.8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45</v>
      </c>
      <c r="B68" s="61">
        <v>127</v>
      </c>
      <c r="C68" s="61">
        <v>7</v>
      </c>
      <c r="D68" s="61">
        <v>127</v>
      </c>
      <c r="E68" s="54">
        <v>0.6</v>
      </c>
      <c r="F68" s="54"/>
      <c r="G68" s="54"/>
      <c r="H68" s="54">
        <v>0.4</v>
      </c>
      <c r="I68" s="52">
        <f t="shared" si="2"/>
        <v>5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61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61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61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61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61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61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61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61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61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61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61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61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61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Chêne pubescent</v>
      </c>
      <c r="D84" s="253" t="s">
        <v>308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1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8" t="s">
        <v>185</v>
      </c>
      <c r="C86" s="297" t="s">
        <v>186</v>
      </c>
      <c r="D86" s="297"/>
      <c r="E86" s="298" t="s">
        <v>187</v>
      </c>
      <c r="F86" s="299"/>
      <c r="G86" s="299"/>
      <c r="H86" s="300"/>
      <c r="I86" s="100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56</v>
      </c>
      <c r="B88" s="61">
        <v>121</v>
      </c>
      <c r="C88" s="61">
        <v>1</v>
      </c>
      <c r="D88" s="61">
        <v>29</v>
      </c>
      <c r="E88" s="346">
        <v>0.1</v>
      </c>
      <c r="F88" s="346"/>
      <c r="G88" s="346"/>
      <c r="H88" s="346">
        <v>0.9</v>
      </c>
      <c r="I88" s="56">
        <f>IFERROR(B88/A88,"")</f>
        <v>2.1607142857142856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64</v>
      </c>
      <c r="B89" s="61">
        <v>137</v>
      </c>
      <c r="C89" s="61">
        <v>2</v>
      </c>
      <c r="D89" s="61">
        <v>32</v>
      </c>
      <c r="E89" s="346">
        <v>0.2</v>
      </c>
      <c r="F89" s="346"/>
      <c r="G89" s="346"/>
      <c r="H89" s="346">
        <v>0.8</v>
      </c>
      <c r="I89" s="56">
        <f t="shared" ref="I89:I107" si="3">IF(A89&lt;&gt;0,(B89-(B88-D88))/(A89-A88),"")</f>
        <v>5.625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72</v>
      </c>
      <c r="B90" s="61">
        <v>144</v>
      </c>
      <c r="C90" s="61">
        <v>3</v>
      </c>
      <c r="D90" s="61">
        <v>26</v>
      </c>
      <c r="E90" s="346">
        <v>0.2</v>
      </c>
      <c r="F90" s="346"/>
      <c r="G90" s="346"/>
      <c r="H90" s="346">
        <v>0.8</v>
      </c>
      <c r="I90" s="56">
        <f t="shared" si="3"/>
        <v>4.875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81</v>
      </c>
      <c r="B91" s="61">
        <v>159</v>
      </c>
      <c r="C91" s="61">
        <v>4</v>
      </c>
      <c r="D91" s="61">
        <v>27</v>
      </c>
      <c r="E91" s="346">
        <v>0.3</v>
      </c>
      <c r="F91" s="346"/>
      <c r="G91" s="346"/>
      <c r="H91" s="346">
        <v>0.7</v>
      </c>
      <c r="I91" s="56">
        <f t="shared" si="3"/>
        <v>4.5555555555555554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90</v>
      </c>
      <c r="B92" s="61">
        <v>172</v>
      </c>
      <c r="C92" s="61">
        <v>5</v>
      </c>
      <c r="D92" s="61">
        <v>26</v>
      </c>
      <c r="E92" s="346">
        <v>0.3</v>
      </c>
      <c r="F92" s="346"/>
      <c r="G92" s="346"/>
      <c r="H92" s="346">
        <v>0.7</v>
      </c>
      <c r="I92" s="56">
        <f t="shared" si="3"/>
        <v>4.4444444444444446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99</v>
      </c>
      <c r="B93" s="61">
        <v>185</v>
      </c>
      <c r="C93" s="61">
        <v>6</v>
      </c>
      <c r="D93" s="61">
        <v>26</v>
      </c>
      <c r="E93" s="346">
        <v>0.4</v>
      </c>
      <c r="F93" s="346"/>
      <c r="G93" s="346"/>
      <c r="H93" s="346">
        <v>0.6</v>
      </c>
      <c r="I93" s="56">
        <f t="shared" si="3"/>
        <v>4.333333333333333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108</v>
      </c>
      <c r="B94" s="61">
        <v>199</v>
      </c>
      <c r="C94" s="61">
        <v>7</v>
      </c>
      <c r="D94" s="61">
        <v>26</v>
      </c>
      <c r="E94" s="346">
        <v>0.4</v>
      </c>
      <c r="F94" s="346"/>
      <c r="G94" s="346"/>
      <c r="H94" s="346">
        <v>0.6</v>
      </c>
      <c r="I94" s="56">
        <f t="shared" si="3"/>
        <v>4.4444444444444446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>
        <v>118</v>
      </c>
      <c r="B95" s="61">
        <v>213</v>
      </c>
      <c r="C95" s="61">
        <v>8</v>
      </c>
      <c r="D95" s="61">
        <v>27</v>
      </c>
      <c r="E95" s="346">
        <v>0.5</v>
      </c>
      <c r="F95" s="346"/>
      <c r="G95" s="346"/>
      <c r="H95" s="346">
        <v>0.5</v>
      </c>
      <c r="I95" s="56">
        <f t="shared" si="3"/>
        <v>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>
        <v>129</v>
      </c>
      <c r="B96" s="61">
        <v>241</v>
      </c>
      <c r="C96" s="61">
        <v>9</v>
      </c>
      <c r="D96" s="61">
        <v>38</v>
      </c>
      <c r="E96" s="346">
        <v>0.5</v>
      </c>
      <c r="F96" s="346"/>
      <c r="G96" s="346"/>
      <c r="H96" s="346">
        <v>0.5</v>
      </c>
      <c r="I96" s="56">
        <f t="shared" si="3"/>
        <v>5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>
        <v>141</v>
      </c>
      <c r="B97" s="61">
        <v>260</v>
      </c>
      <c r="C97" s="61">
        <v>10</v>
      </c>
      <c r="D97" s="61">
        <v>38</v>
      </c>
      <c r="E97" s="346">
        <v>0.6</v>
      </c>
      <c r="F97" s="346"/>
      <c r="G97" s="346"/>
      <c r="H97" s="346">
        <v>0.4</v>
      </c>
      <c r="I97" s="56">
        <f t="shared" si="3"/>
        <v>4.75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>
        <v>153</v>
      </c>
      <c r="B98" s="61">
        <v>280</v>
      </c>
      <c r="C98" s="61">
        <v>11</v>
      </c>
      <c r="D98" s="61">
        <v>40</v>
      </c>
      <c r="E98" s="346">
        <v>0.6</v>
      </c>
      <c r="F98" s="346"/>
      <c r="G98" s="346"/>
      <c r="H98" s="346">
        <v>0.4</v>
      </c>
      <c r="I98" s="56">
        <f t="shared" si="3"/>
        <v>4.833333333333333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1">
        <v>165</v>
      </c>
      <c r="B99" s="61">
        <v>299</v>
      </c>
      <c r="C99" s="61">
        <v>12</v>
      </c>
      <c r="D99" s="61">
        <v>40</v>
      </c>
      <c r="E99" s="57">
        <v>0.7</v>
      </c>
      <c r="F99" s="57"/>
      <c r="G99" s="57"/>
      <c r="H99" s="57">
        <v>0.3</v>
      </c>
      <c r="I99" s="56">
        <f t="shared" si="3"/>
        <v>4.916666666666667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1">
        <v>177</v>
      </c>
      <c r="B100" s="61">
        <v>320</v>
      </c>
      <c r="C100" s="61">
        <v>13</v>
      </c>
      <c r="D100" s="61">
        <v>39</v>
      </c>
      <c r="E100" s="57">
        <v>0.7</v>
      </c>
      <c r="F100" s="57"/>
      <c r="G100" s="57"/>
      <c r="H100" s="57">
        <v>0.3</v>
      </c>
      <c r="I100" s="56">
        <f t="shared" si="3"/>
        <v>5.083333333333333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>
        <v>180</v>
      </c>
      <c r="B101" s="53">
        <v>360</v>
      </c>
      <c r="C101" s="61">
        <v>14</v>
      </c>
      <c r="D101" s="53">
        <v>399</v>
      </c>
      <c r="E101" s="54">
        <v>0.8</v>
      </c>
      <c r="F101" s="54"/>
      <c r="G101" s="54"/>
      <c r="H101" s="54">
        <v>0.2</v>
      </c>
      <c r="I101" s="56">
        <f t="shared" si="3"/>
        <v>26.333333333333332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53"/>
      <c r="C102" s="61"/>
      <c r="D102" s="53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53"/>
      <c r="C103" s="61"/>
      <c r="D103" s="53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53"/>
      <c r="C104" s="61"/>
      <c r="D104" s="53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61"/>
      <c r="D105" s="53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61"/>
      <c r="D106" s="53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61"/>
      <c r="D107" s="53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D110" s="253" t="s">
        <v>308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1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8" t="s">
        <v>185</v>
      </c>
      <c r="C112" s="297" t="s">
        <v>186</v>
      </c>
      <c r="D112" s="297"/>
      <c r="E112" s="298" t="s">
        <v>187</v>
      </c>
      <c r="F112" s="299"/>
      <c r="G112" s="299"/>
      <c r="H112" s="300"/>
      <c r="I112" s="100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61">
        <v>30</v>
      </c>
      <c r="B114" s="61">
        <v>170</v>
      </c>
      <c r="C114" s="61">
        <v>1</v>
      </c>
      <c r="D114" s="61">
        <v>40</v>
      </c>
      <c r="E114" s="54">
        <v>0</v>
      </c>
      <c r="F114" s="54">
        <v>0.56000000000000005</v>
      </c>
      <c r="G114" s="54">
        <v>0.44</v>
      </c>
      <c r="H114" s="54"/>
      <c r="I114" s="56">
        <f>IFERROR(B114/A114,"")</f>
        <v>5.666666666666667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61">
        <v>40</v>
      </c>
      <c r="B115" s="61">
        <v>230</v>
      </c>
      <c r="C115" s="61">
        <v>2</v>
      </c>
      <c r="D115" s="61">
        <v>40</v>
      </c>
      <c r="E115" s="54">
        <v>0.2</v>
      </c>
      <c r="F115" s="54">
        <v>0.44800000000000006</v>
      </c>
      <c r="G115" s="54">
        <v>0.35200000000000004</v>
      </c>
      <c r="H115" s="54"/>
      <c r="I115" s="56">
        <f t="shared" ref="I115:I133" si="4">IF(A115&lt;&gt;0,(B115-(B114-D114))/(A115-A114),"")</f>
        <v>10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61">
        <v>50</v>
      </c>
      <c r="B116" s="61">
        <v>290</v>
      </c>
      <c r="C116" s="61">
        <v>3</v>
      </c>
      <c r="D116" s="61">
        <v>40</v>
      </c>
      <c r="E116" s="54">
        <v>0.4</v>
      </c>
      <c r="F116" s="54">
        <f>0.6*0.56</f>
        <v>0.33600000000000002</v>
      </c>
      <c r="G116" s="54">
        <f>0.6*0.44</f>
        <v>0.26400000000000001</v>
      </c>
      <c r="H116" s="54"/>
      <c r="I116" s="56">
        <f t="shared" si="4"/>
        <v>10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61">
        <v>60</v>
      </c>
      <c r="B117" s="61">
        <v>350</v>
      </c>
      <c r="C117" s="61">
        <v>4</v>
      </c>
      <c r="D117" s="61">
        <v>40</v>
      </c>
      <c r="E117" s="54">
        <v>0.6</v>
      </c>
      <c r="F117" s="54">
        <v>0.22400000000000003</v>
      </c>
      <c r="G117" s="54">
        <v>0.17600000000000002</v>
      </c>
      <c r="H117" s="54"/>
      <c r="I117" s="56">
        <f t="shared" si="4"/>
        <v>10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292">
        <v>70</v>
      </c>
      <c r="B118" s="61">
        <v>400</v>
      </c>
      <c r="C118" s="61">
        <v>5</v>
      </c>
      <c r="D118" s="61">
        <v>400</v>
      </c>
      <c r="E118" s="54">
        <v>0.8</v>
      </c>
      <c r="F118" s="54">
        <v>0.11</v>
      </c>
      <c r="G118" s="54">
        <v>0.09</v>
      </c>
      <c r="H118" s="54"/>
      <c r="I118" s="56">
        <f t="shared" si="4"/>
        <v>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292"/>
      <c r="B119" s="61"/>
      <c r="C119" s="61"/>
      <c r="D119" s="61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292"/>
      <c r="B120" s="61"/>
      <c r="C120" s="61"/>
      <c r="D120" s="61"/>
      <c r="E120" s="54"/>
      <c r="F120" s="54"/>
      <c r="G120" s="54"/>
      <c r="H120" s="54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292"/>
      <c r="B121" s="61"/>
      <c r="C121" s="61"/>
      <c r="D121" s="61"/>
      <c r="E121" s="54"/>
      <c r="F121" s="54"/>
      <c r="G121" s="54"/>
      <c r="H121" s="5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292"/>
      <c r="B122" s="61"/>
      <c r="C122" s="61"/>
      <c r="D122" s="61"/>
      <c r="E122" s="54"/>
      <c r="F122" s="54"/>
      <c r="G122" s="54"/>
      <c r="H122" s="5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292"/>
      <c r="B123" s="61"/>
      <c r="C123" s="61"/>
      <c r="D123" s="61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292"/>
      <c r="B124" s="61"/>
      <c r="C124" s="61"/>
      <c r="D124" s="61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292"/>
      <c r="B125" s="61"/>
      <c r="C125" s="61"/>
      <c r="D125" s="61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292"/>
      <c r="B126" s="61"/>
      <c r="C126" s="61"/>
      <c r="D126" s="61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277"/>
      <c r="B127" s="61"/>
      <c r="C127" s="61"/>
      <c r="D127" s="61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277"/>
      <c r="B128" s="53"/>
      <c r="C128" s="61"/>
      <c r="D128" s="53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277"/>
      <c r="B129" s="53"/>
      <c r="C129" s="61"/>
      <c r="D129" s="53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277"/>
      <c r="B130" s="53"/>
      <c r="C130" s="61"/>
      <c r="D130" s="53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277"/>
      <c r="B131" s="53"/>
      <c r="C131" s="61"/>
      <c r="D131" s="53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277"/>
      <c r="B132" s="53"/>
      <c r="C132" s="61"/>
      <c r="D132" s="53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277"/>
      <c r="B133" s="53"/>
      <c r="C133" s="61"/>
      <c r="D133" s="53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3" t="s">
        <v>308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1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8" t="s">
        <v>185</v>
      </c>
      <c r="C138" s="297" t="s">
        <v>186</v>
      </c>
      <c r="D138" s="297"/>
      <c r="E138" s="298" t="s">
        <v>187</v>
      </c>
      <c r="F138" s="299"/>
      <c r="G138" s="299"/>
      <c r="H138" s="300"/>
      <c r="I138" s="100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292"/>
      <c r="B140" s="61"/>
      <c r="C140" s="61"/>
      <c r="D140" s="61"/>
      <c r="E140" s="54"/>
      <c r="F140" s="54"/>
      <c r="G140" s="54"/>
      <c r="H140" s="54"/>
      <c r="I140" s="59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292"/>
      <c r="B141" s="61"/>
      <c r="C141" s="61"/>
      <c r="D141" s="61"/>
      <c r="E141" s="54"/>
      <c r="F141" s="54"/>
      <c r="G141" s="54"/>
      <c r="H141" s="54"/>
      <c r="I141" s="59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292"/>
      <c r="B142" s="61"/>
      <c r="C142" s="61"/>
      <c r="D142" s="61"/>
      <c r="E142" s="54"/>
      <c r="F142" s="54"/>
      <c r="G142" s="54"/>
      <c r="H142" s="54"/>
      <c r="I142" s="59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292"/>
      <c r="B143" s="61"/>
      <c r="C143" s="61"/>
      <c r="D143" s="61"/>
      <c r="E143" s="54"/>
      <c r="F143" s="54"/>
      <c r="G143" s="54"/>
      <c r="H143" s="54"/>
      <c r="I143" s="59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292"/>
      <c r="B144" s="61"/>
      <c r="C144" s="61"/>
      <c r="D144" s="61"/>
      <c r="E144" s="54"/>
      <c r="F144" s="54"/>
      <c r="G144" s="54"/>
      <c r="H144" s="54"/>
      <c r="I144" s="59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292"/>
      <c r="B145" s="61"/>
      <c r="C145" s="61"/>
      <c r="D145" s="61"/>
      <c r="E145" s="54"/>
      <c r="F145" s="54"/>
      <c r="G145" s="54"/>
      <c r="H145" s="54"/>
      <c r="I145" s="59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292"/>
      <c r="B146" s="61"/>
      <c r="C146" s="61"/>
      <c r="D146" s="61"/>
      <c r="E146" s="54"/>
      <c r="F146" s="54"/>
      <c r="G146" s="54"/>
      <c r="H146" s="54"/>
      <c r="I146" s="59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292"/>
      <c r="B147" s="61"/>
      <c r="C147" s="61"/>
      <c r="D147" s="61"/>
      <c r="E147" s="54"/>
      <c r="F147" s="54"/>
      <c r="G147" s="54"/>
      <c r="H147" s="54"/>
      <c r="I147" s="59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292"/>
      <c r="B148" s="61"/>
      <c r="C148" s="61"/>
      <c r="D148" s="61"/>
      <c r="E148" s="54"/>
      <c r="F148" s="54"/>
      <c r="G148" s="54"/>
      <c r="H148" s="54"/>
      <c r="I148" s="59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292"/>
      <c r="B149" s="61"/>
      <c r="C149" s="61"/>
      <c r="D149" s="61"/>
      <c r="E149" s="54"/>
      <c r="F149" s="54"/>
      <c r="G149" s="54"/>
      <c r="H149" s="54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292"/>
      <c r="B150" s="61"/>
      <c r="C150" s="61"/>
      <c r="D150" s="61"/>
      <c r="E150" s="54"/>
      <c r="F150" s="54"/>
      <c r="G150" s="54"/>
      <c r="H150" s="54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292"/>
      <c r="B151" s="61"/>
      <c r="C151" s="61"/>
      <c r="D151" s="61"/>
      <c r="E151" s="54"/>
      <c r="F151" s="54"/>
      <c r="G151" s="54"/>
      <c r="H151" s="54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292"/>
      <c r="B152" s="61"/>
      <c r="C152" s="61"/>
      <c r="D152" s="61"/>
      <c r="E152" s="54"/>
      <c r="F152" s="54"/>
      <c r="G152" s="54"/>
      <c r="H152" s="54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277"/>
      <c r="B153" s="61"/>
      <c r="C153" s="61"/>
      <c r="D153" s="61"/>
      <c r="E153" s="54"/>
      <c r="F153" s="54"/>
      <c r="G153" s="54"/>
      <c r="H153" s="54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277"/>
      <c r="B154" s="53"/>
      <c r="C154" s="61"/>
      <c r="D154" s="53"/>
      <c r="E154" s="54"/>
      <c r="F154" s="54"/>
      <c r="G154" s="54"/>
      <c r="H154" s="54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277"/>
      <c r="B155" s="53"/>
      <c r="C155" s="61"/>
      <c r="D155" s="53"/>
      <c r="E155" s="54"/>
      <c r="F155" s="54"/>
      <c r="G155" s="54"/>
      <c r="H155" s="54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277"/>
      <c r="B156" s="53"/>
      <c r="C156" s="61"/>
      <c r="D156" s="53"/>
      <c r="E156" s="54"/>
      <c r="F156" s="54"/>
      <c r="G156" s="54"/>
      <c r="H156" s="54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277"/>
      <c r="B157" s="53"/>
      <c r="C157" s="61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277"/>
      <c r="B158" s="53"/>
      <c r="C158" s="61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277"/>
      <c r="B159" s="53"/>
      <c r="C159" s="61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3" t="s">
        <v>308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1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8" t="s">
        <v>185</v>
      </c>
      <c r="C164" s="297" t="s">
        <v>186</v>
      </c>
      <c r="D164" s="297"/>
      <c r="E164" s="298" t="s">
        <v>187</v>
      </c>
      <c r="F164" s="299"/>
      <c r="G164" s="299"/>
      <c r="H164" s="300"/>
      <c r="I164" s="100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292"/>
      <c r="B166" s="61"/>
      <c r="C166" s="61"/>
      <c r="D166" s="61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292"/>
      <c r="B167" s="61"/>
      <c r="C167" s="61"/>
      <c r="D167" s="61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292"/>
      <c r="B168" s="61"/>
      <c r="C168" s="61"/>
      <c r="D168" s="61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292"/>
      <c r="B169" s="61"/>
      <c r="C169" s="61"/>
      <c r="D169" s="61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292"/>
      <c r="B170" s="61"/>
      <c r="C170" s="61"/>
      <c r="D170" s="61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292"/>
      <c r="B171" s="61"/>
      <c r="C171" s="61"/>
      <c r="D171" s="61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292"/>
      <c r="B172" s="61"/>
      <c r="C172" s="61"/>
      <c r="D172" s="61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92"/>
      <c r="B173" s="61"/>
      <c r="C173" s="61"/>
      <c r="D173" s="61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92"/>
      <c r="B174" s="61"/>
      <c r="C174" s="61"/>
      <c r="D174" s="61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92"/>
      <c r="B175" s="61"/>
      <c r="C175" s="61"/>
      <c r="D175" s="61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92"/>
      <c r="B176" s="61"/>
      <c r="C176" s="61"/>
      <c r="D176" s="61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92"/>
      <c r="B177" s="61"/>
      <c r="C177" s="61"/>
      <c r="D177" s="61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92"/>
      <c r="B178" s="61"/>
      <c r="C178" s="61"/>
      <c r="D178" s="61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77"/>
      <c r="B179" s="61"/>
      <c r="C179" s="61"/>
      <c r="D179" s="61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77"/>
      <c r="B180" s="53"/>
      <c r="C180" s="61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77"/>
      <c r="B181" s="53"/>
      <c r="C181" s="61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77"/>
      <c r="B182" s="53"/>
      <c r="C182" s="61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77"/>
      <c r="B183" s="53"/>
      <c r="C183" s="61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77"/>
      <c r="B184" s="53"/>
      <c r="C184" s="61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77"/>
      <c r="B185" s="53"/>
      <c r="C185" s="61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3" t="s">
        <v>308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1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8" t="s">
        <v>185</v>
      </c>
      <c r="C190" s="297" t="s">
        <v>186</v>
      </c>
      <c r="D190" s="297"/>
      <c r="E190" s="298" t="s">
        <v>187</v>
      </c>
      <c r="F190" s="299"/>
      <c r="G190" s="299"/>
      <c r="H190" s="300"/>
      <c r="I190" s="100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1"/>
      <c r="C192" s="61">
        <v>1</v>
      </c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1"/>
      <c r="C193" s="61">
        <v>2</v>
      </c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1"/>
      <c r="C194" s="61">
        <v>3</v>
      </c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1"/>
      <c r="C195" s="61">
        <v>4</v>
      </c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1"/>
      <c r="C196" s="61">
        <v>5</v>
      </c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1"/>
      <c r="C197" s="61">
        <v>6</v>
      </c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1"/>
      <c r="C198" s="61">
        <v>7</v>
      </c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61">
        <v>8</v>
      </c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61">
        <v>9</v>
      </c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61">
        <v>10</v>
      </c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61">
        <v>11</v>
      </c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61">
        <v>12</v>
      </c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61">
        <v>13</v>
      </c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61">
        <v>14</v>
      </c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61">
        <v>15</v>
      </c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61">
        <v>16</v>
      </c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61">
        <v>17</v>
      </c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61">
        <v>18</v>
      </c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61">
        <v>19</v>
      </c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61">
        <v>20</v>
      </c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3" t="s">
        <v>308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8" t="s">
        <v>185</v>
      </c>
      <c r="C216" s="297" t="s">
        <v>186</v>
      </c>
      <c r="D216" s="297"/>
      <c r="E216" s="298" t="s">
        <v>187</v>
      </c>
      <c r="F216" s="299"/>
      <c r="G216" s="299"/>
      <c r="H216" s="300"/>
      <c r="I216" s="100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1"/>
      <c r="C218" s="61">
        <v>1</v>
      </c>
      <c r="D218" s="61"/>
      <c r="E218" s="54"/>
      <c r="F218" s="54"/>
      <c r="G218" s="54"/>
      <c r="H218" s="5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1"/>
      <c r="C219" s="61">
        <v>2</v>
      </c>
      <c r="D219" s="61"/>
      <c r="E219" s="54"/>
      <c r="F219" s="54"/>
      <c r="G219" s="54"/>
      <c r="H219" s="5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1"/>
      <c r="C220" s="61">
        <v>3</v>
      </c>
      <c r="D220" s="61"/>
      <c r="E220" s="54"/>
      <c r="F220" s="54"/>
      <c r="G220" s="54"/>
      <c r="H220" s="5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/>
      <c r="B221" s="61"/>
      <c r="C221" s="61">
        <v>4</v>
      </c>
      <c r="D221" s="61"/>
      <c r="E221" s="54"/>
      <c r="F221" s="54"/>
      <c r="G221" s="54"/>
      <c r="H221" s="5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/>
      <c r="B222" s="61"/>
      <c r="C222" s="61">
        <v>5</v>
      </c>
      <c r="D222" s="61"/>
      <c r="E222" s="54"/>
      <c r="F222" s="54"/>
      <c r="G222" s="54"/>
      <c r="H222" s="5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/>
      <c r="B223" s="61"/>
      <c r="C223" s="61">
        <v>6</v>
      </c>
      <c r="D223" s="61"/>
      <c r="E223" s="54"/>
      <c r="F223" s="54"/>
      <c r="G223" s="54"/>
      <c r="H223" s="5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/>
      <c r="B224" s="61"/>
      <c r="C224" s="61">
        <v>7</v>
      </c>
      <c r="D224" s="61"/>
      <c r="E224" s="54"/>
      <c r="F224" s="54"/>
      <c r="G224" s="54"/>
      <c r="H224" s="5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/>
      <c r="B225" s="53"/>
      <c r="C225" s="61">
        <v>8</v>
      </c>
      <c r="D225" s="53"/>
      <c r="E225" s="54"/>
      <c r="F225" s="54"/>
      <c r="G225" s="54"/>
      <c r="H225" s="5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/>
      <c r="B226" s="53"/>
      <c r="C226" s="61">
        <v>9</v>
      </c>
      <c r="D226" s="53"/>
      <c r="E226" s="54"/>
      <c r="F226" s="54"/>
      <c r="G226" s="54"/>
      <c r="H226" s="5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/>
      <c r="B227" s="53"/>
      <c r="C227" s="61">
        <v>10</v>
      </c>
      <c r="D227" s="53"/>
      <c r="E227" s="54"/>
      <c r="F227" s="54"/>
      <c r="G227" s="54"/>
      <c r="H227" s="5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/>
      <c r="B228" s="53"/>
      <c r="C228" s="61">
        <v>11</v>
      </c>
      <c r="D228" s="53"/>
      <c r="E228" s="54"/>
      <c r="F228" s="54"/>
      <c r="G228" s="54"/>
      <c r="H228" s="5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/>
      <c r="B229" s="53"/>
      <c r="C229" s="61">
        <v>12</v>
      </c>
      <c r="D229" s="53"/>
      <c r="E229" s="54"/>
      <c r="F229" s="54"/>
      <c r="G229" s="54"/>
      <c r="H229" s="5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/>
      <c r="B230" s="53"/>
      <c r="C230" s="61">
        <v>13</v>
      </c>
      <c r="D230" s="53"/>
      <c r="E230" s="54"/>
      <c r="F230" s="54"/>
      <c r="G230" s="54"/>
      <c r="H230" s="54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/>
      <c r="B231" s="53"/>
      <c r="C231" s="61">
        <v>14</v>
      </c>
      <c r="D231" s="53"/>
      <c r="E231" s="54"/>
      <c r="F231" s="54"/>
      <c r="G231" s="54"/>
      <c r="H231" s="54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61">
        <v>15</v>
      </c>
      <c r="D232" s="53"/>
      <c r="E232" s="54"/>
      <c r="F232" s="54"/>
      <c r="G232" s="54"/>
      <c r="H232" s="54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61">
        <v>16</v>
      </c>
      <c r="D233" s="53"/>
      <c r="E233" s="54"/>
      <c r="F233" s="54"/>
      <c r="G233" s="54"/>
      <c r="H233" s="54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61">
        <v>17</v>
      </c>
      <c r="D234" s="53"/>
      <c r="E234" s="54"/>
      <c r="F234" s="54"/>
      <c r="G234" s="54"/>
      <c r="H234" s="54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61">
        <v>18</v>
      </c>
      <c r="D235" s="53"/>
      <c r="E235" s="54"/>
      <c r="F235" s="54"/>
      <c r="G235" s="54"/>
      <c r="H235" s="54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61">
        <v>19</v>
      </c>
      <c r="D236" s="53"/>
      <c r="E236" s="54"/>
      <c r="F236" s="54"/>
      <c r="G236" s="54"/>
      <c r="H236" s="54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61">
        <v>20</v>
      </c>
      <c r="D237" s="53"/>
      <c r="E237" s="54"/>
      <c r="F237" s="54"/>
      <c r="G237" s="54"/>
      <c r="H237" s="54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3" t="s">
        <v>308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1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8" t="s">
        <v>185</v>
      </c>
      <c r="C242" s="297" t="s">
        <v>186</v>
      </c>
      <c r="D242" s="297"/>
      <c r="E242" s="298" t="s">
        <v>187</v>
      </c>
      <c r="F242" s="299"/>
      <c r="G242" s="299"/>
      <c r="H242" s="300"/>
      <c r="I242" s="100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>
        <v>1</v>
      </c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>
        <v>2</v>
      </c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>
        <v>3</v>
      </c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>
        <v>4</v>
      </c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>
        <v>5</v>
      </c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>
        <v>6</v>
      </c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>
        <v>7</v>
      </c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61">
        <v>8</v>
      </c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61">
        <v>9</v>
      </c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61">
        <v>10</v>
      </c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61">
        <v>11</v>
      </c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61">
        <v>12</v>
      </c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61">
        <v>13</v>
      </c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0"/>
      <c r="B257" s="61"/>
      <c r="C257" s="61">
        <v>14</v>
      </c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61">
        <v>15</v>
      </c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61">
        <v>16</v>
      </c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61">
        <v>17</v>
      </c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61">
        <v>18</v>
      </c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61">
        <v>19</v>
      </c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61">
        <v>20</v>
      </c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3" t="s">
        <v>308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1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8" t="s">
        <v>185</v>
      </c>
      <c r="C268" s="297" t="s">
        <v>186</v>
      </c>
      <c r="D268" s="297"/>
      <c r="E268" s="298" t="s">
        <v>187</v>
      </c>
      <c r="F268" s="299"/>
      <c r="G268" s="299"/>
      <c r="H268" s="300"/>
      <c r="I268" s="100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61">
        <v>1</v>
      </c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61">
        <v>2</v>
      </c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61">
        <v>3</v>
      </c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61">
        <v>4</v>
      </c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61">
        <v>5</v>
      </c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61">
        <v>6</v>
      </c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61">
        <v>7</v>
      </c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61">
        <v>8</v>
      </c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61">
        <v>9</v>
      </c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61">
        <v>10</v>
      </c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61">
        <v>11</v>
      </c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61">
        <v>12</v>
      </c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61">
        <v>13</v>
      </c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0"/>
      <c r="B283" s="61"/>
      <c r="C283" s="61">
        <v>14</v>
      </c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61">
        <v>15</v>
      </c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61">
        <v>16</v>
      </c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61">
        <v>17</v>
      </c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61">
        <v>18</v>
      </c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61">
        <v>19</v>
      </c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61">
        <v>20</v>
      </c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WNNfjMejANGVl6TwNyOWjr6uE9FSKeYKc8G1xSRzhSSEEHHoiD4MGdHL+75tgTa2hkuargjtI146ITZNl/t3TQ==" saltValue="Rm8CBJr+fsZI1hzxuzToYA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disablePrompts="1"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F1" zoomScale="115" zoomScaleNormal="115" workbookViewId="0">
      <selection activeCell="H8" sqref="H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2"/>
      <c r="K1" s="102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2" t="s">
        <v>191</v>
      </c>
      <c r="C2" s="313"/>
      <c r="D2" s="313"/>
      <c r="E2" s="313"/>
      <c r="F2" s="313"/>
      <c r="G2" s="314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11"/>
      <c r="C4" s="311"/>
      <c r="D4" s="311"/>
      <c r="E4" s="311"/>
      <c r="F4" s="311"/>
      <c r="G4" s="311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3" t="s">
        <v>297</v>
      </c>
      <c r="C5" s="103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2"/>
      <c r="C6" s="232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4"/>
      <c r="B7" s="29" t="s">
        <v>296</v>
      </c>
      <c r="C7" s="105" t="s">
        <v>214</v>
      </c>
      <c r="D7" s="230"/>
      <c r="E7" s="106"/>
      <c r="F7" s="29" t="s">
        <v>296</v>
      </c>
      <c r="G7" s="105" t="s">
        <v>215</v>
      </c>
      <c r="H7" s="231"/>
      <c r="I7" s="231"/>
      <c r="J7" s="231"/>
      <c r="K7" s="231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</row>
    <row r="8" spans="1:38" ht="17.25" customHeight="1" x14ac:dyDescent="0.3">
      <c r="A8" s="110">
        <v>1</v>
      </c>
      <c r="B8" s="62">
        <v>0</v>
      </c>
      <c r="C8" s="52" t="s">
        <v>177</v>
      </c>
      <c r="D8" s="25"/>
      <c r="E8" s="110">
        <v>4</v>
      </c>
      <c r="F8" s="62">
        <v>1</v>
      </c>
      <c r="G8" s="107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0">
        <v>2</v>
      </c>
      <c r="B9" s="62">
        <v>0</v>
      </c>
      <c r="C9" s="113" t="s">
        <v>216</v>
      </c>
      <c r="D9" s="25"/>
      <c r="E9" s="110">
        <v>5</v>
      </c>
      <c r="F9" s="62">
        <v>0</v>
      </c>
      <c r="G9" s="108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0">
        <v>3</v>
      </c>
      <c r="B10" s="62">
        <v>0</v>
      </c>
      <c r="C10" s="114" t="s">
        <v>217</v>
      </c>
      <c r="D10" s="25"/>
      <c r="E10" s="5"/>
      <c r="F10" s="111">
        <f>SUM(F7:F9)</f>
        <v>1</v>
      </c>
      <c r="G10" s="109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1">
        <v>0</v>
      </c>
      <c r="C11" s="109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1"/>
      <c r="B13" s="112"/>
      <c r="C13" s="103" t="s">
        <v>273</v>
      </c>
      <c r="D13" s="231"/>
      <c r="E13" s="104"/>
      <c r="F13" s="112"/>
      <c r="G13" s="103" t="s">
        <v>302</v>
      </c>
      <c r="H13" s="231"/>
      <c r="I13" s="231"/>
      <c r="J13" s="231"/>
      <c r="K13" s="231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</row>
    <row r="14" spans="1:38" s="4" customFormat="1" ht="21" customHeight="1" x14ac:dyDescent="0.3">
      <c r="A14" s="231"/>
      <c r="B14" s="112"/>
      <c r="C14" s="103" t="s">
        <v>310</v>
      </c>
      <c r="D14" s="231"/>
      <c r="E14" s="104"/>
      <c r="F14" s="112"/>
      <c r="G14" s="103" t="s">
        <v>295</v>
      </c>
      <c r="H14" s="231"/>
      <c r="I14" s="231"/>
      <c r="J14" s="231"/>
      <c r="K14" s="231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</row>
    <row r="15" spans="1:38" x14ac:dyDescent="0.3">
      <c r="A15" s="25"/>
      <c r="B15" s="29" t="s">
        <v>296</v>
      </c>
      <c r="C15" s="5"/>
      <c r="D15" s="25"/>
      <c r="E15" s="5"/>
      <c r="F15" s="5"/>
      <c r="G15" s="2" t="s">
        <v>149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5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0</v>
      </c>
      <c r="C17" s="115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5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1">
        <f>SUM(B16:B18)</f>
        <v>0</v>
      </c>
      <c r="C19" s="109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5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bYYTRLA362MILumSLNbeoQ2hy+GJikiAN9JWuBENQVQ+g49rNjpbVQfv4HKmwJd5sECAbS9qnJ5D7VbOYAr62A==" saltValue="mhj60ytZCew56tNQmRqpzw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H3" sqref="BH3"/>
    </sheetView>
  </sheetViews>
  <sheetFormatPr baseColWidth="10" defaultColWidth="11.44140625" defaultRowHeight="14.4" x14ac:dyDescent="0.3"/>
  <cols>
    <col min="1" max="1" width="6.77734375" style="68" bestFit="1" customWidth="1"/>
    <col min="2" max="4" width="11.44140625" style="68"/>
    <col min="5" max="5" width="9.44140625" style="68" customWidth="1"/>
    <col min="6" max="7" width="11.44140625" style="68"/>
    <col min="8" max="8" width="10.6640625" style="68" customWidth="1"/>
    <col min="9" max="9" width="9.44140625" style="68" customWidth="1"/>
    <col min="10" max="11" width="10.44140625" style="68" bestFit="1" customWidth="1"/>
    <col min="12" max="12" width="14" style="68" bestFit="1" customWidth="1"/>
    <col min="13" max="13" width="14" style="68" customWidth="1"/>
    <col min="14" max="23" width="11.44140625" style="68"/>
    <col min="24" max="24" width="11.6640625" style="68" bestFit="1" customWidth="1"/>
    <col min="25" max="25" width="14.44140625" style="68" bestFit="1" customWidth="1"/>
    <col min="26" max="26" width="12.44140625" style="68" bestFit="1" customWidth="1"/>
    <col min="27" max="27" width="9.6640625" style="68" bestFit="1" customWidth="1"/>
    <col min="28" max="28" width="11" style="68" bestFit="1" customWidth="1"/>
    <col min="29" max="29" width="9.44140625" style="68" bestFit="1" customWidth="1"/>
    <col min="30" max="31" width="9.44140625" style="68" customWidth="1"/>
    <col min="32" max="32" width="11.44140625" style="68"/>
    <col min="33" max="34" width="14" style="68" bestFit="1" customWidth="1"/>
    <col min="35" max="35" width="10.44140625" style="68" bestFit="1" customWidth="1"/>
    <col min="36" max="36" width="9.44140625" style="68" bestFit="1" customWidth="1"/>
    <col min="37" max="38" width="10.44140625" style="68" bestFit="1" customWidth="1"/>
    <col min="39" max="41" width="10.44140625" style="68" customWidth="1"/>
    <col min="42" max="42" width="9" style="68" bestFit="1" customWidth="1"/>
    <col min="43" max="43" width="10.44140625" style="68" bestFit="1" customWidth="1"/>
    <col min="44" max="44" width="9.33203125" style="68" bestFit="1" customWidth="1"/>
    <col min="45" max="45" width="11.6640625" style="68" bestFit="1" customWidth="1"/>
    <col min="46" max="46" width="8.44140625" style="68" bestFit="1" customWidth="1"/>
    <col min="47" max="47" width="9.44140625" style="68" bestFit="1" customWidth="1"/>
    <col min="48" max="48" width="9.6640625" style="68" bestFit="1" customWidth="1"/>
    <col min="49" max="49" width="11" style="68" bestFit="1" customWidth="1"/>
    <col min="50" max="50" width="9.44140625" style="68" bestFit="1" customWidth="1"/>
    <col min="51" max="52" width="9.44140625" style="68" customWidth="1"/>
    <col min="53" max="53" width="10.44140625" style="68" bestFit="1" customWidth="1"/>
    <col min="54" max="54" width="14.33203125" style="68" customWidth="1"/>
    <col min="55" max="55" width="14" style="68" customWidth="1"/>
    <col min="56" max="56" width="10.44140625" style="68" bestFit="1" customWidth="1"/>
    <col min="57" max="57" width="9.44140625" style="68" bestFit="1" customWidth="1"/>
    <col min="58" max="59" width="10.44140625" style="68" bestFit="1" customWidth="1"/>
    <col min="60" max="62" width="10.44140625" style="68" customWidth="1"/>
    <col min="63" max="63" width="9" style="68" bestFit="1" customWidth="1"/>
    <col min="64" max="64" width="10.44140625" style="68" bestFit="1" customWidth="1"/>
    <col min="65" max="65" width="9.33203125" style="68" bestFit="1" customWidth="1"/>
    <col min="66" max="66" width="11.6640625" style="68" bestFit="1" customWidth="1"/>
    <col min="67" max="67" width="8.44140625" style="68" bestFit="1" customWidth="1"/>
    <col min="68" max="68" width="9.44140625" style="68" bestFit="1" customWidth="1"/>
    <col min="69" max="69" width="9.6640625" style="68" bestFit="1" customWidth="1"/>
    <col min="70" max="70" width="11" style="68" bestFit="1" customWidth="1"/>
    <col min="71" max="71" width="9.44140625" style="68" bestFit="1" customWidth="1"/>
    <col min="72" max="73" width="9.44140625" style="68" customWidth="1"/>
    <col min="74" max="74" width="10.44140625" style="68" bestFit="1" customWidth="1"/>
    <col min="75" max="75" width="14" style="68" bestFit="1" customWidth="1"/>
    <col min="76" max="76" width="13.77734375" style="68" customWidth="1"/>
    <col min="77" max="77" width="10.44140625" style="68" bestFit="1" customWidth="1"/>
    <col min="78" max="78" width="9.44140625" style="68" bestFit="1" customWidth="1"/>
    <col min="79" max="80" width="10.44140625" style="68" bestFit="1" customWidth="1"/>
    <col min="81" max="83" width="10.44140625" style="68" customWidth="1"/>
    <col min="84" max="84" width="11.44140625" style="68"/>
    <col min="85" max="85" width="10.44140625" style="68" bestFit="1" customWidth="1"/>
    <col min="86" max="86" width="9.33203125" style="68" bestFit="1" customWidth="1"/>
    <col min="87" max="87" width="11.6640625" style="68" bestFit="1" customWidth="1"/>
    <col min="88" max="88" width="8.44140625" style="68" bestFit="1" customWidth="1"/>
    <col min="89" max="89" width="9.44140625" style="68" bestFit="1" customWidth="1"/>
    <col min="90" max="90" width="9.6640625" style="68" bestFit="1" customWidth="1"/>
    <col min="91" max="91" width="11" style="68" bestFit="1" customWidth="1"/>
    <col min="92" max="92" width="9.44140625" style="68" bestFit="1" customWidth="1"/>
    <col min="93" max="94" width="9.44140625" style="68" customWidth="1"/>
    <col min="95" max="95" width="11.44140625" style="68"/>
    <col min="96" max="97" width="14" style="68" customWidth="1"/>
    <col min="98" max="98" width="10.44140625" style="68" bestFit="1" customWidth="1"/>
    <col min="99" max="99" width="9.44140625" style="68" bestFit="1" customWidth="1"/>
    <col min="100" max="101" width="10.44140625" style="68" bestFit="1" customWidth="1"/>
    <col min="102" max="104" width="10.44140625" style="68" customWidth="1"/>
    <col min="105" max="105" width="9" style="68" bestFit="1" customWidth="1"/>
    <col min="106" max="106" width="10.44140625" style="68" bestFit="1" customWidth="1"/>
    <col min="107" max="107" width="9.33203125" style="68" bestFit="1" customWidth="1"/>
    <col min="108" max="108" width="11.6640625" style="68" bestFit="1" customWidth="1"/>
    <col min="109" max="109" width="8.44140625" style="68" bestFit="1" customWidth="1"/>
    <col min="110" max="110" width="9.44140625" style="68" bestFit="1" customWidth="1"/>
    <col min="111" max="111" width="9.6640625" style="68" bestFit="1" customWidth="1"/>
    <col min="112" max="112" width="11" style="68" bestFit="1" customWidth="1"/>
    <col min="113" max="113" width="9.44140625" style="68" bestFit="1" customWidth="1"/>
    <col min="114" max="115" width="9.44140625" style="68" customWidth="1"/>
    <col min="116" max="116" width="10.44140625" style="68" bestFit="1" customWidth="1"/>
    <col min="117" max="117" width="14.33203125" style="68" customWidth="1"/>
    <col min="118" max="118" width="14" style="68" bestFit="1" customWidth="1"/>
    <col min="119" max="119" width="10.44140625" style="68" bestFit="1" customWidth="1"/>
    <col min="120" max="120" width="9.44140625" style="68" bestFit="1" customWidth="1"/>
    <col min="121" max="122" width="10.44140625" style="68" bestFit="1" customWidth="1"/>
    <col min="123" max="125" width="10.44140625" style="68" customWidth="1"/>
    <col min="126" max="126" width="9" style="68" bestFit="1" customWidth="1"/>
    <col min="127" max="127" width="10.44140625" style="68" bestFit="1" customWidth="1"/>
    <col min="128" max="128" width="9.33203125" style="68" bestFit="1" customWidth="1"/>
    <col min="129" max="129" width="11.6640625" style="68" bestFit="1" customWidth="1"/>
    <col min="130" max="130" width="8.44140625" style="68" bestFit="1" customWidth="1"/>
    <col min="131" max="131" width="9.44140625" style="68" bestFit="1" customWidth="1"/>
    <col min="132" max="132" width="9.6640625" style="68" bestFit="1" customWidth="1"/>
    <col min="133" max="133" width="11" style="68" bestFit="1" customWidth="1"/>
    <col min="134" max="134" width="9.44140625" style="68" bestFit="1" customWidth="1"/>
    <col min="135" max="136" width="9.44140625" style="68" customWidth="1"/>
    <col min="137" max="137" width="10.44140625" style="68" bestFit="1" customWidth="1"/>
    <col min="138" max="139" width="14" style="68" customWidth="1"/>
    <col min="140" max="140" width="10.44140625" style="68" bestFit="1" customWidth="1"/>
    <col min="141" max="141" width="9.44140625" style="68" bestFit="1" customWidth="1"/>
    <col min="142" max="143" width="10.44140625" style="68" bestFit="1" customWidth="1"/>
    <col min="144" max="146" width="10.44140625" style="68" customWidth="1"/>
    <col min="147" max="147" width="9" style="68" bestFit="1" customWidth="1"/>
    <col min="148" max="148" width="10.44140625" style="68" bestFit="1" customWidth="1"/>
    <col min="149" max="149" width="9.33203125" style="68" bestFit="1" customWidth="1"/>
    <col min="150" max="150" width="11.6640625" style="68" bestFit="1" customWidth="1"/>
    <col min="151" max="151" width="8.44140625" style="68" bestFit="1" customWidth="1"/>
    <col min="152" max="152" width="9.44140625" style="68" bestFit="1" customWidth="1"/>
    <col min="153" max="153" width="9.6640625" style="68" bestFit="1" customWidth="1"/>
    <col min="154" max="154" width="11" style="68" bestFit="1" customWidth="1"/>
    <col min="155" max="155" width="9.44140625" style="68" bestFit="1" customWidth="1"/>
    <col min="156" max="157" width="9.44140625" style="68" customWidth="1"/>
    <col min="158" max="158" width="11.44140625" style="68"/>
    <col min="159" max="160" width="14" style="68" bestFit="1" customWidth="1"/>
    <col min="161" max="161" width="10.44140625" style="68" bestFit="1" customWidth="1"/>
    <col min="162" max="162" width="9.44140625" style="68" bestFit="1" customWidth="1"/>
    <col min="163" max="164" width="10.44140625" style="68" bestFit="1" customWidth="1"/>
    <col min="165" max="167" width="10.44140625" style="68" customWidth="1"/>
    <col min="168" max="168" width="9" style="68" bestFit="1" customWidth="1"/>
    <col min="169" max="169" width="10.44140625" style="68" bestFit="1" customWidth="1"/>
    <col min="170" max="170" width="9.33203125" style="68" bestFit="1" customWidth="1"/>
    <col min="171" max="171" width="11.6640625" style="68" bestFit="1" customWidth="1"/>
    <col min="172" max="172" width="8.109375" style="68" bestFit="1" customWidth="1"/>
    <col min="173" max="173" width="9.44140625" style="68" bestFit="1" customWidth="1"/>
    <col min="174" max="174" width="9.6640625" style="68" bestFit="1" customWidth="1"/>
    <col min="175" max="175" width="11" style="68" bestFit="1" customWidth="1"/>
    <col min="176" max="176" width="9.44140625" style="68" bestFit="1" customWidth="1"/>
    <col min="177" max="178" width="9.44140625" style="68" customWidth="1"/>
    <col min="179" max="179" width="10.44140625" style="68" bestFit="1" customWidth="1"/>
    <col min="180" max="181" width="14" style="68" bestFit="1" customWidth="1"/>
    <col min="182" max="182" width="10.44140625" style="68" bestFit="1" customWidth="1"/>
    <col min="183" max="183" width="9.44140625" style="68" bestFit="1" customWidth="1"/>
    <col min="184" max="185" width="10.44140625" style="68" bestFit="1" customWidth="1"/>
    <col min="186" max="188" width="10.44140625" style="68" customWidth="1"/>
    <col min="189" max="189" width="9" style="68" bestFit="1" customWidth="1"/>
    <col min="190" max="190" width="10.44140625" style="68" bestFit="1" customWidth="1"/>
    <col min="191" max="191" width="9.33203125" style="68" bestFit="1" customWidth="1"/>
    <col min="192" max="192" width="11.44140625" style="68"/>
    <col min="193" max="193" width="8.44140625" style="68" bestFit="1" customWidth="1"/>
    <col min="194" max="194" width="9.44140625" style="68" bestFit="1" customWidth="1"/>
    <col min="195" max="195" width="9.6640625" style="68" bestFit="1" customWidth="1"/>
    <col min="196" max="196" width="11" style="68" bestFit="1" customWidth="1"/>
    <col min="197" max="197" width="9.44140625" style="68" bestFit="1" customWidth="1"/>
    <col min="198" max="199" width="9.44140625" style="68" customWidth="1"/>
    <col min="200" max="200" width="10.44140625" style="68" bestFit="1" customWidth="1"/>
    <col min="201" max="201" width="14" style="68" customWidth="1"/>
    <col min="202" max="202" width="14.33203125" style="68" customWidth="1"/>
    <col min="203" max="203" width="10.44140625" style="68" bestFit="1" customWidth="1"/>
    <col min="204" max="204" width="9.44140625" style="68" bestFit="1" customWidth="1"/>
    <col min="205" max="206" width="10.44140625" style="68" bestFit="1" customWidth="1"/>
    <col min="207" max="209" width="10.44140625" style="68" customWidth="1"/>
    <col min="210" max="210" width="9" style="68" bestFit="1" customWidth="1"/>
    <col min="211" max="211" width="10.44140625" style="68" bestFit="1" customWidth="1"/>
    <col min="212" max="212" width="9.33203125" style="68" bestFit="1" customWidth="1"/>
    <col min="213" max="213" width="11.6640625" style="68" bestFit="1" customWidth="1"/>
    <col min="214" max="214" width="8.44140625" style="68" bestFit="1" customWidth="1"/>
    <col min="215" max="215" width="9.44140625" style="68" bestFit="1" customWidth="1"/>
    <col min="216" max="216" width="9.6640625" style="68" bestFit="1" customWidth="1"/>
    <col min="217" max="217" width="11" style="68" bestFit="1" customWidth="1"/>
    <col min="218" max="218" width="9.44140625" style="68" bestFit="1" customWidth="1"/>
    <col min="219" max="16384" width="11.44140625" style="68"/>
  </cols>
  <sheetData>
    <row r="1" spans="1:218" s="5" customFormat="1" ht="26.4" thickBot="1" x14ac:dyDescent="0.55000000000000004">
      <c r="B1" s="318" t="s">
        <v>176</v>
      </c>
      <c r="C1" s="319"/>
      <c r="D1" s="319"/>
      <c r="E1" s="319"/>
      <c r="F1" s="319"/>
      <c r="G1" s="319"/>
      <c r="H1" s="320"/>
      <c r="I1" s="315" t="str">
        <f>IF('Données projet'!$B$9="","",'Données projet'!$B$9)</f>
        <v>Pin maritime</v>
      </c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  <c r="W1" s="316"/>
      <c r="X1" s="316"/>
      <c r="Y1" s="316"/>
      <c r="Z1" s="316"/>
      <c r="AA1" s="316"/>
      <c r="AB1" s="316"/>
      <c r="AC1" s="317"/>
      <c r="AD1" s="316" t="str">
        <f>IF('Données projet'!$B$10="","",'Données projet'!$B$10)</f>
        <v>Bouleau verruqueux</v>
      </c>
      <c r="AE1" s="316"/>
      <c r="AF1" s="316"/>
      <c r="AG1" s="316"/>
      <c r="AH1" s="316"/>
      <c r="AI1" s="316"/>
      <c r="AJ1" s="316"/>
      <c r="AK1" s="316"/>
      <c r="AL1" s="316"/>
      <c r="AM1" s="316"/>
      <c r="AN1" s="316"/>
      <c r="AO1" s="316"/>
      <c r="AP1" s="316"/>
      <c r="AQ1" s="316"/>
      <c r="AR1" s="316"/>
      <c r="AS1" s="316"/>
      <c r="AT1" s="316"/>
      <c r="AU1" s="316"/>
      <c r="AV1" s="316"/>
      <c r="AW1" s="316"/>
      <c r="AX1" s="317"/>
      <c r="AY1" s="315" t="str">
        <f>IF('Données projet'!$B$11="","",'Données projet'!$B$11)</f>
        <v>Chêne pubescent</v>
      </c>
      <c r="AZ1" s="316"/>
      <c r="BA1" s="316"/>
      <c r="BB1" s="316"/>
      <c r="BC1" s="316"/>
      <c r="BD1" s="316"/>
      <c r="BE1" s="316"/>
      <c r="BF1" s="316"/>
      <c r="BG1" s="316"/>
      <c r="BH1" s="316"/>
      <c r="BI1" s="316"/>
      <c r="BJ1" s="316"/>
      <c r="BK1" s="316"/>
      <c r="BL1" s="316"/>
      <c r="BM1" s="316"/>
      <c r="BN1" s="316"/>
      <c r="BO1" s="316"/>
      <c r="BP1" s="316"/>
      <c r="BQ1" s="316"/>
      <c r="BR1" s="316"/>
      <c r="BS1" s="317"/>
      <c r="BT1" s="315" t="str">
        <f>IF('Données projet'!$B$12="","",'Données projet'!$B$12)</f>
        <v>Cèdre de l'Atlas</v>
      </c>
      <c r="BU1" s="316"/>
      <c r="BV1" s="316"/>
      <c r="BW1" s="316"/>
      <c r="BX1" s="316"/>
      <c r="BY1" s="316"/>
      <c r="BZ1" s="316"/>
      <c r="CA1" s="316"/>
      <c r="CB1" s="316"/>
      <c r="CC1" s="316"/>
      <c r="CD1" s="316"/>
      <c r="CE1" s="316"/>
      <c r="CF1" s="316"/>
      <c r="CG1" s="316"/>
      <c r="CH1" s="316"/>
      <c r="CI1" s="316"/>
      <c r="CJ1" s="316"/>
      <c r="CK1" s="316"/>
      <c r="CL1" s="316"/>
      <c r="CM1" s="316"/>
      <c r="CN1" s="317"/>
      <c r="CO1" s="315" t="str">
        <f>IF('Données projet'!$B$13="","",'Données projet'!$B$13)</f>
        <v/>
      </c>
      <c r="CP1" s="316"/>
      <c r="CQ1" s="316"/>
      <c r="CR1" s="316"/>
      <c r="CS1" s="316"/>
      <c r="CT1" s="316"/>
      <c r="CU1" s="316"/>
      <c r="CV1" s="316"/>
      <c r="CW1" s="316"/>
      <c r="CX1" s="316"/>
      <c r="CY1" s="316"/>
      <c r="CZ1" s="316"/>
      <c r="DA1" s="316"/>
      <c r="DB1" s="316"/>
      <c r="DC1" s="316"/>
      <c r="DD1" s="316"/>
      <c r="DE1" s="316"/>
      <c r="DF1" s="316"/>
      <c r="DG1" s="316"/>
      <c r="DH1" s="316"/>
      <c r="DI1" s="317"/>
      <c r="DJ1" s="315" t="str">
        <f>IF('Données projet'!$B$14="","",'Données projet'!$B$14)</f>
        <v/>
      </c>
      <c r="DK1" s="316"/>
      <c r="DL1" s="316"/>
      <c r="DM1" s="316"/>
      <c r="DN1" s="316"/>
      <c r="DO1" s="316"/>
      <c r="DP1" s="316"/>
      <c r="DQ1" s="316"/>
      <c r="DR1" s="316"/>
      <c r="DS1" s="316"/>
      <c r="DT1" s="316"/>
      <c r="DU1" s="316"/>
      <c r="DV1" s="316"/>
      <c r="DW1" s="316"/>
      <c r="DX1" s="316"/>
      <c r="DY1" s="316"/>
      <c r="DZ1" s="316"/>
      <c r="EA1" s="316"/>
      <c r="EB1" s="316"/>
      <c r="EC1" s="316"/>
      <c r="ED1" s="317"/>
      <c r="EE1" s="315" t="str">
        <f>IF('Données projet'!$B$15="","",'Données projet'!$B$15)</f>
        <v/>
      </c>
      <c r="EF1" s="316"/>
      <c r="EG1" s="316"/>
      <c r="EH1" s="316"/>
      <c r="EI1" s="316"/>
      <c r="EJ1" s="316"/>
      <c r="EK1" s="316"/>
      <c r="EL1" s="316"/>
      <c r="EM1" s="316"/>
      <c r="EN1" s="316"/>
      <c r="EO1" s="316"/>
      <c r="EP1" s="316"/>
      <c r="EQ1" s="316"/>
      <c r="ER1" s="316"/>
      <c r="ES1" s="316"/>
      <c r="ET1" s="316"/>
      <c r="EU1" s="316"/>
      <c r="EV1" s="316"/>
      <c r="EW1" s="316"/>
      <c r="EX1" s="316"/>
      <c r="EY1" s="317"/>
      <c r="EZ1" s="315" t="str">
        <f>IF('Données projet'!$B$16="","",'Données projet'!$B$16)</f>
        <v/>
      </c>
      <c r="FA1" s="316"/>
      <c r="FB1" s="316"/>
      <c r="FC1" s="316"/>
      <c r="FD1" s="316"/>
      <c r="FE1" s="316"/>
      <c r="FF1" s="316"/>
      <c r="FG1" s="316"/>
      <c r="FH1" s="316"/>
      <c r="FI1" s="316"/>
      <c r="FJ1" s="316"/>
      <c r="FK1" s="316"/>
      <c r="FL1" s="316"/>
      <c r="FM1" s="316"/>
      <c r="FN1" s="316"/>
      <c r="FO1" s="316"/>
      <c r="FP1" s="316"/>
      <c r="FQ1" s="316"/>
      <c r="FR1" s="316"/>
      <c r="FS1" s="316"/>
      <c r="FT1" s="317"/>
      <c r="FU1" s="315" t="str">
        <f>IF('Données projet'!$B$17="","",'Données projet'!$B$17)</f>
        <v/>
      </c>
      <c r="FV1" s="316"/>
      <c r="FW1" s="316"/>
      <c r="FX1" s="316"/>
      <c r="FY1" s="316"/>
      <c r="FZ1" s="316"/>
      <c r="GA1" s="316"/>
      <c r="GB1" s="316"/>
      <c r="GC1" s="316"/>
      <c r="GD1" s="316"/>
      <c r="GE1" s="316"/>
      <c r="GF1" s="316"/>
      <c r="GG1" s="316"/>
      <c r="GH1" s="316"/>
      <c r="GI1" s="316"/>
      <c r="GJ1" s="316"/>
      <c r="GK1" s="316"/>
      <c r="GL1" s="316"/>
      <c r="GM1" s="316"/>
      <c r="GN1" s="316"/>
      <c r="GO1" s="317"/>
      <c r="GP1" s="315" t="str">
        <f>IF('Données projet'!$B$18="","",'Données projet'!$B$18)</f>
        <v/>
      </c>
      <c r="GQ1" s="316"/>
      <c r="GR1" s="316"/>
      <c r="GS1" s="316"/>
      <c r="GT1" s="316"/>
      <c r="GU1" s="316"/>
      <c r="GV1" s="316"/>
      <c r="GW1" s="316"/>
      <c r="GX1" s="316"/>
      <c r="GY1" s="316"/>
      <c r="GZ1" s="316"/>
      <c r="HA1" s="316"/>
      <c r="HB1" s="316"/>
      <c r="HC1" s="316"/>
      <c r="HD1" s="316"/>
      <c r="HE1" s="316"/>
      <c r="HF1" s="316"/>
      <c r="HG1" s="316"/>
      <c r="HH1" s="316"/>
      <c r="HI1" s="316"/>
      <c r="HJ1" s="317"/>
    </row>
    <row r="2" spans="1:218" s="5" customFormat="1" ht="58.2" thickBot="1" x14ac:dyDescent="0.35">
      <c r="A2" s="72" t="s">
        <v>178</v>
      </c>
      <c r="B2" s="73" t="s">
        <v>194</v>
      </c>
      <c r="C2" s="6" t="s">
        <v>195</v>
      </c>
      <c r="D2" s="6" t="s">
        <v>286</v>
      </c>
      <c r="E2" s="6" t="s">
        <v>299</v>
      </c>
      <c r="F2" s="6" t="s">
        <v>298</v>
      </c>
      <c r="G2" s="6" t="s">
        <v>303</v>
      </c>
      <c r="H2" s="66" t="s">
        <v>300</v>
      </c>
      <c r="I2" s="69" t="s">
        <v>299</v>
      </c>
      <c r="J2" s="70" t="s">
        <v>298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303</v>
      </c>
      <c r="R2" s="7" t="s">
        <v>301</v>
      </c>
      <c r="S2" s="7" t="s">
        <v>309</v>
      </c>
      <c r="T2" s="7" t="s">
        <v>304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0" t="s">
        <v>299</v>
      </c>
      <c r="AE2" s="70" t="s">
        <v>298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303</v>
      </c>
      <c r="AM2" s="7" t="s">
        <v>301</v>
      </c>
      <c r="AN2" s="7" t="s">
        <v>309</v>
      </c>
      <c r="AO2" s="7" t="s">
        <v>304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69" t="s">
        <v>299</v>
      </c>
      <c r="AZ2" s="70" t="s">
        <v>298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303</v>
      </c>
      <c r="BH2" s="7" t="s">
        <v>301</v>
      </c>
      <c r="BI2" s="7" t="s">
        <v>309</v>
      </c>
      <c r="BJ2" s="7" t="s">
        <v>304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69" t="s">
        <v>299</v>
      </c>
      <c r="BU2" s="70" t="s">
        <v>298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303</v>
      </c>
      <c r="CC2" s="7" t="s">
        <v>301</v>
      </c>
      <c r="CD2" s="7" t="s">
        <v>309</v>
      </c>
      <c r="CE2" s="7" t="s">
        <v>304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69" t="s">
        <v>299</v>
      </c>
      <c r="CP2" s="70" t="s">
        <v>298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303</v>
      </c>
      <c r="CX2" s="7" t="s">
        <v>301</v>
      </c>
      <c r="CY2" s="7" t="s">
        <v>309</v>
      </c>
      <c r="CZ2" s="7" t="s">
        <v>304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69" t="s">
        <v>299</v>
      </c>
      <c r="DK2" s="70" t="s">
        <v>298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303</v>
      </c>
      <c r="DS2" s="7" t="s">
        <v>301</v>
      </c>
      <c r="DT2" s="7" t="s">
        <v>309</v>
      </c>
      <c r="DU2" s="7" t="s">
        <v>304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69" t="s">
        <v>299</v>
      </c>
      <c r="EF2" s="70" t="s">
        <v>298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303</v>
      </c>
      <c r="EN2" s="7" t="s">
        <v>301</v>
      </c>
      <c r="EO2" s="7" t="s">
        <v>309</v>
      </c>
      <c r="EP2" s="7" t="s">
        <v>304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69" t="s">
        <v>299</v>
      </c>
      <c r="FA2" s="70" t="s">
        <v>298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303</v>
      </c>
      <c r="FI2" s="7" t="s">
        <v>301</v>
      </c>
      <c r="FJ2" s="7" t="s">
        <v>309</v>
      </c>
      <c r="FK2" s="7" t="s">
        <v>304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69" t="s">
        <v>299</v>
      </c>
      <c r="FV2" s="70" t="s">
        <v>298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303</v>
      </c>
      <c r="GD2" s="7" t="s">
        <v>301</v>
      </c>
      <c r="GE2" s="7" t="s">
        <v>309</v>
      </c>
      <c r="GF2" s="7" t="s">
        <v>304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69" t="s">
        <v>299</v>
      </c>
      <c r="GQ2" s="70" t="s">
        <v>298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303</v>
      </c>
      <c r="GY2" s="7" t="s">
        <v>301</v>
      </c>
      <c r="GZ2" s="7" t="s">
        <v>309</v>
      </c>
      <c r="HA2" s="7" t="s">
        <v>304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4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181.84907943028196</v>
      </c>
      <c r="T3" s="60">
        <f>IF('Données projet'!E9&gt;30,$R$33-$H$33,LOOKUP('Données projet'!$E$9,$A$3:$A$203,R3:R203)-LOOKUP('Données projet'!$E$9,$A$3:$A$203,$H$3:$H$203))</f>
        <v>199.66849909069458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55.581964048431473</v>
      </c>
      <c r="AO3" s="60">
        <f>IF('Données projet'!E10&gt;30,$AM$33-$H$33,LOOKUP('Données projet'!$E$10,$A$3:$A$203,AM3:AM203)-LOOKUP('Données projet'!$E$10,$A$3:$A$203,$H$3:$H$203))</f>
        <v>91.067506141193803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178.29366134936788</v>
      </c>
      <c r="BJ3" s="60">
        <f>IF('Données projet'!E11&gt;30,$BH$33-$H$33,LOOKUP('Données projet'!$E$11,$A$3:$A$203,BH3:BH203)-LOOKUP('Données projet'!$E$11,$A$3:$A$203,$H$3:$H$203))</f>
        <v>85.818195717787148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104.00159056395933</v>
      </c>
      <c r="CE3" s="60">
        <f>IF('Données projet'!E12&gt;30,$CC$33-$H$33,LOOKUP('Données projet'!$E$12,$A$3:$A$203,CC3:CC203)-LOOKUP('Données projet'!$E$12,$A$3:$A$203,$H$3:$H$203))</f>
        <v>115.86489547584461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projet'!$B$13,Paramètres!$A$1:$I$88,3,0)*VLOOKUP('Données projet'!$B$13,Paramètres!$A$1:$I$88,5,0)</f>
        <v>#N/A</v>
      </c>
      <c r="CV3" s="13">
        <v>0</v>
      </c>
      <c r="CW3" s="15" t="e">
        <f>(CU3+CV3)*0.475*44/12</f>
        <v>#N/A</v>
      </c>
      <c r="CX3" s="60" t="e">
        <f>CW3+(CO3+CP3)*44/12</f>
        <v>#N/A</v>
      </c>
      <c r="CY3" s="60" t="e">
        <f ca="1">AVERAGE(OFFSET($CX$3,0,0,'Données projet'!$E$13+1,1))-AVERAGE(OFFSET($H$3,0,0,'Données projet'!$E$13+1,1))</f>
        <v>#N/A</v>
      </c>
      <c r="CZ3" s="60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0" t="e">
        <f>DR3+(DJ3+DK3)*44/12</f>
        <v>#N/A</v>
      </c>
      <c r="DT3" s="60" t="e">
        <f ca="1">AVERAGE(OFFSET($DS$3,0,0,'Données projet'!$E$14+1,1))-AVERAGE(OFFSET($H$3,0,0,'Données projet'!$E$14+1,1))</f>
        <v>#N/A</v>
      </c>
      <c r="DU3" s="60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4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0.88919999999999999</v>
      </c>
      <c r="D4" s="12">
        <f>IFERROR(EXP(-1.0587+0.8836*LN(C4)+0.284),0)</f>
        <v>0.41542055579923082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6.4</v>
      </c>
      <c r="N4" s="14">
        <f>IF('Données projet'!$A$36&gt;35,N3+M4-V3,IF(A4&lt;'Données projet'!$A$36,$K$205^A4,IF(A4='Données projet'!$A$36,'Données projet'!$B$36,N3+M4-V3)))</f>
        <v>1.3556619776599483</v>
      </c>
      <c r="O4" s="14">
        <f>N4*VLOOKUP('Données projet'!$B$9,Paramètres!$A$1:$I$88,3,0)*VLOOKUP('Données projet'!$B$9,Paramètres!$A$1:$I$88,5,0)</f>
        <v>0.81068586264064924</v>
      </c>
      <c r="P4" s="14">
        <f>EXP(-1.0587+0.8836*LN(O4)+0.284)</f>
        <v>0.38283727985565824</v>
      </c>
      <c r="Q4" s="22">
        <f t="shared" ref="Q4:Q34" si="2">(O4+P4)*0.475*44/12</f>
        <v>2.078719473181069</v>
      </c>
      <c r="R4" s="60">
        <f t="shared" si="0"/>
        <v>295.4120528065144</v>
      </c>
      <c r="S4" s="60">
        <f ca="1">AVERAGE(OFFSET($R$3,0,0,'Données projet'!$E$9+1,1))-AVERAGE(OFFSET($H$3,0,0,'Données projet'!$E$9+1,1))</f>
        <v>181.84907943028196</v>
      </c>
      <c r="T4" s="60">
        <f>$T$3</f>
        <v>199.66849909069458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2.1333333333333333</v>
      </c>
      <c r="AI4" s="14">
        <f>IF('Données projet'!$A$62&gt;35,AI3+AH4-AQ3,IF(A4&lt;'Données projet'!$A$62,$AF$205^A4,IF(A4='Données projet'!$A$62,'Données projet'!$B$62,AI3+AH4-AQ3)))</f>
        <v>1.2599210498948732</v>
      </c>
      <c r="AJ4" s="14">
        <f>AI4*VLOOKUP('Données projet'!$B$10,Paramètres!$A$1:$I$88,3,0)*VLOOKUP('Données projet'!$B$10,Paramètres!$A$1:$I$88,5,0)</f>
        <v>1.0220479556747213</v>
      </c>
      <c r="AK4" s="14">
        <f>EXP(-1.0587+0.8836*LN(AJ4)+0.284)</f>
        <v>0.4698085135128936</v>
      </c>
      <c r="AL4" s="22">
        <f t="shared" ref="AL4:AL67" si="4">(AJ4+AK4)*0.475*44/12</f>
        <v>2.5983166838350953</v>
      </c>
      <c r="AM4" s="60">
        <f t="shared" ref="AM4:AM67" si="5">AL4+(AD4+AE4)*44/12</f>
        <v>295.93165001716841</v>
      </c>
      <c r="AN4" s="60">
        <f ca="1">AVERAGE(OFFSET($AM$3,0,0,'Données projet'!$E$10+1,1))-AVERAGE(OFFSET($H$3,0,0,'Données projet'!$E$10+1,1))</f>
        <v>55.581964048431473</v>
      </c>
      <c r="AO4" s="60">
        <f>$AO$3</f>
        <v>91.067506141193803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2.1607142857142856</v>
      </c>
      <c r="BD4" s="13">
        <f>IF('Données projet'!$A$88&gt;35,BD3+BC4-BL3,IF(A4&lt;'Données projet'!$A$88,$BA$205^A4,IF(A4='Données projet'!$A$88,'Données projet'!$B$88,BD3+BC4-BL3)))</f>
        <v>2.1607142857142856</v>
      </c>
      <c r="BE4" s="14">
        <f>BD4*VLOOKUP('Données projet'!$B$11,Paramètres!$A$1:$I$88,3,0)*VLOOKUP('Données projet'!$B$11,Paramètres!$A$1:$I$88,5,0)</f>
        <v>2.1909642857142857</v>
      </c>
      <c r="BF4" s="14">
        <f>EXP(-1.0587+0.8836*LN(BE4)+0.284)</f>
        <v>0.92158928019872199</v>
      </c>
      <c r="BG4" s="22">
        <f t="shared" ref="BG4:BG67" si="7">(BE4+BF4)*0.475*44/12</f>
        <v>5.421030793965155</v>
      </c>
      <c r="BH4" s="60">
        <f t="shared" ref="BH4:BH67" si="8">BG4+(AY4+AZ4)*44/12</f>
        <v>298.75436412729846</v>
      </c>
      <c r="BI4" s="60">
        <f ca="1">AVERAGE(OFFSET($BH$3,0,0,'Données projet'!$E$11+1,1))-AVERAGE(OFFSET($H$3,0,0,'Données projet'!$E$11+1,1))</f>
        <v>178.29366134936788</v>
      </c>
      <c r="BJ4" s="60">
        <f>$BJ$3</f>
        <v>85.818195717787148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5.666666666666667</v>
      </c>
      <c r="BY4" s="13">
        <f>IF('Données projet'!$A$114&gt;35,BY3+BX4-CG3,IF(A4&lt;'Données projet'!$A$114,$BV$205^A4,IF(A4='Données projet'!$A$114,'Données projet'!$B$114,BY3+BX4-CG3)))</f>
        <v>1.1867200975826817</v>
      </c>
      <c r="BZ4" s="14">
        <f>BY4*VLOOKUP('Données projet'!$B$12,Paramètres!$A$1:$I$88,3,0)*VLOOKUP('Données projet'!$B$12,Paramètres!$A$1:$I$88,5,0)</f>
        <v>0.55538500566869509</v>
      </c>
      <c r="CA4" s="14">
        <f>EXP(-1.0587+0.8836*LN(BZ4)+0.284)</f>
        <v>0.27407880760927583</v>
      </c>
      <c r="CB4" s="22">
        <f t="shared" ref="CB4:CB67" si="10">(BZ4+CA4)*0.475*44/12</f>
        <v>1.4446494747924661</v>
      </c>
      <c r="CC4" s="60">
        <f t="shared" ref="CC4:CC67" si="11">CB4+(BT4+BU4)*44/12</f>
        <v>294.77798280812578</v>
      </c>
      <c r="CD4" s="60">
        <f ca="1">AVERAGE(OFFSET($CC$3,0,0,'Données projet'!$E$12+1,1))-AVERAGE(OFFSET($H$3,0,0,'Données projet'!$E$12+1,1))</f>
        <v>104.00159056395933</v>
      </c>
      <c r="CE4" s="60">
        <f>$CE$3</f>
        <v>115.86489547584461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projet'!$B$13,Paramètres!$A$1:$I$88,3,0)*VLOOKUP('Données projet'!$B$13,Paramètres!$A$1:$I$88,5,0)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0" t="e">
        <f t="shared" ref="CX4:CX67" si="14">CW4+(CO4+CP4)*44/12</f>
        <v>#N/A</v>
      </c>
      <c r="CY4" s="60" t="e">
        <f ca="1">AVERAGE(OFFSET($CX$3,0,0,'Données projet'!$E$13+1,1))-AVERAGE(OFFSET($H$3,0,0,'Données projet'!$E$13+1,1))</f>
        <v>#N/A</v>
      </c>
      <c r="CZ4" s="60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projet'!$B$13,Paramètres!$A$1:$I$88,3,0)*0.475*44/12</f>
        <v>#N/A</v>
      </c>
      <c r="DG4" s="23" t="e">
        <f>EXP(-LN(2)/25)*DG3+(1-EXP(-LN(2)/25))/(LN(2)/25)*Calculateur!DB4*Calculateur!DD4*VLOOKUP('Données projet'!$B$13,Paramètres!$A$1:$I$88,3,0)*0.475*44/12</f>
        <v>#N/A</v>
      </c>
      <c r="DH4" s="23" t="e">
        <f>EXP(-LN(2)/2)*DH3+(1-EXP(-LN(2)/2))/(LN(2)/2)*DB4*DE4*VLOOKUP('Données projet'!$B$13,Paramètres!$A$1:$I$88,3,0)*0.475*44/12</f>
        <v>#N/A</v>
      </c>
      <c r="DI4" s="24" t="e">
        <f t="shared" ref="DI4:DI67" si="15">SUM(DF4:DH4)</f>
        <v>#N/A</v>
      </c>
      <c r="DJ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0" t="e">
        <f t="shared" ref="DS4:DS67" si="17">DR4+(DJ4+DK4)*44/12</f>
        <v>#N/A</v>
      </c>
      <c r="DT4" s="60" t="e">
        <f ca="1">AVERAGE(OFFSET($DS$3,0,0,'Données projet'!$E$14+1,1))-AVERAGE(OFFSET($H$3,0,0,'Données projet'!$E$14+1,1))</f>
        <v>#N/A</v>
      </c>
      <c r="DU4" s="60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4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1.7784</v>
      </c>
      <c r="D5" s="12">
        <f t="shared" ref="D5:D68" si="32">IFERROR(EXP(-1.0587+0.8836*LN(C5)+0.284),0)</f>
        <v>0.76643986660078545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6.4</v>
      </c>
      <c r="N5" s="14">
        <f>IF('Données projet'!$A$36&gt;35,N4+M5-V4,IF(A5&lt;'Données projet'!$A$36,$K$205^A5,IF(A5='Données projet'!$A$36,'Données projet'!$B$36,N4+M5-V4)))</f>
        <v>1.8378193976728823</v>
      </c>
      <c r="O5" s="14">
        <f>N5*VLOOKUP('Données projet'!$B$9,Paramètres!$A$1:$I$88,3,0)*VLOOKUP('Données projet'!$B$9,Paramètres!$A$1:$I$88,5,0)</f>
        <v>1.0990159998083837</v>
      </c>
      <c r="P5" s="14">
        <f t="shared" ref="P5:P68" si="33">EXP(-1.0587+0.8836*LN(O5)+0.284)</f>
        <v>0.50093711768024984</v>
      </c>
      <c r="Q5" s="22">
        <f t="shared" si="2"/>
        <v>2.7865850129593706</v>
      </c>
      <c r="R5" s="60">
        <f t="shared" si="0"/>
        <v>296.11991834629271</v>
      </c>
      <c r="S5" s="60">
        <f ca="1">AVERAGE(OFFSET($R$3,0,0,'Données projet'!$E$9+1,1))-AVERAGE(OFFSET($H$3,0,0,'Données projet'!$E$9+1,1))</f>
        <v>181.84907943028196</v>
      </c>
      <c r="T5" s="60">
        <f t="shared" ref="T5:T68" si="34">$T$3</f>
        <v>199.66849909069458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2.1333333333333333</v>
      </c>
      <c r="AI5" s="14">
        <f>IF('Données projet'!$A$62&gt;35,AI4+AH5-AQ4,IF(A5&lt;'Données projet'!$A$62,$AF$205^A5,IF(A5='Données projet'!$A$62,'Données projet'!$B$62,AI4+AH5-AQ4)))</f>
        <v>1.5874010519681996</v>
      </c>
      <c r="AJ5" s="14">
        <f>AI5*VLOOKUP('Données projet'!$B$10,Paramètres!$A$1:$I$88,3,0)*VLOOKUP('Données projet'!$B$10,Paramètres!$A$1:$I$88,5,0)</f>
        <v>1.2876997333566036</v>
      </c>
      <c r="AK5" s="14">
        <f t="shared" ref="AK5:AK68" si="35">EXP(-1.0587+0.8836*LN(AJ5)+0.284)</f>
        <v>0.57621458989117558</v>
      </c>
      <c r="AL5" s="22">
        <f t="shared" si="4"/>
        <v>3.2463174463232147</v>
      </c>
      <c r="AM5" s="60">
        <f t="shared" si="5"/>
        <v>296.5796507796565</v>
      </c>
      <c r="AN5" s="60">
        <f ca="1">AVERAGE(OFFSET($AM$3,0,0,'Données projet'!$E$10+1,1))-AVERAGE(OFFSET($H$3,0,0,'Données projet'!$E$10+1,1))</f>
        <v>55.581964048431473</v>
      </c>
      <c r="AO5" s="60">
        <f t="shared" ref="AO5:AO68" si="36">$AO$3</f>
        <v>91.067506141193803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2.1607142857142856</v>
      </c>
      <c r="BD5" s="13">
        <f>IF('Données projet'!$A$88&gt;35,BD4+BC5-BL4,IF(A5&lt;'Données projet'!$A$88,$BA$205^A5,IF(A5='Données projet'!$A$88,'Données projet'!$B$88,BD4+BC5-BL4)))</f>
        <v>4.3214285714285712</v>
      </c>
      <c r="BE5" s="14">
        <f>BD5*VLOOKUP('Données projet'!$B$11,Paramètres!$A$1:$I$88,3,0)*VLOOKUP('Données projet'!$B$11,Paramètres!$A$1:$I$88,5,0)</f>
        <v>4.3819285714285714</v>
      </c>
      <c r="BF5" s="14">
        <f t="shared" ref="BF5:BF68" si="37">EXP(-1.0587+0.8836*LN(BE5)+0.284)</f>
        <v>1.7003076884755601</v>
      </c>
      <c r="BG5" s="22">
        <f t="shared" si="7"/>
        <v>10.593228152666363</v>
      </c>
      <c r="BH5" s="60">
        <f t="shared" si="8"/>
        <v>303.92656148599968</v>
      </c>
      <c r="BI5" s="60">
        <f ca="1">AVERAGE(OFFSET($BH$3,0,0,'Données projet'!$E$11+1,1))-AVERAGE(OFFSET($H$3,0,0,'Données projet'!$E$11+1,1))</f>
        <v>178.29366134936788</v>
      </c>
      <c r="BJ5" s="60">
        <f t="shared" ref="BJ5:BJ68" si="38">$BJ$3</f>
        <v>85.818195717787148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5.666666666666667</v>
      </c>
      <c r="BY5" s="13">
        <f>IF('Données projet'!$A$114&gt;35,BY4+BX5-CG4,IF(A5&lt;'Données projet'!$A$114,$BV$205^A5,IF(A5='Données projet'!$A$114,'Données projet'!$B$114,BY4+BX5-CG4)))</f>
        <v>1.4083045900066495</v>
      </c>
      <c r="BZ5" s="14">
        <f>BY5*VLOOKUP('Données projet'!$B$12,Paramètres!$A$1:$I$88,3,0)*VLOOKUP('Données projet'!$B$12,Paramètres!$A$1:$I$88,5,0)</f>
        <v>0.65908654812311196</v>
      </c>
      <c r="CA5" s="14">
        <f t="shared" ref="CA5:CA68" si="39">EXP(-1.0587+0.8836*LN(BZ5)+0.284)</f>
        <v>0.31883765901680755</v>
      </c>
      <c r="CB5" s="22">
        <f t="shared" si="10"/>
        <v>1.7032179941020262</v>
      </c>
      <c r="CC5" s="60">
        <f t="shared" si="11"/>
        <v>295.03655132743535</v>
      </c>
      <c r="CD5" s="60">
        <f ca="1">AVERAGE(OFFSET($CC$3,0,0,'Données projet'!$E$12+1,1))-AVERAGE(OFFSET($H$3,0,0,'Données projet'!$E$12+1,1))</f>
        <v>104.00159056395933</v>
      </c>
      <c r="CE5" s="60">
        <f t="shared" ref="CE5:CE68" si="40">$CE$3</f>
        <v>115.86489547584461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projet'!$B$13,Paramètres!$A$1:$I$88,3,0)*VLOOKUP('Données projet'!$B$13,Paramètres!$A$1:$I$88,5,0)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0" t="e">
        <f t="shared" si="14"/>
        <v>#N/A</v>
      </c>
      <c r="CY5" s="60" t="e">
        <f ca="1">AVERAGE(OFFSET($CX$3,0,0,'Données projet'!$E$13+1,1))-AVERAGE(OFFSET($H$3,0,0,'Données projet'!$E$13+1,1))</f>
        <v>#N/A</v>
      </c>
      <c r="CZ5" s="60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projet'!$B$13,Paramètres!$A$1:$I$88,3,0)*0.475*44/12</f>
        <v>#N/A</v>
      </c>
      <c r="DG5" s="23" t="e">
        <f>EXP(-LN(2)/25)*DG4+(1-EXP(-LN(2)/25))/(LN(2)/25)*Calculateur!DB5*Calculateur!DD5*VLOOKUP('Données projet'!$B$13,Paramètres!$A$1:$I$88,3,0)*0.475*44/12</f>
        <v>#N/A</v>
      </c>
      <c r="DH5" s="23" t="e">
        <f>EXP(-LN(2)/2)*DH4+(1-EXP(-LN(2)/2))/(LN(2)/2)*DB5*DE5*VLOOKUP('Données projet'!$B$13,Paramètres!$A$1:$I$88,3,0)*0.475*44/12</f>
        <v>#N/A</v>
      </c>
      <c r="DI5" s="24" t="e">
        <f t="shared" si="15"/>
        <v>#N/A</v>
      </c>
      <c r="DJ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0" t="e">
        <f t="shared" si="17"/>
        <v>#N/A</v>
      </c>
      <c r="DT5" s="60" t="e">
        <f ca="1">AVERAGE(OFFSET($DS$3,0,0,'Données projet'!$E$14+1,1))-AVERAGE(OFFSET($H$3,0,0,'Données projet'!$E$14+1,1))</f>
        <v>#N/A</v>
      </c>
      <c r="DU5" s="60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4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2.6676000000000002</v>
      </c>
      <c r="D6" s="12">
        <f t="shared" si="32"/>
        <v>1.0966608080083624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6.4</v>
      </c>
      <c r="N6" s="14">
        <f>IF('Données projet'!$A$36&gt;35,N5+M6-V5,IF(A6&lt;'Données projet'!$A$36,$K$205^A6,IF(A6='Données projet'!$A$36,'Données projet'!$B$36,N5+M6-V5)))</f>
        <v>2.4914618792310348</v>
      </c>
      <c r="O6" s="14">
        <f>N6*VLOOKUP('Données projet'!$B$9,Paramètres!$A$1:$I$88,3,0)*VLOOKUP('Données projet'!$B$9,Paramètres!$A$1:$I$88,5,0)</f>
        <v>1.489894203780159</v>
      </c>
      <c r="P6" s="14">
        <f t="shared" si="33"/>
        <v>0.65546907021282785</v>
      </c>
      <c r="Q6" s="22">
        <f t="shared" si="2"/>
        <v>3.7365077022044524</v>
      </c>
      <c r="R6" s="60">
        <f t="shared" si="0"/>
        <v>297.06984103553776</v>
      </c>
      <c r="S6" s="60">
        <f ca="1">AVERAGE(OFFSET($R$3,0,0,'Données projet'!$E$9+1,1))-AVERAGE(OFFSET($H$3,0,0,'Données projet'!$E$9+1,1))</f>
        <v>181.84907943028196</v>
      </c>
      <c r="T6" s="60">
        <f t="shared" si="34"/>
        <v>199.66849909069458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2.1333333333333333</v>
      </c>
      <c r="AI6" s="14">
        <f>IF('Données projet'!$A$62&gt;35,AI5+AH6-AQ5,IF(A6&lt;'Données projet'!$A$62,$AF$205^A6,IF(A6='Données projet'!$A$62,'Données projet'!$B$62,AI5+AH6-AQ5)))</f>
        <v>2</v>
      </c>
      <c r="AJ6" s="14">
        <f>AI6*VLOOKUP('Données projet'!$B$10,Paramètres!$A$1:$I$88,3,0)*VLOOKUP('Données projet'!$B$10,Paramètres!$A$1:$I$88,5,0)</f>
        <v>1.6224000000000001</v>
      </c>
      <c r="AK6" s="14">
        <f t="shared" si="35"/>
        <v>0.70672038512206192</v>
      </c>
      <c r="AL6" s="22">
        <f t="shared" si="4"/>
        <v>4.0565513374209239</v>
      </c>
      <c r="AM6" s="60">
        <f t="shared" si="5"/>
        <v>297.38988467075421</v>
      </c>
      <c r="AN6" s="60">
        <f ca="1">AVERAGE(OFFSET($AM$3,0,0,'Données projet'!$E$10+1,1))-AVERAGE(OFFSET($H$3,0,0,'Données projet'!$E$10+1,1))</f>
        <v>55.581964048431473</v>
      </c>
      <c r="AO6" s="60">
        <f t="shared" si="36"/>
        <v>91.067506141193803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2.1607142857142856</v>
      </c>
      <c r="BD6" s="13">
        <f>IF('Données projet'!$A$88&gt;35,BD5+BC6-BL5,IF(A6&lt;'Données projet'!$A$88,$BA$205^A6,IF(A6='Données projet'!$A$88,'Données projet'!$B$88,BD5+BC6-BL5)))</f>
        <v>6.4821428571428568</v>
      </c>
      <c r="BE6" s="14">
        <f>BD6*VLOOKUP('Données projet'!$B$11,Paramètres!$A$1:$I$88,3,0)*VLOOKUP('Données projet'!$B$11,Paramètres!$A$1:$I$88,5,0)</f>
        <v>6.5728928571428566</v>
      </c>
      <c r="BF6" s="14">
        <f t="shared" si="37"/>
        <v>2.4328859767907685</v>
      </c>
      <c r="BG6" s="22">
        <f t="shared" si="7"/>
        <v>15.685064802434397</v>
      </c>
      <c r="BH6" s="60">
        <f t="shared" si="8"/>
        <v>309.01839813576771</v>
      </c>
      <c r="BI6" s="60">
        <f ca="1">AVERAGE(OFFSET($BH$3,0,0,'Données projet'!$E$11+1,1))-AVERAGE(OFFSET($H$3,0,0,'Données projet'!$E$11+1,1))</f>
        <v>178.29366134936788</v>
      </c>
      <c r="BJ6" s="60">
        <f t="shared" si="38"/>
        <v>85.818195717787148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5.666666666666667</v>
      </c>
      <c r="BY6" s="13">
        <f>IF('Données projet'!$A$114&gt;35,BY5+BX6-CG5,IF(A6&lt;'Données projet'!$A$114,$BV$205^A6,IF(A6='Données projet'!$A$114,'Données projet'!$B$114,BY5+BX6-CG5)))</f>
        <v>1.6712633604788296</v>
      </c>
      <c r="BZ6" s="14">
        <f>BY6*VLOOKUP('Données projet'!$B$12,Paramètres!$A$1:$I$88,3,0)*VLOOKUP('Données projet'!$B$12,Paramètres!$A$1:$I$88,5,0)</f>
        <v>0.78215125270409225</v>
      </c>
      <c r="CA6" s="14">
        <f t="shared" si="39"/>
        <v>0.37090592189177923</v>
      </c>
      <c r="CB6" s="22">
        <f t="shared" si="10"/>
        <v>2.0082412457544763</v>
      </c>
      <c r="CC6" s="60">
        <f t="shared" si="11"/>
        <v>295.34157457908782</v>
      </c>
      <c r="CD6" s="60">
        <f ca="1">AVERAGE(OFFSET($CC$3,0,0,'Données projet'!$E$12+1,1))-AVERAGE(OFFSET($H$3,0,0,'Données projet'!$E$12+1,1))</f>
        <v>104.00159056395933</v>
      </c>
      <c r="CE6" s="60">
        <f t="shared" si="40"/>
        <v>115.86489547584461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projet'!$B$13,Paramètres!$A$1:$I$88,3,0)*VLOOKUP('Données projet'!$B$13,Paramètres!$A$1:$I$88,5,0)</f>
        <v>#N/A</v>
      </c>
      <c r="CV6" s="14" t="e">
        <f t="shared" si="41"/>
        <v>#N/A</v>
      </c>
      <c r="CW6" s="22" t="e">
        <f t="shared" si="13"/>
        <v>#N/A</v>
      </c>
      <c r="CX6" s="60" t="e">
        <f t="shared" si="14"/>
        <v>#N/A</v>
      </c>
      <c r="CY6" s="60" t="e">
        <f ca="1">AVERAGE(OFFSET($CX$3,0,0,'Données projet'!$E$13+1,1))-AVERAGE(OFFSET($H$3,0,0,'Données projet'!$E$13+1,1))</f>
        <v>#N/A</v>
      </c>
      <c r="CZ6" s="60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projet'!$B$13,Paramètres!$A$1:$I$88,3,0)*0.475*44/12</f>
        <v>#N/A</v>
      </c>
      <c r="DG6" s="23" t="e">
        <f>EXP(-LN(2)/25)*DG5+(1-EXP(-LN(2)/25))/(LN(2)/25)*Calculateur!DB6*Calculateur!DD6*VLOOKUP('Données projet'!$B$13,Paramètres!$A$1:$I$88,3,0)*0.475*44/12</f>
        <v>#N/A</v>
      </c>
      <c r="DH6" s="23" t="e">
        <f>EXP(-LN(2)/2)*DH5+(1-EXP(-LN(2)/2))/(LN(2)/2)*DB6*DE6*VLOOKUP('Données projet'!$B$13,Paramètres!$A$1:$I$88,3,0)*0.475*44/12</f>
        <v>#N/A</v>
      </c>
      <c r="DI6" s="24" t="e">
        <f t="shared" si="15"/>
        <v>#N/A</v>
      </c>
      <c r="DJ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0" t="e">
        <f t="shared" si="17"/>
        <v>#N/A</v>
      </c>
      <c r="DT6" s="60" t="e">
        <f ca="1">AVERAGE(OFFSET($DS$3,0,0,'Données projet'!$E$14+1,1))-AVERAGE(OFFSET($H$3,0,0,'Données projet'!$E$14+1,1))</f>
        <v>#N/A</v>
      </c>
      <c r="DU6" s="60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4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3.5568</v>
      </c>
      <c r="D7" s="12">
        <f t="shared" si="32"/>
        <v>1.4140611505968179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6.4</v>
      </c>
      <c r="N7" s="14">
        <f>IF('Données projet'!$A$36&gt;35,N6+M7-V6,IF(A7&lt;'Données projet'!$A$36,$K$205^A7,IF(A7='Données projet'!$A$36,'Données projet'!$B$36,N6+M7-V6)))</f>
        <v>3.377580138462716</v>
      </c>
      <c r="O7" s="14">
        <f>N7*VLOOKUP('Données projet'!$B$9,Paramètres!$A$1:$I$88,3,0)*VLOOKUP('Données projet'!$B$9,Paramètres!$A$1:$I$88,5,0)</f>
        <v>2.0197929228007041</v>
      </c>
      <c r="P7" s="14">
        <f t="shared" si="33"/>
        <v>0.85767192496186673</v>
      </c>
      <c r="Q7" s="22">
        <f t="shared" si="2"/>
        <v>5.011584609853144</v>
      </c>
      <c r="R7" s="60">
        <f t="shared" si="0"/>
        <v>298.34491794318643</v>
      </c>
      <c r="S7" s="60">
        <f ca="1">AVERAGE(OFFSET($R$3,0,0,'Données projet'!$E$9+1,1))-AVERAGE(OFFSET($H$3,0,0,'Données projet'!$E$9+1,1))</f>
        <v>181.84907943028196</v>
      </c>
      <c r="T7" s="60">
        <f t="shared" si="34"/>
        <v>199.66849909069458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2.1333333333333333</v>
      </c>
      <c r="AI7" s="14">
        <f>IF('Données projet'!$A$62&gt;35,AI6+AH7-AQ6,IF(A7&lt;'Données projet'!$A$62,$AF$205^A7,IF(A7='Données projet'!$A$62,'Données projet'!$B$62,AI6+AH7-AQ6)))</f>
        <v>2.5198420997897468</v>
      </c>
      <c r="AJ7" s="14">
        <f>AI7*VLOOKUP('Données projet'!$B$10,Paramètres!$A$1:$I$88,3,0)*VLOOKUP('Données projet'!$B$10,Paramètres!$A$1:$I$88,5,0)</f>
        <v>2.0440959113494426</v>
      </c>
      <c r="AK7" s="14">
        <f t="shared" si="35"/>
        <v>0.86678420072876483</v>
      </c>
      <c r="AL7" s="22">
        <f t="shared" si="4"/>
        <v>5.0697828618695446</v>
      </c>
      <c r="AM7" s="60">
        <f t="shared" si="5"/>
        <v>298.40311619520287</v>
      </c>
      <c r="AN7" s="60">
        <f ca="1">AVERAGE(OFFSET($AM$3,0,0,'Données projet'!$E$10+1,1))-AVERAGE(OFFSET($H$3,0,0,'Données projet'!$E$10+1,1))</f>
        <v>55.581964048431473</v>
      </c>
      <c r="AO7" s="60">
        <f t="shared" si="36"/>
        <v>91.067506141193803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2.1607142857142856</v>
      </c>
      <c r="BD7" s="13">
        <f>IF('Données projet'!$A$88&gt;35,BD6+BC7-BL6,IF(A7&lt;'Données projet'!$A$88,$BA$205^A7,IF(A7='Données projet'!$A$88,'Données projet'!$B$88,BD6+BC7-BL6)))</f>
        <v>8.6428571428571423</v>
      </c>
      <c r="BE7" s="14">
        <f>BD7*VLOOKUP('Données projet'!$B$11,Paramètres!$A$1:$I$88,3,0)*VLOOKUP('Données projet'!$B$11,Paramètres!$A$1:$I$88,5,0)</f>
        <v>8.7638571428571428</v>
      </c>
      <c r="BF7" s="14">
        <f t="shared" si="37"/>
        <v>3.1370224215994651</v>
      </c>
      <c r="BG7" s="22">
        <f t="shared" si="7"/>
        <v>20.72736524142859</v>
      </c>
      <c r="BH7" s="60">
        <f t="shared" si="8"/>
        <v>314.06069857476189</v>
      </c>
      <c r="BI7" s="60">
        <f ca="1">AVERAGE(OFFSET($BH$3,0,0,'Données projet'!$E$11+1,1))-AVERAGE(OFFSET($H$3,0,0,'Données projet'!$E$11+1,1))</f>
        <v>178.29366134936788</v>
      </c>
      <c r="BJ7" s="60">
        <f t="shared" si="38"/>
        <v>85.818195717787148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5.666666666666667</v>
      </c>
      <c r="BY7" s="13">
        <f>IF('Données projet'!$A$114&gt;35,BY6+BX7-CG6,IF(A7&lt;'Données projet'!$A$114,$BV$205^A7,IF(A7='Données projet'!$A$114,'Données projet'!$B$114,BY6+BX7-CG6)))</f>
        <v>1.9833218182337973</v>
      </c>
      <c r="BZ7" s="14">
        <f>BY7*VLOOKUP('Données projet'!$B$12,Paramètres!$A$1:$I$88,3,0)*VLOOKUP('Données projet'!$B$12,Paramètres!$A$1:$I$88,5,0)</f>
        <v>0.92819461093341715</v>
      </c>
      <c r="CA7" s="14">
        <f t="shared" si="39"/>
        <v>0.43147727065433811</v>
      </c>
      <c r="CB7" s="22">
        <f t="shared" si="10"/>
        <v>2.3680951937653405</v>
      </c>
      <c r="CC7" s="60">
        <f t="shared" si="11"/>
        <v>295.70142852709864</v>
      </c>
      <c r="CD7" s="60">
        <f ca="1">AVERAGE(OFFSET($CC$3,0,0,'Données projet'!$E$12+1,1))-AVERAGE(OFFSET($H$3,0,0,'Données projet'!$E$12+1,1))</f>
        <v>104.00159056395933</v>
      </c>
      <c r="CE7" s="60">
        <f t="shared" si="40"/>
        <v>115.86489547584461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projet'!$B$13,Paramètres!$A$1:$I$88,3,0)*VLOOKUP('Données projet'!$B$13,Paramètres!$A$1:$I$88,5,0)</f>
        <v>#N/A</v>
      </c>
      <c r="CV7" s="14" t="e">
        <f t="shared" si="41"/>
        <v>#N/A</v>
      </c>
      <c r="CW7" s="22" t="e">
        <f t="shared" si="13"/>
        <v>#N/A</v>
      </c>
      <c r="CX7" s="60" t="e">
        <f t="shared" si="14"/>
        <v>#N/A</v>
      </c>
      <c r="CY7" s="60" t="e">
        <f ca="1">AVERAGE(OFFSET($CX$3,0,0,'Données projet'!$E$13+1,1))-AVERAGE(OFFSET($H$3,0,0,'Données projet'!$E$13+1,1))</f>
        <v>#N/A</v>
      </c>
      <c r="CZ7" s="60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projet'!$B$13,Paramètres!$A$1:$I$88,3,0)*0.475*44/12</f>
        <v>#N/A</v>
      </c>
      <c r="DG7" s="23" t="e">
        <f>EXP(-LN(2)/25)*DG6+(1-EXP(-LN(2)/25))/(LN(2)/25)*Calculateur!DB7*Calculateur!DD7*VLOOKUP('Données projet'!$B$13,Paramètres!$A$1:$I$88,3,0)*0.475*44/12</f>
        <v>#N/A</v>
      </c>
      <c r="DH7" s="23" t="e">
        <f>EXP(-LN(2)/2)*DH6+(1-EXP(-LN(2)/2))/(LN(2)/2)*DB7*DE7*VLOOKUP('Données projet'!$B$13,Paramètres!$A$1:$I$88,3,0)*0.475*44/12</f>
        <v>#N/A</v>
      </c>
      <c r="DI7" s="24" t="e">
        <f t="shared" si="15"/>
        <v>#N/A</v>
      </c>
      <c r="DJ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0" t="e">
        <f t="shared" si="17"/>
        <v>#N/A</v>
      </c>
      <c r="DT7" s="60" t="e">
        <f ca="1">AVERAGE(OFFSET($DS$3,0,0,'Données projet'!$E$14+1,1))-AVERAGE(OFFSET($H$3,0,0,'Données projet'!$E$14+1,1))</f>
        <v>#N/A</v>
      </c>
      <c r="DU7" s="60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4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4.4459999999999997</v>
      </c>
      <c r="D8" s="12">
        <f t="shared" si="32"/>
        <v>1.7222566815192897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6.4</v>
      </c>
      <c r="N8" s="14">
        <f>IF('Données projet'!$A$36&gt;35,N7+M8-V7,IF(A8&lt;'Données projet'!$A$36,$K$205^A8,IF(A8='Données projet'!$A$36,'Données projet'!$B$36,N7+M8-V7)))</f>
        <v>4.5788569702133275</v>
      </c>
      <c r="O8" s="14">
        <f>N8*VLOOKUP('Données projet'!$B$9,Paramètres!$A$1:$I$88,3,0)*VLOOKUP('Données projet'!$B$9,Paramètres!$A$1:$I$88,5,0)</f>
        <v>2.7381564681875696</v>
      </c>
      <c r="P8" s="14">
        <f t="shared" si="33"/>
        <v>1.1222514750069712</v>
      </c>
      <c r="Q8" s="22">
        <f t="shared" si="2"/>
        <v>6.7235438343971579</v>
      </c>
      <c r="R8" s="60">
        <f t="shared" si="0"/>
        <v>300.05687716773048</v>
      </c>
      <c r="S8" s="60">
        <f ca="1">AVERAGE(OFFSET($R$3,0,0,'Données projet'!$E$9+1,1))-AVERAGE(OFFSET($H$3,0,0,'Données projet'!$E$9+1,1))</f>
        <v>181.84907943028196</v>
      </c>
      <c r="T8" s="60">
        <f t="shared" si="34"/>
        <v>199.66849909069458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2.1333333333333333</v>
      </c>
      <c r="AI8" s="14">
        <f>IF('Données projet'!$A$62&gt;35,AI7+AH8-AQ7,IF(A8&lt;'Données projet'!$A$62,$AF$205^A8,IF(A8='Données projet'!$A$62,'Données projet'!$B$62,AI7+AH8-AQ7)))</f>
        <v>3.1748021039363996</v>
      </c>
      <c r="AJ8" s="14">
        <f>AI8*VLOOKUP('Données projet'!$B$10,Paramètres!$A$1:$I$88,3,0)*VLOOKUP('Données projet'!$B$10,Paramètres!$A$1:$I$88,5,0)</f>
        <v>2.5753994667132076</v>
      </c>
      <c r="AK8" s="14">
        <f t="shared" si="35"/>
        <v>1.0631005790263708</v>
      </c>
      <c r="AL8" s="22">
        <f t="shared" si="4"/>
        <v>6.3370542463297648</v>
      </c>
      <c r="AM8" s="60">
        <f t="shared" si="5"/>
        <v>299.6703875796631</v>
      </c>
      <c r="AN8" s="60">
        <f ca="1">AVERAGE(OFFSET($AM$3,0,0,'Données projet'!$E$10+1,1))-AVERAGE(OFFSET($H$3,0,0,'Données projet'!$E$10+1,1))</f>
        <v>55.581964048431473</v>
      </c>
      <c r="AO8" s="60">
        <f t="shared" si="36"/>
        <v>91.067506141193803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2.1607142857142856</v>
      </c>
      <c r="BD8" s="13">
        <f>IF('Données projet'!$A$88&gt;35,BD7+BC8-BL7,IF(A8&lt;'Données projet'!$A$88,$BA$205^A8,IF(A8='Données projet'!$A$88,'Données projet'!$B$88,BD7+BC8-BL7)))</f>
        <v>10.803571428571427</v>
      </c>
      <c r="BE8" s="14">
        <f>BD8*VLOOKUP('Données projet'!$B$11,Paramètres!$A$1:$I$88,3,0)*VLOOKUP('Données projet'!$B$11,Paramètres!$A$1:$I$88,5,0)</f>
        <v>10.954821428571428</v>
      </c>
      <c r="BF8" s="14">
        <f t="shared" si="37"/>
        <v>3.8207384619789706</v>
      </c>
      <c r="BG8" s="22">
        <f t="shared" si="7"/>
        <v>25.734100142708613</v>
      </c>
      <c r="BH8" s="60">
        <f t="shared" si="8"/>
        <v>319.06743347604191</v>
      </c>
      <c r="BI8" s="60">
        <f ca="1">AVERAGE(OFFSET($BH$3,0,0,'Données projet'!$E$11+1,1))-AVERAGE(OFFSET($H$3,0,0,'Données projet'!$E$11+1,1))</f>
        <v>178.29366134936788</v>
      </c>
      <c r="BJ8" s="60">
        <f t="shared" si="38"/>
        <v>85.818195717787148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5.666666666666667</v>
      </c>
      <c r="BY8" s="13">
        <f>IF('Données projet'!$A$114&gt;35,BY7+BX8-CG7,IF(A8&lt;'Données projet'!$A$114,$BV$205^A8,IF(A8='Données projet'!$A$114,'Données projet'!$B$114,BY7+BX8-CG7)))</f>
        <v>2.3536478616722736</v>
      </c>
      <c r="BZ8" s="14">
        <f>BY8*VLOOKUP('Données projet'!$B$12,Paramètres!$A$1:$I$88,3,0)*VLOOKUP('Données projet'!$B$12,Paramètres!$A$1:$I$88,5,0)</f>
        <v>1.101507199262624</v>
      </c>
      <c r="CA8" s="14">
        <f t="shared" si="39"/>
        <v>0.50194031451899346</v>
      </c>
      <c r="CB8" s="22">
        <f t="shared" si="10"/>
        <v>2.7926710865029833</v>
      </c>
      <c r="CC8" s="60">
        <f t="shared" si="11"/>
        <v>296.12600441983631</v>
      </c>
      <c r="CD8" s="60">
        <f ca="1">AVERAGE(OFFSET($CC$3,0,0,'Données projet'!$E$12+1,1))-AVERAGE(OFFSET($H$3,0,0,'Données projet'!$E$12+1,1))</f>
        <v>104.00159056395933</v>
      </c>
      <c r="CE8" s="60">
        <f t="shared" si="40"/>
        <v>115.86489547584461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projet'!$B$13,Paramètres!$A$1:$I$88,3,0)*VLOOKUP('Données projet'!$B$13,Paramètres!$A$1:$I$88,5,0)</f>
        <v>#N/A</v>
      </c>
      <c r="CV8" s="14" t="e">
        <f t="shared" si="41"/>
        <v>#N/A</v>
      </c>
      <c r="CW8" s="22" t="e">
        <f t="shared" si="13"/>
        <v>#N/A</v>
      </c>
      <c r="CX8" s="60" t="e">
        <f t="shared" si="14"/>
        <v>#N/A</v>
      </c>
      <c r="CY8" s="60" t="e">
        <f ca="1">AVERAGE(OFFSET($CX$3,0,0,'Données projet'!$E$13+1,1))-AVERAGE(OFFSET($H$3,0,0,'Données projet'!$E$13+1,1))</f>
        <v>#N/A</v>
      </c>
      <c r="CZ8" s="60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projet'!$B$13,Paramètres!$A$1:$I$88,3,0)*0.475*44/12</f>
        <v>#N/A</v>
      </c>
      <c r="DG8" s="23" t="e">
        <f>EXP(-LN(2)/25)*DG7+(1-EXP(-LN(2)/25))/(LN(2)/25)*Calculateur!DB8*Calculateur!DD8*VLOOKUP('Données projet'!$B$13,Paramètres!$A$1:$I$88,3,0)*0.475*44/12</f>
        <v>#N/A</v>
      </c>
      <c r="DH8" s="23" t="e">
        <f>EXP(-LN(2)/2)*DH7+(1-EXP(-LN(2)/2))/(LN(2)/2)*DB8*DE8*VLOOKUP('Données projet'!$B$13,Paramètres!$A$1:$I$88,3,0)*0.475*44/12</f>
        <v>#N/A</v>
      </c>
      <c r="DI8" s="24" t="e">
        <f t="shared" si="15"/>
        <v>#N/A</v>
      </c>
      <c r="DJ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0" t="e">
        <f t="shared" si="17"/>
        <v>#N/A</v>
      </c>
      <c r="DT8" s="60" t="e">
        <f ca="1">AVERAGE(OFFSET($DS$3,0,0,'Données projet'!$E$14+1,1))-AVERAGE(OFFSET($H$3,0,0,'Données projet'!$E$14+1,1))</f>
        <v>#N/A</v>
      </c>
      <c r="DU8" s="60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4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5.3351999999999995</v>
      </c>
      <c r="D9" s="12">
        <f t="shared" si="32"/>
        <v>2.0233099967312578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6.4</v>
      </c>
      <c r="N9" s="14">
        <f>IF('Données projet'!$A$36&gt;35,N8+M9-V8,IF(A9&lt;'Données projet'!$A$36,$K$205^A9,IF(A9='Données projet'!$A$36,'Données projet'!$B$36,N8+M9-V8)))</f>
        <v>6.2073822956614393</v>
      </c>
      <c r="O9" s="14">
        <f>N9*VLOOKUP('Données projet'!$B$9,Paramètres!$A$1:$I$88,3,0)*VLOOKUP('Données projet'!$B$9,Paramètres!$A$1:$I$88,5,0)</f>
        <v>3.7120146128055409</v>
      </c>
      <c r="P9" s="14">
        <f t="shared" si="33"/>
        <v>1.4684500407440981</v>
      </c>
      <c r="Q9" s="22">
        <f t="shared" si="2"/>
        <v>9.0226426049322868</v>
      </c>
      <c r="R9" s="60">
        <f t="shared" si="0"/>
        <v>302.3559759382656</v>
      </c>
      <c r="S9" s="60">
        <f ca="1">AVERAGE(OFFSET($R$3,0,0,'Données projet'!$E$9+1,1))-AVERAGE(OFFSET($H$3,0,0,'Données projet'!$E$9+1,1))</f>
        <v>181.84907943028196</v>
      </c>
      <c r="T9" s="60">
        <f t="shared" si="34"/>
        <v>199.66849909069458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2.1333333333333333</v>
      </c>
      <c r="AI9" s="14">
        <f>IF('Données projet'!$A$62&gt;35,AI8+AH9-AQ8,IF(A9&lt;'Données projet'!$A$62,$AF$205^A9,IF(A9='Données projet'!$A$62,'Données projet'!$B$62,AI8+AH9-AQ8)))</f>
        <v>4.0000000000000009</v>
      </c>
      <c r="AJ9" s="14">
        <f>AI9*VLOOKUP('Données projet'!$B$10,Paramètres!$A$1:$I$88,3,0)*VLOOKUP('Données projet'!$B$10,Paramètres!$A$1:$I$88,5,0)</f>
        <v>3.244800000000001</v>
      </c>
      <c r="AK9" s="14">
        <f t="shared" si="35"/>
        <v>1.3038802970520027</v>
      </c>
      <c r="AL9" s="22">
        <f t="shared" si="4"/>
        <v>7.9222848506989054</v>
      </c>
      <c r="AM9" s="60">
        <f t="shared" si="5"/>
        <v>301.25561818403224</v>
      </c>
      <c r="AN9" s="60">
        <f ca="1">AVERAGE(OFFSET($AM$3,0,0,'Données projet'!$E$10+1,1))-AVERAGE(OFFSET($H$3,0,0,'Données projet'!$E$10+1,1))</f>
        <v>55.581964048431473</v>
      </c>
      <c r="AO9" s="60">
        <f t="shared" si="36"/>
        <v>91.067506141193803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2.1607142857142856</v>
      </c>
      <c r="BD9" s="13">
        <f>IF('Données projet'!$A$88&gt;35,BD8+BC9-BL8,IF(A9&lt;'Données projet'!$A$88,$BA$205^A9,IF(A9='Données projet'!$A$88,'Données projet'!$B$88,BD8+BC9-BL8)))</f>
        <v>12.964285714285712</v>
      </c>
      <c r="BE9" s="14">
        <f>BD9*VLOOKUP('Données projet'!$B$11,Paramètres!$A$1:$I$88,3,0)*VLOOKUP('Données projet'!$B$11,Paramètres!$A$1:$I$88,5,0)</f>
        <v>13.145785714285712</v>
      </c>
      <c r="BF9" s="14">
        <f t="shared" si="37"/>
        <v>4.4886098616834307</v>
      </c>
      <c r="BG9" s="22">
        <f t="shared" si="7"/>
        <v>30.71323896147959</v>
      </c>
      <c r="BH9" s="60">
        <f t="shared" si="8"/>
        <v>324.0465722948129</v>
      </c>
      <c r="BI9" s="60">
        <f ca="1">AVERAGE(OFFSET($BH$3,0,0,'Données projet'!$E$11+1,1))-AVERAGE(OFFSET($H$3,0,0,'Données projet'!$E$11+1,1))</f>
        <v>178.29366134936788</v>
      </c>
      <c r="BJ9" s="60">
        <f t="shared" si="38"/>
        <v>85.818195717787148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5.666666666666667</v>
      </c>
      <c r="BY9" s="13">
        <f>IF('Données projet'!$A$114&gt;35,BY8+BX9-CG8,IF(A9&lt;'Données projet'!$A$114,$BV$205^A9,IF(A9='Données projet'!$A$114,'Données projet'!$B$114,BY8+BX9-CG8)))</f>
        <v>2.7931212200789908</v>
      </c>
      <c r="BZ9" s="14">
        <f>BY9*VLOOKUP('Données projet'!$B$12,Paramètres!$A$1:$I$88,3,0)*VLOOKUP('Données projet'!$B$12,Paramètres!$A$1:$I$88,5,0)</f>
        <v>1.3071807309969676</v>
      </c>
      <c r="CA9" s="14">
        <f t="shared" si="39"/>
        <v>0.58391043161404843</v>
      </c>
      <c r="CB9" s="22">
        <f t="shared" si="10"/>
        <v>3.2936504415475194</v>
      </c>
      <c r="CC9" s="60">
        <f t="shared" si="11"/>
        <v>296.62698377488084</v>
      </c>
      <c r="CD9" s="60">
        <f ca="1">AVERAGE(OFFSET($CC$3,0,0,'Données projet'!$E$12+1,1))-AVERAGE(OFFSET($H$3,0,0,'Données projet'!$E$12+1,1))</f>
        <v>104.00159056395933</v>
      </c>
      <c r="CE9" s="60">
        <f t="shared" si="40"/>
        <v>115.86489547584461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projet'!$B$13,Paramètres!$A$1:$I$88,3,0)*VLOOKUP('Données projet'!$B$13,Paramètres!$A$1:$I$88,5,0)</f>
        <v>#N/A</v>
      </c>
      <c r="CV9" s="14" t="e">
        <f t="shared" si="41"/>
        <v>#N/A</v>
      </c>
      <c r="CW9" s="22" t="e">
        <f t="shared" si="13"/>
        <v>#N/A</v>
      </c>
      <c r="CX9" s="60" t="e">
        <f t="shared" si="14"/>
        <v>#N/A</v>
      </c>
      <c r="CY9" s="60" t="e">
        <f ca="1">AVERAGE(OFFSET($CX$3,0,0,'Données projet'!$E$13+1,1))-AVERAGE(OFFSET($H$3,0,0,'Données projet'!$E$13+1,1))</f>
        <v>#N/A</v>
      </c>
      <c r="CZ9" s="60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projet'!$B$13,Paramètres!$A$1:$I$88,3,0)*0.475*44/12</f>
        <v>#N/A</v>
      </c>
      <c r="DG9" s="23" t="e">
        <f>EXP(-LN(2)/25)*DG8+(1-EXP(-LN(2)/25))/(LN(2)/25)*Calculateur!DB9*Calculateur!DD9*VLOOKUP('Données projet'!$B$13,Paramètres!$A$1:$I$88,3,0)*0.475*44/12</f>
        <v>#N/A</v>
      </c>
      <c r="DH9" s="23" t="e">
        <f>EXP(-LN(2)/2)*DH8+(1-EXP(-LN(2)/2))/(LN(2)/2)*DB9*DE9*VLOOKUP('Données projet'!$B$13,Paramètres!$A$1:$I$88,3,0)*0.475*44/12</f>
        <v>#N/A</v>
      </c>
      <c r="DI9" s="24" t="e">
        <f t="shared" si="15"/>
        <v>#N/A</v>
      </c>
      <c r="DJ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0" t="e">
        <f t="shared" si="17"/>
        <v>#N/A</v>
      </c>
      <c r="DT9" s="60" t="e">
        <f ca="1">AVERAGE(OFFSET($DS$3,0,0,'Données projet'!$E$14+1,1))-AVERAGE(OFFSET($H$3,0,0,'Données projet'!$E$14+1,1))</f>
        <v>#N/A</v>
      </c>
      <c r="DU9" s="60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4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6.2243999999999993</v>
      </c>
      <c r="D10" s="12">
        <f t="shared" si="32"/>
        <v>2.3185507720937846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6.4</v>
      </c>
      <c r="N10" s="14">
        <f>IF('Données projet'!$A$36&gt;35,N9+M10-V9,IF(A10&lt;'Données projet'!$A$36,$K$205^A10,IF(A10='Données projet'!$A$36,'Données projet'!$B$36,N9+M10-V9)))</f>
        <v>8.4151121590277373</v>
      </c>
      <c r="O10" s="14">
        <f>N10*VLOOKUP('Données projet'!$B$9,Paramètres!$A$1:$I$88,3,0)*VLOOKUP('Données projet'!$B$9,Paramètres!$A$1:$I$88,5,0)</f>
        <v>5.0322370710985869</v>
      </c>
      <c r="P10" s="14">
        <f t="shared" si="33"/>
        <v>1.9214459238273218</v>
      </c>
      <c r="Q10" s="22">
        <f t="shared" si="2"/>
        <v>12.11099788282929</v>
      </c>
      <c r="R10" s="60">
        <f t="shared" si="0"/>
        <v>305.4443312161626</v>
      </c>
      <c r="S10" s="60">
        <f ca="1">AVERAGE(OFFSET($R$3,0,0,'Données projet'!$E$9+1,1))-AVERAGE(OFFSET($H$3,0,0,'Données projet'!$E$9+1,1))</f>
        <v>181.84907943028196</v>
      </c>
      <c r="T10" s="60">
        <f t="shared" si="34"/>
        <v>199.66849909069458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2.1333333333333333</v>
      </c>
      <c r="AI10" s="14">
        <f>IF('Données projet'!$A$62&gt;35,AI9+AH10-AQ9,IF(A10&lt;'Données projet'!$A$62,$AF$205^A10,IF(A10='Données projet'!$A$62,'Données projet'!$B$62,AI9+AH10-AQ9)))</f>
        <v>5.0396841995794937</v>
      </c>
      <c r="AJ10" s="14">
        <f>AI10*VLOOKUP('Données projet'!$B$10,Paramètres!$A$1:$I$88,3,0)*VLOOKUP('Données projet'!$B$10,Paramètres!$A$1:$I$88,5,0)</f>
        <v>4.0881918226988851</v>
      </c>
      <c r="AK10" s="14">
        <f t="shared" si="35"/>
        <v>1.5991937758113535</v>
      </c>
      <c r="AL10" s="22">
        <f t="shared" si="4"/>
        <v>9.9055299174053317</v>
      </c>
      <c r="AM10" s="60">
        <f t="shared" si="5"/>
        <v>303.23886325073863</v>
      </c>
      <c r="AN10" s="60">
        <f ca="1">AVERAGE(OFFSET($AM$3,0,0,'Données projet'!$E$10+1,1))-AVERAGE(OFFSET($H$3,0,0,'Données projet'!$E$10+1,1))</f>
        <v>55.581964048431473</v>
      </c>
      <c r="AO10" s="60">
        <f t="shared" si="36"/>
        <v>91.067506141193803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2.1607142857142856</v>
      </c>
      <c r="BD10" s="13">
        <f>IF('Données projet'!$A$88&gt;35,BD9+BC10-BL9,IF(A10&lt;'Données projet'!$A$88,$BA$205^A10,IF(A10='Données projet'!$A$88,'Données projet'!$B$88,BD9+BC10-BL9)))</f>
        <v>15.124999999999996</v>
      </c>
      <c r="BE10" s="14">
        <f>BD10*VLOOKUP('Données projet'!$B$11,Paramètres!$A$1:$I$88,3,0)*VLOOKUP('Données projet'!$B$11,Paramètres!$A$1:$I$88,5,0)</f>
        <v>15.336749999999997</v>
      </c>
      <c r="BF10" s="14">
        <f t="shared" si="37"/>
        <v>5.1435864386806509</v>
      </c>
      <c r="BG10" s="22">
        <f t="shared" si="7"/>
        <v>35.669919297368793</v>
      </c>
      <c r="BH10" s="60">
        <f t="shared" si="8"/>
        <v>329.00325263070209</v>
      </c>
      <c r="BI10" s="60">
        <f ca="1">AVERAGE(OFFSET($BH$3,0,0,'Données projet'!$E$11+1,1))-AVERAGE(OFFSET($H$3,0,0,'Données projet'!$E$11+1,1))</f>
        <v>178.29366134936788</v>
      </c>
      <c r="BJ10" s="60">
        <f t="shared" si="38"/>
        <v>85.818195717787148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5.666666666666667</v>
      </c>
      <c r="BY10" s="13">
        <f>IF('Données projet'!$A$114&gt;35,BY9+BX10-CG9,IF(A10&lt;'Données projet'!$A$114,$BV$205^A10,IF(A10='Données projet'!$A$114,'Données projet'!$B$114,BY9+BX10-CG9)))</f>
        <v>3.3146530868523985</v>
      </c>
      <c r="BZ10" s="14">
        <f>BY10*VLOOKUP('Données projet'!$B$12,Paramètres!$A$1:$I$88,3,0)*VLOOKUP('Données projet'!$B$12,Paramètres!$A$1:$I$88,5,0)</f>
        <v>1.5512576446469224</v>
      </c>
      <c r="CA10" s="14">
        <f t="shared" si="39"/>
        <v>0.67926680181972632</v>
      </c>
      <c r="CB10" s="22">
        <f t="shared" si="10"/>
        <v>3.8848300775960793</v>
      </c>
      <c r="CC10" s="60">
        <f t="shared" si="11"/>
        <v>297.21816341092938</v>
      </c>
      <c r="CD10" s="60">
        <f ca="1">AVERAGE(OFFSET($CC$3,0,0,'Données projet'!$E$12+1,1))-AVERAGE(OFFSET($H$3,0,0,'Données projet'!$E$12+1,1))</f>
        <v>104.00159056395933</v>
      </c>
      <c r="CE10" s="60">
        <f t="shared" si="40"/>
        <v>115.86489547584461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projet'!$B$13,Paramètres!$A$1:$I$88,3,0)*VLOOKUP('Données projet'!$B$13,Paramètres!$A$1:$I$88,5,0)</f>
        <v>#N/A</v>
      </c>
      <c r="CV10" s="14" t="e">
        <f t="shared" si="41"/>
        <v>#N/A</v>
      </c>
      <c r="CW10" s="22" t="e">
        <f t="shared" si="13"/>
        <v>#N/A</v>
      </c>
      <c r="CX10" s="60" t="e">
        <f t="shared" si="14"/>
        <v>#N/A</v>
      </c>
      <c r="CY10" s="60" t="e">
        <f ca="1">AVERAGE(OFFSET($CX$3,0,0,'Données projet'!$E$13+1,1))-AVERAGE(OFFSET($H$3,0,0,'Données projet'!$E$13+1,1))</f>
        <v>#N/A</v>
      </c>
      <c r="CZ10" s="60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projet'!$B$13,Paramètres!$A$1:$I$88,3,0)*0.475*44/12</f>
        <v>#N/A</v>
      </c>
      <c r="DG10" s="23" t="e">
        <f>EXP(-LN(2)/25)*DG9+(1-EXP(-LN(2)/25))/(LN(2)/25)*Calculateur!DB10*Calculateur!DD10*VLOOKUP('Données projet'!$B$13,Paramètres!$A$1:$I$88,3,0)*0.475*44/12</f>
        <v>#N/A</v>
      </c>
      <c r="DH10" s="23" t="e">
        <f>EXP(-LN(2)/2)*DH9+(1-EXP(-LN(2)/2))/(LN(2)/2)*DB10*DE10*VLOOKUP('Données projet'!$B$13,Paramètres!$A$1:$I$88,3,0)*0.475*44/12</f>
        <v>#N/A</v>
      </c>
      <c r="DI10" s="24" t="e">
        <f t="shared" si="15"/>
        <v>#N/A</v>
      </c>
      <c r="DJ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0" t="e">
        <f t="shared" si="17"/>
        <v>#N/A</v>
      </c>
      <c r="DT10" s="60" t="e">
        <f ca="1">AVERAGE(OFFSET($DS$3,0,0,'Données projet'!$E$14+1,1))-AVERAGE(OFFSET($H$3,0,0,'Données projet'!$E$14+1,1))</f>
        <v>#N/A</v>
      </c>
      <c r="DU10" s="60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4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7.113599999999999</v>
      </c>
      <c r="D11" s="12">
        <f t="shared" si="32"/>
        <v>2.6089051793396716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6.4</v>
      </c>
      <c r="N11" s="14">
        <f>IF('Données projet'!$A$36&gt;35,N10+M11-V10,IF(A11&lt;'Données projet'!$A$36,$K$205^A11,IF(A11='Données projet'!$A$36,'Données projet'!$B$36,N10+M11-V10)))</f>
        <v>11.408047591737819</v>
      </c>
      <c r="O11" s="14">
        <f>N11*VLOOKUP('Données projet'!$B$9,Paramètres!$A$1:$I$88,3,0)*VLOOKUP('Données projet'!$B$9,Paramètres!$A$1:$I$88,5,0)</f>
        <v>6.8220124598592164</v>
      </c>
      <c r="P11" s="14">
        <f t="shared" si="33"/>
        <v>2.5141845726817027</v>
      </c>
      <c r="Q11" s="22">
        <f t="shared" si="2"/>
        <v>16.26054316500877</v>
      </c>
      <c r="R11" s="60">
        <f t="shared" si="0"/>
        <v>309.59387649834207</v>
      </c>
      <c r="S11" s="60">
        <f ca="1">AVERAGE(OFFSET($R$3,0,0,'Données projet'!$E$9+1,1))-AVERAGE(OFFSET($H$3,0,0,'Données projet'!$E$9+1,1))</f>
        <v>181.84907943028196</v>
      </c>
      <c r="T11" s="60">
        <f t="shared" si="34"/>
        <v>199.66849909069458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2.1333333333333333</v>
      </c>
      <c r="AI11" s="14">
        <f>IF('Données projet'!$A$62&gt;35,AI10+AH11-AQ10,IF(A11&lt;'Données projet'!$A$62,$AF$205^A11,IF(A11='Données projet'!$A$62,'Données projet'!$B$62,AI10+AH11-AQ10)))</f>
        <v>6.3496042078728001</v>
      </c>
      <c r="AJ11" s="14">
        <f>AI11*VLOOKUP('Données projet'!$B$10,Paramètres!$A$1:$I$88,3,0)*VLOOKUP('Données projet'!$B$10,Paramètres!$A$1:$I$88,5,0)</f>
        <v>5.1507989334264161</v>
      </c>
      <c r="AK11" s="14">
        <f t="shared" si="35"/>
        <v>1.9613922676613451</v>
      </c>
      <c r="AL11" s="22">
        <f t="shared" si="4"/>
        <v>12.387066341894517</v>
      </c>
      <c r="AM11" s="60">
        <f t="shared" si="5"/>
        <v>305.72039967522784</v>
      </c>
      <c r="AN11" s="60">
        <f ca="1">AVERAGE(OFFSET($AM$3,0,0,'Données projet'!$E$10+1,1))-AVERAGE(OFFSET($H$3,0,0,'Données projet'!$E$10+1,1))</f>
        <v>55.581964048431473</v>
      </c>
      <c r="AO11" s="60">
        <f t="shared" si="36"/>
        <v>91.067506141193803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2.1607142857142856</v>
      </c>
      <c r="BD11" s="13">
        <f>IF('Données projet'!$A$88&gt;35,BD10+BC11-BL10,IF(A11&lt;'Données projet'!$A$88,$BA$205^A11,IF(A11='Données projet'!$A$88,'Données projet'!$B$88,BD10+BC11-BL10)))</f>
        <v>17.285714285714281</v>
      </c>
      <c r="BE11" s="14">
        <f>BD11*VLOOKUP('Données projet'!$B$11,Paramètres!$A$1:$I$88,3,0)*VLOOKUP('Données projet'!$B$11,Paramètres!$A$1:$I$88,5,0)</f>
        <v>17.527714285714282</v>
      </c>
      <c r="BF11" s="14">
        <f t="shared" si="37"/>
        <v>5.7877228576439608</v>
      </c>
      <c r="BG11" s="22">
        <f t="shared" si="7"/>
        <v>40.607719691348933</v>
      </c>
      <c r="BH11" s="60">
        <f t="shared" si="8"/>
        <v>333.94105302468222</v>
      </c>
      <c r="BI11" s="60">
        <f ca="1">AVERAGE(OFFSET($BH$3,0,0,'Données projet'!$E$11+1,1))-AVERAGE(OFFSET($H$3,0,0,'Données projet'!$E$11+1,1))</f>
        <v>178.29366134936788</v>
      </c>
      <c r="BJ11" s="60">
        <f t="shared" si="38"/>
        <v>85.818195717787148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5.666666666666667</v>
      </c>
      <c r="BY11" s="13">
        <f>IF('Données projet'!$A$114&gt;35,BY10+BX11-CG10,IF(A11&lt;'Données projet'!$A$114,$BV$205^A11,IF(A11='Données projet'!$A$114,'Données projet'!$B$114,BY10+BX11-CG10)))</f>
        <v>3.9335654346822158</v>
      </c>
      <c r="BZ11" s="14">
        <f>BY11*VLOOKUP('Données projet'!$B$12,Paramètres!$A$1:$I$88,3,0)*VLOOKUP('Données projet'!$B$12,Paramètres!$A$1:$I$88,5,0)</f>
        <v>1.8409086234312768</v>
      </c>
      <c r="CA11" s="14">
        <f t="shared" si="39"/>
        <v>0.79019548730956168</v>
      </c>
      <c r="CB11" s="22">
        <f t="shared" si="10"/>
        <v>4.5825063262069596</v>
      </c>
      <c r="CC11" s="60">
        <f t="shared" si="11"/>
        <v>297.91583965954027</v>
      </c>
      <c r="CD11" s="60">
        <f ca="1">AVERAGE(OFFSET($CC$3,0,0,'Données projet'!$E$12+1,1))-AVERAGE(OFFSET($H$3,0,0,'Données projet'!$E$12+1,1))</f>
        <v>104.00159056395933</v>
      </c>
      <c r="CE11" s="60">
        <f t="shared" si="40"/>
        <v>115.86489547584461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projet'!$B$13,Paramètres!$A$1:$I$88,3,0)*VLOOKUP('Données projet'!$B$13,Paramètres!$A$1:$I$88,5,0)</f>
        <v>#N/A</v>
      </c>
      <c r="CV11" s="14" t="e">
        <f t="shared" si="41"/>
        <v>#N/A</v>
      </c>
      <c r="CW11" s="22" t="e">
        <f t="shared" si="13"/>
        <v>#N/A</v>
      </c>
      <c r="CX11" s="60" t="e">
        <f t="shared" si="14"/>
        <v>#N/A</v>
      </c>
      <c r="CY11" s="60" t="e">
        <f ca="1">AVERAGE(OFFSET($CX$3,0,0,'Données projet'!$E$13+1,1))-AVERAGE(OFFSET($H$3,0,0,'Données projet'!$E$13+1,1))</f>
        <v>#N/A</v>
      </c>
      <c r="CZ11" s="60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projet'!$B$13,Paramètres!$A$1:$I$88,3,0)*0.475*44/12</f>
        <v>#N/A</v>
      </c>
      <c r="DG11" s="23" t="e">
        <f>EXP(-LN(2)/25)*DG10+(1-EXP(-LN(2)/25))/(LN(2)/25)*Calculateur!DB11*Calculateur!DD11*VLOOKUP('Données projet'!$B$13,Paramètres!$A$1:$I$88,3,0)*0.475*44/12</f>
        <v>#N/A</v>
      </c>
      <c r="DH11" s="23" t="e">
        <f>EXP(-LN(2)/2)*DH10+(1-EXP(-LN(2)/2))/(LN(2)/2)*DB11*DE11*VLOOKUP('Données projet'!$B$13,Paramètres!$A$1:$I$88,3,0)*0.475*44/12</f>
        <v>#N/A</v>
      </c>
      <c r="DI11" s="24" t="e">
        <f t="shared" si="15"/>
        <v>#N/A</v>
      </c>
      <c r="DJ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0" t="e">
        <f t="shared" si="17"/>
        <v>#N/A</v>
      </c>
      <c r="DT11" s="60" t="e">
        <f ca="1">AVERAGE(OFFSET($DS$3,0,0,'Données projet'!$E$14+1,1))-AVERAGE(OFFSET($H$3,0,0,'Données projet'!$E$14+1,1))</f>
        <v>#N/A</v>
      </c>
      <c r="DU11" s="60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4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8.0027999999999988</v>
      </c>
      <c r="D12" s="12">
        <f t="shared" si="32"/>
        <v>2.8950539664743791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6.4</v>
      </c>
      <c r="N12" s="14">
        <f>IF('Données projet'!$A$36&gt;35,N11+M12-V11,IF(A12&lt;'Données projet'!$A$36,$K$205^A12,IF(A12='Données projet'!$A$36,'Données projet'!$B$36,N11+M12-V11)))</f>
        <v>15.465456359454103</v>
      </c>
      <c r="O12" s="14">
        <f>N12*VLOOKUP('Données projet'!$B$9,Paramètres!$A$1:$I$88,3,0)*VLOOKUP('Données projet'!$B$9,Paramètres!$A$1:$I$88,5,0)</f>
        <v>9.2483429029535547</v>
      </c>
      <c r="P12" s="14">
        <f t="shared" si="33"/>
        <v>3.2897746364465199</v>
      </c>
      <c r="Q12" s="22">
        <f t="shared" si="2"/>
        <v>21.837221381121793</v>
      </c>
      <c r="R12" s="60">
        <f t="shared" si="0"/>
        <v>315.17055471445508</v>
      </c>
      <c r="S12" s="60">
        <f ca="1">AVERAGE(OFFSET($R$3,0,0,'Données projet'!$E$9+1,1))-AVERAGE(OFFSET($H$3,0,0,'Données projet'!$E$9+1,1))</f>
        <v>181.84907943028196</v>
      </c>
      <c r="T12" s="60">
        <f t="shared" si="34"/>
        <v>199.66849909069458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2.1333333333333333</v>
      </c>
      <c r="AI12" s="14">
        <f>IF('Données projet'!$A$62&gt;35,AI11+AH12-AQ11,IF(A12&lt;'Données projet'!$A$62,$AF$205^A12,IF(A12='Données projet'!$A$62,'Données projet'!$B$62,AI11+AH12-AQ11)))</f>
        <v>8.0000000000000036</v>
      </c>
      <c r="AJ12" s="14">
        <f>AI12*VLOOKUP('Données projet'!$B$10,Paramètres!$A$1:$I$88,3,0)*VLOOKUP('Données projet'!$B$10,Paramètres!$A$1:$I$88,5,0)</f>
        <v>6.4896000000000029</v>
      </c>
      <c r="AK12" s="14">
        <f t="shared" si="35"/>
        <v>2.4056244376575937</v>
      </c>
      <c r="AL12" s="22">
        <f t="shared" si="4"/>
        <v>15.492515895586982</v>
      </c>
      <c r="AM12" s="60">
        <f t="shared" si="5"/>
        <v>308.82584922892028</v>
      </c>
      <c r="AN12" s="60">
        <f ca="1">AVERAGE(OFFSET($AM$3,0,0,'Données projet'!$E$10+1,1))-AVERAGE(OFFSET($H$3,0,0,'Données projet'!$E$10+1,1))</f>
        <v>55.581964048431473</v>
      </c>
      <c r="AO12" s="60">
        <f t="shared" si="36"/>
        <v>91.067506141193803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2.1607142857142856</v>
      </c>
      <c r="BD12" s="13">
        <f>IF('Données projet'!$A$88&gt;35,BD11+BC12-BL11,IF(A12&lt;'Données projet'!$A$88,$BA$205^A12,IF(A12='Données projet'!$A$88,'Données projet'!$B$88,BD11+BC12-BL11)))</f>
        <v>19.446428571428566</v>
      </c>
      <c r="BE12" s="14">
        <f>BD12*VLOOKUP('Données projet'!$B$11,Paramètres!$A$1:$I$88,3,0)*VLOOKUP('Données projet'!$B$11,Paramètres!$A$1:$I$88,5,0)</f>
        <v>19.718678571428569</v>
      </c>
      <c r="BF12" s="14">
        <f t="shared" si="37"/>
        <v>6.4225293232456817</v>
      </c>
      <c r="BG12" s="22">
        <f t="shared" si="7"/>
        <v>45.529270416557658</v>
      </c>
      <c r="BH12" s="60">
        <f t="shared" si="8"/>
        <v>338.86260374989098</v>
      </c>
      <c r="BI12" s="60">
        <f ca="1">AVERAGE(OFFSET($BH$3,0,0,'Données projet'!$E$11+1,1))-AVERAGE(OFFSET($H$3,0,0,'Données projet'!$E$11+1,1))</f>
        <v>178.29366134936788</v>
      </c>
      <c r="BJ12" s="60">
        <f t="shared" si="38"/>
        <v>85.818195717787148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5.666666666666667</v>
      </c>
      <c r="BY12" s="13">
        <f>IF('Données projet'!$A$114&gt;35,BY11+BX12-CG11,IF(A12&lt;'Données projet'!$A$114,$BV$205^A12,IF(A12='Données projet'!$A$114,'Données projet'!$B$114,BY11+BX12-CG11)))</f>
        <v>4.6680411564939428</v>
      </c>
      <c r="BZ12" s="14">
        <f>BY12*VLOOKUP('Données projet'!$B$12,Paramètres!$A$1:$I$88,3,0)*VLOOKUP('Données projet'!$B$12,Paramètres!$A$1:$I$88,5,0)</f>
        <v>2.1846432612391653</v>
      </c>
      <c r="CA12" s="14">
        <f t="shared" si="39"/>
        <v>0.91923954842431754</v>
      </c>
      <c r="CB12" s="22">
        <f t="shared" si="10"/>
        <v>5.4059292268305654</v>
      </c>
      <c r="CC12" s="60">
        <f t="shared" si="11"/>
        <v>298.73926256016387</v>
      </c>
      <c r="CD12" s="60">
        <f ca="1">AVERAGE(OFFSET($CC$3,0,0,'Données projet'!$E$12+1,1))-AVERAGE(OFFSET($H$3,0,0,'Données projet'!$E$12+1,1))</f>
        <v>104.00159056395933</v>
      </c>
      <c r="CE12" s="60">
        <f t="shared" si="40"/>
        <v>115.86489547584461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projet'!$B$13,Paramètres!$A$1:$I$88,3,0)*VLOOKUP('Données projet'!$B$13,Paramètres!$A$1:$I$88,5,0)</f>
        <v>#N/A</v>
      </c>
      <c r="CV12" s="14" t="e">
        <f t="shared" si="41"/>
        <v>#N/A</v>
      </c>
      <c r="CW12" s="22" t="e">
        <f t="shared" si="13"/>
        <v>#N/A</v>
      </c>
      <c r="CX12" s="60" t="e">
        <f t="shared" si="14"/>
        <v>#N/A</v>
      </c>
      <c r="CY12" s="60" t="e">
        <f ca="1">AVERAGE(OFFSET($CX$3,0,0,'Données projet'!$E$13+1,1))-AVERAGE(OFFSET($H$3,0,0,'Données projet'!$E$13+1,1))</f>
        <v>#N/A</v>
      </c>
      <c r="CZ12" s="60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projet'!$B$13,Paramètres!$A$1:$I$88,3,0)*0.475*44/12</f>
        <v>#N/A</v>
      </c>
      <c r="DG12" s="23" t="e">
        <f>EXP(-LN(2)/25)*DG11+(1-EXP(-LN(2)/25))/(LN(2)/25)*Calculateur!DB12*Calculateur!DD12*VLOOKUP('Données projet'!$B$13,Paramètres!$A$1:$I$88,3,0)*0.475*44/12</f>
        <v>#N/A</v>
      </c>
      <c r="DH12" s="23" t="e">
        <f>EXP(-LN(2)/2)*DH11+(1-EXP(-LN(2)/2))/(LN(2)/2)*DB12*DE12*VLOOKUP('Données projet'!$B$13,Paramètres!$A$1:$I$88,3,0)*0.475*44/12</f>
        <v>#N/A</v>
      </c>
      <c r="DI12" s="24" t="e">
        <f t="shared" si="15"/>
        <v>#N/A</v>
      </c>
      <c r="DJ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0" t="e">
        <f t="shared" si="17"/>
        <v>#N/A</v>
      </c>
      <c r="DT12" s="60" t="e">
        <f ca="1">AVERAGE(OFFSET($DS$3,0,0,'Données projet'!$E$14+1,1))-AVERAGE(OFFSET($H$3,0,0,'Données projet'!$E$14+1,1))</f>
        <v>#N/A</v>
      </c>
      <c r="DU12" s="60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4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8.8919999999999995</v>
      </c>
      <c r="D13" s="12">
        <f t="shared" si="32"/>
        <v>3.177517729464268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6.4</v>
      </c>
      <c r="N13" s="14">
        <f>IF('Données projet'!$A$36&gt;35,N12+M13-V12,IF(A13&lt;'Données projet'!$A$36,$K$205^A13,IF(A13='Données projet'!$A$36,'Données projet'!$B$36,N12+M13-V12)))</f>
        <v>20.965931153671175</v>
      </c>
      <c r="O13" s="14">
        <f>N13*VLOOKUP('Données projet'!$B$9,Paramètres!$A$1:$I$88,3,0)*VLOOKUP('Données projet'!$B$9,Paramètres!$A$1:$I$88,5,0)</f>
        <v>12.537626829895363</v>
      </c>
      <c r="P13" s="14">
        <f t="shared" si="33"/>
        <v>4.3046231673687805</v>
      </c>
      <c r="Q13" s="22">
        <f t="shared" si="2"/>
        <v>29.333585411901712</v>
      </c>
      <c r="R13" s="60">
        <f t="shared" si="0"/>
        <v>322.66691874523502</v>
      </c>
      <c r="S13" s="60">
        <f ca="1">AVERAGE(OFFSET($R$3,0,0,'Données projet'!$E$9+1,1))-AVERAGE(OFFSET($H$3,0,0,'Données projet'!$E$9+1,1))</f>
        <v>181.84907943028196</v>
      </c>
      <c r="T13" s="60">
        <f t="shared" si="34"/>
        <v>199.66849909069458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2.1333333333333333</v>
      </c>
      <c r="AI13" s="14">
        <f>IF('Données projet'!$A$62&gt;35,AI12+AH13-AQ12,IF(A13&lt;'Données projet'!$A$62,$AF$205^A13,IF(A13='Données projet'!$A$62,'Données projet'!$B$62,AI12+AH13-AQ12)))</f>
        <v>10.079368399158989</v>
      </c>
      <c r="AJ13" s="14">
        <f>AI13*VLOOKUP('Données projet'!$B$10,Paramètres!$A$1:$I$88,3,0)*VLOOKUP('Données projet'!$B$10,Paramètres!$A$1:$I$88,5,0)</f>
        <v>8.1763836453977721</v>
      </c>
      <c r="AK13" s="14">
        <f t="shared" si="35"/>
        <v>2.9504699444724252</v>
      </c>
      <c r="AL13" s="22">
        <f t="shared" si="4"/>
        <v>19.379270002357259</v>
      </c>
      <c r="AM13" s="60">
        <f t="shared" si="5"/>
        <v>312.71260333569057</v>
      </c>
      <c r="AN13" s="60">
        <f ca="1">AVERAGE(OFFSET($AM$3,0,0,'Données projet'!$E$10+1,1))-AVERAGE(OFFSET($H$3,0,0,'Données projet'!$E$10+1,1))</f>
        <v>55.581964048431473</v>
      </c>
      <c r="AO13" s="60">
        <f t="shared" si="36"/>
        <v>91.067506141193803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2.1607142857142856</v>
      </c>
      <c r="BD13" s="13">
        <f>IF('Données projet'!$A$88&gt;35,BD12+BC13-BL12,IF(A13&lt;'Données projet'!$A$88,$BA$205^A13,IF(A13='Données projet'!$A$88,'Données projet'!$B$88,BD12+BC13-BL12)))</f>
        <v>21.607142857142851</v>
      </c>
      <c r="BE13" s="14">
        <f>BD13*VLOOKUP('Données projet'!$B$11,Paramètres!$A$1:$I$88,3,0)*VLOOKUP('Données projet'!$B$11,Paramètres!$A$1:$I$88,5,0)</f>
        <v>21.909642857142853</v>
      </c>
      <c r="BF13" s="14">
        <f t="shared" si="37"/>
        <v>7.0491607510411871</v>
      </c>
      <c r="BG13" s="22">
        <f t="shared" si="7"/>
        <v>50.436582950920531</v>
      </c>
      <c r="BH13" s="60">
        <f t="shared" si="8"/>
        <v>343.76991628425384</v>
      </c>
      <c r="BI13" s="60">
        <f ca="1">AVERAGE(OFFSET($BH$3,0,0,'Données projet'!$E$11+1,1))-AVERAGE(OFFSET($H$3,0,0,'Données projet'!$E$11+1,1))</f>
        <v>178.29366134936788</v>
      </c>
      <c r="BJ13" s="60">
        <f t="shared" si="38"/>
        <v>85.818195717787148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5.666666666666667</v>
      </c>
      <c r="BY13" s="13">
        <f>IF('Données projet'!$A$114&gt;35,BY12+BX13-CG12,IF(A13&lt;'Données projet'!$A$114,$BV$205^A13,IF(A13='Données projet'!$A$114,'Données projet'!$B$114,BY12+BX13-CG12)))</f>
        <v>5.5396582567544659</v>
      </c>
      <c r="BZ13" s="14">
        <f>BY13*VLOOKUP('Données projet'!$B$12,Paramètres!$A$1:$I$88,3,0)*VLOOKUP('Données projet'!$B$12,Paramètres!$A$1:$I$88,5,0)</f>
        <v>2.59256006416109</v>
      </c>
      <c r="CA13" s="14">
        <f t="shared" si="39"/>
        <v>1.069357343793981</v>
      </c>
      <c r="CB13" s="22">
        <f t="shared" si="10"/>
        <v>6.377839485521748</v>
      </c>
      <c r="CC13" s="60">
        <f t="shared" si="11"/>
        <v>299.71117281885506</v>
      </c>
      <c r="CD13" s="60">
        <f ca="1">AVERAGE(OFFSET($CC$3,0,0,'Données projet'!$E$12+1,1))-AVERAGE(OFFSET($H$3,0,0,'Données projet'!$E$12+1,1))</f>
        <v>104.00159056395933</v>
      </c>
      <c r="CE13" s="60">
        <f t="shared" si="40"/>
        <v>115.86489547584461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projet'!$B$13,Paramètres!$A$1:$I$88,3,0)*VLOOKUP('Données projet'!$B$13,Paramètres!$A$1:$I$88,5,0)</f>
        <v>#N/A</v>
      </c>
      <c r="CV13" s="14" t="e">
        <f t="shared" si="41"/>
        <v>#N/A</v>
      </c>
      <c r="CW13" s="22" t="e">
        <f t="shared" si="13"/>
        <v>#N/A</v>
      </c>
      <c r="CX13" s="60" t="e">
        <f t="shared" si="14"/>
        <v>#N/A</v>
      </c>
      <c r="CY13" s="60" t="e">
        <f ca="1">AVERAGE(OFFSET($CX$3,0,0,'Données projet'!$E$13+1,1))-AVERAGE(OFFSET($H$3,0,0,'Données projet'!$E$13+1,1))</f>
        <v>#N/A</v>
      </c>
      <c r="CZ13" s="60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projet'!$B$13,Paramètres!$A$1:$I$88,3,0)*0.475*44/12</f>
        <v>#N/A</v>
      </c>
      <c r="DG13" s="23" t="e">
        <f>EXP(-LN(2)/25)*DG12+(1-EXP(-LN(2)/25))/(LN(2)/25)*Calculateur!DB13*Calculateur!DD13*VLOOKUP('Données projet'!$B$13,Paramètres!$A$1:$I$88,3,0)*0.475*44/12</f>
        <v>#N/A</v>
      </c>
      <c r="DH13" s="23" t="e">
        <f>EXP(-LN(2)/2)*DH12+(1-EXP(-LN(2)/2))/(LN(2)/2)*DB13*DE13*VLOOKUP('Données projet'!$B$13,Paramètres!$A$1:$I$88,3,0)*0.475*44/12</f>
        <v>#N/A</v>
      </c>
      <c r="DI13" s="24" t="e">
        <f t="shared" si="15"/>
        <v>#N/A</v>
      </c>
      <c r="DJ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0" t="e">
        <f t="shared" si="17"/>
        <v>#N/A</v>
      </c>
      <c r="DT13" s="60" t="e">
        <f ca="1">AVERAGE(OFFSET($DS$3,0,0,'Données projet'!$E$14+1,1))-AVERAGE(OFFSET($H$3,0,0,'Données projet'!$E$14+1,1))</f>
        <v>#N/A</v>
      </c>
      <c r="DU13" s="60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4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9.7812000000000001</v>
      </c>
      <c r="D14" s="12">
        <f t="shared" si="32"/>
        <v>3.4567069199829903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6.4</v>
      </c>
      <c r="N14" s="14">
        <f>IF('Données projet'!$A$36&gt;35,N13+M14-V13,IF(A14&lt;'Données projet'!$A$36,$K$205^A14,IF(A14='Données projet'!$A$36,'Données projet'!$B$36,N13+M14-V13)))</f>
        <v>28.422715691268188</v>
      </c>
      <c r="O14" s="14">
        <f>N14*VLOOKUP('Données projet'!$B$9,Paramètres!$A$1:$I$88,3,0)*VLOOKUP('Données projet'!$B$9,Paramètres!$A$1:$I$88,5,0)</f>
        <v>16.996783983378378</v>
      </c>
      <c r="P14" s="14">
        <f t="shared" si="33"/>
        <v>5.6325379883964173</v>
      </c>
      <c r="Q14" s="22">
        <f t="shared" si="2"/>
        <v>39.412735767507769</v>
      </c>
      <c r="R14" s="60">
        <f t="shared" si="0"/>
        <v>332.74606910084105</v>
      </c>
      <c r="S14" s="60">
        <f ca="1">AVERAGE(OFFSET($R$3,0,0,'Données projet'!$E$9+1,1))-AVERAGE(OFFSET($H$3,0,0,'Données projet'!$E$9+1,1))</f>
        <v>181.84907943028196</v>
      </c>
      <c r="T14" s="60">
        <f t="shared" si="34"/>
        <v>199.66849909069458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2.1333333333333333</v>
      </c>
      <c r="AI14" s="14">
        <f>IF('Données projet'!$A$62&gt;35,AI13+AH14-AQ13,IF(A14&lt;'Données projet'!$A$62,$AF$205^A14,IF(A14='Données projet'!$A$62,'Données projet'!$B$62,AI13+AH14-AQ13)))</f>
        <v>12.6992084157456</v>
      </c>
      <c r="AJ14" s="14">
        <f>AI14*VLOOKUP('Données projet'!$B$10,Paramètres!$A$1:$I$88,3,0)*VLOOKUP('Données projet'!$B$10,Paramètres!$A$1:$I$88,5,0)</f>
        <v>10.301597866852832</v>
      </c>
      <c r="AK14" s="14">
        <f t="shared" si="35"/>
        <v>3.6187165199035083</v>
      </c>
      <c r="AL14" s="22">
        <f t="shared" si="4"/>
        <v>24.244547556933963</v>
      </c>
      <c r="AM14" s="60">
        <f t="shared" si="5"/>
        <v>317.57788089026729</v>
      </c>
      <c r="AN14" s="60">
        <f ca="1">AVERAGE(OFFSET($AM$3,0,0,'Données projet'!$E$10+1,1))-AVERAGE(OFFSET($H$3,0,0,'Données projet'!$E$10+1,1))</f>
        <v>55.581964048431473</v>
      </c>
      <c r="AO14" s="60">
        <f t="shared" si="36"/>
        <v>91.067506141193803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2.1607142857142856</v>
      </c>
      <c r="BD14" s="13">
        <f>IF('Données projet'!$A$88&gt;35,BD13+BC14-BL13,IF(A14&lt;'Données projet'!$A$88,$BA$205^A14,IF(A14='Données projet'!$A$88,'Données projet'!$B$88,BD13+BC14-BL13)))</f>
        <v>23.767857142857135</v>
      </c>
      <c r="BE14" s="14">
        <f>BD14*VLOOKUP('Données projet'!$B$11,Paramètres!$A$1:$I$88,3,0)*VLOOKUP('Données projet'!$B$11,Paramètres!$A$1:$I$88,5,0)</f>
        <v>24.10060714285714</v>
      </c>
      <c r="BF14" s="14">
        <f t="shared" si="37"/>
        <v>7.6685277070994751</v>
      </c>
      <c r="BG14" s="22">
        <f t="shared" si="7"/>
        <v>55.331243197007772</v>
      </c>
      <c r="BH14" s="60">
        <f t="shared" si="8"/>
        <v>348.66457653034109</v>
      </c>
      <c r="BI14" s="60">
        <f ca="1">AVERAGE(OFFSET($BH$3,0,0,'Données projet'!$E$11+1,1))-AVERAGE(OFFSET($H$3,0,0,'Données projet'!$E$11+1,1))</f>
        <v>178.29366134936788</v>
      </c>
      <c r="BJ14" s="60">
        <f t="shared" si="38"/>
        <v>85.818195717787148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5.666666666666667</v>
      </c>
      <c r="BY14" s="13">
        <f>IF('Données projet'!$A$114&gt;35,BY13+BX14-CG13,IF(A14&lt;'Données projet'!$A$114,$BV$205^A14,IF(A14='Données projet'!$A$114,'Données projet'!$B$114,BY13+BX14-CG13)))</f>
        <v>6.5740237870303684</v>
      </c>
      <c r="BZ14" s="14">
        <f>BY14*VLOOKUP('Données projet'!$B$12,Paramètres!$A$1:$I$88,3,0)*VLOOKUP('Données projet'!$B$12,Paramètres!$A$1:$I$88,5,0)</f>
        <v>3.0766431323302124</v>
      </c>
      <c r="CA14" s="14">
        <f t="shared" si="39"/>
        <v>1.24399035124876</v>
      </c>
      <c r="CB14" s="22">
        <f t="shared" si="10"/>
        <v>7.5251033172333761</v>
      </c>
      <c r="CC14" s="60">
        <f t="shared" si="11"/>
        <v>300.85843665056672</v>
      </c>
      <c r="CD14" s="60">
        <f ca="1">AVERAGE(OFFSET($CC$3,0,0,'Données projet'!$E$12+1,1))-AVERAGE(OFFSET($H$3,0,0,'Données projet'!$E$12+1,1))</f>
        <v>104.00159056395933</v>
      </c>
      <c r="CE14" s="60">
        <f t="shared" si="40"/>
        <v>115.86489547584461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projet'!$B$13,Paramètres!$A$1:$I$88,3,0)*VLOOKUP('Données projet'!$B$13,Paramètres!$A$1:$I$88,5,0)</f>
        <v>#N/A</v>
      </c>
      <c r="CV14" s="14" t="e">
        <f t="shared" si="41"/>
        <v>#N/A</v>
      </c>
      <c r="CW14" s="22" t="e">
        <f t="shared" si="13"/>
        <v>#N/A</v>
      </c>
      <c r="CX14" s="60" t="e">
        <f t="shared" si="14"/>
        <v>#N/A</v>
      </c>
      <c r="CY14" s="60" t="e">
        <f ca="1">AVERAGE(OFFSET($CX$3,0,0,'Données projet'!$E$13+1,1))-AVERAGE(OFFSET($H$3,0,0,'Données projet'!$E$13+1,1))</f>
        <v>#N/A</v>
      </c>
      <c r="CZ14" s="60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projet'!$B$13,Paramètres!$A$1:$I$88,3,0)*0.475*44/12</f>
        <v>#N/A</v>
      </c>
      <c r="DG14" s="23" t="e">
        <f>EXP(-LN(2)/25)*DG13+(1-EXP(-LN(2)/25))/(LN(2)/25)*Calculateur!DB14*Calculateur!DD14*VLOOKUP('Données projet'!$B$13,Paramètres!$A$1:$I$88,3,0)*0.475*44/12</f>
        <v>#N/A</v>
      </c>
      <c r="DH14" s="23" t="e">
        <f>EXP(-LN(2)/2)*DH13+(1-EXP(-LN(2)/2))/(LN(2)/2)*DB14*DE14*VLOOKUP('Données projet'!$B$13,Paramètres!$A$1:$I$88,3,0)*0.475*44/12</f>
        <v>#N/A</v>
      </c>
      <c r="DI14" s="24" t="e">
        <f t="shared" si="15"/>
        <v>#N/A</v>
      </c>
      <c r="DJ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0" t="e">
        <f t="shared" si="17"/>
        <v>#N/A</v>
      </c>
      <c r="DT14" s="60" t="e">
        <f ca="1">AVERAGE(OFFSET($DS$3,0,0,'Données projet'!$E$14+1,1))-AVERAGE(OFFSET($H$3,0,0,'Données projet'!$E$14+1,1))</f>
        <v>#N/A</v>
      </c>
      <c r="DU14" s="60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4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10.670400000000001</v>
      </c>
      <c r="D15" s="12">
        <f t="shared" si="32"/>
        <v>3.7329530817348471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6.4</v>
      </c>
      <c r="N15" s="14">
        <f>IF('Données projet'!$A$36&gt;35,N14+M15-V14,IF(A15&lt;'Données projet'!$A$36,$K$205^A15,IF(A15='Données projet'!$A$36,'Données projet'!$B$36,N14+M15-V14)))</f>
        <v>38.531594964491077</v>
      </c>
      <c r="O15" s="14">
        <f>N15*VLOOKUP('Données projet'!$B$9,Paramètres!$A$1:$I$88,3,0)*VLOOKUP('Données projet'!$B$9,Paramètres!$A$1:$I$88,5,0)</f>
        <v>23.041893788765666</v>
      </c>
      <c r="P15" s="14">
        <f t="shared" si="33"/>
        <v>7.3700955826340264</v>
      </c>
      <c r="Q15" s="22">
        <f t="shared" si="2"/>
        <v>52.967548155187792</v>
      </c>
      <c r="R15" s="60">
        <f t="shared" si="0"/>
        <v>346.3008814885211</v>
      </c>
      <c r="S15" s="60">
        <f ca="1">AVERAGE(OFFSET($R$3,0,0,'Données projet'!$E$9+1,1))-AVERAGE(OFFSET($H$3,0,0,'Données projet'!$E$9+1,1))</f>
        <v>181.84907943028196</v>
      </c>
      <c r="T15" s="60">
        <f t="shared" si="34"/>
        <v>199.66849909069458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2.1333333333333333</v>
      </c>
      <c r="AI15" s="14">
        <f>IF('Données projet'!$A$62&gt;35,AI14+AH15-AQ14,IF(A15&lt;'Données projet'!$A$62,$AF$205^A15,IF(A15='Données projet'!$A$62,'Données projet'!$B$62,AI14+AH15-AQ14)))</f>
        <v>16.000000000000007</v>
      </c>
      <c r="AJ15" s="14">
        <f>AI15*VLOOKUP('Données projet'!$B$10,Paramètres!$A$1:$I$88,3,0)*VLOOKUP('Données projet'!$B$10,Paramètres!$A$1:$I$88,5,0)</f>
        <v>12.979200000000006</v>
      </c>
      <c r="AK15" s="14">
        <f t="shared" si="35"/>
        <v>4.4383130477080988</v>
      </c>
      <c r="AL15" s="22">
        <f t="shared" si="4"/>
        <v>30.335501891424943</v>
      </c>
      <c r="AM15" s="60">
        <f t="shared" si="5"/>
        <v>323.66883522475825</v>
      </c>
      <c r="AN15" s="60">
        <f ca="1">AVERAGE(OFFSET($AM$3,0,0,'Données projet'!$E$10+1,1))-AVERAGE(OFFSET($H$3,0,0,'Données projet'!$E$10+1,1))</f>
        <v>55.581964048431473</v>
      </c>
      <c r="AO15" s="60">
        <f t="shared" si="36"/>
        <v>91.067506141193803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2.1607142857142856</v>
      </c>
      <c r="BD15" s="13">
        <f>IF('Données projet'!$A$88&gt;35,BD14+BC15-BL14,IF(A15&lt;'Données projet'!$A$88,$BA$205^A15,IF(A15='Données projet'!$A$88,'Données projet'!$B$88,BD14+BC15-BL14)))</f>
        <v>25.92857142857142</v>
      </c>
      <c r="BE15" s="14">
        <f>BD15*VLOOKUP('Données projet'!$B$11,Paramètres!$A$1:$I$88,3,0)*VLOOKUP('Données projet'!$B$11,Paramètres!$A$1:$I$88,5,0)</f>
        <v>26.291571428571423</v>
      </c>
      <c r="BF15" s="14">
        <f t="shared" si="37"/>
        <v>8.2813657041907671</v>
      </c>
      <c r="BG15" s="22">
        <f t="shared" si="7"/>
        <v>60.214532172894138</v>
      </c>
      <c r="BH15" s="60">
        <f t="shared" si="8"/>
        <v>353.54786550622748</v>
      </c>
      <c r="BI15" s="60">
        <f ca="1">AVERAGE(OFFSET($BH$3,0,0,'Données projet'!$E$11+1,1))-AVERAGE(OFFSET($H$3,0,0,'Données projet'!$E$11+1,1))</f>
        <v>178.29366134936788</v>
      </c>
      <c r="BJ15" s="60">
        <f t="shared" si="38"/>
        <v>85.818195717787148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5.666666666666667</v>
      </c>
      <c r="BY15" s="13">
        <f>IF('Données projet'!$A$114&gt;35,BY14+BX15-CG14,IF(A15&lt;'Données projet'!$A$114,$BV$205^A15,IF(A15='Données projet'!$A$114,'Données projet'!$B$114,BY14+BX15-CG14)))</f>
        <v>7.8015261500555493</v>
      </c>
      <c r="BZ15" s="14">
        <f>BY15*VLOOKUP('Données projet'!$B$12,Paramètres!$A$1:$I$88,3,0)*VLOOKUP('Données projet'!$B$12,Paramètres!$A$1:$I$88,5,0)</f>
        <v>3.6511142382259969</v>
      </c>
      <c r="CA15" s="14">
        <f t="shared" si="39"/>
        <v>1.4471420643258348</v>
      </c>
      <c r="CB15" s="22">
        <f t="shared" si="10"/>
        <v>8.8794630602777733</v>
      </c>
      <c r="CC15" s="60">
        <f t="shared" si="11"/>
        <v>302.21279639361109</v>
      </c>
      <c r="CD15" s="60">
        <f ca="1">AVERAGE(OFFSET($CC$3,0,0,'Données projet'!$E$12+1,1))-AVERAGE(OFFSET($H$3,0,0,'Données projet'!$E$12+1,1))</f>
        <v>104.00159056395933</v>
      </c>
      <c r="CE15" s="60">
        <f t="shared" si="40"/>
        <v>115.86489547584461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projet'!$B$13,Paramètres!$A$1:$I$88,3,0)*VLOOKUP('Données projet'!$B$13,Paramètres!$A$1:$I$88,5,0)</f>
        <v>#N/A</v>
      </c>
      <c r="CV15" s="14" t="e">
        <f t="shared" si="41"/>
        <v>#N/A</v>
      </c>
      <c r="CW15" s="22" t="e">
        <f t="shared" si="13"/>
        <v>#N/A</v>
      </c>
      <c r="CX15" s="60" t="e">
        <f t="shared" si="14"/>
        <v>#N/A</v>
      </c>
      <c r="CY15" s="60" t="e">
        <f ca="1">AVERAGE(OFFSET($CX$3,0,0,'Données projet'!$E$13+1,1))-AVERAGE(OFFSET($H$3,0,0,'Données projet'!$E$13+1,1))</f>
        <v>#N/A</v>
      </c>
      <c r="CZ15" s="60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projet'!$B$13,Paramètres!$A$1:$I$88,3,0)*0.475*44/12</f>
        <v>#N/A</v>
      </c>
      <c r="DG15" s="23" t="e">
        <f>EXP(-LN(2)/25)*DG14+(1-EXP(-LN(2)/25))/(LN(2)/25)*Calculateur!DB15*Calculateur!DD15*VLOOKUP('Données projet'!$B$13,Paramètres!$A$1:$I$88,3,0)*0.475*44/12</f>
        <v>#N/A</v>
      </c>
      <c r="DH15" s="23" t="e">
        <f>EXP(-LN(2)/2)*DH14+(1-EXP(-LN(2)/2))/(LN(2)/2)*DB15*DE15*VLOOKUP('Données projet'!$B$13,Paramètres!$A$1:$I$88,3,0)*0.475*44/12</f>
        <v>#N/A</v>
      </c>
      <c r="DI15" s="24" t="e">
        <f t="shared" si="15"/>
        <v>#N/A</v>
      </c>
      <c r="DJ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0" t="e">
        <f t="shared" si="17"/>
        <v>#N/A</v>
      </c>
      <c r="DT15" s="60" t="e">
        <f ca="1">AVERAGE(OFFSET($DS$3,0,0,'Données projet'!$E$14+1,1))-AVERAGE(OFFSET($H$3,0,0,'Données projet'!$E$14+1,1))</f>
        <v>#N/A</v>
      </c>
      <c r="DU15" s="60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4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11.559600000000001</v>
      </c>
      <c r="D16" s="12">
        <f t="shared" si="32"/>
        <v>4.0065293501366055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6.4</v>
      </c>
      <c r="N16" s="14">
        <f>IF('Données projet'!$A$36&gt;35,N15+M16-V15,IF(A16&lt;'Données projet'!$A$36,$K$205^A16,IF(A16='Données projet'!$A$36,'Données projet'!$B$36,N15+M16-V15)))</f>
        <v>52.235818231954077</v>
      </c>
      <c r="O16" s="14">
        <f>N16*VLOOKUP('Données projet'!$B$9,Paramètres!$A$1:$I$88,3,0)*VLOOKUP('Données projet'!$B$9,Paramètres!$A$1:$I$88,5,0)</f>
        <v>31.237019302708543</v>
      </c>
      <c r="P16" s="14">
        <f t="shared" si="33"/>
        <v>9.6436649000970167</v>
      </c>
      <c r="Q16" s="22">
        <f t="shared" si="2"/>
        <v>71.20052498655302</v>
      </c>
      <c r="R16" s="60">
        <f t="shared" si="0"/>
        <v>364.53385831988635</v>
      </c>
      <c r="S16" s="60">
        <f ca="1">AVERAGE(OFFSET($R$3,0,0,'Données projet'!$E$9+1,1))-AVERAGE(OFFSET($H$3,0,0,'Données projet'!$E$9+1,1))</f>
        <v>181.84907943028196</v>
      </c>
      <c r="T16" s="60">
        <f t="shared" si="34"/>
        <v>199.66849909069458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2.1333333333333333</v>
      </c>
      <c r="AI16" s="14">
        <f>IF('Données projet'!$A$62&gt;35,AI15+AH16-AQ15,IF(A16&lt;'Données projet'!$A$62,$AF$205^A16,IF(A16='Données projet'!$A$62,'Données projet'!$B$62,AI15+AH16-AQ15)))</f>
        <v>20.158736798317982</v>
      </c>
      <c r="AJ16" s="14">
        <f>AI16*VLOOKUP('Données projet'!$B$10,Paramètres!$A$1:$I$88,3,0)*VLOOKUP('Données projet'!$B$10,Paramètres!$A$1:$I$88,5,0)</f>
        <v>16.352767290795548</v>
      </c>
      <c r="AK16" s="14">
        <f t="shared" si="35"/>
        <v>5.4435385035303101</v>
      </c>
      <c r="AL16" s="22">
        <f t="shared" si="4"/>
        <v>37.961899258450863</v>
      </c>
      <c r="AM16" s="60">
        <f t="shared" si="5"/>
        <v>331.29523259178416</v>
      </c>
      <c r="AN16" s="60">
        <f ca="1">AVERAGE(OFFSET($AM$3,0,0,'Données projet'!$E$10+1,1))-AVERAGE(OFFSET($H$3,0,0,'Données projet'!$E$10+1,1))</f>
        <v>55.581964048431473</v>
      </c>
      <c r="AO16" s="60">
        <f t="shared" si="36"/>
        <v>91.067506141193803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2.1607142857142856</v>
      </c>
      <c r="BD16" s="13">
        <f>IF('Données projet'!$A$88&gt;35,BD15+BC16-BL15,IF(A16&lt;'Données projet'!$A$88,$BA$205^A16,IF(A16='Données projet'!$A$88,'Données projet'!$B$88,BD15+BC16-BL15)))</f>
        <v>28.089285714285705</v>
      </c>
      <c r="BE16" s="14">
        <f>BD16*VLOOKUP('Données projet'!$B$11,Paramètres!$A$1:$I$88,3,0)*VLOOKUP('Données projet'!$B$11,Paramètres!$A$1:$I$88,5,0)</f>
        <v>28.482535714285703</v>
      </c>
      <c r="BF16" s="14">
        <f t="shared" si="37"/>
        <v>8.88828067928333</v>
      </c>
      <c r="BG16" s="22">
        <f t="shared" si="7"/>
        <v>65.087505218799393</v>
      </c>
      <c r="BH16" s="60">
        <f t="shared" si="8"/>
        <v>358.42083855213269</v>
      </c>
      <c r="BI16" s="60">
        <f ca="1">AVERAGE(OFFSET($BH$3,0,0,'Données projet'!$E$11+1,1))-AVERAGE(OFFSET($H$3,0,0,'Données projet'!$E$11+1,1))</f>
        <v>178.29366134936788</v>
      </c>
      <c r="BJ16" s="60">
        <f t="shared" si="38"/>
        <v>85.818195717787148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5.666666666666667</v>
      </c>
      <c r="BY16" s="13">
        <f>IF('Données projet'!$A$114&gt;35,BY15+BX16-CG15,IF(A16&lt;'Données projet'!$A$114,$BV$205^A16,IF(A16='Données projet'!$A$114,'Données projet'!$B$114,BY15+BX16-CG15)))</f>
        <v>9.2582278740877637</v>
      </c>
      <c r="BZ16" s="14">
        <f>BY16*VLOOKUP('Données projet'!$B$12,Paramètres!$A$1:$I$88,3,0)*VLOOKUP('Données projet'!$B$12,Paramètres!$A$1:$I$88,5,0)</f>
        <v>4.3328506450730728</v>
      </c>
      <c r="CA16" s="14">
        <f t="shared" si="39"/>
        <v>1.683469773088665</v>
      </c>
      <c r="CB16" s="22">
        <f t="shared" si="10"/>
        <v>10.478424728298359</v>
      </c>
      <c r="CC16" s="60">
        <f t="shared" si="11"/>
        <v>303.81175806163168</v>
      </c>
      <c r="CD16" s="60">
        <f ca="1">AVERAGE(OFFSET($CC$3,0,0,'Données projet'!$E$12+1,1))-AVERAGE(OFFSET($H$3,0,0,'Données projet'!$E$12+1,1))</f>
        <v>104.00159056395933</v>
      </c>
      <c r="CE16" s="60">
        <f t="shared" si="40"/>
        <v>115.86489547584461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projet'!$B$13,Paramètres!$A$1:$I$88,3,0)*VLOOKUP('Données projet'!$B$13,Paramètres!$A$1:$I$88,5,0)</f>
        <v>#N/A</v>
      </c>
      <c r="CV16" s="14" t="e">
        <f t="shared" si="41"/>
        <v>#N/A</v>
      </c>
      <c r="CW16" s="22" t="e">
        <f t="shared" si="13"/>
        <v>#N/A</v>
      </c>
      <c r="CX16" s="60" t="e">
        <f t="shared" si="14"/>
        <v>#N/A</v>
      </c>
      <c r="CY16" s="60" t="e">
        <f ca="1">AVERAGE(OFFSET($CX$3,0,0,'Données projet'!$E$13+1,1))-AVERAGE(OFFSET($H$3,0,0,'Données projet'!$E$13+1,1))</f>
        <v>#N/A</v>
      </c>
      <c r="CZ16" s="60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projet'!$B$13,Paramètres!$A$1:$I$88,3,0)*0.475*44/12</f>
        <v>#N/A</v>
      </c>
      <c r="DG16" s="23" t="e">
        <f>EXP(-LN(2)/25)*DG15+(1-EXP(-LN(2)/25))/(LN(2)/25)*Calculateur!DB16*Calculateur!DD16*VLOOKUP('Données projet'!$B$13,Paramètres!$A$1:$I$88,3,0)*0.475*44/12</f>
        <v>#N/A</v>
      </c>
      <c r="DH16" s="23" t="e">
        <f>EXP(-LN(2)/2)*DH15+(1-EXP(-LN(2)/2))/(LN(2)/2)*DB16*DE16*VLOOKUP('Données projet'!$B$13,Paramètres!$A$1:$I$88,3,0)*0.475*44/12</f>
        <v>#N/A</v>
      </c>
      <c r="DI16" s="24" t="e">
        <f t="shared" si="15"/>
        <v>#N/A</v>
      </c>
      <c r="DJ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0" t="e">
        <f t="shared" si="17"/>
        <v>#N/A</v>
      </c>
      <c r="DT16" s="60" t="e">
        <f ca="1">AVERAGE(OFFSET($DS$3,0,0,'Données projet'!$E$14+1,1))-AVERAGE(OFFSET($H$3,0,0,'Données projet'!$E$14+1,1))</f>
        <v>#N/A</v>
      </c>
      <c r="DU16" s="60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4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12.448800000000002</v>
      </c>
      <c r="D17" s="12">
        <f t="shared" si="32"/>
        <v>4.2776644527179633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6.4</v>
      </c>
      <c r="N17" s="14">
        <f>IF('Données projet'!$A$36&gt;35,N16+M17-V16,IF(A17&lt;'Données projet'!$A$36,$K$205^A17,IF(A17='Données projet'!$A$36,'Données projet'!$B$36,N16+M17-V16)))</f>
        <v>70.814112649016465</v>
      </c>
      <c r="O17" s="14">
        <f>N17*VLOOKUP('Données projet'!$B$9,Paramètres!$A$1:$I$88,3,0)*VLOOKUP('Données projet'!$B$9,Paramètres!$A$1:$I$88,5,0)</f>
        <v>42.346839364111851</v>
      </c>
      <c r="P17" s="14">
        <f t="shared" si="33"/>
        <v>12.618597908621084</v>
      </c>
      <c r="Q17" s="22">
        <f t="shared" si="2"/>
        <v>95.731469916676531</v>
      </c>
      <c r="R17" s="60">
        <f t="shared" si="0"/>
        <v>389.06480325000985</v>
      </c>
      <c r="S17" s="60">
        <f ca="1">AVERAGE(OFFSET($R$3,0,0,'Données projet'!$E$9+1,1))-AVERAGE(OFFSET($H$3,0,0,'Données projet'!$E$9+1,1))</f>
        <v>181.84907943028196</v>
      </c>
      <c r="T17" s="60">
        <f t="shared" si="34"/>
        <v>199.66849909069458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2.1333333333333333</v>
      </c>
      <c r="AI17" s="14">
        <f>IF('Données projet'!$A$62&gt;35,AI16+AH17-AQ16,IF(A17&lt;'Données projet'!$A$62,$AF$205^A17,IF(A17='Données projet'!$A$62,'Données projet'!$B$62,AI16+AH17-AQ16)))</f>
        <v>25.398416831491208</v>
      </c>
      <c r="AJ17" s="14">
        <f>AI17*VLOOKUP('Données projet'!$B$10,Paramètres!$A$1:$I$88,3,0)*VLOOKUP('Données projet'!$B$10,Paramètres!$A$1:$I$88,5,0)</f>
        <v>20.603195733705668</v>
      </c>
      <c r="AK17" s="14">
        <f t="shared" si="35"/>
        <v>6.6764356459080147</v>
      </c>
      <c r="AL17" s="22">
        <f t="shared" si="4"/>
        <v>47.512024652827165</v>
      </c>
      <c r="AM17" s="60">
        <f t="shared" si="5"/>
        <v>340.84535798616048</v>
      </c>
      <c r="AN17" s="60">
        <f ca="1">AVERAGE(OFFSET($AM$3,0,0,'Données projet'!$E$10+1,1))-AVERAGE(OFFSET($H$3,0,0,'Données projet'!$E$10+1,1))</f>
        <v>55.581964048431473</v>
      </c>
      <c r="AO17" s="60">
        <f t="shared" si="36"/>
        <v>91.067506141193803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2.1607142857142856</v>
      </c>
      <c r="BD17" s="13">
        <f>IF('Données projet'!$A$88&gt;35,BD16+BC17-BL16,IF(A17&lt;'Données projet'!$A$88,$BA$205^A17,IF(A17='Données projet'!$A$88,'Données projet'!$B$88,BD16+BC17-BL16)))</f>
        <v>30.249999999999989</v>
      </c>
      <c r="BE17" s="14">
        <f>BD17*VLOOKUP('Données projet'!$B$11,Paramètres!$A$1:$I$88,3,0)*VLOOKUP('Données projet'!$B$11,Paramètres!$A$1:$I$88,5,0)</f>
        <v>30.673499999999994</v>
      </c>
      <c r="BF17" s="14">
        <f t="shared" si="37"/>
        <v>9.4897800527166556</v>
      </c>
      <c r="BG17" s="22">
        <f t="shared" si="7"/>
        <v>69.951046091814831</v>
      </c>
      <c r="BH17" s="60">
        <f t="shared" si="8"/>
        <v>363.28437942514813</v>
      </c>
      <c r="BI17" s="60">
        <f ca="1">AVERAGE(OFFSET($BH$3,0,0,'Données projet'!$E$11+1,1))-AVERAGE(OFFSET($H$3,0,0,'Données projet'!$E$11+1,1))</f>
        <v>178.29366134936788</v>
      </c>
      <c r="BJ17" s="60">
        <f t="shared" si="38"/>
        <v>85.818195717787148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5.666666666666667</v>
      </c>
      <c r="BY17" s="13">
        <f>IF('Données projet'!$A$114&gt;35,BY16+BX17-CG16,IF(A17&lt;'Données projet'!$A$114,$BV$205^A17,IF(A17='Données projet'!$A$114,'Données projet'!$B$114,BY16+BX17-CG16)))</f>
        <v>10.986925086180136</v>
      </c>
      <c r="BZ17" s="14">
        <f>BY17*VLOOKUP('Données projet'!$B$12,Paramètres!$A$1:$I$88,3,0)*VLOOKUP('Données projet'!$B$12,Paramètres!$A$1:$I$88,5,0)</f>
        <v>5.141880940332304</v>
      </c>
      <c r="CA17" s="14">
        <f t="shared" si="39"/>
        <v>1.95839133335087</v>
      </c>
      <c r="CB17" s="22">
        <f t="shared" si="10"/>
        <v>12.366307543331528</v>
      </c>
      <c r="CC17" s="60">
        <f t="shared" si="11"/>
        <v>305.69964087666483</v>
      </c>
      <c r="CD17" s="60">
        <f ca="1">AVERAGE(OFFSET($CC$3,0,0,'Données projet'!$E$12+1,1))-AVERAGE(OFFSET($H$3,0,0,'Données projet'!$E$12+1,1))</f>
        <v>104.00159056395933</v>
      </c>
      <c r="CE17" s="60">
        <f t="shared" si="40"/>
        <v>115.86489547584461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projet'!$B$13,Paramètres!$A$1:$I$88,3,0)*VLOOKUP('Données projet'!$B$13,Paramètres!$A$1:$I$88,5,0)</f>
        <v>#N/A</v>
      </c>
      <c r="CV17" s="14" t="e">
        <f t="shared" si="41"/>
        <v>#N/A</v>
      </c>
      <c r="CW17" s="22" t="e">
        <f t="shared" si="13"/>
        <v>#N/A</v>
      </c>
      <c r="CX17" s="60" t="e">
        <f t="shared" si="14"/>
        <v>#N/A</v>
      </c>
      <c r="CY17" s="60" t="e">
        <f ca="1">AVERAGE(OFFSET($CX$3,0,0,'Données projet'!$E$13+1,1))-AVERAGE(OFFSET($H$3,0,0,'Données projet'!$E$13+1,1))</f>
        <v>#N/A</v>
      </c>
      <c r="CZ17" s="60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projet'!$B$13,Paramètres!$A$1:$I$88,3,0)*0.475*44/12</f>
        <v>#N/A</v>
      </c>
      <c r="DG17" s="23" t="e">
        <f>EXP(-LN(2)/25)*DG16+(1-EXP(-LN(2)/25))/(LN(2)/25)*Calculateur!DB17*Calculateur!DD17*VLOOKUP('Données projet'!$B$13,Paramètres!$A$1:$I$88,3,0)*0.475*44/12</f>
        <v>#N/A</v>
      </c>
      <c r="DH17" s="23" t="e">
        <f>EXP(-LN(2)/2)*DH16+(1-EXP(-LN(2)/2))/(LN(2)/2)*DB17*DE17*VLOOKUP('Données projet'!$B$13,Paramètres!$A$1:$I$88,3,0)*0.475*44/12</f>
        <v>#N/A</v>
      </c>
      <c r="DI17" s="24" t="e">
        <f t="shared" si="15"/>
        <v>#N/A</v>
      </c>
      <c r="DJ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0" t="e">
        <f t="shared" si="17"/>
        <v>#N/A</v>
      </c>
      <c r="DT17" s="60" t="e">
        <f ca="1">AVERAGE(OFFSET($DS$3,0,0,'Données projet'!$E$14+1,1))-AVERAGE(OFFSET($H$3,0,0,'Données projet'!$E$14+1,1))</f>
        <v>#N/A</v>
      </c>
      <c r="DU17" s="60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4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13.338000000000003</v>
      </c>
      <c r="D18" s="12">
        <f t="shared" si="32"/>
        <v>4.5465525901071517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96</v>
      </c>
      <c r="L18" s="13">
        <f>VLOOKUP(A18,'Données projet'!$A$35:$I$55,9,0)</f>
        <v>6.4</v>
      </c>
      <c r="M18" s="13">
        <f t="array" ref="M18">INDEX(L:L,MIN(IF(ISNUMBER(L18:L214),ROW(L18:L214),"")))</f>
        <v>6.4</v>
      </c>
      <c r="N18" s="14">
        <f>IF('Données projet'!$A$36&gt;35,N17+M18-V17,IF(A18&lt;'Données projet'!$A$36,$K$205^A18,IF(A18='Données projet'!$A$36,'Données projet'!$B$36,N17+M18-V17)))</f>
        <v>96</v>
      </c>
      <c r="O18" s="14">
        <f>N18*VLOOKUP('Données projet'!$B$9,Paramètres!$A$1:$I$88,3,0)*VLOOKUP('Données projet'!$B$9,Paramètres!$A$1:$I$88,5,0)</f>
        <v>57.408000000000008</v>
      </c>
      <c r="P18" s="14">
        <f t="shared" si="33"/>
        <v>16.511255298579947</v>
      </c>
      <c r="Q18" s="22">
        <f t="shared" si="2"/>
        <v>128.74270297836009</v>
      </c>
      <c r="R18" s="60">
        <f t="shared" si="0"/>
        <v>422.07603631169343</v>
      </c>
      <c r="S18" s="60">
        <f ca="1">AVERAGE(OFFSET($R$3,0,0,'Données projet'!$E$9+1,1))-AVERAGE(OFFSET($H$3,0,0,'Données projet'!$E$9+1,1))</f>
        <v>181.84907943028196</v>
      </c>
      <c r="T18" s="60">
        <f t="shared" si="34"/>
        <v>199.66849909069458</v>
      </c>
      <c r="U18" s="16">
        <f>IF(ISNA(VLOOKUP(A18,'Données projet'!$A$35:$I$55,3,0)),0,VLOOKUP(A18,'Données projet'!$A$35:$I$55,3,0))</f>
        <v>1</v>
      </c>
      <c r="V18" s="16">
        <f>IF(ISNA(VLOOKUP(A18,'Données projet'!$A$35:$I$55,4,0)),0,VLOOKUP(A18,'Données projet'!$A$35:$I$55,4,0))</f>
        <v>29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0.25200000000000006</v>
      </c>
      <c r="Y18" s="17">
        <f>IF(ISNA(VLOOKUP(A18,'Données projet'!$A$35:$I$55,7,0)),0%,VLOOKUP(A18,'Données projet'!$A$35:$I$55,7,0))</f>
        <v>0.44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5.7745044579796359</v>
      </c>
      <c r="AB18" s="23">
        <f>EXP(-LN(2)/2)*AB17+(1-EXP(-LN(2)/2))/(LN(2)/2)*V18*Y18*VLOOKUP('Données projet'!$B$9,Paramètres!$A$1:$I$88,3,0)*0.475*44/12</f>
        <v>8.6394759016297495</v>
      </c>
      <c r="AC18" s="24">
        <f t="shared" si="3"/>
        <v>14.413980359609386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32</v>
      </c>
      <c r="AG18" s="13">
        <f>VLOOKUP(A18,'Données projet'!$A$61:$I$81,9,0)</f>
        <v>2.1333333333333333</v>
      </c>
      <c r="AH18" s="13">
        <f t="array" ref="AH18">INDEX(AG:AG,MIN(IF(ISNUMBER(AG18:AG214),ROW(AG18:AG214),"")))</f>
        <v>2.1333333333333333</v>
      </c>
      <c r="AI18" s="14">
        <f>IF('Données projet'!$A$62&gt;35,AI17+AH18-AQ17,IF(A18&lt;'Données projet'!$A$62,$AF$205^A18,IF(A18='Données projet'!$A$62,'Données projet'!$B$62,AI17+AH18-AQ17)))</f>
        <v>32</v>
      </c>
      <c r="AJ18" s="14">
        <f>AI18*VLOOKUP('Données projet'!$B$10,Paramètres!$A$1:$I$88,3,0)*VLOOKUP('Données projet'!$B$10,Paramètres!$A$1:$I$88,5,0)</f>
        <v>25.958400000000001</v>
      </c>
      <c r="AK18" s="14">
        <f t="shared" si="35"/>
        <v>8.1885694213502802</v>
      </c>
      <c r="AL18" s="22">
        <f t="shared" si="4"/>
        <v>59.472638408851729</v>
      </c>
      <c r="AM18" s="60">
        <f t="shared" si="5"/>
        <v>352.80597174218502</v>
      </c>
      <c r="AN18" s="60">
        <f ca="1">AVERAGE(OFFSET($AM$3,0,0,'Données projet'!$E$10+1,1))-AVERAGE(OFFSET($H$3,0,0,'Données projet'!$E$10+1,1))</f>
        <v>55.581964048431473</v>
      </c>
      <c r="AO18" s="60">
        <f t="shared" si="36"/>
        <v>91.067506141193803</v>
      </c>
      <c r="AP18" s="16">
        <f>IF(ISNA(VLOOKUP(A18,'Données projet'!$A$61:$I$81,3,0)),0,VLOOKUP(A18,'Données projet'!$A$61:$I$81,3,0))</f>
        <v>1</v>
      </c>
      <c r="AQ18" s="16">
        <f>IF(ISNA(VLOOKUP(A18,'Données projet'!$A$61:$I$81,4,0)),0,VLOOKUP(A18,'Données projet'!$A$61:$I$81,4,0))</f>
        <v>9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2.1607142857142856</v>
      </c>
      <c r="BD18" s="13">
        <f>IF('Données projet'!$A$88&gt;35,BD17+BC18-BL17,IF(A18&lt;'Données projet'!$A$88,$BA$205^A18,IF(A18='Données projet'!$A$88,'Données projet'!$B$88,BD17+BC18-BL17)))</f>
        <v>32.410714285714278</v>
      </c>
      <c r="BE18" s="14">
        <f>BD18*VLOOKUP('Données projet'!$B$11,Paramètres!$A$1:$I$88,3,0)*VLOOKUP('Données projet'!$B$11,Paramètres!$A$1:$I$88,5,0)</f>
        <v>32.864464285714277</v>
      </c>
      <c r="BF18" s="14">
        <f t="shared" si="37"/>
        <v>10.086294648663227</v>
      </c>
      <c r="BG18" s="22">
        <f t="shared" si="7"/>
        <v>74.805905144040807</v>
      </c>
      <c r="BH18" s="60">
        <f t="shared" si="8"/>
        <v>368.13923847737414</v>
      </c>
      <c r="BI18" s="60">
        <f ca="1">AVERAGE(OFFSET($BH$3,0,0,'Données projet'!$E$11+1,1))-AVERAGE(OFFSET($H$3,0,0,'Données projet'!$E$11+1,1))</f>
        <v>178.29366134936788</v>
      </c>
      <c r="BJ18" s="60">
        <f t="shared" si="38"/>
        <v>85.818195717787148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5.666666666666667</v>
      </c>
      <c r="BY18" s="13">
        <f>IF('Données projet'!$A$114&gt;35,BY17+BX18-CG17,IF(A18&lt;'Données projet'!$A$114,$BV$205^A18,IF(A18='Données projet'!$A$114,'Données projet'!$B$114,BY17+BX18-CG17)))</f>
        <v>13.038404810405304</v>
      </c>
      <c r="BZ18" s="14">
        <f>BY18*VLOOKUP('Données projet'!$B$12,Paramètres!$A$1:$I$88,3,0)*VLOOKUP('Données projet'!$B$12,Paramètres!$A$1:$I$88,5,0)</f>
        <v>6.101973451269683</v>
      </c>
      <c r="CA18" s="14">
        <f t="shared" si="39"/>
        <v>2.2782093720086061</v>
      </c>
      <c r="CB18" s="22">
        <f t="shared" si="10"/>
        <v>14.595485083876353</v>
      </c>
      <c r="CC18" s="60">
        <f t="shared" si="11"/>
        <v>307.92881841720964</v>
      </c>
      <c r="CD18" s="60">
        <f ca="1">AVERAGE(OFFSET($CC$3,0,0,'Données projet'!$E$12+1,1))-AVERAGE(OFFSET($H$3,0,0,'Données projet'!$E$12+1,1))</f>
        <v>104.00159056395933</v>
      </c>
      <c r="CE18" s="60">
        <f t="shared" si="40"/>
        <v>115.86489547584461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projet'!$B$13,Paramètres!$A$1:$I$88,3,0)*VLOOKUP('Données projet'!$B$13,Paramètres!$A$1:$I$88,5,0)</f>
        <v>#N/A</v>
      </c>
      <c r="CV18" s="14" t="e">
        <f t="shared" si="41"/>
        <v>#N/A</v>
      </c>
      <c r="CW18" s="22" t="e">
        <f t="shared" si="13"/>
        <v>#N/A</v>
      </c>
      <c r="CX18" s="60" t="e">
        <f t="shared" si="14"/>
        <v>#N/A</v>
      </c>
      <c r="CY18" s="60" t="e">
        <f ca="1">AVERAGE(OFFSET($CX$3,0,0,'Données projet'!$E$13+1,1))-AVERAGE(OFFSET($H$3,0,0,'Données projet'!$E$13+1,1))</f>
        <v>#N/A</v>
      </c>
      <c r="CZ18" s="60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projet'!$B$13,Paramètres!$A$1:$I$88,3,0)*0.475*44/12</f>
        <v>#N/A</v>
      </c>
      <c r="DG18" s="23" t="e">
        <f>EXP(-LN(2)/25)*DG17+(1-EXP(-LN(2)/25))/(LN(2)/25)*Calculateur!DB18*Calculateur!DD18*VLOOKUP('Données projet'!$B$13,Paramètres!$A$1:$I$88,3,0)*0.475*44/12</f>
        <v>#N/A</v>
      </c>
      <c r="DH18" s="23" t="e">
        <f>EXP(-LN(2)/2)*DH17+(1-EXP(-LN(2)/2))/(LN(2)/2)*DB18*DE18*VLOOKUP('Données projet'!$B$13,Paramètres!$A$1:$I$88,3,0)*0.475*44/12</f>
        <v>#N/A</v>
      </c>
      <c r="DI18" s="24" t="e">
        <f t="shared" si="15"/>
        <v>#N/A</v>
      </c>
      <c r="DJ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0" t="e">
        <f t="shared" si="17"/>
        <v>#N/A</v>
      </c>
      <c r="DT18" s="60" t="e">
        <f ca="1">AVERAGE(OFFSET($DS$3,0,0,'Données projet'!$E$14+1,1))-AVERAGE(OFFSET($H$3,0,0,'Données projet'!$E$14+1,1))</f>
        <v>#N/A</v>
      </c>
      <c r="DU18" s="60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4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14.227200000000003</v>
      </c>
      <c r="D19" s="12">
        <f t="shared" si="32"/>
        <v>4.81336060460516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15.8</v>
      </c>
      <c r="N19" s="14">
        <f>IF('Données projet'!$A$36&gt;35,N18+M19-V18,IF(A19&lt;'Données projet'!$A$36,$K$205^A19,IF(A19='Données projet'!$A$36,'Données projet'!$B$36,N18+M19-V18)))</f>
        <v>82.8</v>
      </c>
      <c r="O19" s="14">
        <f>N19*VLOOKUP('Données projet'!$B$9,Paramètres!$A$1:$I$88,3,0)*VLOOKUP('Données projet'!$B$9,Paramètres!$A$1:$I$88,5,0)</f>
        <v>49.514400000000002</v>
      </c>
      <c r="P19" s="14">
        <f t="shared" si="33"/>
        <v>14.48828020274955</v>
      </c>
      <c r="Q19" s="22">
        <f t="shared" si="2"/>
        <v>111.47133468645548</v>
      </c>
      <c r="R19" s="60">
        <f t="shared" si="0"/>
        <v>404.80466801978878</v>
      </c>
      <c r="S19" s="60">
        <f ca="1">AVERAGE(OFFSET($R$3,0,0,'Données projet'!$E$9+1,1))-AVERAGE(OFFSET($H$3,0,0,'Données projet'!$E$9+1,1))</f>
        <v>181.84907943028196</v>
      </c>
      <c r="T19" s="60">
        <f t="shared" si="34"/>
        <v>199.66849909069458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5.6166003299081915</v>
      </c>
      <c r="AB19" s="23">
        <f>EXP(-LN(2)/2)*AB18+(1-EXP(-LN(2)/2))/(LN(2)/2)*V19*Y19*VLOOKUP('Données projet'!$B$9,Paramètres!$A$1:$I$88,3,0)*0.475*44/12</f>
        <v>6.1090319959401578</v>
      </c>
      <c r="AC19" s="24">
        <f t="shared" si="3"/>
        <v>11.725632325848348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6.2</v>
      </c>
      <c r="AI19" s="14">
        <f>IF('Données projet'!$A$62&gt;35,AI18+AH19-AQ18,IF(A19&lt;'Données projet'!$A$62,$AF$205^A19,IF(A19='Données projet'!$A$62,'Données projet'!$B$62,AI18+AH19-AQ18)))</f>
        <v>29.200000000000003</v>
      </c>
      <c r="AJ19" s="14">
        <f>AI19*VLOOKUP('Données projet'!$B$10,Paramètres!$A$1:$I$88,3,0)*VLOOKUP('Données projet'!$B$10,Paramètres!$A$1:$I$88,5,0)</f>
        <v>23.687040000000007</v>
      </c>
      <c r="AK19" s="14">
        <f t="shared" si="35"/>
        <v>7.552135995658845</v>
      </c>
      <c r="AL19" s="22">
        <f t="shared" si="4"/>
        <v>54.4082315257725</v>
      </c>
      <c r="AM19" s="60">
        <f t="shared" si="5"/>
        <v>347.74156485910584</v>
      </c>
      <c r="AN19" s="60">
        <f ca="1">AVERAGE(OFFSET($AM$3,0,0,'Données projet'!$E$10+1,1))-AVERAGE(OFFSET($H$3,0,0,'Données projet'!$E$10+1,1))</f>
        <v>55.581964048431473</v>
      </c>
      <c r="AO19" s="60">
        <f t="shared" si="36"/>
        <v>91.067506141193803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2.1607142857142856</v>
      </c>
      <c r="BD19" s="13">
        <f>IF('Données projet'!$A$88&gt;35,BD18+BC19-BL18,IF(A19&lt;'Données projet'!$A$88,$BA$205^A19,IF(A19='Données projet'!$A$88,'Données projet'!$B$88,BD18+BC19-BL18)))</f>
        <v>34.571428571428562</v>
      </c>
      <c r="BE19" s="14">
        <f>BD19*VLOOKUP('Données projet'!$B$11,Paramètres!$A$1:$I$88,3,0)*VLOOKUP('Données projet'!$B$11,Paramètres!$A$1:$I$88,5,0)</f>
        <v>35.055428571428564</v>
      </c>
      <c r="BF19" s="14">
        <f t="shared" si="37"/>
        <v>10.678194598244209</v>
      </c>
      <c r="BG19" s="22">
        <f t="shared" si="7"/>
        <v>79.65272702051341</v>
      </c>
      <c r="BH19" s="60">
        <f t="shared" si="8"/>
        <v>372.98606035384671</v>
      </c>
      <c r="BI19" s="60">
        <f ca="1">AVERAGE(OFFSET($BH$3,0,0,'Données projet'!$E$11+1,1))-AVERAGE(OFFSET($H$3,0,0,'Données projet'!$E$11+1,1))</f>
        <v>178.29366134936788</v>
      </c>
      <c r="BJ19" s="60">
        <f t="shared" si="38"/>
        <v>85.818195717787148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5.666666666666667</v>
      </c>
      <c r="BY19" s="13">
        <f>IF('Données projet'!$A$114&gt;35,BY18+BX19-CG18,IF(A19&lt;'Données projet'!$A$114,$BV$205^A19,IF(A19='Données projet'!$A$114,'Données projet'!$B$114,BY18+BX19-CG18)))</f>
        <v>15.472937028926689</v>
      </c>
      <c r="BZ19" s="14">
        <f>BY19*VLOOKUP('Données projet'!$B$12,Paramètres!$A$1:$I$88,3,0)*VLOOKUP('Données projet'!$B$12,Paramètres!$A$1:$I$88,5,0)</f>
        <v>7.2413345295376894</v>
      </c>
      <c r="CA19" s="14">
        <f t="shared" si="39"/>
        <v>2.6502557759113361</v>
      </c>
      <c r="CB19" s="22">
        <f t="shared" si="10"/>
        <v>17.227853115323715</v>
      </c>
      <c r="CC19" s="60">
        <f t="shared" si="11"/>
        <v>310.56118644865705</v>
      </c>
      <c r="CD19" s="60">
        <f ca="1">AVERAGE(OFFSET($CC$3,0,0,'Données projet'!$E$12+1,1))-AVERAGE(OFFSET($H$3,0,0,'Données projet'!$E$12+1,1))</f>
        <v>104.00159056395933</v>
      </c>
      <c r="CE19" s="60">
        <f t="shared" si="40"/>
        <v>115.86489547584461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projet'!$B$13,Paramètres!$A$1:$I$88,3,0)*VLOOKUP('Données projet'!$B$13,Paramètres!$A$1:$I$88,5,0)</f>
        <v>#N/A</v>
      </c>
      <c r="CV19" s="14" t="e">
        <f t="shared" si="41"/>
        <v>#N/A</v>
      </c>
      <c r="CW19" s="22" t="e">
        <f t="shared" si="13"/>
        <v>#N/A</v>
      </c>
      <c r="CX19" s="60" t="e">
        <f t="shared" si="14"/>
        <v>#N/A</v>
      </c>
      <c r="CY19" s="60" t="e">
        <f ca="1">AVERAGE(OFFSET($CX$3,0,0,'Données projet'!$E$13+1,1))-AVERAGE(OFFSET($H$3,0,0,'Données projet'!$E$13+1,1))</f>
        <v>#N/A</v>
      </c>
      <c r="CZ19" s="60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projet'!$B$13,Paramètres!$A$1:$I$88,3,0)*0.475*44/12</f>
        <v>#N/A</v>
      </c>
      <c r="DG19" s="23" t="e">
        <f>EXP(-LN(2)/25)*DG18+(1-EXP(-LN(2)/25))/(LN(2)/25)*Calculateur!DB19*Calculateur!DD19*VLOOKUP('Données projet'!$B$13,Paramètres!$A$1:$I$88,3,0)*0.475*44/12</f>
        <v>#N/A</v>
      </c>
      <c r="DH19" s="23" t="e">
        <f>EXP(-LN(2)/2)*DH18+(1-EXP(-LN(2)/2))/(LN(2)/2)*DB19*DE19*VLOOKUP('Données projet'!$B$13,Paramètres!$A$1:$I$88,3,0)*0.475*44/12</f>
        <v>#N/A</v>
      </c>
      <c r="DI19" s="24" t="e">
        <f t="shared" si="15"/>
        <v>#N/A</v>
      </c>
      <c r="DJ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0" t="e">
        <f t="shared" si="17"/>
        <v>#N/A</v>
      </c>
      <c r="DT19" s="60" t="e">
        <f ca="1">AVERAGE(OFFSET($DS$3,0,0,'Données projet'!$E$14+1,1))-AVERAGE(OFFSET($H$3,0,0,'Données projet'!$E$14+1,1))</f>
        <v>#N/A</v>
      </c>
      <c r="DU19" s="60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4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15.116400000000004</v>
      </c>
      <c r="D20" s="12">
        <f t="shared" si="32"/>
        <v>5.0782333044806931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15.8</v>
      </c>
      <c r="N20" s="14">
        <f>IF('Données projet'!$A$36&gt;35,N19+M20-V19,IF(A20&lt;'Données projet'!$A$36,$K$205^A20,IF(A20='Données projet'!$A$36,'Données projet'!$B$36,N19+M20-V19)))</f>
        <v>98.6</v>
      </c>
      <c r="O20" s="14">
        <f>N20*VLOOKUP('Données projet'!$B$9,Paramètres!$A$1:$I$88,3,0)*VLOOKUP('Données projet'!$B$9,Paramètres!$A$1:$I$88,5,0)</f>
        <v>58.962800000000001</v>
      </c>
      <c r="P20" s="14">
        <f t="shared" si="33"/>
        <v>16.905766765296377</v>
      </c>
      <c r="Q20" s="22">
        <f t="shared" si="2"/>
        <v>132.1377537828912</v>
      </c>
      <c r="R20" s="60">
        <f t="shared" si="0"/>
        <v>425.47108711622451</v>
      </c>
      <c r="S20" s="60">
        <f ca="1">AVERAGE(OFFSET($R$3,0,0,'Données projet'!$E$9+1,1))-AVERAGE(OFFSET($H$3,0,0,'Données projet'!$E$9+1,1))</f>
        <v>181.84907943028196</v>
      </c>
      <c r="T20" s="60">
        <f t="shared" si="34"/>
        <v>199.66849909069458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5.4630140985226774</v>
      </c>
      <c r="AB20" s="23">
        <f>EXP(-LN(2)/2)*AB19+(1-EXP(-LN(2)/2))/(LN(2)/2)*V20*Y20*VLOOKUP('Données projet'!$B$9,Paramètres!$A$1:$I$88,3,0)*0.475*44/12</f>
        <v>4.3197379508148748</v>
      </c>
      <c r="AC20" s="24">
        <f t="shared" si="3"/>
        <v>9.782752049337553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6.2</v>
      </c>
      <c r="AI20" s="14">
        <f>IF('Données projet'!$A$62&gt;35,AI19+AH20-AQ19,IF(A20&lt;'Données projet'!$A$62,$AF$205^A20,IF(A20='Données projet'!$A$62,'Données projet'!$B$62,AI19+AH20-AQ19)))</f>
        <v>35.400000000000006</v>
      </c>
      <c r="AJ20" s="14">
        <f>AI20*VLOOKUP('Données projet'!$B$10,Paramètres!$A$1:$I$88,3,0)*VLOOKUP('Données projet'!$B$10,Paramètres!$A$1:$I$88,5,0)</f>
        <v>28.716480000000008</v>
      </c>
      <c r="AK20" s="14">
        <f t="shared" si="35"/>
        <v>8.9527569981921999</v>
      </c>
      <c r="AL20" s="22">
        <f t="shared" si="4"/>
        <v>65.607254438518083</v>
      </c>
      <c r="AM20" s="60">
        <f t="shared" si="5"/>
        <v>358.94058777185137</v>
      </c>
      <c r="AN20" s="60">
        <f ca="1">AVERAGE(OFFSET($AM$3,0,0,'Données projet'!$E$10+1,1))-AVERAGE(OFFSET($H$3,0,0,'Données projet'!$E$10+1,1))</f>
        <v>55.581964048431473</v>
      </c>
      <c r="AO20" s="60">
        <f t="shared" si="36"/>
        <v>91.067506141193803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2.1607142857142856</v>
      </c>
      <c r="BD20" s="13">
        <f>IF('Données projet'!$A$88&gt;35,BD19+BC20-BL19,IF(A20&lt;'Données projet'!$A$88,$BA$205^A20,IF(A20='Données projet'!$A$88,'Données projet'!$B$88,BD19+BC20-BL19)))</f>
        <v>36.732142857142847</v>
      </c>
      <c r="BE20" s="14">
        <f>BD20*VLOOKUP('Données projet'!$B$11,Paramètres!$A$1:$I$88,3,0)*VLOOKUP('Données projet'!$B$11,Paramètres!$A$1:$I$88,5,0)</f>
        <v>37.246392857142851</v>
      </c>
      <c r="BF20" s="14">
        <f t="shared" si="37"/>
        <v>11.265801151205823</v>
      </c>
      <c r="BG20" s="22">
        <f t="shared" si="7"/>
        <v>84.492071231207262</v>
      </c>
      <c r="BH20" s="60">
        <f t="shared" si="8"/>
        <v>377.82540456454058</v>
      </c>
      <c r="BI20" s="60">
        <f ca="1">AVERAGE(OFFSET($BH$3,0,0,'Données projet'!$E$11+1,1))-AVERAGE(OFFSET($H$3,0,0,'Données projet'!$E$11+1,1))</f>
        <v>178.29366134936788</v>
      </c>
      <c r="BJ20" s="60">
        <f t="shared" si="38"/>
        <v>85.818195717787148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5.666666666666667</v>
      </c>
      <c r="BY20" s="13">
        <f>IF('Données projet'!$A$114&gt;35,BY19+BX20-CG19,IF(A20&lt;'Données projet'!$A$114,$BV$205^A20,IF(A20='Données projet'!$A$114,'Données projet'!$B$114,BY19+BX20-CG19)))</f>
        <v>18.362045340858568</v>
      </c>
      <c r="BZ20" s="14">
        <f>BY20*VLOOKUP('Données projet'!$B$12,Paramètres!$A$1:$I$88,3,0)*VLOOKUP('Données projet'!$B$12,Paramètres!$A$1:$I$88,5,0)</f>
        <v>8.5934372195218103</v>
      </c>
      <c r="CA20" s="14">
        <f t="shared" si="39"/>
        <v>3.0830597767046952</v>
      </c>
      <c r="CB20" s="22">
        <f t="shared" si="10"/>
        <v>20.336565601761166</v>
      </c>
      <c r="CC20" s="60">
        <f t="shared" si="11"/>
        <v>313.66989893509447</v>
      </c>
      <c r="CD20" s="60">
        <f ca="1">AVERAGE(OFFSET($CC$3,0,0,'Données projet'!$E$12+1,1))-AVERAGE(OFFSET($H$3,0,0,'Données projet'!$E$12+1,1))</f>
        <v>104.00159056395933</v>
      </c>
      <c r="CE20" s="60">
        <f t="shared" si="40"/>
        <v>115.86489547584461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projet'!$B$13,Paramètres!$A$1:$I$88,3,0)*VLOOKUP('Données projet'!$B$13,Paramètres!$A$1:$I$88,5,0)</f>
        <v>#N/A</v>
      </c>
      <c r="CV20" s="14" t="e">
        <f t="shared" si="41"/>
        <v>#N/A</v>
      </c>
      <c r="CW20" s="22" t="e">
        <f t="shared" si="13"/>
        <v>#N/A</v>
      </c>
      <c r="CX20" s="60" t="e">
        <f t="shared" si="14"/>
        <v>#N/A</v>
      </c>
      <c r="CY20" s="60" t="e">
        <f ca="1">AVERAGE(OFFSET($CX$3,0,0,'Données projet'!$E$13+1,1))-AVERAGE(OFFSET($H$3,0,0,'Données projet'!$E$13+1,1))</f>
        <v>#N/A</v>
      </c>
      <c r="CZ20" s="60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projet'!$B$13,Paramètres!$A$1:$I$88,3,0)*0.475*44/12</f>
        <v>#N/A</v>
      </c>
      <c r="DG20" s="23" t="e">
        <f>EXP(-LN(2)/25)*DG19+(1-EXP(-LN(2)/25))/(LN(2)/25)*Calculateur!DB20*Calculateur!DD20*VLOOKUP('Données projet'!$B$13,Paramètres!$A$1:$I$88,3,0)*0.475*44/12</f>
        <v>#N/A</v>
      </c>
      <c r="DH20" s="23" t="e">
        <f>EXP(-LN(2)/2)*DH19+(1-EXP(-LN(2)/2))/(LN(2)/2)*DB20*DE20*VLOOKUP('Données projet'!$B$13,Paramètres!$A$1:$I$88,3,0)*0.475*44/12</f>
        <v>#N/A</v>
      </c>
      <c r="DI20" s="24" t="e">
        <f t="shared" si="15"/>
        <v>#N/A</v>
      </c>
      <c r="DJ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0" t="e">
        <f t="shared" si="17"/>
        <v>#N/A</v>
      </c>
      <c r="DT20" s="60" t="e">
        <f ca="1">AVERAGE(OFFSET($DS$3,0,0,'Données projet'!$E$14+1,1))-AVERAGE(OFFSET($H$3,0,0,'Données projet'!$E$14+1,1))</f>
        <v>#N/A</v>
      </c>
      <c r="DU20" s="60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4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16.005600000000005</v>
      </c>
      <c r="D21" s="12">
        <f t="shared" si="32"/>
        <v>5.3412974993444182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15.8</v>
      </c>
      <c r="N21" s="14">
        <f>IF('Données projet'!$A$36&gt;35,N20+M21-V20,IF(A21&lt;'Données projet'!$A$36,$K$205^A21,IF(A21='Données projet'!$A$36,'Données projet'!$B$36,N20+M21-V20)))</f>
        <v>114.39999999999999</v>
      </c>
      <c r="O21" s="14">
        <f>N21*VLOOKUP('Données projet'!$B$9,Paramètres!$A$1:$I$88,3,0)*VLOOKUP('Données projet'!$B$9,Paramètres!$A$1:$I$88,5,0)</f>
        <v>68.411199999999994</v>
      </c>
      <c r="P21" s="14">
        <f t="shared" si="33"/>
        <v>19.278376882353374</v>
      </c>
      <c r="Q21" s="22">
        <f t="shared" si="2"/>
        <v>152.72601307009879</v>
      </c>
      <c r="R21" s="60">
        <f t="shared" si="0"/>
        <v>446.05934640343207</v>
      </c>
      <c r="S21" s="60">
        <f ca="1">AVERAGE(OFFSET($R$3,0,0,'Données projet'!$E$9+1,1))-AVERAGE(OFFSET($H$3,0,0,'Données projet'!$E$9+1,1))</f>
        <v>181.84907943028196</v>
      </c>
      <c r="T21" s="60">
        <f t="shared" si="34"/>
        <v>199.66849909069458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5.313627690711149</v>
      </c>
      <c r="AB21" s="23">
        <f>EXP(-LN(2)/2)*AB20+(1-EXP(-LN(2)/2))/(LN(2)/2)*V21*Y21*VLOOKUP('Données projet'!$B$9,Paramètres!$A$1:$I$88,3,0)*0.475*44/12</f>
        <v>3.0545159979700789</v>
      </c>
      <c r="AC21" s="24">
        <f t="shared" si="3"/>
        <v>8.3681436886812275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6.2</v>
      </c>
      <c r="AI21" s="14">
        <f>IF('Données projet'!$A$62&gt;35,AI20+AH21-AQ20,IF(A21&lt;'Données projet'!$A$62,$AF$205^A21,IF(A21='Données projet'!$A$62,'Données projet'!$B$62,AI20+AH21-AQ20)))</f>
        <v>41.600000000000009</v>
      </c>
      <c r="AJ21" s="14">
        <f>AI21*VLOOKUP('Données projet'!$B$10,Paramètres!$A$1:$I$88,3,0)*VLOOKUP('Données projet'!$B$10,Paramètres!$A$1:$I$88,5,0)</f>
        <v>33.745920000000012</v>
      </c>
      <c r="AK21" s="14">
        <f t="shared" si="35"/>
        <v>10.32496008379548</v>
      </c>
      <c r="AL21" s="22">
        <f t="shared" si="4"/>
        <v>76.756782812610467</v>
      </c>
      <c r="AM21" s="60">
        <f t="shared" si="5"/>
        <v>370.0901161459438</v>
      </c>
      <c r="AN21" s="60">
        <f ca="1">AVERAGE(OFFSET($AM$3,0,0,'Données projet'!$E$10+1,1))-AVERAGE(OFFSET($H$3,0,0,'Données projet'!$E$10+1,1))</f>
        <v>55.581964048431473</v>
      </c>
      <c r="AO21" s="60">
        <f t="shared" si="36"/>
        <v>91.067506141193803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2.1607142857142856</v>
      </c>
      <c r="BD21" s="13">
        <f>IF('Données projet'!$A$88&gt;35,BD20+BC21-BL20,IF(A21&lt;'Données projet'!$A$88,$BA$205^A21,IF(A21='Données projet'!$A$88,'Données projet'!$B$88,BD20+BC21-BL20)))</f>
        <v>38.892857142857132</v>
      </c>
      <c r="BE21" s="14">
        <f>BD21*VLOOKUP('Données projet'!$B$11,Paramètres!$A$1:$I$88,3,0)*VLOOKUP('Données projet'!$B$11,Paramètres!$A$1:$I$88,5,0)</f>
        <v>39.437357142857138</v>
      </c>
      <c r="BF21" s="14">
        <f t="shared" si="37"/>
        <v>11.849395628190933</v>
      </c>
      <c r="BG21" s="22">
        <f t="shared" si="7"/>
        <v>89.324427742908711</v>
      </c>
      <c r="BH21" s="60">
        <f t="shared" si="8"/>
        <v>382.65776107624202</v>
      </c>
      <c r="BI21" s="60">
        <f ca="1">AVERAGE(OFFSET($BH$3,0,0,'Données projet'!$E$11+1,1))-AVERAGE(OFFSET($H$3,0,0,'Données projet'!$E$11+1,1))</f>
        <v>178.29366134936788</v>
      </c>
      <c r="BJ21" s="60">
        <f t="shared" si="38"/>
        <v>85.818195717787148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5.666666666666667</v>
      </c>
      <c r="BY21" s="13">
        <f>IF('Données projet'!$A$114&gt;35,BY20+BX21-CG20,IF(A21&lt;'Données projet'!$A$114,$BV$205^A21,IF(A21='Données projet'!$A$114,'Données projet'!$B$114,BY20+BX21-CG20)))</f>
        <v>21.790608238721305</v>
      </c>
      <c r="BZ21" s="14">
        <f>BY21*VLOOKUP('Données projet'!$B$12,Paramètres!$A$1:$I$88,3,0)*VLOOKUP('Données projet'!$B$12,Paramètres!$A$1:$I$88,5,0)</f>
        <v>10.19800465572157</v>
      </c>
      <c r="CA21" s="14">
        <f t="shared" si="39"/>
        <v>3.5865434850211249</v>
      </c>
      <c r="CB21" s="22">
        <f t="shared" si="10"/>
        <v>24.008088011793529</v>
      </c>
      <c r="CC21" s="60">
        <f t="shared" si="11"/>
        <v>317.34142134512683</v>
      </c>
      <c r="CD21" s="60">
        <f ca="1">AVERAGE(OFFSET($CC$3,0,0,'Données projet'!$E$12+1,1))-AVERAGE(OFFSET($H$3,0,0,'Données projet'!$E$12+1,1))</f>
        <v>104.00159056395933</v>
      </c>
      <c r="CE21" s="60">
        <f t="shared" si="40"/>
        <v>115.86489547584461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projet'!$B$13,Paramètres!$A$1:$I$88,3,0)*VLOOKUP('Données projet'!$B$13,Paramètres!$A$1:$I$88,5,0)</f>
        <v>#N/A</v>
      </c>
      <c r="CV21" s="14" t="e">
        <f t="shared" si="41"/>
        <v>#N/A</v>
      </c>
      <c r="CW21" s="22" t="e">
        <f t="shared" si="13"/>
        <v>#N/A</v>
      </c>
      <c r="CX21" s="60" t="e">
        <f t="shared" si="14"/>
        <v>#N/A</v>
      </c>
      <c r="CY21" s="60" t="e">
        <f ca="1">AVERAGE(OFFSET($CX$3,0,0,'Données projet'!$E$13+1,1))-AVERAGE(OFFSET($H$3,0,0,'Données projet'!$E$13+1,1))</f>
        <v>#N/A</v>
      </c>
      <c r="CZ21" s="60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projet'!$B$13,Paramètres!$A$1:$I$88,3,0)*0.475*44/12</f>
        <v>#N/A</v>
      </c>
      <c r="DG21" s="23" t="e">
        <f>EXP(-LN(2)/25)*DG20+(1-EXP(-LN(2)/25))/(LN(2)/25)*Calculateur!DB21*Calculateur!DD21*VLOOKUP('Données projet'!$B$13,Paramètres!$A$1:$I$88,3,0)*0.475*44/12</f>
        <v>#N/A</v>
      </c>
      <c r="DH21" s="23" t="e">
        <f>EXP(-LN(2)/2)*DH20+(1-EXP(-LN(2)/2))/(LN(2)/2)*DB21*DE21*VLOOKUP('Données projet'!$B$13,Paramètres!$A$1:$I$88,3,0)*0.475*44/12</f>
        <v>#N/A</v>
      </c>
      <c r="DI21" s="24" t="e">
        <f t="shared" si="15"/>
        <v>#N/A</v>
      </c>
      <c r="DJ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0" t="e">
        <f t="shared" si="17"/>
        <v>#N/A</v>
      </c>
      <c r="DT21" s="60" t="e">
        <f ca="1">AVERAGE(OFFSET($DS$3,0,0,'Données projet'!$E$14+1,1))-AVERAGE(OFFSET($H$3,0,0,'Données projet'!$E$14+1,1))</f>
        <v>#N/A</v>
      </c>
      <c r="DU21" s="60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4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16.894800000000004</v>
      </c>
      <c r="D22" s="12">
        <f t="shared" si="32"/>
        <v>5.6026651130643481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15.8</v>
      </c>
      <c r="N22" s="14">
        <f>IF('Données projet'!$A$36&gt;35,N21+M22-V21,IF(A22&lt;'Données projet'!$A$36,$K$205^A22,IF(A22='Données projet'!$A$36,'Données projet'!$B$36,N21+M22-V21)))</f>
        <v>130.19999999999999</v>
      </c>
      <c r="O22" s="14">
        <f>N22*VLOOKUP('Données projet'!$B$9,Paramètres!$A$1:$I$88,3,0)*VLOOKUP('Données projet'!$B$9,Paramètres!$A$1:$I$88,5,0)</f>
        <v>77.8596</v>
      </c>
      <c r="P22" s="14">
        <f t="shared" si="33"/>
        <v>21.613022058435771</v>
      </c>
      <c r="Q22" s="22">
        <f t="shared" si="2"/>
        <v>173.24815008510896</v>
      </c>
      <c r="R22" s="60">
        <f t="shared" si="0"/>
        <v>466.5814834184423</v>
      </c>
      <c r="S22" s="60">
        <f ca="1">AVERAGE(OFFSET($R$3,0,0,'Données projet'!$E$9+1,1))-AVERAGE(OFFSET($H$3,0,0,'Données projet'!$E$9+1,1))</f>
        <v>181.84907943028196</v>
      </c>
      <c r="T22" s="60">
        <f t="shared" si="34"/>
        <v>199.66849909069458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5.1683262620771169</v>
      </c>
      <c r="AB22" s="23">
        <f>EXP(-LN(2)/2)*AB21+(1-EXP(-LN(2)/2))/(LN(2)/2)*V22*Y22*VLOOKUP('Données projet'!$B$9,Paramètres!$A$1:$I$88,3,0)*0.475*44/12</f>
        <v>2.1598689754074374</v>
      </c>
      <c r="AC22" s="24">
        <f t="shared" si="3"/>
        <v>7.3281952374845538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6.2</v>
      </c>
      <c r="AI22" s="14">
        <f>IF('Données projet'!$A$62&gt;35,AI21+AH22-AQ21,IF(A22&lt;'Données projet'!$A$62,$AF$205^A22,IF(A22='Données projet'!$A$62,'Données projet'!$B$62,AI21+AH22-AQ21)))</f>
        <v>47.800000000000011</v>
      </c>
      <c r="AJ22" s="14">
        <f>AI22*VLOOKUP('Données projet'!$B$10,Paramètres!$A$1:$I$88,3,0)*VLOOKUP('Données projet'!$B$10,Paramètres!$A$1:$I$88,5,0)</f>
        <v>38.775360000000006</v>
      </c>
      <c r="AK22" s="14">
        <f t="shared" si="35"/>
        <v>11.673470868614466</v>
      </c>
      <c r="AL22" s="22">
        <f t="shared" si="4"/>
        <v>87.865047096170201</v>
      </c>
      <c r="AM22" s="60">
        <f t="shared" si="5"/>
        <v>381.19838042950352</v>
      </c>
      <c r="AN22" s="60">
        <f ca="1">AVERAGE(OFFSET($AM$3,0,0,'Données projet'!$E$10+1,1))-AVERAGE(OFFSET($H$3,0,0,'Données projet'!$E$10+1,1))</f>
        <v>55.581964048431473</v>
      </c>
      <c r="AO22" s="60">
        <f t="shared" si="36"/>
        <v>91.067506141193803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2.1607142857142856</v>
      </c>
      <c r="BD22" s="13">
        <f>IF('Données projet'!$A$88&gt;35,BD21+BC22-BL21,IF(A22&lt;'Données projet'!$A$88,$BA$205^A22,IF(A22='Données projet'!$A$88,'Données projet'!$B$88,BD21+BC22-BL21)))</f>
        <v>41.053571428571416</v>
      </c>
      <c r="BE22" s="14">
        <f>BD22*VLOOKUP('Données projet'!$B$11,Paramètres!$A$1:$I$88,3,0)*VLOOKUP('Données projet'!$B$11,Paramètres!$A$1:$I$88,5,0)</f>
        <v>41.628321428571418</v>
      </c>
      <c r="BF22" s="14">
        <f t="shared" si="37"/>
        <v>12.429226326582805</v>
      </c>
      <c r="BG22" s="22">
        <f t="shared" si="7"/>
        <v>94.150229006893596</v>
      </c>
      <c r="BH22" s="60">
        <f t="shared" si="8"/>
        <v>387.48356234022691</v>
      </c>
      <c r="BI22" s="60">
        <f ca="1">AVERAGE(OFFSET($BH$3,0,0,'Données projet'!$E$11+1,1))-AVERAGE(OFFSET($H$3,0,0,'Données projet'!$E$11+1,1))</f>
        <v>178.29366134936788</v>
      </c>
      <c r="BJ22" s="60">
        <f t="shared" si="38"/>
        <v>85.818195717787148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5.666666666666667</v>
      </c>
      <c r="BY22" s="13">
        <f>IF('Données projet'!$A$114&gt;35,BY21+BX22-CG21,IF(A22&lt;'Données projet'!$A$114,$BV$205^A22,IF(A22='Données projet'!$A$114,'Données projet'!$B$114,BY21+BX22-CG21)))</f>
        <v>25.859352735441334</v>
      </c>
      <c r="BZ22" s="14">
        <f>BY22*VLOOKUP('Données projet'!$B$12,Paramètres!$A$1:$I$88,3,0)*VLOOKUP('Données projet'!$B$12,Paramètres!$A$1:$I$88,5,0)</f>
        <v>12.102177080186545</v>
      </c>
      <c r="CA22" s="14">
        <f t="shared" si="39"/>
        <v>4.1722493566752403</v>
      </c>
      <c r="CB22" s="22">
        <f t="shared" si="10"/>
        <v>28.34462604420094</v>
      </c>
      <c r="CC22" s="60">
        <f t="shared" si="11"/>
        <v>321.67795937753425</v>
      </c>
      <c r="CD22" s="60">
        <f ca="1">AVERAGE(OFFSET($CC$3,0,0,'Données projet'!$E$12+1,1))-AVERAGE(OFFSET($H$3,0,0,'Données projet'!$E$12+1,1))</f>
        <v>104.00159056395933</v>
      </c>
      <c r="CE22" s="60">
        <f t="shared" si="40"/>
        <v>115.86489547584461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projet'!$B$13,Paramètres!$A$1:$I$88,3,0)*VLOOKUP('Données projet'!$B$13,Paramètres!$A$1:$I$88,5,0)</f>
        <v>#N/A</v>
      </c>
      <c r="CV22" s="14" t="e">
        <f t="shared" si="41"/>
        <v>#N/A</v>
      </c>
      <c r="CW22" s="22" t="e">
        <f t="shared" si="13"/>
        <v>#N/A</v>
      </c>
      <c r="CX22" s="60" t="e">
        <f t="shared" si="14"/>
        <v>#N/A</v>
      </c>
      <c r="CY22" s="60" t="e">
        <f ca="1">AVERAGE(OFFSET($CX$3,0,0,'Données projet'!$E$13+1,1))-AVERAGE(OFFSET($H$3,0,0,'Données projet'!$E$13+1,1))</f>
        <v>#N/A</v>
      </c>
      <c r="CZ22" s="60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projet'!$B$13,Paramètres!$A$1:$I$88,3,0)*0.475*44/12</f>
        <v>#N/A</v>
      </c>
      <c r="DG22" s="23" t="e">
        <f>EXP(-LN(2)/25)*DG21+(1-EXP(-LN(2)/25))/(LN(2)/25)*Calculateur!DB22*Calculateur!DD22*VLOOKUP('Données projet'!$B$13,Paramètres!$A$1:$I$88,3,0)*0.475*44/12</f>
        <v>#N/A</v>
      </c>
      <c r="DH22" s="23" t="e">
        <f>EXP(-LN(2)/2)*DH21+(1-EXP(-LN(2)/2))/(LN(2)/2)*DB22*DE22*VLOOKUP('Données projet'!$B$13,Paramètres!$A$1:$I$88,3,0)*0.475*44/12</f>
        <v>#N/A</v>
      </c>
      <c r="DI22" s="24" t="e">
        <f t="shared" si="15"/>
        <v>#N/A</v>
      </c>
      <c r="DJ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0" t="e">
        <f t="shared" si="17"/>
        <v>#N/A</v>
      </c>
      <c r="DT22" s="60" t="e">
        <f ca="1">AVERAGE(OFFSET($DS$3,0,0,'Données projet'!$E$14+1,1))-AVERAGE(OFFSET($H$3,0,0,'Données projet'!$E$14+1,1))</f>
        <v>#N/A</v>
      </c>
      <c r="DU22" s="60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4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17.784000000000002</v>
      </c>
      <c r="D23" s="12">
        <f t="shared" si="32"/>
        <v>5.862435622634961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146</v>
      </c>
      <c r="L23" s="13">
        <f>VLOOKUP(A23,'Données projet'!$A$35:$I$55,9,0)</f>
        <v>15.8</v>
      </c>
      <c r="M23" s="13">
        <f t="array" ref="M23">INDEX(L:L,MIN(IF(ISNUMBER(L23:L219),ROW(L23:L219),"")))</f>
        <v>15.8</v>
      </c>
      <c r="N23" s="14">
        <f>IF('Données projet'!$A$36&gt;35,N22+M23-V22,IF(A23&lt;'Données projet'!$A$36,$K$205^A23,IF(A23='Données projet'!$A$36,'Données projet'!$B$36,N22+M23-V22)))</f>
        <v>146</v>
      </c>
      <c r="O23" s="14">
        <f>N23*VLOOKUP('Données projet'!$B$9,Paramètres!$A$1:$I$88,3,0)*VLOOKUP('Données projet'!$B$9,Paramètres!$A$1:$I$88,5,0)</f>
        <v>87.307999999999993</v>
      </c>
      <c r="P23" s="14">
        <f t="shared" si="33"/>
        <v>23.914836409796052</v>
      </c>
      <c r="Q23" s="22">
        <f t="shared" si="2"/>
        <v>193.71310674706146</v>
      </c>
      <c r="R23" s="60">
        <f t="shared" si="0"/>
        <v>487.04644008039475</v>
      </c>
      <c r="S23" s="60">
        <f ca="1">AVERAGE(OFFSET($R$3,0,0,'Données projet'!$E$9+1,1))-AVERAGE(OFFSET($H$3,0,0,'Données projet'!$E$9+1,1))</f>
        <v>181.84907943028196</v>
      </c>
      <c r="T23" s="60">
        <f t="shared" si="34"/>
        <v>199.66849909069458</v>
      </c>
      <c r="U23" s="16">
        <f>IF(ISNA(VLOOKUP(A23,'Données projet'!$A$35:$I$55,3,0)),0,VLOOKUP(A23,'Données projet'!$A$35:$I$55,3,0))</f>
        <v>2</v>
      </c>
      <c r="V23" s="16">
        <f>IF(ISNA(VLOOKUP(A23,'Données projet'!$A$35:$I$55,4,0)),0,VLOOKUP(A23,'Données projet'!$A$35:$I$55,4,0))</f>
        <v>39</v>
      </c>
      <c r="W23" s="17">
        <f>IF(ISNA(VLOOKUP(A23,'Données projet'!$A$35:$I$55,5,0)),0%,VLOOKUP(A23,'Données projet'!$A$35:$I$55,5,0)*VLOOKUP('Données projet'!$B$9,Paramètres!$A$1:$I$88,7,0))</f>
        <v>0</v>
      </c>
      <c r="X23" s="75">
        <f>IF(ISNA(VLOOKUP(A23,'Données projet'!$A$35:$I$55,6,0)),0%,VLOOKUP(A23,'Données projet'!$A$35:$I$55,6,0)*VLOOKUP('Données projet'!$B$9,Paramètres!$A$1:$I$88,7,0))</f>
        <v>0.25200000000000006</v>
      </c>
      <c r="Y23" s="17">
        <f>IF(ISNA(VLOOKUP(A23,'Données projet'!$A$35:$I$55,7,0)),0%,VLOOKUP(A23,'Données projet'!$A$35:$I$55,7,0))</f>
        <v>0.44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12.792711000415869</v>
      </c>
      <c r="AB23" s="23">
        <f>EXP(-LN(2)/2)*AB22+(1-EXP(-LN(2)/2))/(LN(2)/2)*V23*Y23*VLOOKUP('Données projet'!$B$9,Paramètres!$A$1:$I$88,3,0)*0.475*44/12</f>
        <v>13.145863521866426</v>
      </c>
      <c r="AC23" s="24">
        <f t="shared" si="3"/>
        <v>25.938574522282295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54</v>
      </c>
      <c r="AG23" s="13">
        <f>VLOOKUP(A23,'Données projet'!$A$61:$I$81,9,0)</f>
        <v>6.2</v>
      </c>
      <c r="AH23" s="13">
        <f t="array" ref="AH23">INDEX(AG:AG,MIN(IF(ISNUMBER(AG23:AG219),ROW(AG23:AG219),"")))</f>
        <v>6.2</v>
      </c>
      <c r="AI23" s="14">
        <f>IF('Données projet'!$A$62&gt;35,AI22+AH23-AQ22,IF(A23&lt;'Données projet'!$A$62,$AF$205^A23,IF(A23='Données projet'!$A$62,'Données projet'!$B$62,AI22+AH23-AQ22)))</f>
        <v>54.000000000000014</v>
      </c>
      <c r="AJ23" s="14">
        <f>AI23*VLOOKUP('Données projet'!$B$10,Paramètres!$A$1:$I$88,3,0)*VLOOKUP('Données projet'!$B$10,Paramètres!$A$1:$I$88,5,0)</f>
        <v>43.804800000000014</v>
      </c>
      <c r="AK23" s="14">
        <f t="shared" si="35"/>
        <v>13.001714958042195</v>
      </c>
      <c r="AL23" s="22">
        <f t="shared" si="4"/>
        <v>98.938013551923504</v>
      </c>
      <c r="AM23" s="60">
        <f t="shared" si="5"/>
        <v>392.27134688525683</v>
      </c>
      <c r="AN23" s="60">
        <f ca="1">AVERAGE(OFFSET($AM$3,0,0,'Données projet'!$E$10+1,1))-AVERAGE(OFFSET($H$3,0,0,'Données projet'!$E$10+1,1))</f>
        <v>55.581964048431473</v>
      </c>
      <c r="AO23" s="60">
        <f t="shared" si="36"/>
        <v>91.067506141193803</v>
      </c>
      <c r="AP23" s="16">
        <f>IF(ISNA(VLOOKUP(A23,'Données projet'!$A$61:$I$81,3,0)),0,VLOOKUP(A23,'Données projet'!$A$61:$I$81,3,0))</f>
        <v>2</v>
      </c>
      <c r="AQ23" s="16">
        <f>IF(ISNA(VLOOKUP(A23,'Données projet'!$A$61:$I$81,4,0)),0,VLOOKUP(A23,'Données projet'!$A$61:$I$81,4,0))</f>
        <v>8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2.1607142857142856</v>
      </c>
      <c r="BD23" s="13">
        <f>IF('Données projet'!$A$88&gt;35,BD22+BC23-BL22,IF(A23&lt;'Données projet'!$A$88,$BA$205^A23,IF(A23='Données projet'!$A$88,'Données projet'!$B$88,BD22+BC23-BL22)))</f>
        <v>43.214285714285701</v>
      </c>
      <c r="BE23" s="14">
        <f>BD23*VLOOKUP('Données projet'!$B$11,Paramètres!$A$1:$I$88,3,0)*VLOOKUP('Données projet'!$B$11,Paramètres!$A$1:$I$88,5,0)</f>
        <v>43.819285714285705</v>
      </c>
      <c r="BF23" s="14">
        <f t="shared" si="37"/>
        <v>13.005513931011652</v>
      </c>
      <c r="BG23" s="22">
        <f t="shared" si="7"/>
        <v>98.969859382226218</v>
      </c>
      <c r="BH23" s="60">
        <f t="shared" si="8"/>
        <v>392.30319271555953</v>
      </c>
      <c r="BI23" s="60">
        <f ca="1">AVERAGE(OFFSET($BH$3,0,0,'Données projet'!$E$11+1,1))-AVERAGE(OFFSET($H$3,0,0,'Données projet'!$E$11+1,1))</f>
        <v>178.29366134936788</v>
      </c>
      <c r="BJ23" s="60">
        <f t="shared" si="38"/>
        <v>85.818195717787148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5.666666666666667</v>
      </c>
      <c r="BY23" s="13">
        <f>IF('Données projet'!$A$114&gt;35,BY22+BX23-CG22,IF(A23&lt;'Données projet'!$A$114,$BV$205^A23,IF(A23='Données projet'!$A$114,'Données projet'!$B$114,BY22+BX23-CG22)))</f>
        <v>30.68781360162793</v>
      </c>
      <c r="BZ23" s="14">
        <f>BY23*VLOOKUP('Données projet'!$B$12,Paramètres!$A$1:$I$88,3,0)*VLOOKUP('Données projet'!$B$12,Paramètres!$A$1:$I$88,5,0)</f>
        <v>14.361896765561871</v>
      </c>
      <c r="CA23" s="14">
        <f t="shared" si="39"/>
        <v>4.8536048055679508</v>
      </c>
      <c r="CB23" s="22">
        <f t="shared" si="10"/>
        <v>33.466998569717767</v>
      </c>
      <c r="CC23" s="60">
        <f t="shared" si="11"/>
        <v>326.80033190305107</v>
      </c>
      <c r="CD23" s="60">
        <f ca="1">AVERAGE(OFFSET($CC$3,0,0,'Données projet'!$E$12+1,1))-AVERAGE(OFFSET($H$3,0,0,'Données projet'!$E$12+1,1))</f>
        <v>104.00159056395933</v>
      </c>
      <c r="CE23" s="60">
        <f t="shared" si="40"/>
        <v>115.86489547584461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projet'!$B$13,Paramètres!$A$1:$I$88,3,0)*VLOOKUP('Données projet'!$B$13,Paramètres!$A$1:$I$88,5,0)</f>
        <v>#N/A</v>
      </c>
      <c r="CV23" s="14" t="e">
        <f t="shared" si="41"/>
        <v>#N/A</v>
      </c>
      <c r="CW23" s="22" t="e">
        <f t="shared" si="13"/>
        <v>#N/A</v>
      </c>
      <c r="CX23" s="60" t="e">
        <f t="shared" si="14"/>
        <v>#N/A</v>
      </c>
      <c r="CY23" s="60" t="e">
        <f ca="1">AVERAGE(OFFSET($CX$3,0,0,'Données projet'!$E$13+1,1))-AVERAGE(OFFSET($H$3,0,0,'Données projet'!$E$13+1,1))</f>
        <v>#N/A</v>
      </c>
      <c r="CZ23" s="60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projet'!$B$13,Paramètres!$A$1:$I$88,3,0)*0.475*44/12</f>
        <v>#N/A</v>
      </c>
      <c r="DG23" s="23" t="e">
        <f>EXP(-LN(2)/25)*DG22+(1-EXP(-LN(2)/25))/(LN(2)/25)*Calculateur!DB23*Calculateur!DD23*VLOOKUP('Données projet'!$B$13,Paramètres!$A$1:$I$88,3,0)*0.475*44/12</f>
        <v>#N/A</v>
      </c>
      <c r="DH23" s="23" t="e">
        <f>EXP(-LN(2)/2)*DH22+(1-EXP(-LN(2)/2))/(LN(2)/2)*DB23*DE23*VLOOKUP('Données projet'!$B$13,Paramètres!$A$1:$I$88,3,0)*0.475*44/12</f>
        <v>#N/A</v>
      </c>
      <c r="DI23" s="24" t="e">
        <f t="shared" si="15"/>
        <v>#N/A</v>
      </c>
      <c r="DJ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0" t="e">
        <f t="shared" si="17"/>
        <v>#N/A</v>
      </c>
      <c r="DT23" s="60" t="e">
        <f ca="1">AVERAGE(OFFSET($DS$3,0,0,'Données projet'!$E$14+1,1))-AVERAGE(OFFSET($H$3,0,0,'Données projet'!$E$14+1,1))</f>
        <v>#N/A</v>
      </c>
      <c r="DU23" s="60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4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18.673200000000001</v>
      </c>
      <c r="D24" s="12">
        <f t="shared" si="32"/>
        <v>6.1206979954107776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13.4</v>
      </c>
      <c r="N24" s="14">
        <f>IF('Données projet'!$A$36&gt;35,N23+M24-V23,IF(A24&lt;'Données projet'!$A$36,$K$205^A24,IF(A24='Données projet'!$A$36,'Données projet'!$B$36,N23+M24-V23)))</f>
        <v>120.4</v>
      </c>
      <c r="O24" s="14">
        <f>N24*VLOOKUP('Données projet'!$B$9,Paramètres!$A$1:$I$88,3,0)*VLOOKUP('Données projet'!$B$9,Paramètres!$A$1:$I$88,5,0)</f>
        <v>71.999200000000016</v>
      </c>
      <c r="P24" s="14">
        <f t="shared" si="33"/>
        <v>20.169112800999578</v>
      </c>
      <c r="Q24" s="22">
        <f t="shared" si="2"/>
        <v>160.5264781284076</v>
      </c>
      <c r="R24" s="60">
        <f t="shared" si="0"/>
        <v>453.85981146174095</v>
      </c>
      <c r="S24" s="60">
        <f ca="1">AVERAGE(OFFSET($R$3,0,0,'Données projet'!$E$9+1,1))-AVERAGE(OFFSET($H$3,0,0,'Données projet'!$E$9+1,1))</f>
        <v>181.84907943028196</v>
      </c>
      <c r="T24" s="60">
        <f t="shared" si="34"/>
        <v>199.66849909069458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12.442893645370063</v>
      </c>
      <c r="AB24" s="23">
        <f>EXP(-LN(2)/2)*AB23+(1-EXP(-LN(2)/2))/(LN(2)/2)*V24*Y24*VLOOKUP('Données projet'!$B$9,Paramètres!$A$1:$I$88,3,0)*0.475*44/12</f>
        <v>9.2955292408646208</v>
      </c>
      <c r="AC24" s="24">
        <f t="shared" si="3"/>
        <v>21.738422886234684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4.4000000000000004</v>
      </c>
      <c r="AI24" s="14">
        <f>IF('Données projet'!$A$62&gt;35,AI23+AH24-AQ23,IF(A24&lt;'Données projet'!$A$62,$AF$205^A24,IF(A24='Données projet'!$A$62,'Données projet'!$B$62,AI23+AH24-AQ23)))</f>
        <v>50.400000000000013</v>
      </c>
      <c r="AJ24" s="14">
        <f>AI24*VLOOKUP('Données projet'!$B$10,Paramètres!$A$1:$I$88,3,0)*VLOOKUP('Données projet'!$B$10,Paramètres!$A$1:$I$88,5,0)</f>
        <v>40.884480000000018</v>
      </c>
      <c r="AK24" s="14">
        <f t="shared" si="35"/>
        <v>12.232779187775275</v>
      </c>
      <c r="AL24" s="22">
        <f t="shared" si="4"/>
        <v>92.512559752041952</v>
      </c>
      <c r="AM24" s="60">
        <f t="shared" si="5"/>
        <v>385.84589308537528</v>
      </c>
      <c r="AN24" s="60">
        <f ca="1">AVERAGE(OFFSET($AM$3,0,0,'Données projet'!$E$10+1,1))-AVERAGE(OFFSET($H$3,0,0,'Données projet'!$E$10+1,1))</f>
        <v>55.581964048431473</v>
      </c>
      <c r="AO24" s="60">
        <f t="shared" si="36"/>
        <v>91.067506141193803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2.1607142857142856</v>
      </c>
      <c r="BD24" s="13">
        <f>IF('Données projet'!$A$88&gt;35,BD23+BC24-BL23,IF(A24&lt;'Données projet'!$A$88,$BA$205^A24,IF(A24='Données projet'!$A$88,'Données projet'!$B$88,BD23+BC24-BL23)))</f>
        <v>45.374999999999986</v>
      </c>
      <c r="BE24" s="14">
        <f>BD24*VLOOKUP('Données projet'!$B$11,Paramètres!$A$1:$I$88,3,0)*VLOOKUP('Données projet'!$B$11,Paramètres!$A$1:$I$88,5,0)</f>
        <v>46.010249999999985</v>
      </c>
      <c r="BF24" s="14">
        <f t="shared" si="37"/>
        <v>13.578455811008331</v>
      </c>
      <c r="BG24" s="22">
        <f t="shared" si="7"/>
        <v>103.78366262083948</v>
      </c>
      <c r="BH24" s="60">
        <f t="shared" si="8"/>
        <v>397.11699595417281</v>
      </c>
      <c r="BI24" s="60">
        <f ca="1">AVERAGE(OFFSET($BH$3,0,0,'Données projet'!$E$11+1,1))-AVERAGE(OFFSET($H$3,0,0,'Données projet'!$E$11+1,1))</f>
        <v>178.29366134936788</v>
      </c>
      <c r="BJ24" s="60">
        <f t="shared" si="38"/>
        <v>85.818195717787148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5.666666666666667</v>
      </c>
      <c r="BY24" s="13">
        <f>IF('Données projet'!$A$114&gt;35,BY23+BX24-CG23,IF(A24&lt;'Données projet'!$A$114,$BV$205^A24,IF(A24='Données projet'!$A$114,'Données projet'!$B$114,BY23+BX24-CG23)))</f>
        <v>36.417845151923039</v>
      </c>
      <c r="BZ24" s="14">
        <f>BY24*VLOOKUP('Données projet'!$B$12,Paramètres!$A$1:$I$88,3,0)*VLOOKUP('Données projet'!$B$12,Paramètres!$A$1:$I$88,5,0)</f>
        <v>17.043551531099983</v>
      </c>
      <c r="CA24" s="14">
        <f t="shared" si="39"/>
        <v>5.6462300295983905</v>
      </c>
      <c r="CB24" s="22">
        <f t="shared" si="10"/>
        <v>39.518036218216324</v>
      </c>
      <c r="CC24" s="60">
        <f t="shared" si="11"/>
        <v>332.85136955154962</v>
      </c>
      <c r="CD24" s="60">
        <f ca="1">AVERAGE(OFFSET($CC$3,0,0,'Données projet'!$E$12+1,1))-AVERAGE(OFFSET($H$3,0,0,'Données projet'!$E$12+1,1))</f>
        <v>104.00159056395933</v>
      </c>
      <c r="CE24" s="60">
        <f t="shared" si="40"/>
        <v>115.86489547584461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projet'!$B$13,Paramètres!$A$1:$I$88,3,0)*VLOOKUP('Données projet'!$B$13,Paramètres!$A$1:$I$88,5,0)</f>
        <v>#N/A</v>
      </c>
      <c r="CV24" s="14" t="e">
        <f t="shared" si="41"/>
        <v>#N/A</v>
      </c>
      <c r="CW24" s="22" t="e">
        <f t="shared" si="13"/>
        <v>#N/A</v>
      </c>
      <c r="CX24" s="60" t="e">
        <f t="shared" si="14"/>
        <v>#N/A</v>
      </c>
      <c r="CY24" s="60" t="e">
        <f ca="1">AVERAGE(OFFSET($CX$3,0,0,'Données projet'!$E$13+1,1))-AVERAGE(OFFSET($H$3,0,0,'Données projet'!$E$13+1,1))</f>
        <v>#N/A</v>
      </c>
      <c r="CZ24" s="60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projet'!$B$13,Paramètres!$A$1:$I$88,3,0)*0.475*44/12</f>
        <v>#N/A</v>
      </c>
      <c r="DG24" s="23" t="e">
        <f>EXP(-LN(2)/25)*DG23+(1-EXP(-LN(2)/25))/(LN(2)/25)*Calculateur!DB24*Calculateur!DD24*VLOOKUP('Données projet'!$B$13,Paramètres!$A$1:$I$88,3,0)*0.475*44/12</f>
        <v>#N/A</v>
      </c>
      <c r="DH24" s="23" t="e">
        <f>EXP(-LN(2)/2)*DH23+(1-EXP(-LN(2)/2))/(LN(2)/2)*DB24*DE24*VLOOKUP('Données projet'!$B$13,Paramètres!$A$1:$I$88,3,0)*0.475*44/12</f>
        <v>#N/A</v>
      </c>
      <c r="DI24" s="24" t="e">
        <f t="shared" si="15"/>
        <v>#N/A</v>
      </c>
      <c r="DJ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0" t="e">
        <f t="shared" si="17"/>
        <v>#N/A</v>
      </c>
      <c r="DT24" s="60" t="e">
        <f ca="1">AVERAGE(OFFSET($DS$3,0,0,'Données projet'!$E$14+1,1))-AVERAGE(OFFSET($H$3,0,0,'Données projet'!$E$14+1,1))</f>
        <v>#N/A</v>
      </c>
      <c r="DU24" s="60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4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19.5624</v>
      </c>
      <c r="D25" s="12">
        <f t="shared" si="32"/>
        <v>6.3775322468881095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13.4</v>
      </c>
      <c r="N25" s="14">
        <f>IF('Données projet'!$A$36&gt;35,N24+M25-V24,IF(A25&lt;'Données projet'!$A$36,$K$205^A25,IF(A25='Données projet'!$A$36,'Données projet'!$B$36,N24+M25-V24)))</f>
        <v>133.80000000000001</v>
      </c>
      <c r="O25" s="14">
        <f>N25*VLOOKUP('Données projet'!$B$9,Paramètres!$A$1:$I$88,3,0)*VLOOKUP('Données projet'!$B$9,Paramètres!$A$1:$I$88,5,0)</f>
        <v>80.012400000000014</v>
      </c>
      <c r="P25" s="14">
        <f t="shared" si="33"/>
        <v>22.14021596577637</v>
      </c>
      <c r="Q25" s="22">
        <f t="shared" si="2"/>
        <v>177.91580614039387</v>
      </c>
      <c r="R25" s="60">
        <f t="shared" si="0"/>
        <v>471.24913947372715</v>
      </c>
      <c r="S25" s="60">
        <f ca="1">AVERAGE(OFFSET($R$3,0,0,'Données projet'!$E$9+1,1))-AVERAGE(OFFSET($H$3,0,0,'Données projet'!$E$9+1,1))</f>
        <v>181.84907943028196</v>
      </c>
      <c r="T25" s="60">
        <f t="shared" si="34"/>
        <v>199.66849909069458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12.102642064294081</v>
      </c>
      <c r="AB25" s="23">
        <f>EXP(-LN(2)/2)*AB24+(1-EXP(-LN(2)/2))/(LN(2)/2)*V25*Y25*VLOOKUP('Données projet'!$B$9,Paramètres!$A$1:$I$88,3,0)*0.475*44/12</f>
        <v>6.5729317609332139</v>
      </c>
      <c r="AC25" s="24">
        <f t="shared" si="3"/>
        <v>18.675573825227296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4.4000000000000004</v>
      </c>
      <c r="AI25" s="14">
        <f>IF('Données projet'!$A$62&gt;35,AI24+AH25-AQ24,IF(A25&lt;'Données projet'!$A$62,$AF$205^A25,IF(A25='Données projet'!$A$62,'Données projet'!$B$62,AI24+AH25-AQ24)))</f>
        <v>54.800000000000011</v>
      </c>
      <c r="AJ25" s="14">
        <f>AI25*VLOOKUP('Données projet'!$B$10,Paramètres!$A$1:$I$88,3,0)*VLOOKUP('Données projet'!$B$10,Paramètres!$A$1:$I$88,5,0)</f>
        <v>44.45376000000001</v>
      </c>
      <c r="AK25" s="14">
        <f t="shared" si="35"/>
        <v>13.171766277179552</v>
      </c>
      <c r="AL25" s="22">
        <f t="shared" si="4"/>
        <v>100.36445826608774</v>
      </c>
      <c r="AM25" s="60">
        <f t="shared" si="5"/>
        <v>393.69779159942107</v>
      </c>
      <c r="AN25" s="60">
        <f ca="1">AVERAGE(OFFSET($AM$3,0,0,'Données projet'!$E$10+1,1))-AVERAGE(OFFSET($H$3,0,0,'Données projet'!$E$10+1,1))</f>
        <v>55.581964048431473</v>
      </c>
      <c r="AO25" s="60">
        <f t="shared" si="36"/>
        <v>91.067506141193803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2.1607142857142856</v>
      </c>
      <c r="BD25" s="13">
        <f>IF('Données projet'!$A$88&gt;35,BD24+BC25-BL24,IF(A25&lt;'Données projet'!$A$88,$BA$205^A25,IF(A25='Données projet'!$A$88,'Données projet'!$B$88,BD24+BC25-BL24)))</f>
        <v>47.53571428571427</v>
      </c>
      <c r="BE25" s="14">
        <f>BD25*VLOOKUP('Données projet'!$B$11,Paramètres!$A$1:$I$88,3,0)*VLOOKUP('Données projet'!$B$11,Paramètres!$A$1:$I$88,5,0)</f>
        <v>48.201214285714279</v>
      </c>
      <c r="BF25" s="14">
        <f t="shared" si="37"/>
        <v>14.14822947686363</v>
      </c>
      <c r="BG25" s="22">
        <f t="shared" si="7"/>
        <v>108.59194788648983</v>
      </c>
      <c r="BH25" s="60">
        <f t="shared" si="8"/>
        <v>401.92528121982315</v>
      </c>
      <c r="BI25" s="60">
        <f ca="1">AVERAGE(OFFSET($BH$3,0,0,'Données projet'!$E$11+1,1))-AVERAGE(OFFSET($H$3,0,0,'Données projet'!$E$11+1,1))</f>
        <v>178.29366134936788</v>
      </c>
      <c r="BJ25" s="60">
        <f t="shared" si="38"/>
        <v>85.818195717787148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5.666666666666667</v>
      </c>
      <c r="BY25" s="13">
        <f>IF('Données projet'!$A$114&gt;35,BY24+BX25-CG24,IF(A25&lt;'Données projet'!$A$114,$BV$205^A25,IF(A25='Données projet'!$A$114,'Données projet'!$B$114,BY24+BX25-CG24)))</f>
        <v>43.217788752441109</v>
      </c>
      <c r="BZ25" s="14">
        <f>BY25*VLOOKUP('Données projet'!$B$12,Paramètres!$A$1:$I$88,3,0)*VLOOKUP('Données projet'!$B$12,Paramètres!$A$1:$I$88,5,0)</f>
        <v>20.22592513614244</v>
      </c>
      <c r="CA25" s="14">
        <f t="shared" si="39"/>
        <v>6.5682961065488277</v>
      </c>
      <c r="CB25" s="22">
        <f t="shared" si="10"/>
        <v>46.666601997687287</v>
      </c>
      <c r="CC25" s="60">
        <f t="shared" si="11"/>
        <v>339.99993533102059</v>
      </c>
      <c r="CD25" s="60">
        <f ca="1">AVERAGE(OFFSET($CC$3,0,0,'Données projet'!$E$12+1,1))-AVERAGE(OFFSET($H$3,0,0,'Données projet'!$E$12+1,1))</f>
        <v>104.00159056395933</v>
      </c>
      <c r="CE25" s="60">
        <f t="shared" si="40"/>
        <v>115.86489547584461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projet'!$B$13,Paramètres!$A$1:$I$88,3,0)*VLOOKUP('Données projet'!$B$13,Paramètres!$A$1:$I$88,5,0)</f>
        <v>#N/A</v>
      </c>
      <c r="CV25" s="14" t="e">
        <f t="shared" si="41"/>
        <v>#N/A</v>
      </c>
      <c r="CW25" s="22" t="e">
        <f t="shared" si="13"/>
        <v>#N/A</v>
      </c>
      <c r="CX25" s="60" t="e">
        <f t="shared" si="14"/>
        <v>#N/A</v>
      </c>
      <c r="CY25" s="60" t="e">
        <f ca="1">AVERAGE(OFFSET($CX$3,0,0,'Données projet'!$E$13+1,1))-AVERAGE(OFFSET($H$3,0,0,'Données projet'!$E$13+1,1))</f>
        <v>#N/A</v>
      </c>
      <c r="CZ25" s="60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projet'!$B$13,Paramètres!$A$1:$I$88,3,0)*0.475*44/12</f>
        <v>#N/A</v>
      </c>
      <c r="DG25" s="23" t="e">
        <f>EXP(-LN(2)/25)*DG24+(1-EXP(-LN(2)/25))/(LN(2)/25)*Calculateur!DB25*Calculateur!DD25*VLOOKUP('Données projet'!$B$13,Paramètres!$A$1:$I$88,3,0)*0.475*44/12</f>
        <v>#N/A</v>
      </c>
      <c r="DH25" s="23" t="e">
        <f>EXP(-LN(2)/2)*DH24+(1-EXP(-LN(2)/2))/(LN(2)/2)*DB25*DE25*VLOOKUP('Données projet'!$B$13,Paramètres!$A$1:$I$88,3,0)*0.475*44/12</f>
        <v>#N/A</v>
      </c>
      <c r="DI25" s="24" t="e">
        <f t="shared" si="15"/>
        <v>#N/A</v>
      </c>
      <c r="DJ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0" t="e">
        <f t="shared" si="17"/>
        <v>#N/A</v>
      </c>
      <c r="DT25" s="60" t="e">
        <f ca="1">AVERAGE(OFFSET($DS$3,0,0,'Données projet'!$E$14+1,1))-AVERAGE(OFFSET($H$3,0,0,'Données projet'!$E$14+1,1))</f>
        <v>#N/A</v>
      </c>
      <c r="DU25" s="60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4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20.451599999999999</v>
      </c>
      <c r="D26" s="12">
        <f t="shared" si="32"/>
        <v>6.6330107072474558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13.4</v>
      </c>
      <c r="N26" s="14">
        <f>IF('Données projet'!$A$36&gt;35,N25+M26-V25,IF(A26&lt;'Données projet'!$A$36,$K$205^A26,IF(A26='Données projet'!$A$36,'Données projet'!$B$36,N25+M26-V25)))</f>
        <v>147.20000000000002</v>
      </c>
      <c r="O26" s="14">
        <f>N26*VLOOKUP('Données projet'!$B$9,Paramètres!$A$1:$I$88,3,0)*VLOOKUP('Données projet'!$B$9,Paramètres!$A$1:$I$88,5,0)</f>
        <v>88.025600000000026</v>
      </c>
      <c r="P26" s="14">
        <f t="shared" si="33"/>
        <v>24.088434262012122</v>
      </c>
      <c r="Q26" s="22">
        <f t="shared" si="2"/>
        <v>195.26527633967115</v>
      </c>
      <c r="R26" s="60">
        <f t="shared" si="0"/>
        <v>488.59860967300449</v>
      </c>
      <c r="S26" s="60">
        <f ca="1">AVERAGE(OFFSET($R$3,0,0,'Données projet'!$E$9+1,1))-AVERAGE(OFFSET($H$3,0,0,'Données projet'!$E$9+1,1))</f>
        <v>181.84907943028196</v>
      </c>
      <c r="T26" s="60">
        <f t="shared" si="34"/>
        <v>199.66849909069458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11.771694680595674</v>
      </c>
      <c r="AB26" s="23">
        <f>EXP(-LN(2)/2)*AB25+(1-EXP(-LN(2)/2))/(LN(2)/2)*V26*Y26*VLOOKUP('Données projet'!$B$9,Paramètres!$A$1:$I$88,3,0)*0.475*44/12</f>
        <v>4.6477646204323113</v>
      </c>
      <c r="AC26" s="24">
        <f t="shared" si="3"/>
        <v>16.419459301027985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4.4000000000000004</v>
      </c>
      <c r="AI26" s="14">
        <f>IF('Données projet'!$A$62&gt;35,AI25+AH26-AQ25,IF(A26&lt;'Données projet'!$A$62,$AF$205^A26,IF(A26='Données projet'!$A$62,'Données projet'!$B$62,AI25+AH26-AQ25)))</f>
        <v>59.20000000000001</v>
      </c>
      <c r="AJ26" s="14">
        <f>AI26*VLOOKUP('Données projet'!$B$10,Paramètres!$A$1:$I$88,3,0)*VLOOKUP('Données projet'!$B$10,Paramètres!$A$1:$I$88,5,0)</f>
        <v>48.023040000000009</v>
      </c>
      <c r="AK26" s="14">
        <f t="shared" si="35"/>
        <v>14.102008576602165</v>
      </c>
      <c r="AL26" s="22">
        <f t="shared" si="4"/>
        <v>108.20112627091545</v>
      </c>
      <c r="AM26" s="60">
        <f t="shared" si="5"/>
        <v>401.53445960424875</v>
      </c>
      <c r="AN26" s="60">
        <f ca="1">AVERAGE(OFFSET($AM$3,0,0,'Données projet'!$E$10+1,1))-AVERAGE(OFFSET($H$3,0,0,'Données projet'!$E$10+1,1))</f>
        <v>55.581964048431473</v>
      </c>
      <c r="AO26" s="60">
        <f t="shared" si="36"/>
        <v>91.067506141193803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2.1607142857142856</v>
      </c>
      <c r="BD26" s="13">
        <f>IF('Données projet'!$A$88&gt;35,BD25+BC26-BL25,IF(A26&lt;'Données projet'!$A$88,$BA$205^A26,IF(A26='Données projet'!$A$88,'Données projet'!$B$88,BD25+BC26-BL25)))</f>
        <v>49.696428571428555</v>
      </c>
      <c r="BE26" s="14">
        <f>BD26*VLOOKUP('Données projet'!$B$11,Paramètres!$A$1:$I$88,3,0)*VLOOKUP('Données projet'!$B$11,Paramètres!$A$1:$I$88,5,0)</f>
        <v>50.392178571428566</v>
      </c>
      <c r="BF26" s="14">
        <f t="shared" si="37"/>
        <v>14.714995389387798</v>
      </c>
      <c r="BG26" s="22">
        <f t="shared" si="7"/>
        <v>113.39499464842184</v>
      </c>
      <c r="BH26" s="60">
        <f t="shared" si="8"/>
        <v>406.72832798175517</v>
      </c>
      <c r="BI26" s="60">
        <f ca="1">AVERAGE(OFFSET($BH$3,0,0,'Données projet'!$E$11+1,1))-AVERAGE(OFFSET($H$3,0,0,'Données projet'!$E$11+1,1))</f>
        <v>178.29366134936788</v>
      </c>
      <c r="BJ26" s="60">
        <f t="shared" si="38"/>
        <v>85.818195717787148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5.666666666666667</v>
      </c>
      <c r="BY26" s="13">
        <f>IF('Données projet'!$A$114&gt;35,BY25+BX26-CG25,IF(A26&lt;'Données projet'!$A$114,$BV$205^A26,IF(A26='Données projet'!$A$114,'Données projet'!$B$114,BY25+BX26-CG25)))</f>
        <v>51.287418485604626</v>
      </c>
      <c r="BZ26" s="14">
        <f>BY26*VLOOKUP('Données projet'!$B$12,Paramètres!$A$1:$I$88,3,0)*VLOOKUP('Données projet'!$B$12,Paramètres!$A$1:$I$88,5,0)</f>
        <v>24.002511851262966</v>
      </c>
      <c r="CA26" s="14">
        <f t="shared" si="39"/>
        <v>7.6409415693559897</v>
      </c>
      <c r="CB26" s="22">
        <f t="shared" si="10"/>
        <v>55.112348040911343</v>
      </c>
      <c r="CC26" s="60">
        <f t="shared" si="11"/>
        <v>348.44568137424466</v>
      </c>
      <c r="CD26" s="60">
        <f ca="1">AVERAGE(OFFSET($CC$3,0,0,'Données projet'!$E$12+1,1))-AVERAGE(OFFSET($H$3,0,0,'Données projet'!$E$12+1,1))</f>
        <v>104.00159056395933</v>
      </c>
      <c r="CE26" s="60">
        <f t="shared" si="40"/>
        <v>115.86489547584461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projet'!$B$13,Paramètres!$A$1:$I$88,3,0)*VLOOKUP('Données projet'!$B$13,Paramètres!$A$1:$I$88,5,0)</f>
        <v>#N/A</v>
      </c>
      <c r="CV26" s="14" t="e">
        <f t="shared" si="41"/>
        <v>#N/A</v>
      </c>
      <c r="CW26" s="22" t="e">
        <f t="shared" si="13"/>
        <v>#N/A</v>
      </c>
      <c r="CX26" s="60" t="e">
        <f t="shared" si="14"/>
        <v>#N/A</v>
      </c>
      <c r="CY26" s="60" t="e">
        <f ca="1">AVERAGE(OFFSET($CX$3,0,0,'Données projet'!$E$13+1,1))-AVERAGE(OFFSET($H$3,0,0,'Données projet'!$E$13+1,1))</f>
        <v>#N/A</v>
      </c>
      <c r="CZ26" s="60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projet'!$B$13,Paramètres!$A$1:$I$88,3,0)*0.475*44/12</f>
        <v>#N/A</v>
      </c>
      <c r="DG26" s="23" t="e">
        <f>EXP(-LN(2)/25)*DG25+(1-EXP(-LN(2)/25))/(LN(2)/25)*Calculateur!DB26*Calculateur!DD26*VLOOKUP('Données projet'!$B$13,Paramètres!$A$1:$I$88,3,0)*0.475*44/12</f>
        <v>#N/A</v>
      </c>
      <c r="DH26" s="23" t="e">
        <f>EXP(-LN(2)/2)*DH25+(1-EXP(-LN(2)/2))/(LN(2)/2)*DB26*DE26*VLOOKUP('Données projet'!$B$13,Paramètres!$A$1:$I$88,3,0)*0.475*44/12</f>
        <v>#N/A</v>
      </c>
      <c r="DI26" s="24" t="e">
        <f t="shared" si="15"/>
        <v>#N/A</v>
      </c>
      <c r="DJ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0" t="e">
        <f t="shared" si="17"/>
        <v>#N/A</v>
      </c>
      <c r="DT26" s="60" t="e">
        <f ca="1">AVERAGE(OFFSET($DS$3,0,0,'Données projet'!$E$14+1,1))-AVERAGE(OFFSET($H$3,0,0,'Données projet'!$E$14+1,1))</f>
        <v>#N/A</v>
      </c>
      <c r="DU26" s="60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4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21.340799999999998</v>
      </c>
      <c r="D27" s="12">
        <f t="shared" si="32"/>
        <v>6.8871990614123195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13.4</v>
      </c>
      <c r="N27" s="14">
        <f>IF('Données projet'!$A$36&gt;35,N26+M27-V26,IF(A27&lt;'Données projet'!$A$36,$K$205^A27,IF(A27='Données projet'!$A$36,'Données projet'!$B$36,N26+M27-V26)))</f>
        <v>160.60000000000002</v>
      </c>
      <c r="O27" s="14">
        <f>N27*VLOOKUP('Données projet'!$B$9,Paramètres!$A$1:$I$88,3,0)*VLOOKUP('Données projet'!$B$9,Paramètres!$A$1:$I$88,5,0)</f>
        <v>96.038800000000023</v>
      </c>
      <c r="P27" s="14">
        <f t="shared" si="33"/>
        <v>26.016087885665684</v>
      </c>
      <c r="Q27" s="22">
        <f t="shared" si="2"/>
        <v>212.5789297342011</v>
      </c>
      <c r="R27" s="60">
        <f t="shared" si="0"/>
        <v>505.91226306753441</v>
      </c>
      <c r="S27" s="60">
        <f ca="1">AVERAGE(OFFSET($R$3,0,0,'Données projet'!$E$9+1,1))-AVERAGE(OFFSET($H$3,0,0,'Données projet'!$E$9+1,1))</f>
        <v>181.84907943028196</v>
      </c>
      <c r="T27" s="60">
        <f t="shared" si="34"/>
        <v>199.66849909069458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11.449797070508266</v>
      </c>
      <c r="AB27" s="23">
        <f>EXP(-LN(2)/2)*AB26+(1-EXP(-LN(2)/2))/(LN(2)/2)*V27*Y27*VLOOKUP('Données projet'!$B$9,Paramètres!$A$1:$I$88,3,0)*0.475*44/12</f>
        <v>3.2864658804666078</v>
      </c>
      <c r="AC27" s="24">
        <f t="shared" si="3"/>
        <v>14.736262950974874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4.4000000000000004</v>
      </c>
      <c r="AI27" s="14">
        <f>IF('Données projet'!$A$62&gt;35,AI26+AH27-AQ26,IF(A27&lt;'Données projet'!$A$62,$AF$205^A27,IF(A27='Données projet'!$A$62,'Données projet'!$B$62,AI26+AH27-AQ26)))</f>
        <v>63.600000000000009</v>
      </c>
      <c r="AJ27" s="14">
        <f>AI27*VLOOKUP('Données projet'!$B$10,Paramètres!$A$1:$I$88,3,0)*VLOOKUP('Données projet'!$B$10,Paramètres!$A$1:$I$88,5,0)</f>
        <v>51.592320000000008</v>
      </c>
      <c r="AK27" s="14">
        <f t="shared" si="35"/>
        <v>15.024229944049164</v>
      </c>
      <c r="AL27" s="22">
        <f t="shared" si="4"/>
        <v>116.02382448588564</v>
      </c>
      <c r="AM27" s="60">
        <f t="shared" si="5"/>
        <v>409.35715781921897</v>
      </c>
      <c r="AN27" s="60">
        <f ca="1">AVERAGE(OFFSET($AM$3,0,0,'Données projet'!$E$10+1,1))-AVERAGE(OFFSET($H$3,0,0,'Données projet'!$E$10+1,1))</f>
        <v>55.581964048431473</v>
      </c>
      <c r="AO27" s="60">
        <f t="shared" si="36"/>
        <v>91.067506141193803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2.1607142857142856</v>
      </c>
      <c r="BD27" s="13">
        <f>IF('Données projet'!$A$88&gt;35,BD26+BC27-BL26,IF(A27&lt;'Données projet'!$A$88,$BA$205^A27,IF(A27='Données projet'!$A$88,'Données projet'!$B$88,BD26+BC27-BL26)))</f>
        <v>51.85714285714284</v>
      </c>
      <c r="BE27" s="14">
        <f>BD27*VLOOKUP('Données projet'!$B$11,Paramètres!$A$1:$I$88,3,0)*VLOOKUP('Données projet'!$B$11,Paramètres!$A$1:$I$88,5,0)</f>
        <v>52.583142857142846</v>
      </c>
      <c r="BF27" s="14">
        <f t="shared" si="37"/>
        <v>15.278899267227944</v>
      </c>
      <c r="BG27" s="22">
        <f t="shared" si="7"/>
        <v>118.19305669994577</v>
      </c>
      <c r="BH27" s="60">
        <f t="shared" si="8"/>
        <v>411.52639003327909</v>
      </c>
      <c r="BI27" s="60">
        <f ca="1">AVERAGE(OFFSET($BH$3,0,0,'Données projet'!$E$11+1,1))-AVERAGE(OFFSET($H$3,0,0,'Données projet'!$E$11+1,1))</f>
        <v>178.29366134936788</v>
      </c>
      <c r="BJ27" s="60">
        <f t="shared" si="38"/>
        <v>85.818195717787148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5.666666666666667</v>
      </c>
      <c r="BY27" s="13">
        <f>IF('Données projet'!$A$114&gt;35,BY26+BX27-CG26,IF(A27&lt;'Données projet'!$A$114,$BV$205^A27,IF(A27='Données projet'!$A$114,'Données projet'!$B$114,BY26+BX27-CG26)))</f>
        <v>60.863810270000563</v>
      </c>
      <c r="BZ27" s="14">
        <f>BY27*VLOOKUP('Données projet'!$B$12,Paramètres!$A$1:$I$88,3,0)*VLOOKUP('Données projet'!$B$12,Paramètres!$A$1:$I$88,5,0)</f>
        <v>28.484263206360264</v>
      </c>
      <c r="CA27" s="14">
        <f t="shared" si="39"/>
        <v>8.8887570108329133</v>
      </c>
      <c r="CB27" s="22">
        <f t="shared" si="10"/>
        <v>65.091343544944792</v>
      </c>
      <c r="CC27" s="60">
        <f t="shared" si="11"/>
        <v>358.42467687827809</v>
      </c>
      <c r="CD27" s="60">
        <f ca="1">AVERAGE(OFFSET($CC$3,0,0,'Données projet'!$E$12+1,1))-AVERAGE(OFFSET($H$3,0,0,'Données projet'!$E$12+1,1))</f>
        <v>104.00159056395933</v>
      </c>
      <c r="CE27" s="60">
        <f t="shared" si="40"/>
        <v>115.86489547584461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projet'!$B$13,Paramètres!$A$1:$I$88,3,0)*VLOOKUP('Données projet'!$B$13,Paramètres!$A$1:$I$88,5,0)</f>
        <v>#N/A</v>
      </c>
      <c r="CV27" s="14" t="e">
        <f t="shared" si="41"/>
        <v>#N/A</v>
      </c>
      <c r="CW27" s="22" t="e">
        <f t="shared" si="13"/>
        <v>#N/A</v>
      </c>
      <c r="CX27" s="60" t="e">
        <f t="shared" si="14"/>
        <v>#N/A</v>
      </c>
      <c r="CY27" s="60" t="e">
        <f ca="1">AVERAGE(OFFSET($CX$3,0,0,'Données projet'!$E$13+1,1))-AVERAGE(OFFSET($H$3,0,0,'Données projet'!$E$13+1,1))</f>
        <v>#N/A</v>
      </c>
      <c r="CZ27" s="60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projet'!$B$13,Paramètres!$A$1:$I$88,3,0)*0.475*44/12</f>
        <v>#N/A</v>
      </c>
      <c r="DG27" s="23" t="e">
        <f>EXP(-LN(2)/25)*DG26+(1-EXP(-LN(2)/25))/(LN(2)/25)*Calculateur!DB27*Calculateur!DD27*VLOOKUP('Données projet'!$B$13,Paramètres!$A$1:$I$88,3,0)*0.475*44/12</f>
        <v>#N/A</v>
      </c>
      <c r="DH27" s="23" t="e">
        <f>EXP(-LN(2)/2)*DH26+(1-EXP(-LN(2)/2))/(LN(2)/2)*DB27*DE27*VLOOKUP('Données projet'!$B$13,Paramètres!$A$1:$I$88,3,0)*0.475*44/12</f>
        <v>#N/A</v>
      </c>
      <c r="DI27" s="24" t="e">
        <f t="shared" si="15"/>
        <v>#N/A</v>
      </c>
      <c r="DJ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0" t="e">
        <f t="shared" si="17"/>
        <v>#N/A</v>
      </c>
      <c r="DT27" s="60" t="e">
        <f ca="1">AVERAGE(OFFSET($DS$3,0,0,'Données projet'!$E$14+1,1))-AVERAGE(OFFSET($H$3,0,0,'Données projet'!$E$14+1,1))</f>
        <v>#N/A</v>
      </c>
      <c r="DU27" s="60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4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22.229999999999997</v>
      </c>
      <c r="D28" s="12">
        <f t="shared" si="32"/>
        <v>7.140157210880437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174</v>
      </c>
      <c r="L28" s="13">
        <f>VLOOKUP(A28,'Données projet'!$A$35:$I$55,9,0)</f>
        <v>13.4</v>
      </c>
      <c r="M28" s="13">
        <f t="array" ref="M28">INDEX(L:L,MIN(IF(ISNUMBER(L28:L224),ROW(L28:L224),"")))</f>
        <v>13.4</v>
      </c>
      <c r="N28" s="14">
        <f>IF('Données projet'!$A$36&gt;35,N27+M28-V27,IF(A28&lt;'Données projet'!$A$36,$K$205^A28,IF(A28='Données projet'!$A$36,'Données projet'!$B$36,N27+M28-V27)))</f>
        <v>174.00000000000003</v>
      </c>
      <c r="O28" s="14">
        <f>N28*VLOOKUP('Données projet'!$B$9,Paramètres!$A$1:$I$88,3,0)*VLOOKUP('Données projet'!$B$9,Paramètres!$A$1:$I$88,5,0)</f>
        <v>104.05200000000004</v>
      </c>
      <c r="P28" s="14">
        <f t="shared" si="33"/>
        <v>27.925087771564417</v>
      </c>
      <c r="Q28" s="22">
        <f t="shared" si="2"/>
        <v>229.8600945354747</v>
      </c>
      <c r="R28" s="60">
        <f t="shared" si="0"/>
        <v>523.19342786880804</v>
      </c>
      <c r="S28" s="60">
        <f ca="1">AVERAGE(OFFSET($R$3,0,0,'Données projet'!$E$9+1,1))-AVERAGE(OFFSET($H$3,0,0,'Données projet'!$E$9+1,1))</f>
        <v>181.84907943028196</v>
      </c>
      <c r="T28" s="60">
        <f t="shared" si="34"/>
        <v>199.66849909069458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42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0.25200000000000006</v>
      </c>
      <c r="Y28" s="17">
        <f>IF(ISNA(VLOOKUP(A28,'Données projet'!$A$35:$I$55,7,0)),0%,VLOOKUP(A28,'Données projet'!$A$35:$I$55,7,0))</f>
        <v>0.44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19.499777189398099</v>
      </c>
      <c r="AB28" s="23">
        <f>EXP(-LN(2)/2)*AB27+(1-EXP(-LN(2)/2))/(LN(2)/2)*V28*Y28*VLOOKUP('Données projet'!$B$9,Paramètres!$A$1:$I$88,3,0)*0.475*44/12</f>
        <v>14.836226719473032</v>
      </c>
      <c r="AC28" s="24">
        <f t="shared" si="3"/>
        <v>34.336003908871135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68</v>
      </c>
      <c r="AG28" s="13">
        <f>VLOOKUP(A28,'Données projet'!$A$61:$I$81,9,0)</f>
        <v>4.4000000000000004</v>
      </c>
      <c r="AH28" s="13">
        <f t="array" ref="AH28">INDEX(AG:AG,MIN(IF(ISNUMBER(AG28:AG224),ROW(AG28:AG224),"")))</f>
        <v>4.4000000000000004</v>
      </c>
      <c r="AI28" s="14">
        <f>IF('Données projet'!$A$62&gt;35,AI27+AH28-AQ27,IF(A28&lt;'Données projet'!$A$62,$AF$205^A28,IF(A28='Données projet'!$A$62,'Données projet'!$B$62,AI27+AH28-AQ27)))</f>
        <v>68.000000000000014</v>
      </c>
      <c r="AJ28" s="14">
        <f>AI28*VLOOKUP('Données projet'!$B$10,Paramètres!$A$1:$I$88,3,0)*VLOOKUP('Données projet'!$B$10,Paramètres!$A$1:$I$88,5,0)</f>
        <v>55.161600000000014</v>
      </c>
      <c r="AK28" s="14">
        <f t="shared" si="35"/>
        <v>15.939048410367359</v>
      </c>
      <c r="AL28" s="22">
        <f t="shared" si="4"/>
        <v>123.83362931472317</v>
      </c>
      <c r="AM28" s="60">
        <f t="shared" si="5"/>
        <v>417.16696264805648</v>
      </c>
      <c r="AN28" s="60">
        <f ca="1">AVERAGE(OFFSET($AM$3,0,0,'Données projet'!$E$10+1,1))-AVERAGE(OFFSET($H$3,0,0,'Données projet'!$E$10+1,1))</f>
        <v>55.581964048431473</v>
      </c>
      <c r="AO28" s="60">
        <f t="shared" si="36"/>
        <v>91.067506141193803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9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2.1607142857142856</v>
      </c>
      <c r="BD28" s="13">
        <f>IF('Données projet'!$A$88&gt;35,BD27+BC28-BL27,IF(A28&lt;'Données projet'!$A$88,$BA$205^A28,IF(A28='Données projet'!$A$88,'Données projet'!$B$88,BD27+BC28-BL27)))</f>
        <v>54.017857142857125</v>
      </c>
      <c r="BE28" s="14">
        <f>BD28*VLOOKUP('Données projet'!$B$11,Paramètres!$A$1:$I$88,3,0)*VLOOKUP('Données projet'!$B$11,Paramètres!$A$1:$I$88,5,0)</f>
        <v>54.774107142857126</v>
      </c>
      <c r="BF28" s="14">
        <f t="shared" si="37"/>
        <v>15.840073998796569</v>
      </c>
      <c r="BG28" s="22">
        <f t="shared" si="7"/>
        <v>122.98636548838016</v>
      </c>
      <c r="BH28" s="60">
        <f t="shared" si="8"/>
        <v>416.31969882171347</v>
      </c>
      <c r="BI28" s="60">
        <f ca="1">AVERAGE(OFFSET($BH$3,0,0,'Données projet'!$E$11+1,1))-AVERAGE(OFFSET($H$3,0,0,'Données projet'!$E$11+1,1))</f>
        <v>178.29366134936788</v>
      </c>
      <c r="BJ28" s="60">
        <f t="shared" si="38"/>
        <v>85.818195717787148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5.666666666666667</v>
      </c>
      <c r="BY28" s="13">
        <f>IF('Données projet'!$A$114&gt;35,BY27+BX28-CG27,IF(A28&lt;'Données projet'!$A$114,$BV$205^A28,IF(A28='Données projet'!$A$114,'Données projet'!$B$114,BY27+BX28-CG27)))</f>
        <v>72.228306862868891</v>
      </c>
      <c r="BZ28" s="14">
        <f>BY28*VLOOKUP('Données projet'!$B$12,Paramètres!$A$1:$I$88,3,0)*VLOOKUP('Données projet'!$B$12,Paramètres!$A$1:$I$88,5,0)</f>
        <v>33.802847611822642</v>
      </c>
      <c r="CA28" s="14">
        <f t="shared" si="39"/>
        <v>10.340348827492802</v>
      </c>
      <c r="CB28" s="22">
        <f t="shared" si="10"/>
        <v>76.882733798474405</v>
      </c>
      <c r="CC28" s="60">
        <f t="shared" si="11"/>
        <v>370.21606713180773</v>
      </c>
      <c r="CD28" s="60">
        <f ca="1">AVERAGE(OFFSET($CC$3,0,0,'Données projet'!$E$12+1,1))-AVERAGE(OFFSET($H$3,0,0,'Données projet'!$E$12+1,1))</f>
        <v>104.00159056395933</v>
      </c>
      <c r="CE28" s="60">
        <f t="shared" si="40"/>
        <v>115.86489547584461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projet'!$B$13,Paramètres!$A$1:$I$88,3,0)*VLOOKUP('Données projet'!$B$13,Paramètres!$A$1:$I$88,5,0)</f>
        <v>#N/A</v>
      </c>
      <c r="CV28" s="14" t="e">
        <f t="shared" si="41"/>
        <v>#N/A</v>
      </c>
      <c r="CW28" s="22" t="e">
        <f t="shared" si="13"/>
        <v>#N/A</v>
      </c>
      <c r="CX28" s="60" t="e">
        <f t="shared" si="14"/>
        <v>#N/A</v>
      </c>
      <c r="CY28" s="60" t="e">
        <f ca="1">AVERAGE(OFFSET($CX$3,0,0,'Données projet'!$E$13+1,1))-AVERAGE(OFFSET($H$3,0,0,'Données projet'!$E$13+1,1))</f>
        <v>#N/A</v>
      </c>
      <c r="CZ28" s="60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projet'!$B$13,Paramètres!$A$1:$I$88,3,0)*0.475*44/12</f>
        <v>#N/A</v>
      </c>
      <c r="DG28" s="23" t="e">
        <f>EXP(-LN(2)/25)*DG27+(1-EXP(-LN(2)/25))/(LN(2)/25)*Calculateur!DB28*Calculateur!DD28*VLOOKUP('Données projet'!$B$13,Paramètres!$A$1:$I$88,3,0)*0.475*44/12</f>
        <v>#N/A</v>
      </c>
      <c r="DH28" s="23" t="e">
        <f>EXP(-LN(2)/2)*DH27+(1-EXP(-LN(2)/2))/(LN(2)/2)*DB28*DE28*VLOOKUP('Données projet'!$B$13,Paramètres!$A$1:$I$88,3,0)*0.475*44/12</f>
        <v>#N/A</v>
      </c>
      <c r="DI28" s="24" t="e">
        <f t="shared" si="15"/>
        <v>#N/A</v>
      </c>
      <c r="DJ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0" t="e">
        <f t="shared" si="17"/>
        <v>#N/A</v>
      </c>
      <c r="DT28" s="60" t="e">
        <f ca="1">AVERAGE(OFFSET($DS$3,0,0,'Données projet'!$E$14+1,1))-AVERAGE(OFFSET($H$3,0,0,'Données projet'!$E$14+1,1))</f>
        <v>#N/A</v>
      </c>
      <c r="DU28" s="60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4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23.119199999999996</v>
      </c>
      <c r="D29" s="12">
        <f t="shared" si="32"/>
        <v>7.3919399937804329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13.2</v>
      </c>
      <c r="N29" s="14">
        <f>IF('Données projet'!$A$36&gt;35,N28+M29-V28,IF(A29&lt;'Données projet'!$A$36,$K$205^A29,IF(A29='Données projet'!$A$36,'Données projet'!$B$36,N28+M29-V28)))</f>
        <v>145.20000000000002</v>
      </c>
      <c r="O29" s="14">
        <f>N29*VLOOKUP('Données projet'!$B$9,Paramètres!$A$1:$I$88,3,0)*VLOOKUP('Données projet'!$B$9,Paramètres!$A$1:$I$88,5,0)</f>
        <v>86.829600000000028</v>
      </c>
      <c r="P29" s="14">
        <f t="shared" si="33"/>
        <v>23.799012289012015</v>
      </c>
      <c r="Q29" s="22">
        <f t="shared" si="2"/>
        <v>192.67816640336261</v>
      </c>
      <c r="R29" s="60">
        <f t="shared" si="0"/>
        <v>486.0114997366959</v>
      </c>
      <c r="S29" s="60">
        <f ca="1">AVERAGE(OFFSET($R$3,0,0,'Données projet'!$E$9+1,1))-AVERAGE(OFFSET($H$3,0,0,'Données projet'!$E$9+1,1))</f>
        <v>181.84907943028196</v>
      </c>
      <c r="T29" s="60">
        <f t="shared" si="34"/>
        <v>199.66849909069458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18.966554756705293</v>
      </c>
      <c r="AB29" s="23">
        <f>EXP(-LN(2)/2)*AB28+(1-EXP(-LN(2)/2))/(LN(2)/2)*V29*Y29*VLOOKUP('Données projet'!$B$9,Paramètres!$A$1:$I$88,3,0)*0.475*44/12</f>
        <v>10.490796520560428</v>
      </c>
      <c r="AC29" s="24">
        <f t="shared" si="3"/>
        <v>29.457351277265722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</v>
      </c>
      <c r="AI29" s="14">
        <f>IF('Données projet'!$A$62&gt;35,AI28+AH29-AQ28,IF(A29&lt;'Données projet'!$A$62,$AF$205^A29,IF(A29='Données projet'!$A$62,'Données projet'!$B$62,AI28+AH29-AQ28)))</f>
        <v>64.000000000000014</v>
      </c>
      <c r="AJ29" s="14">
        <f>AI29*VLOOKUP('Données projet'!$B$10,Paramètres!$A$1:$I$88,3,0)*VLOOKUP('Données projet'!$B$10,Paramètres!$A$1:$I$88,5,0)</f>
        <v>51.916800000000016</v>
      </c>
      <c r="AK29" s="14">
        <f t="shared" si="35"/>
        <v>15.107692595703282</v>
      </c>
      <c r="AL29" s="22">
        <f t="shared" si="4"/>
        <v>116.73432460418324</v>
      </c>
      <c r="AM29" s="60">
        <f t="shared" si="5"/>
        <v>410.06765793751657</v>
      </c>
      <c r="AN29" s="60">
        <f ca="1">AVERAGE(OFFSET($AM$3,0,0,'Données projet'!$E$10+1,1))-AVERAGE(OFFSET($H$3,0,0,'Données projet'!$E$10+1,1))</f>
        <v>55.581964048431473</v>
      </c>
      <c r="AO29" s="60">
        <f t="shared" si="36"/>
        <v>91.067506141193803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2.1607142857142856</v>
      </c>
      <c r="BD29" s="13">
        <f>IF('Données projet'!$A$88&gt;35,BD28+BC29-BL28,IF(A29&lt;'Données projet'!$A$88,$BA$205^A29,IF(A29='Données projet'!$A$88,'Données projet'!$B$88,BD28+BC29-BL28)))</f>
        <v>56.178571428571409</v>
      </c>
      <c r="BE29" s="14">
        <f>BD29*VLOOKUP('Données projet'!$B$11,Paramètres!$A$1:$I$88,3,0)*VLOOKUP('Données projet'!$B$11,Paramètres!$A$1:$I$88,5,0)</f>
        <v>56.965071428571406</v>
      </c>
      <c r="BF29" s="14">
        <f t="shared" si="37"/>
        <v>16.398641239680479</v>
      </c>
      <c r="BG29" s="22">
        <f t="shared" si="7"/>
        <v>127.77513289720537</v>
      </c>
      <c r="BH29" s="60">
        <f t="shared" si="8"/>
        <v>421.10846623053868</v>
      </c>
      <c r="BI29" s="60">
        <f ca="1">AVERAGE(OFFSET($BH$3,0,0,'Données projet'!$E$11+1,1))-AVERAGE(OFFSET($H$3,0,0,'Données projet'!$E$11+1,1))</f>
        <v>178.29366134936788</v>
      </c>
      <c r="BJ29" s="60">
        <f t="shared" si="38"/>
        <v>85.818195717787148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5.666666666666667</v>
      </c>
      <c r="BY29" s="13">
        <f>IF('Données projet'!$A$114&gt;35,BY28+BX29-CG28,IF(A29&lt;'Données projet'!$A$114,$BV$205^A29,IF(A29='Données projet'!$A$114,'Données projet'!$B$114,BY28+BX29-CG28)))</f>
        <v>85.714783368535649</v>
      </c>
      <c r="BZ29" s="14">
        <f>BY29*VLOOKUP('Données projet'!$B$12,Paramètres!$A$1:$I$88,3,0)*VLOOKUP('Données projet'!$B$12,Paramètres!$A$1:$I$88,5,0)</f>
        <v>40.114518616474683</v>
      </c>
      <c r="CA29" s="14">
        <f t="shared" si="39"/>
        <v>12.028995026405015</v>
      </c>
      <c r="CB29" s="22">
        <f t="shared" si="10"/>
        <v>90.816619594682138</v>
      </c>
      <c r="CC29" s="60">
        <f t="shared" si="11"/>
        <v>384.14995292801547</v>
      </c>
      <c r="CD29" s="60">
        <f ca="1">AVERAGE(OFFSET($CC$3,0,0,'Données projet'!$E$12+1,1))-AVERAGE(OFFSET($H$3,0,0,'Données projet'!$E$12+1,1))</f>
        <v>104.00159056395933</v>
      </c>
      <c r="CE29" s="60">
        <f t="shared" si="40"/>
        <v>115.86489547584461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projet'!$B$13,Paramètres!$A$1:$I$88,3,0)*VLOOKUP('Données projet'!$B$13,Paramètres!$A$1:$I$88,5,0)</f>
        <v>#N/A</v>
      </c>
      <c r="CV29" s="14" t="e">
        <f t="shared" si="41"/>
        <v>#N/A</v>
      </c>
      <c r="CW29" s="22" t="e">
        <f t="shared" si="13"/>
        <v>#N/A</v>
      </c>
      <c r="CX29" s="60" t="e">
        <f t="shared" si="14"/>
        <v>#N/A</v>
      </c>
      <c r="CY29" s="60" t="e">
        <f ca="1">AVERAGE(OFFSET($CX$3,0,0,'Données projet'!$E$13+1,1))-AVERAGE(OFFSET($H$3,0,0,'Données projet'!$E$13+1,1))</f>
        <v>#N/A</v>
      </c>
      <c r="CZ29" s="60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projet'!$B$13,Paramètres!$A$1:$I$88,3,0)*0.475*44/12</f>
        <v>#N/A</v>
      </c>
      <c r="DG29" s="23" t="e">
        <f>EXP(-LN(2)/25)*DG28+(1-EXP(-LN(2)/25))/(LN(2)/25)*Calculateur!DB29*Calculateur!DD29*VLOOKUP('Données projet'!$B$13,Paramètres!$A$1:$I$88,3,0)*0.475*44/12</f>
        <v>#N/A</v>
      </c>
      <c r="DH29" s="23" t="e">
        <f>EXP(-LN(2)/2)*DH28+(1-EXP(-LN(2)/2))/(LN(2)/2)*DB29*DE29*VLOOKUP('Données projet'!$B$13,Paramètres!$A$1:$I$88,3,0)*0.475*44/12</f>
        <v>#N/A</v>
      </c>
      <c r="DI29" s="24" t="e">
        <f t="shared" si="15"/>
        <v>#N/A</v>
      </c>
      <c r="DJ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0" t="e">
        <f t="shared" si="17"/>
        <v>#N/A</v>
      </c>
      <c r="DT29" s="60" t="e">
        <f ca="1">AVERAGE(OFFSET($DS$3,0,0,'Données projet'!$E$14+1,1))-AVERAGE(OFFSET($H$3,0,0,'Données projet'!$E$14+1,1))</f>
        <v>#N/A</v>
      </c>
      <c r="DU29" s="60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4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24.008399999999995</v>
      </c>
      <c r="D30" s="12">
        <f t="shared" si="32"/>
        <v>7.6425977910346958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13.2</v>
      </c>
      <c r="N30" s="14">
        <f>IF('Données projet'!$A$36&gt;35,N29+M30-V29,IF(A30&lt;'Données projet'!$A$36,$K$205^A30,IF(A30='Données projet'!$A$36,'Données projet'!$B$36,N29+M30-V29)))</f>
        <v>158.4</v>
      </c>
      <c r="O30" s="14">
        <f>N30*VLOOKUP('Données projet'!$B$9,Paramètres!$A$1:$I$88,3,0)*VLOOKUP('Données projet'!$B$9,Paramètres!$A$1:$I$88,5,0)</f>
        <v>94.723200000000006</v>
      </c>
      <c r="P30" s="14">
        <f t="shared" si="33"/>
        <v>25.700933959119112</v>
      </c>
      <c r="Q30" s="22">
        <f t="shared" si="2"/>
        <v>209.7386999787991</v>
      </c>
      <c r="R30" s="60">
        <f t="shared" si="0"/>
        <v>503.07203331213242</v>
      </c>
      <c r="S30" s="60">
        <f ca="1">AVERAGE(OFFSET($R$3,0,0,'Données projet'!$E$9+1,1))-AVERAGE(OFFSET($H$3,0,0,'Données projet'!$E$9+1,1))</f>
        <v>181.84907943028196</v>
      </c>
      <c r="T30" s="60">
        <f t="shared" si="34"/>
        <v>199.66849909069458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18.447913319475422</v>
      </c>
      <c r="AB30" s="23">
        <f>EXP(-LN(2)/2)*AB29+(1-EXP(-LN(2)/2))/(LN(2)/2)*V30*Y30*VLOOKUP('Données projet'!$B$9,Paramètres!$A$1:$I$88,3,0)*0.475*44/12</f>
        <v>7.418113359736517</v>
      </c>
      <c r="AC30" s="24">
        <f t="shared" si="3"/>
        <v>25.866026679211938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</v>
      </c>
      <c r="AI30" s="14">
        <f>IF('Données projet'!$A$62&gt;35,AI29+AH30-AQ29,IF(A30&lt;'Données projet'!$A$62,$AF$205^A30,IF(A30='Données projet'!$A$62,'Données projet'!$B$62,AI29+AH30-AQ29)))</f>
        <v>69.000000000000014</v>
      </c>
      <c r="AJ30" s="14">
        <f>AI30*VLOOKUP('Données projet'!$B$10,Paramètres!$A$1:$I$88,3,0)*VLOOKUP('Données projet'!$B$10,Paramètres!$A$1:$I$88,5,0)</f>
        <v>55.972800000000014</v>
      </c>
      <c r="AK30" s="14">
        <f t="shared" si="35"/>
        <v>16.145985978099571</v>
      </c>
      <c r="AL30" s="22">
        <f t="shared" si="4"/>
        <v>125.60688557852342</v>
      </c>
      <c r="AM30" s="60">
        <f t="shared" si="5"/>
        <v>418.94021891185673</v>
      </c>
      <c r="AN30" s="60">
        <f ca="1">AVERAGE(OFFSET($AM$3,0,0,'Données projet'!$E$10+1,1))-AVERAGE(OFFSET($H$3,0,0,'Données projet'!$E$10+1,1))</f>
        <v>55.581964048431473</v>
      </c>
      <c r="AO30" s="60">
        <f t="shared" si="36"/>
        <v>91.067506141193803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2.1607142857142856</v>
      </c>
      <c r="BD30" s="13">
        <f>IF('Données projet'!$A$88&gt;35,BD29+BC30-BL29,IF(A30&lt;'Données projet'!$A$88,$BA$205^A30,IF(A30='Données projet'!$A$88,'Données projet'!$B$88,BD29+BC30-BL29)))</f>
        <v>58.339285714285694</v>
      </c>
      <c r="BE30" s="14">
        <f>BD30*VLOOKUP('Données projet'!$B$11,Paramètres!$A$1:$I$88,3,0)*VLOOKUP('Données projet'!$B$11,Paramètres!$A$1:$I$88,5,0)</f>
        <v>59.1560357142857</v>
      </c>
      <c r="BF30" s="14">
        <f t="shared" si="37"/>
        <v>16.954712757382168</v>
      </c>
      <c r="BG30" s="22">
        <f t="shared" si="7"/>
        <v>132.55955358815487</v>
      </c>
      <c r="BH30" s="60">
        <f t="shared" si="8"/>
        <v>425.89288692148818</v>
      </c>
      <c r="BI30" s="60">
        <f ca="1">AVERAGE(OFFSET($BH$3,0,0,'Données projet'!$E$11+1,1))-AVERAGE(OFFSET($H$3,0,0,'Données projet'!$E$11+1,1))</f>
        <v>178.29366134936788</v>
      </c>
      <c r="BJ30" s="60">
        <f t="shared" si="38"/>
        <v>85.818195717787148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5.666666666666667</v>
      </c>
      <c r="BY30" s="13">
        <f>IF('Données projet'!$A$114&gt;35,BY29+BX30-CG29,IF(A30&lt;'Données projet'!$A$114,$BV$205^A30,IF(A30='Données projet'!$A$114,'Données projet'!$B$114,BY29+BX30-CG29)))</f>
        <v>101.71945608338704</v>
      </c>
      <c r="BZ30" s="14">
        <f>BY30*VLOOKUP('Données projet'!$B$12,Paramètres!$A$1:$I$88,3,0)*VLOOKUP('Données projet'!$B$12,Paramètres!$A$1:$I$88,5,0)</f>
        <v>47.604705447025133</v>
      </c>
      <c r="CA30" s="14">
        <f t="shared" si="39"/>
        <v>13.993408129574757</v>
      </c>
      <c r="CB30" s="22">
        <f t="shared" si="10"/>
        <v>107.28338114591146</v>
      </c>
      <c r="CC30" s="60">
        <f t="shared" si="11"/>
        <v>400.61671447924476</v>
      </c>
      <c r="CD30" s="60">
        <f ca="1">AVERAGE(OFFSET($CC$3,0,0,'Données projet'!$E$12+1,1))-AVERAGE(OFFSET($H$3,0,0,'Données projet'!$E$12+1,1))</f>
        <v>104.00159056395933</v>
      </c>
      <c r="CE30" s="60">
        <f t="shared" si="40"/>
        <v>115.86489547584461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projet'!$B$13,Paramètres!$A$1:$I$88,3,0)*VLOOKUP('Données projet'!$B$13,Paramètres!$A$1:$I$88,5,0)</f>
        <v>#N/A</v>
      </c>
      <c r="CV30" s="14" t="e">
        <f t="shared" si="41"/>
        <v>#N/A</v>
      </c>
      <c r="CW30" s="22" t="e">
        <f t="shared" si="13"/>
        <v>#N/A</v>
      </c>
      <c r="CX30" s="60" t="e">
        <f t="shared" si="14"/>
        <v>#N/A</v>
      </c>
      <c r="CY30" s="60" t="e">
        <f ca="1">AVERAGE(OFFSET($CX$3,0,0,'Données projet'!$E$13+1,1))-AVERAGE(OFFSET($H$3,0,0,'Données projet'!$E$13+1,1))</f>
        <v>#N/A</v>
      </c>
      <c r="CZ30" s="60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projet'!$B$13,Paramètres!$A$1:$I$88,3,0)*0.475*44/12</f>
        <v>#N/A</v>
      </c>
      <c r="DG30" s="23" t="e">
        <f>EXP(-LN(2)/25)*DG29+(1-EXP(-LN(2)/25))/(LN(2)/25)*Calculateur!DB30*Calculateur!DD30*VLOOKUP('Données projet'!$B$13,Paramètres!$A$1:$I$88,3,0)*0.475*44/12</f>
        <v>#N/A</v>
      </c>
      <c r="DH30" s="23" t="e">
        <f>EXP(-LN(2)/2)*DH29+(1-EXP(-LN(2)/2))/(LN(2)/2)*DB30*DE30*VLOOKUP('Données projet'!$B$13,Paramètres!$A$1:$I$88,3,0)*0.475*44/12</f>
        <v>#N/A</v>
      </c>
      <c r="DI30" s="24" t="e">
        <f t="shared" si="15"/>
        <v>#N/A</v>
      </c>
      <c r="DJ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0" t="e">
        <f t="shared" si="17"/>
        <v>#N/A</v>
      </c>
      <c r="DT30" s="60" t="e">
        <f ca="1">AVERAGE(OFFSET($DS$3,0,0,'Données projet'!$E$14+1,1))-AVERAGE(OFFSET($H$3,0,0,'Données projet'!$E$14+1,1))</f>
        <v>#N/A</v>
      </c>
      <c r="DU30" s="60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4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24.897599999999994</v>
      </c>
      <c r="D31" s="12">
        <f t="shared" si="32"/>
        <v>7.8921770401958202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13.2</v>
      </c>
      <c r="N31" s="14">
        <f>IF('Données projet'!$A$36&gt;35,N30+M31-V30,IF(A31&lt;'Données projet'!$A$36,$K$205^A31,IF(A31='Données projet'!$A$36,'Données projet'!$B$36,N30+M31-V30)))</f>
        <v>171.6</v>
      </c>
      <c r="O31" s="14">
        <f>N31*VLOOKUP('Données projet'!$B$9,Paramètres!$A$1:$I$88,3,0)*VLOOKUP('Données projet'!$B$9,Paramètres!$A$1:$I$88,5,0)</f>
        <v>102.61680000000001</v>
      </c>
      <c r="P31" s="14">
        <f t="shared" si="33"/>
        <v>27.584473733936797</v>
      </c>
      <c r="Q31" s="22">
        <f t="shared" si="2"/>
        <v>226.76721841993992</v>
      </c>
      <c r="R31" s="60">
        <f t="shared" si="0"/>
        <v>520.10055175327329</v>
      </c>
      <c r="S31" s="60">
        <f ca="1">AVERAGE(OFFSET($R$3,0,0,'Données projet'!$E$9+1,1))-AVERAGE(OFFSET($H$3,0,0,'Données projet'!$E$9+1,1))</f>
        <v>181.84907943028196</v>
      </c>
      <c r="T31" s="60">
        <f t="shared" si="34"/>
        <v>199.66849909069458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17.943454159620767</v>
      </c>
      <c r="AB31" s="23">
        <f>EXP(-LN(2)/2)*AB30+(1-EXP(-LN(2)/2))/(LN(2)/2)*V31*Y31*VLOOKUP('Données projet'!$B$9,Paramètres!$A$1:$I$88,3,0)*0.475*44/12</f>
        <v>5.2453982602802149</v>
      </c>
      <c r="AC31" s="24">
        <f t="shared" si="3"/>
        <v>23.188852419900982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</v>
      </c>
      <c r="AI31" s="14">
        <f>IF('Données projet'!$A$62&gt;35,AI30+AH31-AQ30,IF(A31&lt;'Données projet'!$A$62,$AF$205^A31,IF(A31='Données projet'!$A$62,'Données projet'!$B$62,AI30+AH31-AQ30)))</f>
        <v>74.000000000000014</v>
      </c>
      <c r="AJ31" s="14">
        <f>AI31*VLOOKUP('Données projet'!$B$10,Paramètres!$A$1:$I$88,3,0)*VLOOKUP('Données projet'!$B$10,Paramètres!$A$1:$I$88,5,0)</f>
        <v>60.028800000000018</v>
      </c>
      <c r="AK31" s="14">
        <f t="shared" si="35"/>
        <v>17.175550352716172</v>
      </c>
      <c r="AL31" s="22">
        <f t="shared" si="4"/>
        <v>134.46424353098067</v>
      </c>
      <c r="AM31" s="60">
        <f t="shared" si="5"/>
        <v>427.79757686431401</v>
      </c>
      <c r="AN31" s="60">
        <f ca="1">AVERAGE(OFFSET($AM$3,0,0,'Données projet'!$E$10+1,1))-AVERAGE(OFFSET($H$3,0,0,'Données projet'!$E$10+1,1))</f>
        <v>55.581964048431473</v>
      </c>
      <c r="AO31" s="60">
        <f t="shared" si="36"/>
        <v>91.067506141193803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2.1607142857142856</v>
      </c>
      <c r="BD31" s="13">
        <f>IF('Données projet'!$A$88&gt;35,BD30+BC31-BL30,IF(A31&lt;'Données projet'!$A$88,$BA$205^A31,IF(A31='Données projet'!$A$88,'Données projet'!$B$88,BD30+BC31-BL30)))</f>
        <v>60.499999999999979</v>
      </c>
      <c r="BE31" s="14">
        <f>BD31*VLOOKUP('Données projet'!$B$11,Paramètres!$A$1:$I$88,3,0)*VLOOKUP('Données projet'!$B$11,Paramètres!$A$1:$I$88,5,0)</f>
        <v>61.346999999999987</v>
      </c>
      <c r="BF31" s="14">
        <f t="shared" si="37"/>
        <v>17.508391571239667</v>
      </c>
      <c r="BG31" s="22">
        <f t="shared" si="7"/>
        <v>137.33980698657572</v>
      </c>
      <c r="BH31" s="60">
        <f t="shared" si="8"/>
        <v>430.67314031990907</v>
      </c>
      <c r="BI31" s="60">
        <f ca="1">AVERAGE(OFFSET($BH$3,0,0,'Données projet'!$E$11+1,1))-AVERAGE(OFFSET($H$3,0,0,'Données projet'!$E$11+1,1))</f>
        <v>178.29366134936788</v>
      </c>
      <c r="BJ31" s="60">
        <f t="shared" si="38"/>
        <v>85.818195717787148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5.666666666666667</v>
      </c>
      <c r="BY31" s="13">
        <f>IF('Données projet'!$A$114&gt;35,BY30+BX31-CG30,IF(A31&lt;'Données projet'!$A$114,$BV$205^A31,IF(A31='Données projet'!$A$114,'Données projet'!$B$114,BY30+BX31-CG30)))</f>
        <v>120.71252284933438</v>
      </c>
      <c r="BZ31" s="14">
        <f>BY31*VLOOKUP('Données projet'!$B$12,Paramètres!$A$1:$I$88,3,0)*VLOOKUP('Données projet'!$B$12,Paramètres!$A$1:$I$88,5,0)</f>
        <v>56.493460693488487</v>
      </c>
      <c r="CA31" s="14">
        <f t="shared" si="39"/>
        <v>16.278622665568623</v>
      </c>
      <c r="CB31" s="22">
        <f t="shared" si="10"/>
        <v>126.74471185035777</v>
      </c>
      <c r="CC31" s="60">
        <f t="shared" si="11"/>
        <v>420.07804518369107</v>
      </c>
      <c r="CD31" s="60">
        <f ca="1">AVERAGE(OFFSET($CC$3,0,0,'Données projet'!$E$12+1,1))-AVERAGE(OFFSET($H$3,0,0,'Données projet'!$E$12+1,1))</f>
        <v>104.00159056395933</v>
      </c>
      <c r="CE31" s="60">
        <f t="shared" si="40"/>
        <v>115.86489547584461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projet'!$B$13,Paramètres!$A$1:$I$88,3,0)*VLOOKUP('Données projet'!$B$13,Paramètres!$A$1:$I$88,5,0)</f>
        <v>#N/A</v>
      </c>
      <c r="CV31" s="14" t="e">
        <f t="shared" si="41"/>
        <v>#N/A</v>
      </c>
      <c r="CW31" s="22" t="e">
        <f t="shared" si="13"/>
        <v>#N/A</v>
      </c>
      <c r="CX31" s="60" t="e">
        <f t="shared" si="14"/>
        <v>#N/A</v>
      </c>
      <c r="CY31" s="60" t="e">
        <f ca="1">AVERAGE(OFFSET($CX$3,0,0,'Données projet'!$E$13+1,1))-AVERAGE(OFFSET($H$3,0,0,'Données projet'!$E$13+1,1))</f>
        <v>#N/A</v>
      </c>
      <c r="CZ31" s="60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projet'!$B$13,Paramètres!$A$1:$I$88,3,0)*0.475*44/12</f>
        <v>#N/A</v>
      </c>
      <c r="DG31" s="23" t="e">
        <f>EXP(-LN(2)/25)*DG30+(1-EXP(-LN(2)/25))/(LN(2)/25)*Calculateur!DB31*Calculateur!DD31*VLOOKUP('Données projet'!$B$13,Paramètres!$A$1:$I$88,3,0)*0.475*44/12</f>
        <v>#N/A</v>
      </c>
      <c r="DH31" s="23" t="e">
        <f>EXP(-LN(2)/2)*DH30+(1-EXP(-LN(2)/2))/(LN(2)/2)*DB31*DE31*VLOOKUP('Données projet'!$B$13,Paramètres!$A$1:$I$88,3,0)*0.475*44/12</f>
        <v>#N/A</v>
      </c>
      <c r="DI31" s="24" t="e">
        <f t="shared" si="15"/>
        <v>#N/A</v>
      </c>
      <c r="DJ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0" t="e">
        <f t="shared" si="17"/>
        <v>#N/A</v>
      </c>
      <c r="DT31" s="60" t="e">
        <f ca="1">AVERAGE(OFFSET($DS$3,0,0,'Données projet'!$E$14+1,1))-AVERAGE(OFFSET($H$3,0,0,'Données projet'!$E$14+1,1))</f>
        <v>#N/A</v>
      </c>
      <c r="DU31" s="60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4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25.786799999999992</v>
      </c>
      <c r="D32" s="12">
        <f t="shared" si="32"/>
        <v>8.1407206738151334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13.2</v>
      </c>
      <c r="N32" s="14">
        <f>IF('Données projet'!$A$36&gt;35,N31+M32-V31,IF(A32&lt;'Données projet'!$A$36,$K$205^A32,IF(A32='Données projet'!$A$36,'Données projet'!$B$36,N31+M32-V31)))</f>
        <v>184.79999999999998</v>
      </c>
      <c r="O32" s="14">
        <f>N32*VLOOKUP('Données projet'!$B$9,Paramètres!$A$1:$I$88,3,0)*VLOOKUP('Données projet'!$B$9,Paramètres!$A$1:$I$88,5,0)</f>
        <v>110.5104</v>
      </c>
      <c r="P32" s="14">
        <f t="shared" si="33"/>
        <v>29.451206375056387</v>
      </c>
      <c r="Q32" s="22">
        <f t="shared" si="2"/>
        <v>243.76646443655656</v>
      </c>
      <c r="R32" s="60">
        <f t="shared" si="0"/>
        <v>537.09979776988985</v>
      </c>
      <c r="S32" s="60">
        <f ca="1">AVERAGE(OFFSET($R$3,0,0,'Données projet'!$E$9+1,1))-AVERAGE(OFFSET($H$3,0,0,'Données projet'!$E$9+1,1))</f>
        <v>181.84907943028196</v>
      </c>
      <c r="T32" s="60">
        <f t="shared" si="34"/>
        <v>199.66849909069458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17.452789462020693</v>
      </c>
      <c r="AB32" s="23">
        <f>EXP(-LN(2)/2)*AB31+(1-EXP(-LN(2)/2))/(LN(2)/2)*V32*Y32*VLOOKUP('Données projet'!$B$9,Paramètres!$A$1:$I$88,3,0)*0.475*44/12</f>
        <v>3.7090566798682594</v>
      </c>
      <c r="AC32" s="24">
        <f t="shared" si="3"/>
        <v>21.161846141888951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</v>
      </c>
      <c r="AI32" s="14">
        <f>IF('Données projet'!$A$62&gt;35,AI31+AH32-AQ31,IF(A32&lt;'Données projet'!$A$62,$AF$205^A32,IF(A32='Données projet'!$A$62,'Données projet'!$B$62,AI31+AH32-AQ31)))</f>
        <v>79.000000000000014</v>
      </c>
      <c r="AJ32" s="14">
        <f>AI32*VLOOKUP('Données projet'!$B$10,Paramètres!$A$1:$I$88,3,0)*VLOOKUP('Données projet'!$B$10,Paramètres!$A$1:$I$88,5,0)</f>
        <v>64.084800000000016</v>
      </c>
      <c r="AK32" s="14">
        <f t="shared" si="35"/>
        <v>18.197042620605469</v>
      </c>
      <c r="AL32" s="22">
        <f t="shared" si="4"/>
        <v>143.30754256422122</v>
      </c>
      <c r="AM32" s="60">
        <f t="shared" si="5"/>
        <v>436.64087589755457</v>
      </c>
      <c r="AN32" s="60">
        <f ca="1">AVERAGE(OFFSET($AM$3,0,0,'Données projet'!$E$10+1,1))-AVERAGE(OFFSET($H$3,0,0,'Données projet'!$E$10+1,1))</f>
        <v>55.581964048431473</v>
      </c>
      <c r="AO32" s="60">
        <f t="shared" si="36"/>
        <v>91.067506141193803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2.1607142857142856</v>
      </c>
      <c r="BD32" s="13">
        <f>IF('Données projet'!$A$88&gt;35,BD31+BC32-BL31,IF(A32&lt;'Données projet'!$A$88,$BA$205^A32,IF(A32='Données projet'!$A$88,'Données projet'!$B$88,BD31+BC32-BL31)))</f>
        <v>62.660714285714263</v>
      </c>
      <c r="BE32" s="14">
        <f>BD32*VLOOKUP('Données projet'!$B$11,Paramètres!$A$1:$I$88,3,0)*VLOOKUP('Données projet'!$B$11,Paramètres!$A$1:$I$88,5,0)</f>
        <v>63.537964285714267</v>
      </c>
      <c r="BF32" s="14">
        <f t="shared" si="37"/>
        <v>18.059772924924754</v>
      </c>
      <c r="BG32" s="22">
        <f t="shared" si="7"/>
        <v>142.1160589751963</v>
      </c>
      <c r="BH32" s="60">
        <f t="shared" si="8"/>
        <v>435.44939230852958</v>
      </c>
      <c r="BI32" s="60">
        <f ca="1">AVERAGE(OFFSET($BH$3,0,0,'Données projet'!$E$11+1,1))-AVERAGE(OFFSET($H$3,0,0,'Données projet'!$E$11+1,1))</f>
        <v>178.29366134936788</v>
      </c>
      <c r="BJ32" s="60">
        <f t="shared" si="38"/>
        <v>85.818195717787148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5.666666666666667</v>
      </c>
      <c r="BY32" s="13">
        <f>IF('Données projet'!$A$114&gt;35,BY31+BX32-CG31,IF(A32&lt;'Données projet'!$A$114,$BV$205^A32,IF(A32='Données projet'!$A$114,'Données projet'!$B$114,BY31+BX32-CG31)))</f>
        <v>143.25197689521377</v>
      </c>
      <c r="BZ32" s="14">
        <f>BY32*VLOOKUP('Données projet'!$B$12,Paramètres!$A$1:$I$88,3,0)*VLOOKUP('Données projet'!$B$12,Paramètres!$A$1:$I$88,5,0)</f>
        <v>67.041925186960043</v>
      </c>
      <c r="CA32" s="14">
        <f t="shared" si="39"/>
        <v>18.93702759429323</v>
      </c>
      <c r="CB32" s="22">
        <f t="shared" si="10"/>
        <v>149.74667609401612</v>
      </c>
      <c r="CC32" s="60">
        <f t="shared" si="11"/>
        <v>443.08000942734941</v>
      </c>
      <c r="CD32" s="60">
        <f ca="1">AVERAGE(OFFSET($CC$3,0,0,'Données projet'!$E$12+1,1))-AVERAGE(OFFSET($H$3,0,0,'Données projet'!$E$12+1,1))</f>
        <v>104.00159056395933</v>
      </c>
      <c r="CE32" s="60">
        <f t="shared" si="40"/>
        <v>115.86489547584461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projet'!$B$13,Paramètres!$A$1:$I$88,3,0)*VLOOKUP('Données projet'!$B$13,Paramètres!$A$1:$I$88,5,0)</f>
        <v>#N/A</v>
      </c>
      <c r="CV32" s="14" t="e">
        <f t="shared" si="41"/>
        <v>#N/A</v>
      </c>
      <c r="CW32" s="22" t="e">
        <f t="shared" si="13"/>
        <v>#N/A</v>
      </c>
      <c r="CX32" s="60" t="e">
        <f t="shared" si="14"/>
        <v>#N/A</v>
      </c>
      <c r="CY32" s="60" t="e">
        <f ca="1">AVERAGE(OFFSET($CX$3,0,0,'Données projet'!$E$13+1,1))-AVERAGE(OFFSET($H$3,0,0,'Données projet'!$E$13+1,1))</f>
        <v>#N/A</v>
      </c>
      <c r="CZ32" s="60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projet'!$B$13,Paramètres!$A$1:$I$88,3,0)*0.475*44/12</f>
        <v>#N/A</v>
      </c>
      <c r="DG32" s="23" t="e">
        <f>EXP(-LN(2)/25)*DG31+(1-EXP(-LN(2)/25))/(LN(2)/25)*Calculateur!DB32*Calculateur!DD32*VLOOKUP('Données projet'!$B$13,Paramètres!$A$1:$I$88,3,0)*0.475*44/12</f>
        <v>#N/A</v>
      </c>
      <c r="DH32" s="23" t="e">
        <f>EXP(-LN(2)/2)*DH31+(1-EXP(-LN(2)/2))/(LN(2)/2)*DB32*DE32*VLOOKUP('Données projet'!$B$13,Paramètres!$A$1:$I$88,3,0)*0.475*44/12</f>
        <v>#N/A</v>
      </c>
      <c r="DI32" s="24" t="e">
        <f t="shared" si="15"/>
        <v>#N/A</v>
      </c>
      <c r="DJ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0" t="e">
        <f t="shared" si="17"/>
        <v>#N/A</v>
      </c>
      <c r="DT32" s="60" t="e">
        <f ca="1">AVERAGE(OFFSET($DS$3,0,0,'Données projet'!$E$14+1,1))-AVERAGE(OFFSET($H$3,0,0,'Données projet'!$E$14+1,1))</f>
        <v>#N/A</v>
      </c>
      <c r="DU32" s="60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4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26.675999999999991</v>
      </c>
      <c r="D33" s="12">
        <f t="shared" si="32"/>
        <v>8.388268495647786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198</v>
      </c>
      <c r="L33" s="13">
        <f>VLOOKUP(A33,'Données projet'!$A$35:$I$55,9,0)</f>
        <v>13.2</v>
      </c>
      <c r="M33" s="13">
        <f t="array" ref="M33">INDEX(L:L,MIN(IF(ISNUMBER(L33:L229),ROW(L33:L229),"")))</f>
        <v>13.2</v>
      </c>
      <c r="N33" s="14">
        <f>IF('Données projet'!$A$36&gt;35,N32+M33-V32,IF(A33&lt;'Données projet'!$A$36,$K$205^A33,IF(A33='Données projet'!$A$36,'Données projet'!$B$36,N32+M33-V32)))</f>
        <v>197.99999999999997</v>
      </c>
      <c r="O33" s="14">
        <f>N33*VLOOKUP('Données projet'!$B$9,Paramètres!$A$1:$I$88,3,0)*VLOOKUP('Données projet'!$B$9,Paramètres!$A$1:$I$88,5,0)</f>
        <v>118.40399999999998</v>
      </c>
      <c r="P33" s="14">
        <f t="shared" si="33"/>
        <v>31.302468930496392</v>
      </c>
      <c r="Q33" s="22">
        <f t="shared" si="2"/>
        <v>260.73876672061448</v>
      </c>
      <c r="R33" s="60">
        <f t="shared" si="0"/>
        <v>554.07210005394779</v>
      </c>
      <c r="S33" s="60">
        <f ca="1">AVERAGE(OFFSET($R$3,0,0,'Données projet'!$E$9+1,1))-AVERAGE(OFFSET($H$3,0,0,'Données projet'!$E$9+1,1))</f>
        <v>181.84907943028196</v>
      </c>
      <c r="T33" s="60">
        <f t="shared" si="34"/>
        <v>199.66849909069458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41</v>
      </c>
      <c r="W33" s="17">
        <f>IF(ISNA(VLOOKUP(A33,'Données projet'!$A$35:$I$55,5,0)),0%,VLOOKUP(A33,'Données projet'!$A$35:$I$55,5,0)*VLOOKUP('Données projet'!$B$9,Paramètres!$A$1:$I$88,7,0))</f>
        <v>9.0000000000000011E-2</v>
      </c>
      <c r="X33" s="17">
        <f>IF(ISNA(VLOOKUP(A33,'Données projet'!$A$35:$I$55,6,0)),0%,VLOOKUP(A33,'Données projet'!$A$35:$I$55,6,0)*VLOOKUP('Données projet'!$B$9,Paramètres!$A$1:$I$88,7,0))</f>
        <v>0.20160000000000003</v>
      </c>
      <c r="Y33" s="17">
        <f>IF(ISNA(VLOOKUP(A33,'Données projet'!$A$35:$I$55,7,0)),0%,VLOOKUP(A33,'Données projet'!$A$35:$I$55,7,0))</f>
        <v>0.35200000000000004</v>
      </c>
      <c r="Z33" s="23">
        <f>EXP(-LN(2)/35)*Z32+(1-EXP(-LN(2)/35))/(LN(2)/35)*V33*W33*VLOOKUP('Données projet'!$B$9,Paramètres!$A$1:$I$88,3,0)*0.475*44/12</f>
        <v>2.9272236586619989</v>
      </c>
      <c r="AA33" s="23">
        <f>EXP(-LN(2)/25)*AA32+(1-EXP(-LN(2)/25))/(LN(2)/25)*Calculateur!V33*Calculateur!X33*VLOOKUP('Données projet'!$B$9,Paramètres!$A$1:$I$88,3,0)*0.475*44/12</f>
        <v>23.506705679197776</v>
      </c>
      <c r="AB33" s="23">
        <f>EXP(-LN(2)/2)*AB32+(1-EXP(-LN(2)/2))/(LN(2)/2)*V33*Y33*VLOOKUP('Données projet'!$B$9,Paramètres!$A$1:$I$88,3,0)*0.475*44/12</f>
        <v>12.394244287845478</v>
      </c>
      <c r="AC33" s="24">
        <f t="shared" si="3"/>
        <v>38.828173625705247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84</v>
      </c>
      <c r="AG33" s="13">
        <f>VLOOKUP(A33,'Données projet'!$A$61:$I$81,9,0)</f>
        <v>5</v>
      </c>
      <c r="AH33" s="13">
        <f t="array" ref="AH33">INDEX(AG:AG,MIN(IF(ISNUMBER(AG33:AG229),ROW(AG33:AG229),"")))</f>
        <v>5</v>
      </c>
      <c r="AI33" s="14">
        <f>IF('Données projet'!$A$62&gt;35,AI32+AH33-AQ32,IF(A33&lt;'Données projet'!$A$62,$AF$205^A33,IF(A33='Données projet'!$A$62,'Données projet'!$B$62,AI32+AH33-AQ32)))</f>
        <v>84.000000000000014</v>
      </c>
      <c r="AJ33" s="14">
        <f>AI33*VLOOKUP('Données projet'!$B$10,Paramètres!$A$1:$I$88,3,0)*VLOOKUP('Données projet'!$B$10,Paramètres!$A$1:$I$88,5,0)</f>
        <v>68.140800000000013</v>
      </c>
      <c r="AK33" s="14">
        <f t="shared" si="35"/>
        <v>19.211031830304478</v>
      </c>
      <c r="AL33" s="22">
        <f t="shared" si="4"/>
        <v>152.13777377111367</v>
      </c>
      <c r="AM33" s="60">
        <f t="shared" si="5"/>
        <v>445.47110710444701</v>
      </c>
      <c r="AN33" s="60">
        <f ca="1">AVERAGE(OFFSET($AM$3,0,0,'Données projet'!$E$10+1,1))-AVERAGE(OFFSET($H$3,0,0,'Données projet'!$E$10+1,1))</f>
        <v>55.581964048431473</v>
      </c>
      <c r="AO33" s="60">
        <f t="shared" si="36"/>
        <v>91.067506141193803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10</v>
      </c>
      <c r="AR33" s="17">
        <f>IF(ISNA(VLOOKUP(A33,'Données projet'!$A$61:$I$81,5,0)),0%,VLOOKUP(A33,'Données projet'!$A$61:$I$81,5,0)*VLOOKUP('Données projet'!$B$10,Paramètres!$A$1:$I$88,7,0))</f>
        <v>8.6000000000000007E-2</v>
      </c>
      <c r="AS33" s="17">
        <f>IF(ISNA(VLOOKUP(A33,'Données projet'!$A$61:$I$81,6,0)),0%,VLOOKUP(A33,'Données projet'!$A$61:$I$81,6,0)*VLOOKUP('Données projet'!$B$10,Paramètres!$A$1:$I$88,7,0))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projet'!$B$10,Paramètres!$A$1:$I$88,3,0)*0.475*44/12</f>
        <v>0.77121151181433112</v>
      </c>
      <c r="AV33" s="23">
        <f>EXP(-LN(2)/25)*AV32+(1-EXP(-LN(2)/25))/(LN(2)/25)*Calculateur!AQ33*Calculateur!AS33*VLOOKUP('Données projet'!$B$10,Paramètres!$A$1:$I$88,3,0)*0.475*44/12</f>
        <v>0</v>
      </c>
      <c r="AW33" s="23">
        <f>EXP(-LN(2)/2)*AW32+(1-EXP(-LN(2)/2))/(LN(2)/2)*AQ33*AT33*VLOOKUP('Données projet'!$B$10,Paramètres!$A$1:$I$88,3,0)*0.475*44/12</f>
        <v>0</v>
      </c>
      <c r="AX33" s="23">
        <f t="shared" si="6"/>
        <v>0.77121151181433112</v>
      </c>
      <c r="AY33" s="7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2.1607142857142856</v>
      </c>
      <c r="BD33" s="13">
        <f>IF('Données projet'!$A$88&gt;35,BD32+BC33-BL32,IF(A33&lt;'Données projet'!$A$88,$BA$205^A33,IF(A33='Données projet'!$A$88,'Données projet'!$B$88,BD32+BC33-BL32)))</f>
        <v>64.821428571428555</v>
      </c>
      <c r="BE33" s="14">
        <f>BD33*VLOOKUP('Données projet'!$B$11,Paramètres!$A$1:$I$88,3,0)*VLOOKUP('Données projet'!$B$11,Paramètres!$A$1:$I$88,5,0)</f>
        <v>65.728928571428554</v>
      </c>
      <c r="BF33" s="14">
        <f t="shared" si="37"/>
        <v>18.608945121034807</v>
      </c>
      <c r="BG33" s="22">
        <f t="shared" si="7"/>
        <v>146.88846334770702</v>
      </c>
      <c r="BH33" s="60">
        <f t="shared" si="8"/>
        <v>440.22179668104036</v>
      </c>
      <c r="BI33" s="60">
        <f ca="1">AVERAGE(OFFSET($BH$3,0,0,'Données projet'!$E$11+1,1))-AVERAGE(OFFSET($H$3,0,0,'Données projet'!$E$11+1,1))</f>
        <v>178.29366134936788</v>
      </c>
      <c r="BJ33" s="60">
        <f t="shared" si="38"/>
        <v>85.818195717787148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170</v>
      </c>
      <c r="BW33" s="13">
        <f>VLOOKUP(A33,'Données projet'!$A$113:$I$133,9,0)</f>
        <v>5.666666666666667</v>
      </c>
      <c r="BX33" s="13">
        <f t="array" ref="BX33">INDEX(BW:BW,MIN(IF(ISNUMBER(BW33:BW229),ROW(BW33:BW229),"")))</f>
        <v>5.666666666666667</v>
      </c>
      <c r="BY33" s="13">
        <f>IF('Données projet'!$A$114&gt;35,BY32+BX33-CG32,IF(A33&lt;'Données projet'!$A$114,$BV$205^A33,IF(A33='Données projet'!$A$114,'Données projet'!$B$114,BY32+BX33-CG32)))</f>
        <v>170</v>
      </c>
      <c r="BZ33" s="14">
        <f>BY33*VLOOKUP('Données projet'!$B$12,Paramètres!$A$1:$I$88,3,0)*VLOOKUP('Données projet'!$B$12,Paramètres!$A$1:$I$88,5,0)</f>
        <v>79.56</v>
      </c>
      <c r="CA33" s="14">
        <f t="shared" si="39"/>
        <v>22.029567333453311</v>
      </c>
      <c r="CB33" s="22">
        <f t="shared" si="10"/>
        <v>176.93516310576453</v>
      </c>
      <c r="CC33" s="60">
        <f t="shared" si="11"/>
        <v>470.26849643909782</v>
      </c>
      <c r="CD33" s="60">
        <f ca="1">AVERAGE(OFFSET($CC$3,0,0,'Données projet'!$E$12+1,1))-AVERAGE(OFFSET($H$3,0,0,'Données projet'!$E$12+1,1))</f>
        <v>104.00159056395933</v>
      </c>
      <c r="CE33" s="60">
        <f t="shared" si="40"/>
        <v>115.86489547584461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40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0.30800000000000005</v>
      </c>
      <c r="CJ33" s="17">
        <f>IF(ISNA(VLOOKUP(A33,'Données projet'!$A$113:$I$133,7,0)),0%,VLOOKUP(A33,'Données projet'!$A$113:$I$133,7,0))</f>
        <v>0.44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7.6185366162250032</v>
      </c>
      <c r="CM33" s="23">
        <f>EXP(-LN(2)/2)*CM32+(1-EXP(-LN(2)/2))/(LN(2)/2)*CG33*CJ33*VLOOKUP('Données projet'!$B$12,Paramètres!$A$1:$I$88,3,0)*0.475*44/12</f>
        <v>9.3259709882659934</v>
      </c>
      <c r="CN33" s="24">
        <f t="shared" si="12"/>
        <v>16.944507604490997</v>
      </c>
      <c r="CO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projet'!$B$13,Paramètres!$A$1:$I$88,3,0)*VLOOKUP('Données projet'!$B$13,Paramètres!$A$1:$I$88,5,0)</f>
        <v>#N/A</v>
      </c>
      <c r="CV33" s="14" t="e">
        <f t="shared" si="41"/>
        <v>#N/A</v>
      </c>
      <c r="CW33" s="22" t="e">
        <f t="shared" si="13"/>
        <v>#N/A</v>
      </c>
      <c r="CX33" s="60" t="e">
        <f t="shared" si="14"/>
        <v>#N/A</v>
      </c>
      <c r="CY33" s="60" t="e">
        <f ca="1">AVERAGE(OFFSET($CX$3,0,0,'Données projet'!$E$13+1,1))-AVERAGE(OFFSET($H$3,0,0,'Données projet'!$E$13+1,1))</f>
        <v>#N/A</v>
      </c>
      <c r="CZ33" s="60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projet'!$B$13,Paramètres!$A$1:$I$88,3,0)*0.475*44/12</f>
        <v>#N/A</v>
      </c>
      <c r="DG33" s="23" t="e">
        <f>EXP(-LN(2)/25)*DG32+(1-EXP(-LN(2)/25))/(LN(2)/25)*Calculateur!DB33*Calculateur!DD33*VLOOKUP('Données projet'!$B$13,Paramètres!$A$1:$I$88,3,0)*0.475*44/12</f>
        <v>#N/A</v>
      </c>
      <c r="DH33" s="23" t="e">
        <f>EXP(-LN(2)/2)*DH32+(1-EXP(-LN(2)/2))/(LN(2)/2)*DB33*DE33*VLOOKUP('Données projet'!$B$13,Paramètres!$A$1:$I$88,3,0)*0.475*44/12</f>
        <v>#N/A</v>
      </c>
      <c r="DI33" s="24" t="e">
        <f t="shared" si="15"/>
        <v>#N/A</v>
      </c>
      <c r="DJ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0" t="e">
        <f t="shared" si="17"/>
        <v>#N/A</v>
      </c>
      <c r="DT33" s="60" t="e">
        <f ca="1">AVERAGE(OFFSET($DS$3,0,0,'Données projet'!$E$14+1,1))-AVERAGE(OFFSET($H$3,0,0,'Données projet'!$E$14+1,1))</f>
        <v>#N/A</v>
      </c>
      <c r="DU33" s="60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4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27.56519999999999</v>
      </c>
      <c r="D34" s="12">
        <f t="shared" si="32"/>
        <v>8.6348575052881742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15.8</v>
      </c>
      <c r="N34" s="14">
        <f>IF('Données projet'!$A$36&gt;35,N33+M34-V33,IF(A34&lt;'Données projet'!$A$36,$K$205^A34,IF(A34='Données projet'!$A$36,'Données projet'!$B$36,N33+M34-V33)))</f>
        <v>172.79999999999998</v>
      </c>
      <c r="O34" s="14">
        <f>N34*VLOOKUP('Données projet'!$B$9,Paramètres!$A$1:$I$88,3,0)*VLOOKUP('Données projet'!$B$9,Paramètres!$A$1:$I$88,5,0)</f>
        <v>103.3344</v>
      </c>
      <c r="P34" s="14">
        <f t="shared" si="33"/>
        <v>27.754849585752435</v>
      </c>
      <c r="Q34" s="22">
        <f t="shared" si="2"/>
        <v>228.31377636185218</v>
      </c>
      <c r="R34" s="60">
        <f t="shared" si="0"/>
        <v>521.64710969518546</v>
      </c>
      <c r="S34" s="60">
        <f ca="1">AVERAGE(OFFSET($R$3,0,0,'Données projet'!$E$9+1,1))-AVERAGE(OFFSET($H$3,0,0,'Données projet'!$E$9+1,1))</f>
        <v>181.84907943028196</v>
      </c>
      <c r="T34" s="60">
        <f t="shared" si="34"/>
        <v>199.66849909069458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2.8698225881457722</v>
      </c>
      <c r="AA34" s="23">
        <f>EXP(-LN(2)/25)*AA33+(1-EXP(-LN(2)/25))/(LN(2)/25)*Calculateur!V34*Calculateur!X34*VLOOKUP('Données projet'!$B$9,Paramètres!$A$1:$I$88,3,0)*0.475*44/12</f>
        <v>22.863913576236186</v>
      </c>
      <c r="AB34" s="23">
        <f>EXP(-LN(2)/2)*AB33+(1-EXP(-LN(2)/2))/(LN(2)/2)*V34*Y34*VLOOKUP('Données projet'!$B$9,Paramètres!$A$1:$I$88,3,0)*0.475*44/12</f>
        <v>8.7640541836181693</v>
      </c>
      <c r="AC34" s="24">
        <f t="shared" si="3"/>
        <v>34.49779034800013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79.000000000000014</v>
      </c>
      <c r="AJ34" s="14">
        <f>AI34*VLOOKUP('Données projet'!$B$10,Paramètres!$A$1:$I$88,3,0)*VLOOKUP('Données projet'!$B$10,Paramètres!$A$1:$I$88,5,0)</f>
        <v>64.084800000000016</v>
      </c>
      <c r="AK34" s="14">
        <f t="shared" si="35"/>
        <v>18.197042620605469</v>
      </c>
      <c r="AL34" s="22">
        <f t="shared" si="4"/>
        <v>143.30754256422122</v>
      </c>
      <c r="AM34" s="60">
        <f t="shared" si="5"/>
        <v>436.64087589755457</v>
      </c>
      <c r="AN34" s="60">
        <f ca="1">AVERAGE(OFFSET($AM$3,0,0,'Données projet'!$E$10+1,1))-AVERAGE(OFFSET($H$3,0,0,'Données projet'!$E$10+1,1))</f>
        <v>55.581964048431473</v>
      </c>
      <c r="AO34" s="60">
        <f t="shared" si="36"/>
        <v>91.067506141193803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0.7560885244602269</v>
      </c>
      <c r="AV34" s="23">
        <f>EXP(-LN(2)/25)*AV33+(1-EXP(-LN(2)/25))/(LN(2)/25)*Calculateur!AQ34*Calculateur!AS34*VLOOKUP('Données projet'!$B$10,Paramètres!$A$1:$I$88,3,0)*0.475*44/12</f>
        <v>0</v>
      </c>
      <c r="AW34" s="23">
        <f>EXP(-LN(2)/2)*AW33+(1-EXP(-LN(2)/2))/(LN(2)/2)*AQ34*AT34*VLOOKUP('Données projet'!$B$10,Paramètres!$A$1:$I$88,3,0)*0.475*44/12</f>
        <v>0</v>
      </c>
      <c r="AX34" s="23">
        <f t="shared" si="6"/>
        <v>0.7560885244602269</v>
      </c>
      <c r="AY34" s="7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2.1607142857142856</v>
      </c>
      <c r="BD34" s="13">
        <f>IF('Données projet'!$A$88&gt;35,BD33+BC34-BL33,IF(A34&lt;'Données projet'!$A$88,$BA$205^A34,IF(A34='Données projet'!$A$88,'Données projet'!$B$88,BD33+BC34-BL33)))</f>
        <v>66.982142857142847</v>
      </c>
      <c r="BE34" s="14">
        <f>BD34*VLOOKUP('Données projet'!$B$11,Paramètres!$A$1:$I$88,3,0)*VLOOKUP('Données projet'!$B$11,Paramètres!$A$1:$I$88,5,0)</f>
        <v>67.919892857142855</v>
      </c>
      <c r="BF34" s="14">
        <f t="shared" si="37"/>
        <v>19.155990241279717</v>
      </c>
      <c r="BG34" s="22">
        <f t="shared" si="7"/>
        <v>151.65716306308596</v>
      </c>
      <c r="BH34" s="60">
        <f t="shared" si="8"/>
        <v>444.9904963964193</v>
      </c>
      <c r="BI34" s="60">
        <f ca="1">AVERAGE(OFFSET($BH$3,0,0,'Données projet'!$E$11+1,1))-AVERAGE(OFFSET($H$3,0,0,'Données projet'!$E$11+1,1))</f>
        <v>178.29366134936788</v>
      </c>
      <c r="BJ34" s="60">
        <f t="shared" si="38"/>
        <v>85.818195717787148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</v>
      </c>
      <c r="BY34" s="13">
        <f>IF('Données projet'!$A$114&gt;35,BY33+BX34-CG33,IF(A34&lt;'Données projet'!$A$114,$BV$205^A34,IF(A34='Données projet'!$A$114,'Données projet'!$B$114,BY33+BX34-CG33)))</f>
        <v>140</v>
      </c>
      <c r="BZ34" s="14">
        <f>BY34*VLOOKUP('Données projet'!$B$12,Paramètres!$A$1:$I$88,3,0)*VLOOKUP('Données projet'!$B$12,Paramètres!$A$1:$I$88,5,0)</f>
        <v>65.52</v>
      </c>
      <c r="CA34" s="14">
        <f t="shared" si="39"/>
        <v>18.556669503136725</v>
      </c>
      <c r="CB34" s="22">
        <f t="shared" si="10"/>
        <v>146.43353271796309</v>
      </c>
      <c r="CC34" s="60">
        <f t="shared" si="11"/>
        <v>439.7668660512964</v>
      </c>
      <c r="CD34" s="60">
        <f ca="1">AVERAGE(OFFSET($CC$3,0,0,'Données projet'!$E$12+1,1))-AVERAGE(OFFSET($H$3,0,0,'Données projet'!$E$12+1,1))</f>
        <v>104.00159056395933</v>
      </c>
      <c r="CE34" s="60">
        <f t="shared" si="40"/>
        <v>115.86489547584461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7.4102073318129023</v>
      </c>
      <c r="CM34" s="23">
        <f>EXP(-LN(2)/2)*CM33+(1-EXP(-LN(2)/2))/(LN(2)/2)*CG34*CJ34*VLOOKUP('Données projet'!$B$12,Paramètres!$A$1:$I$88,3,0)*0.475*44/12</f>
        <v>6.5944573269518925</v>
      </c>
      <c r="CN34" s="24">
        <f t="shared" si="12"/>
        <v>14.004664658764796</v>
      </c>
      <c r="CO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projet'!$B$13,Paramètres!$A$1:$I$88,3,0)*VLOOKUP('Données projet'!$B$13,Paramètres!$A$1:$I$88,5,0)</f>
        <v>#N/A</v>
      </c>
      <c r="CV34" s="14" t="e">
        <f t="shared" si="41"/>
        <v>#N/A</v>
      </c>
      <c r="CW34" s="22" t="e">
        <f t="shared" si="13"/>
        <v>#N/A</v>
      </c>
      <c r="CX34" s="60" t="e">
        <f t="shared" si="14"/>
        <v>#N/A</v>
      </c>
      <c r="CY34" s="60" t="e">
        <f ca="1">AVERAGE(OFFSET($CX$3,0,0,'Données projet'!$E$13+1,1))-AVERAGE(OFFSET($H$3,0,0,'Données projet'!$E$13+1,1))</f>
        <v>#N/A</v>
      </c>
      <c r="CZ34" s="60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projet'!$B$13,Paramètres!$A$1:$I$88,3,0)*0.475*44/12</f>
        <v>#N/A</v>
      </c>
      <c r="DG34" s="23" t="e">
        <f>EXP(-LN(2)/25)*DG33+(1-EXP(-LN(2)/25))/(LN(2)/25)*Calculateur!DB34*Calculateur!DD34*VLOOKUP('Données projet'!$B$13,Paramètres!$A$1:$I$88,3,0)*0.475*44/12</f>
        <v>#N/A</v>
      </c>
      <c r="DH34" s="23" t="e">
        <f>EXP(-LN(2)/2)*DH33+(1-EXP(-LN(2)/2))/(LN(2)/2)*DB34*DE34*VLOOKUP('Données projet'!$B$13,Paramètres!$A$1:$I$88,3,0)*0.475*44/12</f>
        <v>#N/A</v>
      </c>
      <c r="DI34" s="24" t="e">
        <f t="shared" si="15"/>
        <v>#N/A</v>
      </c>
      <c r="DJ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0" t="e">
        <f t="shared" si="17"/>
        <v>#N/A</v>
      </c>
      <c r="DT34" s="60" t="e">
        <f ca="1">AVERAGE(OFFSET($DS$3,0,0,'Données projet'!$E$14+1,1))-AVERAGE(OFFSET($H$3,0,0,'Données projet'!$E$14+1,1))</f>
        <v>#N/A</v>
      </c>
      <c r="DU34" s="60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4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28.454399999999989</v>
      </c>
      <c r="D35" s="12">
        <f t="shared" si="32"/>
        <v>8.8805221797401579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15.8</v>
      </c>
      <c r="N35" s="14">
        <f>IF('Données projet'!$A$36&gt;35,N34+M35-V34,IF(A35&lt;'Données projet'!$A$36,$K$205^A35,IF(A35='Données projet'!$A$36,'Données projet'!$B$36,N34+M35-V34)))</f>
        <v>188.6</v>
      </c>
      <c r="O35" s="14">
        <f>N35*VLOOKUP('Données projet'!$B$9,Paramètres!$A$1:$I$88,3,0)*VLOOKUP('Données projet'!$B$9,Paramètres!$A$1:$I$88,5,0)</f>
        <v>112.78280000000001</v>
      </c>
      <c r="P35" s="14">
        <f t="shared" si="33"/>
        <v>29.985677577796242</v>
      </c>
      <c r="Q35" s="22">
        <f t="shared" ref="Q35:Q66" si="53">(O35+P35)*0.475*44/12</f>
        <v>248.65509844799513</v>
      </c>
      <c r="R35" s="60">
        <f t="shared" si="0"/>
        <v>541.98843178132847</v>
      </c>
      <c r="S35" s="60">
        <f ca="1">AVERAGE(OFFSET($R$3,0,0,'Données projet'!$E$9+1,1))-AVERAGE(OFFSET($H$3,0,0,'Données projet'!$E$9+1,1))</f>
        <v>181.84907943028196</v>
      </c>
      <c r="T35" s="60">
        <f t="shared" si="34"/>
        <v>199.66849909069458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2.813547117611173</v>
      </c>
      <c r="AA35" s="23">
        <f>EXP(-LN(2)/25)*AA34+(1-EXP(-LN(2)/25))/(LN(2)/25)*Calculateur!V35*Calculateur!X35*VLOOKUP('Données projet'!$B$9,Paramètres!$A$1:$I$88,3,0)*0.475*44/12</f>
        <v>22.23869865713305</v>
      </c>
      <c r="AB35" s="23">
        <f>EXP(-LN(2)/2)*AB34+(1-EXP(-LN(2)/2))/(LN(2)/2)*V35*Y35*VLOOKUP('Données projet'!$B$9,Paramètres!$A$1:$I$88,3,0)*0.475*44/12</f>
        <v>6.1971221439227397</v>
      </c>
      <c r="AC35" s="24">
        <f t="shared" si="3"/>
        <v>31.249367918666962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84.000000000000014</v>
      </c>
      <c r="AJ35" s="14">
        <f>AI35*VLOOKUP('Données projet'!$B$10,Paramètres!$A$1:$I$88,3,0)*VLOOKUP('Données projet'!$B$10,Paramètres!$A$1:$I$88,5,0)</f>
        <v>68.140800000000013</v>
      </c>
      <c r="AK35" s="14">
        <f t="shared" si="35"/>
        <v>19.211031830304478</v>
      </c>
      <c r="AL35" s="22">
        <f t="shared" si="4"/>
        <v>152.13777377111367</v>
      </c>
      <c r="AM35" s="60">
        <f t="shared" si="5"/>
        <v>445.47110710444701</v>
      </c>
      <c r="AN35" s="60">
        <f ca="1">AVERAGE(OFFSET($AM$3,0,0,'Données projet'!$E$10+1,1))-AVERAGE(OFFSET($H$3,0,0,'Données projet'!$E$10+1,1))</f>
        <v>55.581964048431473</v>
      </c>
      <c r="AO35" s="60">
        <f t="shared" si="36"/>
        <v>91.067506141193803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0.74126208966402518</v>
      </c>
      <c r="AV35" s="23">
        <f>EXP(-LN(2)/25)*AV34+(1-EXP(-LN(2)/25))/(LN(2)/25)*Calculateur!AQ35*Calculateur!AS35*VLOOKUP('Données projet'!$B$10,Paramètres!$A$1:$I$88,3,0)*0.475*44/12</f>
        <v>0</v>
      </c>
      <c r="AW35" s="23">
        <f>EXP(-LN(2)/2)*AW34+(1-EXP(-LN(2)/2))/(LN(2)/2)*AQ35*AT35*VLOOKUP('Données projet'!$B$10,Paramètres!$A$1:$I$88,3,0)*0.475*44/12</f>
        <v>0</v>
      </c>
      <c r="AX35" s="23">
        <f t="shared" si="6"/>
        <v>0.74126208966402518</v>
      </c>
      <c r="AY35" s="7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2.1607142857142856</v>
      </c>
      <c r="BD35" s="13">
        <f>IF('Données projet'!$A$88&gt;35,BD34+BC35-BL34,IF(A35&lt;'Données projet'!$A$88,$BA$205^A35,IF(A35='Données projet'!$A$88,'Données projet'!$B$88,BD34+BC35-BL34)))</f>
        <v>69.142857142857139</v>
      </c>
      <c r="BE35" s="14">
        <f>BD35*VLOOKUP('Données projet'!$B$11,Paramètres!$A$1:$I$88,3,0)*VLOOKUP('Données projet'!$B$11,Paramètres!$A$1:$I$88,5,0)</f>
        <v>70.110857142857142</v>
      </c>
      <c r="BF35" s="14">
        <f t="shared" si="37"/>
        <v>19.700984771131239</v>
      </c>
      <c r="BG35" s="22">
        <f t="shared" si="7"/>
        <v>156.42229133352976</v>
      </c>
      <c r="BH35" s="60">
        <f t="shared" si="8"/>
        <v>449.75562466686307</v>
      </c>
      <c r="BI35" s="60">
        <f ca="1">AVERAGE(OFFSET($BH$3,0,0,'Données projet'!$E$11+1,1))-AVERAGE(OFFSET($H$3,0,0,'Données projet'!$E$11+1,1))</f>
        <v>178.29366134936788</v>
      </c>
      <c r="BJ35" s="60">
        <f t="shared" si="38"/>
        <v>85.818195717787148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</v>
      </c>
      <c r="BY35" s="13">
        <f>IF('Données projet'!$A$114&gt;35,BY34+BX35-CG34,IF(A35&lt;'Données projet'!$A$114,$BV$205^A35,IF(A35='Données projet'!$A$114,'Données projet'!$B$114,BY34+BX35-CG34)))</f>
        <v>150</v>
      </c>
      <c r="BZ35" s="14">
        <f>BY35*VLOOKUP('Données projet'!$B$12,Paramètres!$A$1:$I$88,3,0)*VLOOKUP('Données projet'!$B$12,Paramètres!$A$1:$I$88,5,0)</f>
        <v>70.2</v>
      </c>
      <c r="CA35" s="14">
        <f t="shared" si="39"/>
        <v>19.723116370112194</v>
      </c>
      <c r="CB35" s="22">
        <f t="shared" si="10"/>
        <v>156.61609434461207</v>
      </c>
      <c r="CC35" s="60">
        <f t="shared" si="11"/>
        <v>449.94942767794538</v>
      </c>
      <c r="CD35" s="60">
        <f ca="1">AVERAGE(OFFSET($CC$3,0,0,'Données projet'!$E$12+1,1))-AVERAGE(OFFSET($H$3,0,0,'Données projet'!$E$12+1,1))</f>
        <v>104.00159056395933</v>
      </c>
      <c r="CE35" s="60">
        <f t="shared" si="40"/>
        <v>115.86489547584461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7.2075748226386107</v>
      </c>
      <c r="CM35" s="23">
        <f>EXP(-LN(2)/2)*CM34+(1-EXP(-LN(2)/2))/(LN(2)/2)*CG35*CJ35*VLOOKUP('Données projet'!$B$12,Paramètres!$A$1:$I$88,3,0)*0.475*44/12</f>
        <v>4.6629854941329976</v>
      </c>
      <c r="CN35" s="24">
        <f t="shared" si="12"/>
        <v>11.870560316771609</v>
      </c>
      <c r="CO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projet'!$B$13,Paramètres!$A$1:$I$88,3,0)*VLOOKUP('Données projet'!$B$13,Paramètres!$A$1:$I$88,5,0)</f>
        <v>#N/A</v>
      </c>
      <c r="CV35" s="14" t="e">
        <f t="shared" si="41"/>
        <v>#N/A</v>
      </c>
      <c r="CW35" s="22" t="e">
        <f t="shared" si="13"/>
        <v>#N/A</v>
      </c>
      <c r="CX35" s="60" t="e">
        <f t="shared" si="14"/>
        <v>#N/A</v>
      </c>
      <c r="CY35" s="60" t="e">
        <f ca="1">AVERAGE(OFFSET($CX$3,0,0,'Données projet'!$E$13+1,1))-AVERAGE(OFFSET($H$3,0,0,'Données projet'!$E$13+1,1))</f>
        <v>#N/A</v>
      </c>
      <c r="CZ35" s="60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projet'!$B$13,Paramètres!$A$1:$I$88,3,0)*0.475*44/12</f>
        <v>#N/A</v>
      </c>
      <c r="DG35" s="23" t="e">
        <f>EXP(-LN(2)/25)*DG34+(1-EXP(-LN(2)/25))/(LN(2)/25)*Calculateur!DB35*Calculateur!DD35*VLOOKUP('Données projet'!$B$13,Paramètres!$A$1:$I$88,3,0)*0.475*44/12</f>
        <v>#N/A</v>
      </c>
      <c r="DH35" s="23" t="e">
        <f>EXP(-LN(2)/2)*DH34+(1-EXP(-LN(2)/2))/(LN(2)/2)*DB35*DE35*VLOOKUP('Données projet'!$B$13,Paramètres!$A$1:$I$88,3,0)*0.475*44/12</f>
        <v>#N/A</v>
      </c>
      <c r="DI35" s="24" t="e">
        <f t="shared" si="15"/>
        <v>#N/A</v>
      </c>
      <c r="DJ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0" t="e">
        <f t="shared" si="17"/>
        <v>#N/A</v>
      </c>
      <c r="DT35" s="60" t="e">
        <f ca="1">AVERAGE(OFFSET($DS$3,0,0,'Données projet'!$E$14+1,1))-AVERAGE(OFFSET($H$3,0,0,'Données projet'!$E$14+1,1))</f>
        <v>#N/A</v>
      </c>
      <c r="DU35" s="60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4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29.343599999999988</v>
      </c>
      <c r="D36" s="12">
        <f t="shared" si="32"/>
        <v>9.1252947188023139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15.8</v>
      </c>
      <c r="N36" s="14">
        <f>IF('Données projet'!$A$36&gt;35,N35+M36-V35,IF(A36&lt;'Données projet'!$A$36,$K$205^A36,IF(A36='Données projet'!$A$36,'Données projet'!$B$36,N35+M36-V35)))</f>
        <v>204.4</v>
      </c>
      <c r="O36" s="14">
        <f>N36*VLOOKUP('Données projet'!$B$9,Paramètres!$A$1:$I$88,3,0)*VLOOKUP('Données projet'!$B$9,Paramètres!$A$1:$I$88,5,0)</f>
        <v>122.2312</v>
      </c>
      <c r="P36" s="14">
        <f t="shared" si="33"/>
        <v>32.194830780691696</v>
      </c>
      <c r="Q36" s="22">
        <f t="shared" si="53"/>
        <v>268.95867027637138</v>
      </c>
      <c r="R36" s="60">
        <f t="shared" si="0"/>
        <v>562.29200360970469</v>
      </c>
      <c r="S36" s="60">
        <f ca="1">AVERAGE(OFFSET($R$3,0,0,'Données projet'!$E$9+1,1))-AVERAGE(OFFSET($H$3,0,0,'Données projet'!$E$9+1,1))</f>
        <v>181.84907943028196</v>
      </c>
      <c r="T36" s="60">
        <f t="shared" si="34"/>
        <v>199.66849909069458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2.7583751747291094</v>
      </c>
      <c r="AA36" s="23">
        <f>EXP(-LN(2)/25)*AA35+(1-EXP(-LN(2)/25))/(LN(2)/25)*Calculateur!V36*Calculateur!X36*VLOOKUP('Données projet'!$B$9,Paramètres!$A$1:$I$88,3,0)*0.475*44/12</f>
        <v>21.630580272871413</v>
      </c>
      <c r="AB36" s="23">
        <f>EXP(-LN(2)/2)*AB35+(1-EXP(-LN(2)/2))/(LN(2)/2)*V36*Y36*VLOOKUP('Données projet'!$B$9,Paramètres!$A$1:$I$88,3,0)*0.475*44/12</f>
        <v>4.3820270918090856</v>
      </c>
      <c r="AC36" s="24">
        <f t="shared" si="3"/>
        <v>28.770982539409609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89.000000000000014</v>
      </c>
      <c r="AJ36" s="14">
        <f>AI36*VLOOKUP('Données projet'!$B$10,Paramètres!$A$1:$I$88,3,0)*VLOOKUP('Données projet'!$B$10,Paramètres!$A$1:$I$88,5,0)</f>
        <v>72.19680000000001</v>
      </c>
      <c r="AK36" s="14">
        <f t="shared" si="35"/>
        <v>20.218015459285922</v>
      </c>
      <c r="AL36" s="22">
        <f t="shared" si="4"/>
        <v>160.95580359158967</v>
      </c>
      <c r="AM36" s="60">
        <f t="shared" si="5"/>
        <v>454.28913692492301</v>
      </c>
      <c r="AN36" s="60">
        <f ca="1">AVERAGE(OFFSET($AM$3,0,0,'Données projet'!$E$10+1,1))-AVERAGE(OFFSET($H$3,0,0,'Données projet'!$E$10+1,1))</f>
        <v>55.581964048431473</v>
      </c>
      <c r="AO36" s="60">
        <f t="shared" si="36"/>
        <v>91.067506141193803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0.7267263922109447</v>
      </c>
      <c r="AV36" s="23">
        <f>EXP(-LN(2)/25)*AV35+(1-EXP(-LN(2)/25))/(LN(2)/25)*Calculateur!AQ36*Calculateur!AS36*VLOOKUP('Données projet'!$B$10,Paramètres!$A$1:$I$88,3,0)*0.475*44/12</f>
        <v>0</v>
      </c>
      <c r="AW36" s="23">
        <f>EXP(-LN(2)/2)*AW35+(1-EXP(-LN(2)/2))/(LN(2)/2)*AQ36*AT36*VLOOKUP('Données projet'!$B$10,Paramètres!$A$1:$I$88,3,0)*0.475*44/12</f>
        <v>0</v>
      </c>
      <c r="AX36" s="23">
        <f t="shared" si="6"/>
        <v>0.7267263922109447</v>
      </c>
      <c r="AY36" s="7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2.1607142857142856</v>
      </c>
      <c r="BD36" s="13">
        <f>IF('Données projet'!$A$88&gt;35,BD35+BC36-BL35,IF(A36&lt;'Données projet'!$A$88,$BA$205^A36,IF(A36='Données projet'!$A$88,'Données projet'!$B$88,BD35+BC36-BL35)))</f>
        <v>71.303571428571431</v>
      </c>
      <c r="BE36" s="14">
        <f>BD36*VLOOKUP('Données projet'!$B$11,Paramètres!$A$1:$I$88,3,0)*VLOOKUP('Données projet'!$B$11,Paramètres!$A$1:$I$88,5,0)</f>
        <v>72.301821428571444</v>
      </c>
      <c r="BF36" s="14">
        <f t="shared" si="37"/>
        <v>20.244000144197486</v>
      </c>
      <c r="BG36" s="22">
        <f t="shared" si="7"/>
        <v>161.18397257257254</v>
      </c>
      <c r="BH36" s="60">
        <f t="shared" si="8"/>
        <v>454.51730590590586</v>
      </c>
      <c r="BI36" s="60">
        <f ca="1">AVERAGE(OFFSET($BH$3,0,0,'Données projet'!$E$11+1,1))-AVERAGE(OFFSET($H$3,0,0,'Données projet'!$E$11+1,1))</f>
        <v>178.29366134936788</v>
      </c>
      <c r="BJ36" s="60">
        <f t="shared" si="38"/>
        <v>85.818195717787148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</v>
      </c>
      <c r="BY36" s="13">
        <f>IF('Données projet'!$A$114&gt;35,BY35+BX36-CG35,IF(A36&lt;'Données projet'!$A$114,$BV$205^A36,IF(A36='Données projet'!$A$114,'Données projet'!$B$114,BY35+BX36-CG35)))</f>
        <v>160</v>
      </c>
      <c r="BZ36" s="14">
        <f>BY36*VLOOKUP('Données projet'!$B$12,Paramètres!$A$1:$I$88,3,0)*VLOOKUP('Données projet'!$B$12,Paramètres!$A$1:$I$88,5,0)</f>
        <v>74.88</v>
      </c>
      <c r="CA36" s="14">
        <f t="shared" si="39"/>
        <v>20.880539585643231</v>
      </c>
      <c r="CB36" s="22">
        <f t="shared" si="10"/>
        <v>166.78293977832863</v>
      </c>
      <c r="CC36" s="60">
        <f t="shared" si="11"/>
        <v>460.11627311166194</v>
      </c>
      <c r="CD36" s="60">
        <f ca="1">AVERAGE(OFFSET($CC$3,0,0,'Données projet'!$E$12+1,1))-AVERAGE(OFFSET($H$3,0,0,'Données projet'!$E$12+1,1))</f>
        <v>104.00159056395933</v>
      </c>
      <c r="CE36" s="60">
        <f t="shared" si="40"/>
        <v>115.86489547584461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7.0104833100836714</v>
      </c>
      <c r="CM36" s="23">
        <f>EXP(-LN(2)/2)*CM35+(1-EXP(-LN(2)/2))/(LN(2)/2)*CG36*CJ36*VLOOKUP('Données projet'!$B$12,Paramètres!$A$1:$I$88,3,0)*0.475*44/12</f>
        <v>3.2972286634759471</v>
      </c>
      <c r="CN36" s="24">
        <f t="shared" si="12"/>
        <v>10.307711973559618</v>
      </c>
      <c r="CO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projet'!$B$13,Paramètres!$A$1:$I$88,3,0)*VLOOKUP('Données projet'!$B$13,Paramètres!$A$1:$I$88,5,0)</f>
        <v>#N/A</v>
      </c>
      <c r="CV36" s="14" t="e">
        <f t="shared" si="41"/>
        <v>#N/A</v>
      </c>
      <c r="CW36" s="22" t="e">
        <f t="shared" si="13"/>
        <v>#N/A</v>
      </c>
      <c r="CX36" s="60" t="e">
        <f t="shared" si="14"/>
        <v>#N/A</v>
      </c>
      <c r="CY36" s="60" t="e">
        <f ca="1">AVERAGE(OFFSET($CX$3,0,0,'Données projet'!$E$13+1,1))-AVERAGE(OFFSET($H$3,0,0,'Données projet'!$E$13+1,1))</f>
        <v>#N/A</v>
      </c>
      <c r="CZ36" s="60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projet'!$B$13,Paramètres!$A$1:$I$88,3,0)*0.475*44/12</f>
        <v>#N/A</v>
      </c>
      <c r="DG36" s="23" t="e">
        <f>EXP(-LN(2)/25)*DG35+(1-EXP(-LN(2)/25))/(LN(2)/25)*Calculateur!DB36*Calculateur!DD36*VLOOKUP('Données projet'!$B$13,Paramètres!$A$1:$I$88,3,0)*0.475*44/12</f>
        <v>#N/A</v>
      </c>
      <c r="DH36" s="23" t="e">
        <f>EXP(-LN(2)/2)*DH35+(1-EXP(-LN(2)/2))/(LN(2)/2)*DB36*DE36*VLOOKUP('Données projet'!$B$13,Paramètres!$A$1:$I$88,3,0)*0.475*44/12</f>
        <v>#N/A</v>
      </c>
      <c r="DI36" s="24" t="e">
        <f t="shared" si="15"/>
        <v>#N/A</v>
      </c>
      <c r="DJ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0" t="e">
        <f t="shared" si="17"/>
        <v>#N/A</v>
      </c>
      <c r="DT36" s="60" t="e">
        <f ca="1">AVERAGE(OFFSET($DS$3,0,0,'Données projet'!$E$14+1,1))-AVERAGE(OFFSET($H$3,0,0,'Données projet'!$E$14+1,1))</f>
        <v>#N/A</v>
      </c>
      <c r="DU36" s="60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4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30.232799999999987</v>
      </c>
      <c r="D37" s="12">
        <f t="shared" si="32"/>
        <v>9.3692052598737909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15.8</v>
      </c>
      <c r="N37" s="14">
        <f>IF('Données projet'!$A$36&gt;35,N36+M37-V36,IF(A37&lt;'Données projet'!$A$36,$K$205^A37,IF(A37='Données projet'!$A$36,'Données projet'!$B$36,N36+M37-V36)))</f>
        <v>220.20000000000002</v>
      </c>
      <c r="O37" s="14">
        <f>N37*VLOOKUP('Données projet'!$B$9,Paramètres!$A$1:$I$88,3,0)*VLOOKUP('Données projet'!$B$9,Paramètres!$A$1:$I$88,5,0)</f>
        <v>131.67960000000002</v>
      </c>
      <c r="P37" s="14">
        <f t="shared" si="33"/>
        <v>34.384175137529859</v>
      </c>
      <c r="Q37" s="22">
        <f t="shared" si="53"/>
        <v>289.22774169786459</v>
      </c>
      <c r="R37" s="60">
        <f t="shared" si="0"/>
        <v>582.5610750311979</v>
      </c>
      <c r="S37" s="60">
        <f ca="1">AVERAGE(OFFSET($R$3,0,0,'Données projet'!$E$9+1,1))-AVERAGE(OFFSET($H$3,0,0,'Données projet'!$E$9+1,1))</f>
        <v>181.84907943028196</v>
      </c>
      <c r="T37" s="60">
        <f t="shared" si="34"/>
        <v>199.66849909069458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2.7042851199954008</v>
      </c>
      <c r="AA37" s="23">
        <f>EXP(-LN(2)/25)*AA36+(1-EXP(-LN(2)/25))/(LN(2)/25)*Calculateur!V37*Calculateur!X37*VLOOKUP('Données projet'!$B$9,Paramètres!$A$1:$I$88,3,0)*0.475*44/12</f>
        <v>21.039090917806966</v>
      </c>
      <c r="AB37" s="23">
        <f>EXP(-LN(2)/2)*AB36+(1-EXP(-LN(2)/2))/(LN(2)/2)*V37*Y37*VLOOKUP('Données projet'!$B$9,Paramètres!$A$1:$I$88,3,0)*0.475*44/12</f>
        <v>3.0985610719613703</v>
      </c>
      <c r="AC37" s="24">
        <f t="shared" si="3"/>
        <v>26.841937109763737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94.000000000000014</v>
      </c>
      <c r="AJ37" s="14">
        <f>AI37*VLOOKUP('Données projet'!$B$10,Paramètres!$A$1:$I$88,3,0)*VLOOKUP('Données projet'!$B$10,Paramètres!$A$1:$I$88,5,0)</f>
        <v>76.252800000000022</v>
      </c>
      <c r="AK37" s="14">
        <f t="shared" si="35"/>
        <v>21.218431931642858</v>
      </c>
      <c r="AL37" s="22">
        <f t="shared" si="4"/>
        <v>169.76239561427801</v>
      </c>
      <c r="AM37" s="60">
        <f t="shared" si="5"/>
        <v>463.09572894761129</v>
      </c>
      <c r="AN37" s="60">
        <f ca="1">AVERAGE(OFFSET($AM$3,0,0,'Données projet'!$E$10+1,1))-AVERAGE(OFFSET($H$3,0,0,'Données projet'!$E$10+1,1))</f>
        <v>55.581964048431473</v>
      </c>
      <c r="AO37" s="60">
        <f t="shared" si="36"/>
        <v>91.067506141193803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0.71247573091901906</v>
      </c>
      <c r="AV37" s="23">
        <f>EXP(-LN(2)/25)*AV36+(1-EXP(-LN(2)/25))/(LN(2)/25)*Calculateur!AQ37*Calculateur!AS37*VLOOKUP('Données projet'!$B$10,Paramètres!$A$1:$I$88,3,0)*0.475*44/12</f>
        <v>0</v>
      </c>
      <c r="AW37" s="23">
        <f>EXP(-LN(2)/2)*AW36+(1-EXP(-LN(2)/2))/(LN(2)/2)*AQ37*AT37*VLOOKUP('Données projet'!$B$10,Paramètres!$A$1:$I$88,3,0)*0.475*44/12</f>
        <v>0</v>
      </c>
      <c r="AX37" s="23">
        <f t="shared" si="6"/>
        <v>0.71247573091901906</v>
      </c>
      <c r="AY37" s="7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2.1607142857142856</v>
      </c>
      <c r="BD37" s="13">
        <f>IF('Données projet'!$A$88&gt;35,BD36+BC37-BL36,IF(A37&lt;'Données projet'!$A$88,$BA$205^A37,IF(A37='Données projet'!$A$88,'Données projet'!$B$88,BD36+BC37-BL36)))</f>
        <v>73.464285714285722</v>
      </c>
      <c r="BE37" s="14">
        <f>BD37*VLOOKUP('Données projet'!$B$11,Paramètres!$A$1:$I$88,3,0)*VLOOKUP('Données projet'!$B$11,Paramètres!$A$1:$I$88,5,0)</f>
        <v>74.492785714285731</v>
      </c>
      <c r="BF37" s="14">
        <f t="shared" si="37"/>
        <v>20.785103218758831</v>
      </c>
      <c r="BG37" s="22">
        <f t="shared" si="7"/>
        <v>165.9423232250526</v>
      </c>
      <c r="BH37" s="60">
        <f t="shared" si="8"/>
        <v>459.27565655838589</v>
      </c>
      <c r="BI37" s="60">
        <f ca="1">AVERAGE(OFFSET($BH$3,0,0,'Données projet'!$E$11+1,1))-AVERAGE(OFFSET($H$3,0,0,'Données projet'!$E$11+1,1))</f>
        <v>178.29366134936788</v>
      </c>
      <c r="BJ37" s="60">
        <f t="shared" si="38"/>
        <v>85.818195717787148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</v>
      </c>
      <c r="BY37" s="13">
        <f>IF('Données projet'!$A$114&gt;35,BY36+BX37-CG36,IF(A37&lt;'Données projet'!$A$114,$BV$205^A37,IF(A37='Données projet'!$A$114,'Données projet'!$B$114,BY36+BX37-CG36)))</f>
        <v>170</v>
      </c>
      <c r="BZ37" s="14">
        <f>BY37*VLOOKUP('Données projet'!$B$12,Paramètres!$A$1:$I$88,3,0)*VLOOKUP('Données projet'!$B$12,Paramètres!$A$1:$I$88,5,0)</f>
        <v>79.56</v>
      </c>
      <c r="CA37" s="14">
        <f t="shared" si="39"/>
        <v>22.029567333453311</v>
      </c>
      <c r="CB37" s="22">
        <f t="shared" si="10"/>
        <v>176.93516310576453</v>
      </c>
      <c r="CC37" s="60">
        <f t="shared" si="11"/>
        <v>470.26849643909782</v>
      </c>
      <c r="CD37" s="60">
        <f ca="1">AVERAGE(OFFSET($CC$3,0,0,'Données projet'!$E$12+1,1))-AVERAGE(OFFSET($H$3,0,0,'Données projet'!$E$12+1,1))</f>
        <v>104.00159056395933</v>
      </c>
      <c r="CE37" s="60">
        <f t="shared" si="40"/>
        <v>115.86489547584461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6.818781275304139</v>
      </c>
      <c r="CM37" s="23">
        <f>EXP(-LN(2)/2)*CM36+(1-EXP(-LN(2)/2))/(LN(2)/2)*CG37*CJ37*VLOOKUP('Données projet'!$B$12,Paramètres!$A$1:$I$88,3,0)*0.475*44/12</f>
        <v>2.3314927470664992</v>
      </c>
      <c r="CN37" s="24">
        <f t="shared" si="12"/>
        <v>9.1502740223706382</v>
      </c>
      <c r="CO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projet'!$B$13,Paramètres!$A$1:$I$88,3,0)*VLOOKUP('Données projet'!$B$13,Paramètres!$A$1:$I$88,5,0)</f>
        <v>#N/A</v>
      </c>
      <c r="CV37" s="14" t="e">
        <f t="shared" si="41"/>
        <v>#N/A</v>
      </c>
      <c r="CW37" s="22" t="e">
        <f t="shared" si="13"/>
        <v>#N/A</v>
      </c>
      <c r="CX37" s="60" t="e">
        <f t="shared" si="14"/>
        <v>#N/A</v>
      </c>
      <c r="CY37" s="60" t="e">
        <f ca="1">AVERAGE(OFFSET($CX$3,0,0,'Données projet'!$E$13+1,1))-AVERAGE(OFFSET($H$3,0,0,'Données projet'!$E$13+1,1))</f>
        <v>#N/A</v>
      </c>
      <c r="CZ37" s="60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projet'!$B$13,Paramètres!$A$1:$I$88,3,0)*0.475*44/12</f>
        <v>#N/A</v>
      </c>
      <c r="DG37" s="23" t="e">
        <f>EXP(-LN(2)/25)*DG36+(1-EXP(-LN(2)/25))/(LN(2)/25)*Calculateur!DB37*Calculateur!DD37*VLOOKUP('Données projet'!$B$13,Paramètres!$A$1:$I$88,3,0)*0.475*44/12</f>
        <v>#N/A</v>
      </c>
      <c r="DH37" s="23" t="e">
        <f>EXP(-LN(2)/2)*DH36+(1-EXP(-LN(2)/2))/(LN(2)/2)*DB37*DE37*VLOOKUP('Données projet'!$B$13,Paramètres!$A$1:$I$88,3,0)*0.475*44/12</f>
        <v>#N/A</v>
      </c>
      <c r="DI37" s="24" t="e">
        <f t="shared" si="15"/>
        <v>#N/A</v>
      </c>
      <c r="DJ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0" t="e">
        <f t="shared" si="17"/>
        <v>#N/A</v>
      </c>
      <c r="DT37" s="60" t="e">
        <f ca="1">AVERAGE(OFFSET($DS$3,0,0,'Données projet'!$E$14+1,1))-AVERAGE(OFFSET($H$3,0,0,'Données projet'!$E$14+1,1))</f>
        <v>#N/A</v>
      </c>
      <c r="DU37" s="60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4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31.121999999999986</v>
      </c>
      <c r="D38" s="12">
        <f t="shared" si="32"/>
        <v>9.612282066778798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236</v>
      </c>
      <c r="L38" s="13">
        <f>VLOOKUP(A38,'Données projet'!$A$35:$I$55,9,0)</f>
        <v>15.8</v>
      </c>
      <c r="M38" s="13">
        <f t="array" ref="M38">INDEX(L:L,MIN(IF(ISNUMBER(L38:L234),ROW(L38:L234),"")))</f>
        <v>15.8</v>
      </c>
      <c r="N38" s="14">
        <f>IF('Données projet'!$A$36&gt;35,N37+M38-V37,IF(A38&lt;'Données projet'!$A$36,$K$205^A38,IF(A38='Données projet'!$A$36,'Données projet'!$B$36,N37+M38-V37)))</f>
        <v>236.00000000000003</v>
      </c>
      <c r="O38" s="14">
        <f>N38*VLOOKUP('Données projet'!$B$9,Paramètres!$A$1:$I$88,3,0)*VLOOKUP('Données projet'!$B$9,Paramètres!$A$1:$I$88,5,0)</f>
        <v>141.12800000000001</v>
      </c>
      <c r="P38" s="14">
        <f t="shared" si="33"/>
        <v>36.55529364228574</v>
      </c>
      <c r="Q38" s="22">
        <f t="shared" si="53"/>
        <v>309.46506976031435</v>
      </c>
      <c r="R38" s="60">
        <f t="shared" si="0"/>
        <v>602.79840309364772</v>
      </c>
      <c r="S38" s="60">
        <f ca="1">AVERAGE(OFFSET($R$3,0,0,'Données projet'!$E$9+1,1))-AVERAGE(OFFSET($H$3,0,0,'Données projet'!$E$9+1,1))</f>
        <v>181.84907943028196</v>
      </c>
      <c r="T38" s="60">
        <f t="shared" si="34"/>
        <v>199.66849909069458</v>
      </c>
      <c r="U38" s="16">
        <f>IF(ISNA(VLOOKUP(A38,'Données projet'!$A$35:$I$55,3,0)),0,VLOOKUP(A38,'Données projet'!$A$35:$I$55,3,0))</f>
        <v>5</v>
      </c>
      <c r="V38" s="16">
        <f>IF(ISNA(VLOOKUP(A38,'Données projet'!$A$35:$I$55,4,0)),0,VLOOKUP(A38,'Données projet'!$A$35:$I$55,4,0))</f>
        <v>40</v>
      </c>
      <c r="W38" s="17">
        <f>IF(ISNA(VLOOKUP(A38,'Données projet'!$A$35:$I$55,5,0)),0%,VLOOKUP(A38,'Données projet'!$A$35:$I$55,5,0)*VLOOKUP('Données projet'!$B$9,Paramètres!$A$1:$I$88,7,0))</f>
        <v>0.13500000000000001</v>
      </c>
      <c r="X38" s="17">
        <f>IF(ISNA(VLOOKUP(A38,'Données projet'!$A$35:$I$55,6,0)),0%,VLOOKUP(A38,'Données projet'!$A$35:$I$55,6,0)*VLOOKUP('Données projet'!$B$9,Paramètres!$A$1:$I$88,7,0))</f>
        <v>0.1764</v>
      </c>
      <c r="Y38" s="17">
        <f>IF(ISNA(VLOOKUP(A38,'Données projet'!$A$35:$I$55,7,0)),0%,VLOOKUP(A38,'Données projet'!$A$35:$I$55,7,0))</f>
        <v>0.308</v>
      </c>
      <c r="Z38" s="23">
        <f>EXP(-LN(2)/35)*Z37+(1-EXP(-LN(2)/35))/(LN(2)/35)*V38*W38*VLOOKUP('Données projet'!$B$9,Paramètres!$A$1:$I$88,3,0)*0.475*44/12</f>
        <v>6.9349976777487088</v>
      </c>
      <c r="AA38" s="23">
        <f>EXP(-LN(2)/25)*AA37+(1-EXP(-LN(2)/25))/(LN(2)/25)*Calculateur!V38*Calculateur!X38*VLOOKUP('Données projet'!$B$9,Paramètres!$A$1:$I$88,3,0)*0.475*44/12</f>
        <v>26.039159484862857</v>
      </c>
      <c r="AB38" s="23">
        <f>EXP(-LN(2)/2)*AB37+(1-EXP(-LN(2)/2))/(LN(2)/2)*V38*Y38*VLOOKUP('Données projet'!$B$9,Paramètres!$A$1:$I$88,3,0)*0.475*44/12</f>
        <v>10.532576485409127</v>
      </c>
      <c r="AC38" s="24">
        <f t="shared" si="3"/>
        <v>43.506733648020699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99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99.000000000000014</v>
      </c>
      <c r="AJ38" s="14">
        <f>AI38*VLOOKUP('Données projet'!$B$10,Paramètres!$A$1:$I$88,3,0)*VLOOKUP('Données projet'!$B$10,Paramètres!$A$1:$I$88,5,0)</f>
        <v>80.308800000000019</v>
      </c>
      <c r="AK38" s="14">
        <f t="shared" si="35"/>
        <v>22.212670396389239</v>
      </c>
      <c r="AL38" s="22">
        <f t="shared" si="4"/>
        <v>178.55822760704461</v>
      </c>
      <c r="AM38" s="60">
        <f t="shared" si="5"/>
        <v>471.89156094037793</v>
      </c>
      <c r="AN38" s="60">
        <f ca="1">AVERAGE(OFFSET($AM$3,0,0,'Données projet'!$E$10+1,1))-AVERAGE(OFFSET($H$3,0,0,'Données projet'!$E$10+1,1))</f>
        <v>55.581964048431473</v>
      </c>
      <c r="AO38" s="60">
        <f t="shared" si="36"/>
        <v>91.067506141193803</v>
      </c>
      <c r="AP38" s="16">
        <f>IF(ISNA(VLOOKUP(A38,'Données projet'!$A$61:$I$81,3,0)),0,VLOOKUP(A38,'Données projet'!$A$61:$I$81,3,0))</f>
        <v>5</v>
      </c>
      <c r="AQ38" s="16">
        <f>IF(ISNA(VLOOKUP(A38,'Données projet'!$A$61:$I$81,4,0)),0,VLOOKUP(A38,'Données projet'!$A$61:$I$81,4,0))</f>
        <v>10</v>
      </c>
      <c r="AR38" s="17">
        <f>IF(ISNA(VLOOKUP(A38,'Données projet'!$A$61:$I$81,5,0)),0%,VLOOKUP(A38,'Données projet'!$A$61:$I$81,5,0)*VLOOKUP('Données projet'!$B$10,Paramètres!$A$1:$I$88,7,0))</f>
        <v>0.17200000000000001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2.2409275400316453</v>
      </c>
      <c r="AV38" s="23">
        <f>EXP(-LN(2)/25)*AV37+(1-EXP(-LN(2)/25))/(LN(2)/25)*Calculateur!AQ38*Calculateur!AS38*VLOOKUP('Données projet'!$B$10,Paramètres!$A$1:$I$88,3,0)*0.475*44/12</f>
        <v>0</v>
      </c>
      <c r="AW38" s="23">
        <f>EXP(-LN(2)/2)*AW37+(1-EXP(-LN(2)/2))/(LN(2)/2)*AQ38*AT38*VLOOKUP('Données projet'!$B$10,Paramètres!$A$1:$I$88,3,0)*0.475*44/12</f>
        <v>0</v>
      </c>
      <c r="AX38" s="23">
        <f t="shared" si="6"/>
        <v>2.2409275400316453</v>
      </c>
      <c r="AY38" s="7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2.1607142857142856</v>
      </c>
      <c r="BD38" s="13">
        <f>IF('Données projet'!$A$88&gt;35,BD37+BC38-BL37,IF(A38&lt;'Données projet'!$A$88,$BA$205^A38,IF(A38='Données projet'!$A$88,'Données projet'!$B$88,BD37+BC38-BL37)))</f>
        <v>75.625000000000014</v>
      </c>
      <c r="BE38" s="14">
        <f>BD38*VLOOKUP('Données projet'!$B$11,Paramètres!$A$1:$I$88,3,0)*VLOOKUP('Données projet'!$B$11,Paramètres!$A$1:$I$88,5,0)</f>
        <v>76.683750000000032</v>
      </c>
      <c r="BF38" s="14">
        <f t="shared" si="37"/>
        <v>21.324356696665347</v>
      </c>
      <c r="BG38" s="22">
        <f t="shared" si="7"/>
        <v>170.69745249669219</v>
      </c>
      <c r="BH38" s="60">
        <f t="shared" si="8"/>
        <v>464.03078583002548</v>
      </c>
      <c r="BI38" s="60">
        <f ca="1">AVERAGE(OFFSET($BH$3,0,0,'Données projet'!$E$11+1,1))-AVERAGE(OFFSET($H$3,0,0,'Données projet'!$E$11+1,1))</f>
        <v>178.29366134936788</v>
      </c>
      <c r="BJ38" s="60">
        <f t="shared" si="38"/>
        <v>85.818195717787148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</v>
      </c>
      <c r="BY38" s="13">
        <f>IF('Données projet'!$A$114&gt;35,BY37+BX38-CG37,IF(A38&lt;'Données projet'!$A$114,$BV$205^A38,IF(A38='Données projet'!$A$114,'Données projet'!$B$114,BY37+BX38-CG37)))</f>
        <v>180</v>
      </c>
      <c r="BZ38" s="14">
        <f>BY38*VLOOKUP('Données projet'!$B$12,Paramètres!$A$1:$I$88,3,0)*VLOOKUP('Données projet'!$B$12,Paramètres!$A$1:$I$88,5,0)</f>
        <v>84.24</v>
      </c>
      <c r="CA38" s="14">
        <f t="shared" si="39"/>
        <v>23.170749718409468</v>
      </c>
      <c r="CB38" s="22">
        <f t="shared" si="10"/>
        <v>187.07372242622981</v>
      </c>
      <c r="CC38" s="60">
        <f t="shared" si="11"/>
        <v>480.40705575956315</v>
      </c>
      <c r="CD38" s="60">
        <f ca="1">AVERAGE(OFFSET($CC$3,0,0,'Données projet'!$E$12+1,1))-AVERAGE(OFFSET($H$3,0,0,'Données projet'!$E$12+1,1))</f>
        <v>104.00159056395933</v>
      </c>
      <c r="CE38" s="60">
        <f t="shared" si="40"/>
        <v>115.86489547584461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6.6323213427468248</v>
      </c>
      <c r="CM38" s="23">
        <f>EXP(-LN(2)/2)*CM37+(1-EXP(-LN(2)/2))/(LN(2)/2)*CG38*CJ38*VLOOKUP('Données projet'!$B$12,Paramètres!$A$1:$I$88,3,0)*0.475*44/12</f>
        <v>1.6486143317379738</v>
      </c>
      <c r="CN38" s="24">
        <f t="shared" si="12"/>
        <v>8.2809356744847982</v>
      </c>
      <c r="CO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projet'!$B$13,Paramètres!$A$1:$I$88,3,0)*VLOOKUP('Données projet'!$B$13,Paramètres!$A$1:$I$88,5,0)</f>
        <v>#N/A</v>
      </c>
      <c r="CV38" s="14" t="e">
        <f t="shared" si="41"/>
        <v>#N/A</v>
      </c>
      <c r="CW38" s="22" t="e">
        <f t="shared" si="13"/>
        <v>#N/A</v>
      </c>
      <c r="CX38" s="60" t="e">
        <f t="shared" si="14"/>
        <v>#N/A</v>
      </c>
      <c r="CY38" s="60" t="e">
        <f ca="1">AVERAGE(OFFSET($CX$3,0,0,'Données projet'!$E$13+1,1))-AVERAGE(OFFSET($H$3,0,0,'Données projet'!$E$13+1,1))</f>
        <v>#N/A</v>
      </c>
      <c r="CZ38" s="60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projet'!$B$13,Paramètres!$A$1:$I$88,3,0)*0.475*44/12</f>
        <v>#N/A</v>
      </c>
      <c r="DG38" s="23" t="e">
        <f>EXP(-LN(2)/25)*DG37+(1-EXP(-LN(2)/25))/(LN(2)/25)*Calculateur!DB38*Calculateur!DD38*VLOOKUP('Données projet'!$B$13,Paramètres!$A$1:$I$88,3,0)*0.475*44/12</f>
        <v>#N/A</v>
      </c>
      <c r="DH38" s="23" t="e">
        <f>EXP(-LN(2)/2)*DH37+(1-EXP(-LN(2)/2))/(LN(2)/2)*DB38*DE38*VLOOKUP('Données projet'!$B$13,Paramètres!$A$1:$I$88,3,0)*0.475*44/12</f>
        <v>#N/A</v>
      </c>
      <c r="DI38" s="24" t="e">
        <f t="shared" si="15"/>
        <v>#N/A</v>
      </c>
      <c r="DJ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0" t="e">
        <f t="shared" si="17"/>
        <v>#N/A</v>
      </c>
      <c r="DT38" s="60" t="e">
        <f ca="1">AVERAGE(OFFSET($DS$3,0,0,'Données projet'!$E$14+1,1))-AVERAGE(OFFSET($H$3,0,0,'Données projet'!$E$14+1,1))</f>
        <v>#N/A</v>
      </c>
      <c r="DU38" s="60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4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32.011199999999988</v>
      </c>
      <c r="D39" s="12">
        <f t="shared" si="32"/>
        <v>9.8545516964045738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15.4</v>
      </c>
      <c r="N39" s="14">
        <f>IF('Données projet'!$A$36&gt;35,N38+M39-V38,IF(A39&lt;'Données projet'!$A$36,$K$205^A39,IF(A39='Données projet'!$A$36,'Données projet'!$B$36,N38+M39-V38)))</f>
        <v>211.40000000000003</v>
      </c>
      <c r="O39" s="14">
        <f>N39*VLOOKUP('Données projet'!$B$9,Paramètres!$A$1:$I$88,3,0)*VLOOKUP('Données projet'!$B$9,Paramètres!$A$1:$I$88,5,0)</f>
        <v>126.41720000000002</v>
      </c>
      <c r="P39" s="14">
        <f t="shared" si="33"/>
        <v>33.167137712095801</v>
      </c>
      <c r="Q39" s="22">
        <f t="shared" si="53"/>
        <v>277.94272151523359</v>
      </c>
      <c r="R39" s="60">
        <f t="shared" si="0"/>
        <v>571.2760548485669</v>
      </c>
      <c r="S39" s="60">
        <f ca="1">AVERAGE(OFFSET($R$3,0,0,'Données projet'!$E$9+1,1))-AVERAGE(OFFSET($H$3,0,0,'Données projet'!$E$9+1,1))</f>
        <v>181.84907943028196</v>
      </c>
      <c r="T39" s="60">
        <f t="shared" si="34"/>
        <v>199.66849909069458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6.7990066032189693</v>
      </c>
      <c r="AA39" s="23">
        <f>EXP(-LN(2)/25)*AA38+(1-EXP(-LN(2)/25))/(LN(2)/25)*Calculateur!V39*Calculateur!X39*VLOOKUP('Données projet'!$B$9,Paramètres!$A$1:$I$88,3,0)*0.475*44/12</f>
        <v>25.327117299409398</v>
      </c>
      <c r="AB39" s="23">
        <f>EXP(-LN(2)/2)*AB38+(1-EXP(-LN(2)/2))/(LN(2)/2)*V39*Y39*VLOOKUP('Données projet'!$B$9,Paramètres!$A$1:$I$88,3,0)*0.475*44/12</f>
        <v>7.4476562561987674</v>
      </c>
      <c r="AC39" s="24">
        <f t="shared" si="3"/>
        <v>39.573780158827134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4.8</v>
      </c>
      <c r="AI39" s="14">
        <f>IF('Données projet'!$A$62&gt;35,AI38+AH39-AQ38,IF(A39&lt;'Données projet'!$A$62,$AF$205^A39,IF(A39='Données projet'!$A$62,'Données projet'!$B$62,AI38+AH39-AQ38)))</f>
        <v>93.800000000000011</v>
      </c>
      <c r="AJ39" s="14">
        <f>AI39*VLOOKUP('Données projet'!$B$10,Paramètres!$A$1:$I$88,3,0)*VLOOKUP('Données projet'!$B$10,Paramètres!$A$1:$I$88,5,0)</f>
        <v>76.090560000000025</v>
      </c>
      <c r="AK39" s="14">
        <f t="shared" si="35"/>
        <v>21.178536336044917</v>
      </c>
      <c r="AL39" s="22">
        <f t="shared" si="4"/>
        <v>169.41034278527829</v>
      </c>
      <c r="AM39" s="60">
        <f t="shared" si="5"/>
        <v>462.74367611861157</v>
      </c>
      <c r="AN39" s="60">
        <f ca="1">AVERAGE(OFFSET($AM$3,0,0,'Données projet'!$E$10+1,1))-AVERAGE(OFFSET($H$3,0,0,'Données projet'!$E$10+1,1))</f>
        <v>55.581964048431473</v>
      </c>
      <c r="AO39" s="60">
        <f t="shared" si="36"/>
        <v>91.067506141193803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2.1969843178024608</v>
      </c>
      <c r="AV39" s="23">
        <f>EXP(-LN(2)/25)*AV38+(1-EXP(-LN(2)/25))/(LN(2)/25)*Calculateur!AQ39*Calculateur!AS39*VLOOKUP('Données projet'!$B$10,Paramètres!$A$1:$I$88,3,0)*0.475*44/12</f>
        <v>0</v>
      </c>
      <c r="AW39" s="23">
        <f>EXP(-LN(2)/2)*AW38+(1-EXP(-LN(2)/2))/(LN(2)/2)*AQ39*AT39*VLOOKUP('Données projet'!$B$10,Paramètres!$A$1:$I$88,3,0)*0.475*44/12</f>
        <v>0</v>
      </c>
      <c r="AX39" s="23">
        <f t="shared" si="6"/>
        <v>2.1969843178024608</v>
      </c>
      <c r="AY39" s="7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2.1607142857142856</v>
      </c>
      <c r="BD39" s="13">
        <f>IF('Données projet'!$A$88&gt;35,BD38+BC39-BL38,IF(A39&lt;'Données projet'!$A$88,$BA$205^A39,IF(A39='Données projet'!$A$88,'Données projet'!$B$88,BD38+BC39-BL38)))</f>
        <v>77.785714285714306</v>
      </c>
      <c r="BE39" s="14">
        <f>BD39*VLOOKUP('Données projet'!$B$11,Paramètres!$A$1:$I$88,3,0)*VLOOKUP('Données projet'!$B$11,Paramètres!$A$1:$I$88,5,0)</f>
        <v>78.874714285714305</v>
      </c>
      <c r="BF39" s="14">
        <f t="shared" si="37"/>
        <v>21.861819493014629</v>
      </c>
      <c r="BG39" s="22">
        <f t="shared" si="7"/>
        <v>175.44946299795288</v>
      </c>
      <c r="BH39" s="60">
        <f t="shared" si="8"/>
        <v>468.78279633128619</v>
      </c>
      <c r="BI39" s="60">
        <f ca="1">AVERAGE(OFFSET($BH$3,0,0,'Données projet'!$E$11+1,1))-AVERAGE(OFFSET($H$3,0,0,'Données projet'!$E$11+1,1))</f>
        <v>178.29366134936788</v>
      </c>
      <c r="BJ39" s="60">
        <f t="shared" si="38"/>
        <v>85.818195717787148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</v>
      </c>
      <c r="BY39" s="13">
        <f>IF('Données projet'!$A$114&gt;35,BY38+BX39-CG38,IF(A39&lt;'Données projet'!$A$114,$BV$205^A39,IF(A39='Données projet'!$A$114,'Données projet'!$B$114,BY38+BX39-CG38)))</f>
        <v>190</v>
      </c>
      <c r="BZ39" s="14">
        <f>BY39*VLOOKUP('Données projet'!$B$12,Paramètres!$A$1:$I$88,3,0)*VLOOKUP('Données projet'!$B$12,Paramètres!$A$1:$I$88,5,0)</f>
        <v>88.919999999999987</v>
      </c>
      <c r="CA39" s="14">
        <f t="shared" si="39"/>
        <v>24.30457227046648</v>
      </c>
      <c r="CB39" s="22">
        <f t="shared" si="10"/>
        <v>197.19946337106239</v>
      </c>
      <c r="CC39" s="60">
        <f t="shared" si="11"/>
        <v>490.53279670439571</v>
      </c>
      <c r="CD39" s="60">
        <f ca="1">AVERAGE(OFFSET($CC$3,0,0,'Données projet'!$E$12+1,1))-AVERAGE(OFFSET($H$3,0,0,'Données projet'!$E$12+1,1))</f>
        <v>104.00159056395933</v>
      </c>
      <c r="CE39" s="60">
        <f t="shared" si="40"/>
        <v>115.86489547584461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6.4509601668507921</v>
      </c>
      <c r="CM39" s="23">
        <f>EXP(-LN(2)/2)*CM38+(1-EXP(-LN(2)/2))/(LN(2)/2)*CG39*CJ39*VLOOKUP('Données projet'!$B$12,Paramètres!$A$1:$I$88,3,0)*0.475*44/12</f>
        <v>1.1657463735332498</v>
      </c>
      <c r="CN39" s="24">
        <f t="shared" si="12"/>
        <v>7.6167065403840422</v>
      </c>
      <c r="CO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projet'!$B$13,Paramètres!$A$1:$I$88,3,0)*VLOOKUP('Données projet'!$B$13,Paramètres!$A$1:$I$88,5,0)</f>
        <v>#N/A</v>
      </c>
      <c r="CV39" s="14" t="e">
        <f t="shared" si="41"/>
        <v>#N/A</v>
      </c>
      <c r="CW39" s="22" t="e">
        <f t="shared" si="13"/>
        <v>#N/A</v>
      </c>
      <c r="CX39" s="60" t="e">
        <f t="shared" si="14"/>
        <v>#N/A</v>
      </c>
      <c r="CY39" s="60" t="e">
        <f ca="1">AVERAGE(OFFSET($CX$3,0,0,'Données projet'!$E$13+1,1))-AVERAGE(OFFSET($H$3,0,0,'Données projet'!$E$13+1,1))</f>
        <v>#N/A</v>
      </c>
      <c r="CZ39" s="60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projet'!$B$13,Paramètres!$A$1:$I$88,3,0)*0.475*44/12</f>
        <v>#N/A</v>
      </c>
      <c r="DG39" s="23" t="e">
        <f>EXP(-LN(2)/25)*DG38+(1-EXP(-LN(2)/25))/(LN(2)/25)*Calculateur!DB39*Calculateur!DD39*VLOOKUP('Données projet'!$B$13,Paramètres!$A$1:$I$88,3,0)*0.475*44/12</f>
        <v>#N/A</v>
      </c>
      <c r="DH39" s="23" t="e">
        <f>EXP(-LN(2)/2)*DH38+(1-EXP(-LN(2)/2))/(LN(2)/2)*DB39*DE39*VLOOKUP('Données projet'!$B$13,Paramètres!$A$1:$I$88,3,0)*0.475*44/12</f>
        <v>#N/A</v>
      </c>
      <c r="DI39" s="24" t="e">
        <f t="shared" si="15"/>
        <v>#N/A</v>
      </c>
      <c r="DJ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0" t="e">
        <f t="shared" si="17"/>
        <v>#N/A</v>
      </c>
      <c r="DT39" s="60" t="e">
        <f ca="1">AVERAGE(OFFSET($DS$3,0,0,'Données projet'!$E$14+1,1))-AVERAGE(OFFSET($H$3,0,0,'Données projet'!$E$14+1,1))</f>
        <v>#N/A</v>
      </c>
      <c r="DU39" s="60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4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32.900399999999991</v>
      </c>
      <c r="D40" s="12">
        <f t="shared" si="32"/>
        <v>10.096039146303498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15.4</v>
      </c>
      <c r="N40" s="14">
        <f>IF('Données projet'!$A$36&gt;35,N39+M40-V39,IF(A40&lt;'Données projet'!$A$36,$K$205^A40,IF(A40='Données projet'!$A$36,'Données projet'!$B$36,N39+M40-V39)))</f>
        <v>226.80000000000004</v>
      </c>
      <c r="O40" s="14">
        <f>N40*VLOOKUP('Données projet'!$B$9,Paramètres!$A$1:$I$88,3,0)*VLOOKUP('Données projet'!$B$9,Paramètres!$A$1:$I$88,5,0)</f>
        <v>135.62640000000002</v>
      </c>
      <c r="P40" s="14">
        <f t="shared" si="33"/>
        <v>35.293231938598481</v>
      </c>
      <c r="Q40" s="22">
        <f t="shared" si="53"/>
        <v>297.68502562639242</v>
      </c>
      <c r="R40" s="60">
        <f t="shared" si="0"/>
        <v>591.01835895972567</v>
      </c>
      <c r="S40" s="60">
        <f ca="1">AVERAGE(OFFSET($R$3,0,0,'Données projet'!$E$9+1,1))-AVERAGE(OFFSET($H$3,0,0,'Données projet'!$E$9+1,1))</f>
        <v>181.84907943028196</v>
      </c>
      <c r="T40" s="60">
        <f t="shared" si="34"/>
        <v>199.66849909069458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6.6656822307143928</v>
      </c>
      <c r="AA40" s="23">
        <f>EXP(-LN(2)/25)*AA39+(1-EXP(-LN(2)/25))/(LN(2)/25)*Calculateur!V40*Calculateur!X40*VLOOKUP('Données projet'!$B$9,Paramètres!$A$1:$I$88,3,0)*0.475*44/12</f>
        <v>24.634545944961836</v>
      </c>
      <c r="AB40" s="23">
        <f>EXP(-LN(2)/2)*AB39+(1-EXP(-LN(2)/2))/(LN(2)/2)*V40*Y40*VLOOKUP('Données projet'!$B$9,Paramètres!$A$1:$I$88,3,0)*0.475*44/12</f>
        <v>5.2662882427045643</v>
      </c>
      <c r="AC40" s="24">
        <f t="shared" si="3"/>
        <v>36.566516418380793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4.8</v>
      </c>
      <c r="AI40" s="14">
        <f>IF('Données projet'!$A$62&gt;35,AI39+AH40-AQ39,IF(A40&lt;'Données projet'!$A$62,$AF$205^A40,IF(A40='Données projet'!$A$62,'Données projet'!$B$62,AI39+AH40-AQ39)))</f>
        <v>98.600000000000009</v>
      </c>
      <c r="AJ40" s="14">
        <f>AI40*VLOOKUP('Données projet'!$B$10,Paramètres!$A$1:$I$88,3,0)*VLOOKUP('Données projet'!$B$10,Paramètres!$A$1:$I$88,5,0)</f>
        <v>79.984320000000011</v>
      </c>
      <c r="AK40" s="14">
        <f t="shared" si="35"/>
        <v>22.133350243409133</v>
      </c>
      <c r="AL40" s="22">
        <f t="shared" si="4"/>
        <v>177.85494234060425</v>
      </c>
      <c r="AM40" s="60">
        <f t="shared" si="5"/>
        <v>471.1882756739376</v>
      </c>
      <c r="AN40" s="60">
        <f ca="1">AVERAGE(OFFSET($AM$3,0,0,'Données projet'!$E$10+1,1))-AVERAGE(OFFSET($H$3,0,0,'Données projet'!$E$10+1,1))</f>
        <v>55.581964048431473</v>
      </c>
      <c r="AO40" s="60">
        <f t="shared" si="36"/>
        <v>91.067506141193803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2.1539027953584715</v>
      </c>
      <c r="AV40" s="23">
        <f>EXP(-LN(2)/25)*AV39+(1-EXP(-LN(2)/25))/(LN(2)/25)*Calculateur!AQ40*Calculateur!AS40*VLOOKUP('Données projet'!$B$10,Paramètres!$A$1:$I$88,3,0)*0.475*44/12</f>
        <v>0</v>
      </c>
      <c r="AW40" s="23">
        <f>EXP(-LN(2)/2)*AW39+(1-EXP(-LN(2)/2))/(LN(2)/2)*AQ40*AT40*VLOOKUP('Données projet'!$B$10,Paramètres!$A$1:$I$88,3,0)*0.475*44/12</f>
        <v>0</v>
      </c>
      <c r="AX40" s="23">
        <f t="shared" si="6"/>
        <v>2.1539027953584715</v>
      </c>
      <c r="AY40" s="7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2.1607142857142856</v>
      </c>
      <c r="BD40" s="13">
        <f>IF('Données projet'!$A$88&gt;35,BD39+BC40-BL39,IF(A40&lt;'Données projet'!$A$88,$BA$205^A40,IF(A40='Données projet'!$A$88,'Données projet'!$B$88,BD39+BC40-BL39)))</f>
        <v>79.946428571428598</v>
      </c>
      <c r="BE40" s="14">
        <f>BD40*VLOOKUP('Données projet'!$B$11,Paramètres!$A$1:$I$88,3,0)*VLOOKUP('Données projet'!$B$11,Paramètres!$A$1:$I$88,5,0)</f>
        <v>81.065678571428606</v>
      </c>
      <c r="BF40" s="14">
        <f t="shared" si="37"/>
        <v>22.397547063599596</v>
      </c>
      <c r="BG40" s="22">
        <f t="shared" si="7"/>
        <v>180.19845131434079</v>
      </c>
      <c r="BH40" s="60">
        <f t="shared" si="8"/>
        <v>473.5317846476741</v>
      </c>
      <c r="BI40" s="60">
        <f ca="1">AVERAGE(OFFSET($BH$3,0,0,'Données projet'!$E$11+1,1))-AVERAGE(OFFSET($H$3,0,0,'Données projet'!$E$11+1,1))</f>
        <v>178.29366134936788</v>
      </c>
      <c r="BJ40" s="60">
        <f t="shared" si="38"/>
        <v>85.818195717787148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</v>
      </c>
      <c r="BY40" s="13">
        <f>IF('Données projet'!$A$114&gt;35,BY39+BX40-CG39,IF(A40&lt;'Données projet'!$A$114,$BV$205^A40,IF(A40='Données projet'!$A$114,'Données projet'!$B$114,BY39+BX40-CG39)))</f>
        <v>200</v>
      </c>
      <c r="BZ40" s="14">
        <f>BY40*VLOOKUP('Données projet'!$B$12,Paramètres!$A$1:$I$88,3,0)*VLOOKUP('Données projet'!$B$12,Paramètres!$A$1:$I$88,5,0)</f>
        <v>93.600000000000009</v>
      </c>
      <c r="CA40" s="14">
        <f t="shared" si="39"/>
        <v>25.431466524572937</v>
      </c>
      <c r="CB40" s="22">
        <f t="shared" si="10"/>
        <v>207.31313753029789</v>
      </c>
      <c r="CC40" s="60">
        <f t="shared" si="11"/>
        <v>500.64647086363118</v>
      </c>
      <c r="CD40" s="60">
        <f ca="1">AVERAGE(OFFSET($CC$3,0,0,'Données projet'!$E$12+1,1))-AVERAGE(OFFSET($H$3,0,0,'Données projet'!$E$12+1,1))</f>
        <v>104.00159056395933</v>
      </c>
      <c r="CE40" s="60">
        <f t="shared" si="40"/>
        <v>115.86489547584461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6.2745583218470058</v>
      </c>
      <c r="CM40" s="23">
        <f>EXP(-LN(2)/2)*CM39+(1-EXP(-LN(2)/2))/(LN(2)/2)*CG40*CJ40*VLOOKUP('Données projet'!$B$12,Paramètres!$A$1:$I$88,3,0)*0.475*44/12</f>
        <v>0.824307165868987</v>
      </c>
      <c r="CN40" s="24">
        <f t="shared" si="12"/>
        <v>7.0988654877159929</v>
      </c>
      <c r="CO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projet'!$B$13,Paramètres!$A$1:$I$88,3,0)*VLOOKUP('Données projet'!$B$13,Paramètres!$A$1:$I$88,5,0)</f>
        <v>#N/A</v>
      </c>
      <c r="CV40" s="14" t="e">
        <f t="shared" si="41"/>
        <v>#N/A</v>
      </c>
      <c r="CW40" s="22" t="e">
        <f t="shared" si="13"/>
        <v>#N/A</v>
      </c>
      <c r="CX40" s="60" t="e">
        <f t="shared" si="14"/>
        <v>#N/A</v>
      </c>
      <c r="CY40" s="60" t="e">
        <f ca="1">AVERAGE(OFFSET($CX$3,0,0,'Données projet'!$E$13+1,1))-AVERAGE(OFFSET($H$3,0,0,'Données projet'!$E$13+1,1))</f>
        <v>#N/A</v>
      </c>
      <c r="CZ40" s="60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projet'!$B$13,Paramètres!$A$1:$I$88,3,0)*0.475*44/12</f>
        <v>#N/A</v>
      </c>
      <c r="DG40" s="23" t="e">
        <f>EXP(-LN(2)/25)*DG39+(1-EXP(-LN(2)/25))/(LN(2)/25)*Calculateur!DB40*Calculateur!DD40*VLOOKUP('Données projet'!$B$13,Paramètres!$A$1:$I$88,3,0)*0.475*44/12</f>
        <v>#N/A</v>
      </c>
      <c r="DH40" s="23" t="e">
        <f>EXP(-LN(2)/2)*DH39+(1-EXP(-LN(2)/2))/(LN(2)/2)*DB40*DE40*VLOOKUP('Données projet'!$B$13,Paramètres!$A$1:$I$88,3,0)*0.475*44/12</f>
        <v>#N/A</v>
      </c>
      <c r="DI40" s="24" t="e">
        <f t="shared" si="15"/>
        <v>#N/A</v>
      </c>
      <c r="DJ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0" t="e">
        <f t="shared" si="17"/>
        <v>#N/A</v>
      </c>
      <c r="DT40" s="60" t="e">
        <f ca="1">AVERAGE(OFFSET($DS$3,0,0,'Données projet'!$E$14+1,1))-AVERAGE(OFFSET($H$3,0,0,'Données projet'!$E$14+1,1))</f>
        <v>#N/A</v>
      </c>
      <c r="DU40" s="60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4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33.789599999999993</v>
      </c>
      <c r="D41" s="12">
        <f t="shared" si="32"/>
        <v>10.336767985889495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15.4</v>
      </c>
      <c r="N41" s="14">
        <f>IF('Données projet'!$A$36&gt;35,N40+M41-V40,IF(A41&lt;'Données projet'!$A$36,$K$205^A41,IF(A41='Données projet'!$A$36,'Données projet'!$B$36,N40+M41-V40)))</f>
        <v>242.20000000000005</v>
      </c>
      <c r="O41" s="14">
        <f>N41*VLOOKUP('Données projet'!$B$9,Paramètres!$A$1:$I$88,3,0)*VLOOKUP('Données projet'!$B$9,Paramètres!$A$1:$I$88,5,0)</f>
        <v>144.83560000000003</v>
      </c>
      <c r="P41" s="14">
        <f t="shared" si="33"/>
        <v>37.402574795823412</v>
      </c>
      <c r="Q41" s="22">
        <f t="shared" si="53"/>
        <v>317.3981544360592</v>
      </c>
      <c r="R41" s="60">
        <f t="shared" si="0"/>
        <v>610.73148776939252</v>
      </c>
      <c r="S41" s="60">
        <f ca="1">AVERAGE(OFFSET($R$3,0,0,'Données projet'!$E$9+1,1))-AVERAGE(OFFSET($H$3,0,0,'Données projet'!$E$9+1,1))</f>
        <v>181.84907943028196</v>
      </c>
      <c r="T41" s="60">
        <f t="shared" si="34"/>
        <v>199.66849909069458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6.5349722678347932</v>
      </c>
      <c r="AA41" s="23">
        <f>EXP(-LN(2)/25)*AA40+(1-EXP(-LN(2)/25))/(LN(2)/25)*Calculateur!V41*Calculateur!X41*VLOOKUP('Données projet'!$B$9,Paramètres!$A$1:$I$88,3,0)*0.475*44/12</f>
        <v>23.960912990622386</v>
      </c>
      <c r="AB41" s="23">
        <f>EXP(-LN(2)/2)*AB40+(1-EXP(-LN(2)/2))/(LN(2)/2)*V41*Y41*VLOOKUP('Données projet'!$B$9,Paramètres!$A$1:$I$88,3,0)*0.475*44/12</f>
        <v>3.7238281280993846</v>
      </c>
      <c r="AC41" s="24">
        <f t="shared" si="3"/>
        <v>34.219713386556563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4.8</v>
      </c>
      <c r="AI41" s="14">
        <f>IF('Données projet'!$A$62&gt;35,AI40+AH41-AQ40,IF(A41&lt;'Données projet'!$A$62,$AF$205^A41,IF(A41='Données projet'!$A$62,'Données projet'!$B$62,AI40+AH41-AQ40)))</f>
        <v>103.4</v>
      </c>
      <c r="AJ41" s="14">
        <f>AI41*VLOOKUP('Données projet'!$B$10,Paramètres!$A$1:$I$88,3,0)*VLOOKUP('Données projet'!$B$10,Paramètres!$A$1:$I$88,5,0)</f>
        <v>83.878080000000011</v>
      </c>
      <c r="AK41" s="14">
        <f t="shared" si="35"/>
        <v>23.082766717296671</v>
      </c>
      <c r="AL41" s="22">
        <f t="shared" si="4"/>
        <v>186.29014136595836</v>
      </c>
      <c r="AM41" s="60">
        <f t="shared" si="5"/>
        <v>479.62347469929171</v>
      </c>
      <c r="AN41" s="60">
        <f ca="1">AVERAGE(OFFSET($AM$3,0,0,'Données projet'!$E$10+1,1))-AVERAGE(OFFSET($H$3,0,0,'Données projet'!$E$10+1,1))</f>
        <v>55.581964048431473</v>
      </c>
      <c r="AO41" s="60">
        <f t="shared" si="36"/>
        <v>91.067506141193803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2.111666075292475</v>
      </c>
      <c r="AV41" s="23">
        <f>EXP(-LN(2)/25)*AV40+(1-EXP(-LN(2)/25))/(LN(2)/25)*Calculateur!AQ41*Calculateur!AS41*VLOOKUP('Données projet'!$B$10,Paramètres!$A$1:$I$88,3,0)*0.475*44/12</f>
        <v>0</v>
      </c>
      <c r="AW41" s="23">
        <f>EXP(-LN(2)/2)*AW40+(1-EXP(-LN(2)/2))/(LN(2)/2)*AQ41*AT41*VLOOKUP('Données projet'!$B$10,Paramètres!$A$1:$I$88,3,0)*0.475*44/12</f>
        <v>0</v>
      </c>
      <c r="AX41" s="23">
        <f t="shared" si="6"/>
        <v>2.111666075292475</v>
      </c>
      <c r="AY41" s="7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2.1607142857142856</v>
      </c>
      <c r="BD41" s="13">
        <f>IF('Données projet'!$A$88&gt;35,BD40+BC41-BL40,IF(A41&lt;'Données projet'!$A$88,$BA$205^A41,IF(A41='Données projet'!$A$88,'Données projet'!$B$88,BD40+BC41-BL40)))</f>
        <v>82.10714285714289</v>
      </c>
      <c r="BE41" s="14">
        <f>BD41*VLOOKUP('Données projet'!$B$11,Paramètres!$A$1:$I$88,3,0)*VLOOKUP('Données projet'!$B$11,Paramètres!$A$1:$I$88,5,0)</f>
        <v>83.256642857142893</v>
      </c>
      <c r="BF41" s="14">
        <f t="shared" si="37"/>
        <v>22.931591695960901</v>
      </c>
      <c r="BG41" s="22">
        <f t="shared" si="7"/>
        <v>184.94450851332246</v>
      </c>
      <c r="BH41" s="60">
        <f t="shared" si="8"/>
        <v>478.27784184665575</v>
      </c>
      <c r="BI41" s="60">
        <f ca="1">AVERAGE(OFFSET($BH$3,0,0,'Données projet'!$E$11+1,1))-AVERAGE(OFFSET($H$3,0,0,'Données projet'!$E$11+1,1))</f>
        <v>178.29366134936788</v>
      </c>
      <c r="BJ41" s="60">
        <f t="shared" si="38"/>
        <v>85.818195717787148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</v>
      </c>
      <c r="BY41" s="13">
        <f>IF('Données projet'!$A$114&gt;35,BY40+BX41-CG40,IF(A41&lt;'Données projet'!$A$114,$BV$205^A41,IF(A41='Données projet'!$A$114,'Données projet'!$B$114,BY40+BX41-CG40)))</f>
        <v>210</v>
      </c>
      <c r="BZ41" s="14">
        <f>BY41*VLOOKUP('Données projet'!$B$12,Paramètres!$A$1:$I$88,3,0)*VLOOKUP('Données projet'!$B$12,Paramètres!$A$1:$I$88,5,0)</f>
        <v>98.28</v>
      </c>
      <c r="CA41" s="14">
        <f t="shared" si="39"/>
        <v>26.551818424463473</v>
      </c>
      <c r="CB41" s="22">
        <f t="shared" si="10"/>
        <v>217.41541708927389</v>
      </c>
      <c r="CC41" s="60">
        <f t="shared" si="11"/>
        <v>510.7487504226072</v>
      </c>
      <c r="CD41" s="60">
        <f ca="1">AVERAGE(OFFSET($CC$3,0,0,'Données projet'!$E$12+1,1))-AVERAGE(OFFSET($H$3,0,0,'Données projet'!$E$12+1,1))</f>
        <v>104.00159056395933</v>
      </c>
      <c r="CE41" s="60">
        <f t="shared" si="40"/>
        <v>115.86489547584461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6.1029801945714182</v>
      </c>
      <c r="CM41" s="23">
        <f>EXP(-LN(2)/2)*CM40+(1-EXP(-LN(2)/2))/(LN(2)/2)*CG41*CJ41*VLOOKUP('Données projet'!$B$12,Paramètres!$A$1:$I$88,3,0)*0.475*44/12</f>
        <v>0.58287318676662492</v>
      </c>
      <c r="CN41" s="24">
        <f t="shared" si="12"/>
        <v>6.6858533813380427</v>
      </c>
      <c r="CO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projet'!$B$13,Paramètres!$A$1:$I$88,3,0)*VLOOKUP('Données projet'!$B$13,Paramètres!$A$1:$I$88,5,0)</f>
        <v>#N/A</v>
      </c>
      <c r="CV41" s="14" t="e">
        <f t="shared" si="41"/>
        <v>#N/A</v>
      </c>
      <c r="CW41" s="22" t="e">
        <f t="shared" si="13"/>
        <v>#N/A</v>
      </c>
      <c r="CX41" s="60" t="e">
        <f t="shared" si="14"/>
        <v>#N/A</v>
      </c>
      <c r="CY41" s="60" t="e">
        <f ca="1">AVERAGE(OFFSET($CX$3,0,0,'Données projet'!$E$13+1,1))-AVERAGE(OFFSET($H$3,0,0,'Données projet'!$E$13+1,1))</f>
        <v>#N/A</v>
      </c>
      <c r="CZ41" s="60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projet'!$B$13,Paramètres!$A$1:$I$88,3,0)*0.475*44/12</f>
        <v>#N/A</v>
      </c>
      <c r="DG41" s="23" t="e">
        <f>EXP(-LN(2)/25)*DG40+(1-EXP(-LN(2)/25))/(LN(2)/25)*Calculateur!DB41*Calculateur!DD41*VLOOKUP('Données projet'!$B$13,Paramètres!$A$1:$I$88,3,0)*0.475*44/12</f>
        <v>#N/A</v>
      </c>
      <c r="DH41" s="23" t="e">
        <f>EXP(-LN(2)/2)*DH40+(1-EXP(-LN(2)/2))/(LN(2)/2)*DB41*DE41*VLOOKUP('Données projet'!$B$13,Paramètres!$A$1:$I$88,3,0)*0.475*44/12</f>
        <v>#N/A</v>
      </c>
      <c r="DI41" s="24" t="e">
        <f t="shared" si="15"/>
        <v>#N/A</v>
      </c>
      <c r="DJ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0" t="e">
        <f t="shared" si="17"/>
        <v>#N/A</v>
      </c>
      <c r="DT41" s="60" t="e">
        <f ca="1">AVERAGE(OFFSET($DS$3,0,0,'Données projet'!$E$14+1,1))-AVERAGE(OFFSET($H$3,0,0,'Données projet'!$E$14+1,1))</f>
        <v>#N/A</v>
      </c>
      <c r="DU41" s="60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4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34.678799999999995</v>
      </c>
      <c r="D42" s="12">
        <f t="shared" si="32"/>
        <v>10.576760473435781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15.4</v>
      </c>
      <c r="N42" s="14">
        <f>IF('Données projet'!$A$36&gt;35,N41+M42-V41,IF(A42&lt;'Données projet'!$A$36,$K$205^A42,IF(A42='Données projet'!$A$36,'Données projet'!$B$36,N41+M42-V41)))</f>
        <v>257.60000000000002</v>
      </c>
      <c r="O42" s="14">
        <f>N42*VLOOKUP('Données projet'!$B$9,Paramètres!$A$1:$I$88,3,0)*VLOOKUP('Données projet'!$B$9,Paramètres!$A$1:$I$88,5,0)</f>
        <v>154.04480000000001</v>
      </c>
      <c r="P42" s="14">
        <f t="shared" si="33"/>
        <v>39.496352638742984</v>
      </c>
      <c r="Q42" s="22">
        <f t="shared" si="53"/>
        <v>337.0841741791441</v>
      </c>
      <c r="R42" s="60">
        <f t="shared" si="0"/>
        <v>630.41750751247741</v>
      </c>
      <c r="S42" s="60">
        <f ca="1">AVERAGE(OFFSET($R$3,0,0,'Données projet'!$E$9+1,1))-AVERAGE(OFFSET($H$3,0,0,'Données projet'!$E$9+1,1))</f>
        <v>181.84907943028196</v>
      </c>
      <c r="T42" s="60">
        <f t="shared" si="34"/>
        <v>199.66849909069458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6.4068254476020572</v>
      </c>
      <c r="AA42" s="23">
        <f>EXP(-LN(2)/25)*AA41+(1-EXP(-LN(2)/25))/(LN(2)/25)*Calculateur!V42*Calculateur!X42*VLOOKUP('Données projet'!$B$9,Paramètres!$A$1:$I$88,3,0)*0.475*44/12</f>
        <v>23.305700564844166</v>
      </c>
      <c r="AB42" s="23">
        <f>EXP(-LN(2)/2)*AB41+(1-EXP(-LN(2)/2))/(LN(2)/2)*V42*Y42*VLOOKUP('Données projet'!$B$9,Paramètres!$A$1:$I$88,3,0)*0.475*44/12</f>
        <v>2.6331441213522826</v>
      </c>
      <c r="AC42" s="24">
        <f t="shared" si="3"/>
        <v>32.345670133798507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4.8</v>
      </c>
      <c r="AI42" s="14">
        <f>IF('Données projet'!$A$62&gt;35,AI41+AH42-AQ41,IF(A42&lt;'Données projet'!$A$62,$AF$205^A42,IF(A42='Données projet'!$A$62,'Données projet'!$B$62,AI41+AH42-AQ41)))</f>
        <v>108.2</v>
      </c>
      <c r="AJ42" s="14">
        <f>AI42*VLOOKUP('Données projet'!$B$10,Paramètres!$A$1:$I$88,3,0)*VLOOKUP('Données projet'!$B$10,Paramètres!$A$1:$I$88,5,0)</f>
        <v>87.771840000000012</v>
      </c>
      <c r="AK42" s="14">
        <f t="shared" si="35"/>
        <v>24.027064931094877</v>
      </c>
      <c r="AL42" s="22">
        <f t="shared" si="4"/>
        <v>194.71642608832357</v>
      </c>
      <c r="AM42" s="60">
        <f t="shared" si="5"/>
        <v>488.04975942165686</v>
      </c>
      <c r="AN42" s="60">
        <f ca="1">AVERAGE(OFFSET($AM$3,0,0,'Données projet'!$E$10+1,1))-AVERAGE(OFFSET($H$3,0,0,'Données projet'!$E$10+1,1))</f>
        <v>55.581964048431473</v>
      </c>
      <c r="AO42" s="60">
        <f t="shared" si="36"/>
        <v>91.067506141193803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2.0702575915451171</v>
      </c>
      <c r="AV42" s="23">
        <f>EXP(-LN(2)/25)*AV41+(1-EXP(-LN(2)/25))/(LN(2)/25)*Calculateur!AQ42*Calculateur!AS42*VLOOKUP('Données projet'!$B$10,Paramètres!$A$1:$I$88,3,0)*0.475*44/12</f>
        <v>0</v>
      </c>
      <c r="AW42" s="23">
        <f>EXP(-LN(2)/2)*AW41+(1-EXP(-LN(2)/2))/(LN(2)/2)*AQ42*AT42*VLOOKUP('Données projet'!$B$10,Paramètres!$A$1:$I$88,3,0)*0.475*44/12</f>
        <v>0</v>
      </c>
      <c r="AX42" s="23">
        <f t="shared" si="6"/>
        <v>2.0702575915451171</v>
      </c>
      <c r="AY42" s="7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2.1607142857142856</v>
      </c>
      <c r="BD42" s="13">
        <f>IF('Données projet'!$A$88&gt;35,BD41+BC42-BL41,IF(A42&lt;'Données projet'!$A$88,$BA$205^A42,IF(A42='Données projet'!$A$88,'Données projet'!$B$88,BD41+BC42-BL41)))</f>
        <v>84.267857142857181</v>
      </c>
      <c r="BE42" s="14">
        <f>BD42*VLOOKUP('Données projet'!$B$11,Paramètres!$A$1:$I$88,3,0)*VLOOKUP('Données projet'!$B$11,Paramètres!$A$1:$I$88,5,0)</f>
        <v>85.44760714285718</v>
      </c>
      <c r="BF42" s="14">
        <f t="shared" si="37"/>
        <v>23.464002768940567</v>
      </c>
      <c r="BG42" s="22">
        <f t="shared" si="7"/>
        <v>189.68772059638104</v>
      </c>
      <c r="BH42" s="60">
        <f t="shared" si="8"/>
        <v>483.02105392971436</v>
      </c>
      <c r="BI42" s="60">
        <f ca="1">AVERAGE(OFFSET($BH$3,0,0,'Données projet'!$E$11+1,1))-AVERAGE(OFFSET($H$3,0,0,'Données projet'!$E$11+1,1))</f>
        <v>178.29366134936788</v>
      </c>
      <c r="BJ42" s="60">
        <f t="shared" si="38"/>
        <v>85.818195717787148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</v>
      </c>
      <c r="BY42" s="13">
        <f>IF('Données projet'!$A$114&gt;35,BY41+BX42-CG41,IF(A42&lt;'Données projet'!$A$114,$BV$205^A42,IF(A42='Données projet'!$A$114,'Données projet'!$B$114,BY41+BX42-CG41)))</f>
        <v>220</v>
      </c>
      <c r="BZ42" s="14">
        <f>BY42*VLOOKUP('Données projet'!$B$12,Paramètres!$A$1:$I$88,3,0)*VLOOKUP('Données projet'!$B$12,Paramètres!$A$1:$I$88,5,0)</f>
        <v>102.96000000000001</v>
      </c>
      <c r="CA42" s="14">
        <f t="shared" si="39"/>
        <v>27.665975080374633</v>
      </c>
      <c r="CB42" s="22">
        <f t="shared" si="10"/>
        <v>227.50690659831915</v>
      </c>
      <c r="CC42" s="60">
        <f t="shared" si="11"/>
        <v>520.84023993165249</v>
      </c>
      <c r="CD42" s="60">
        <f ca="1">AVERAGE(OFFSET($CC$3,0,0,'Données projet'!$E$12+1,1))-AVERAGE(OFFSET($H$3,0,0,'Données projet'!$E$12+1,1))</f>
        <v>104.00159056395933</v>
      </c>
      <c r="CE42" s="60">
        <f t="shared" si="40"/>
        <v>115.86489547584461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5.936093880209083</v>
      </c>
      <c r="CM42" s="23">
        <f>EXP(-LN(2)/2)*CM41+(1-EXP(-LN(2)/2))/(LN(2)/2)*CG42*CJ42*VLOOKUP('Données projet'!$B$12,Paramètres!$A$1:$I$88,3,0)*0.475*44/12</f>
        <v>0.4121535829344935</v>
      </c>
      <c r="CN42" s="24">
        <f t="shared" si="12"/>
        <v>6.3482474631435766</v>
      </c>
      <c r="CO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projet'!$B$13,Paramètres!$A$1:$I$88,3,0)*VLOOKUP('Données projet'!$B$13,Paramètres!$A$1:$I$88,5,0)</f>
        <v>#N/A</v>
      </c>
      <c r="CV42" s="14" t="e">
        <f t="shared" si="41"/>
        <v>#N/A</v>
      </c>
      <c r="CW42" s="22" t="e">
        <f t="shared" si="13"/>
        <v>#N/A</v>
      </c>
      <c r="CX42" s="60" t="e">
        <f t="shared" si="14"/>
        <v>#N/A</v>
      </c>
      <c r="CY42" s="60" t="e">
        <f ca="1">AVERAGE(OFFSET($CX$3,0,0,'Données projet'!$E$13+1,1))-AVERAGE(OFFSET($H$3,0,0,'Données projet'!$E$13+1,1))</f>
        <v>#N/A</v>
      </c>
      <c r="CZ42" s="60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projet'!$B$13,Paramètres!$A$1:$I$88,3,0)*0.475*44/12</f>
        <v>#N/A</v>
      </c>
      <c r="DG42" s="23" t="e">
        <f>EXP(-LN(2)/25)*DG41+(1-EXP(-LN(2)/25))/(LN(2)/25)*Calculateur!DB42*Calculateur!DD42*VLOOKUP('Données projet'!$B$13,Paramètres!$A$1:$I$88,3,0)*0.475*44/12</f>
        <v>#N/A</v>
      </c>
      <c r="DH42" s="23" t="e">
        <f>EXP(-LN(2)/2)*DH41+(1-EXP(-LN(2)/2))/(LN(2)/2)*DB42*DE42*VLOOKUP('Données projet'!$B$13,Paramètres!$A$1:$I$88,3,0)*0.475*44/12</f>
        <v>#N/A</v>
      </c>
      <c r="DI42" s="24" t="e">
        <f t="shared" si="15"/>
        <v>#N/A</v>
      </c>
      <c r="DJ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0" t="e">
        <f t="shared" si="17"/>
        <v>#N/A</v>
      </c>
      <c r="DT42" s="60" t="e">
        <f ca="1">AVERAGE(OFFSET($DS$3,0,0,'Données projet'!$E$14+1,1))-AVERAGE(OFFSET($H$3,0,0,'Données projet'!$E$14+1,1))</f>
        <v>#N/A</v>
      </c>
      <c r="DU42" s="60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4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35.567999999999998</v>
      </c>
      <c r="D43" s="12">
        <f t="shared" si="32"/>
        <v>10.816037660735208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273</v>
      </c>
      <c r="L43" s="13">
        <f>VLOOKUP(A43,'Données projet'!$A$35:$I$55,9,0)</f>
        <v>15.4</v>
      </c>
      <c r="M43" s="13">
        <f t="array" ref="M43">INDEX(L:L,MIN(IF(ISNUMBER(L43:L239),ROW(L43:L239),"")))</f>
        <v>15.4</v>
      </c>
      <c r="N43" s="14">
        <f>IF('Données projet'!$A$36&gt;35,N42+M43-V42,IF(A43&lt;'Données projet'!$A$36,$K$205^A43,IF(A43='Données projet'!$A$36,'Données projet'!$B$36,N42+M43-V42)))</f>
        <v>273</v>
      </c>
      <c r="O43" s="14">
        <f>N43*VLOOKUP('Données projet'!$B$9,Paramètres!$A$1:$I$88,3,0)*VLOOKUP('Données projet'!$B$9,Paramètres!$A$1:$I$88,5,0)</f>
        <v>163.25400000000002</v>
      </c>
      <c r="P43" s="14">
        <f t="shared" si="33"/>
        <v>41.575601961656915</v>
      </c>
      <c r="Q43" s="22">
        <f t="shared" si="53"/>
        <v>356.7448900832191</v>
      </c>
      <c r="R43" s="60">
        <f t="shared" si="0"/>
        <v>650.07822341655242</v>
      </c>
      <c r="S43" s="60">
        <f ca="1">AVERAGE(OFFSET($R$3,0,0,'Données projet'!$E$9+1,1))-AVERAGE(OFFSET($H$3,0,0,'Données projet'!$E$9+1,1))</f>
        <v>181.84907943028196</v>
      </c>
      <c r="T43" s="60">
        <f t="shared" si="34"/>
        <v>199.66849909069458</v>
      </c>
      <c r="U43" s="16">
        <f>IF(ISNA(VLOOKUP(A43,'Données projet'!$A$35:$I$55,3,0)),0,VLOOKUP(A43,'Données projet'!$A$35:$I$55,3,0))</f>
        <v>6</v>
      </c>
      <c r="V43" s="16">
        <f>IF(ISNA(VLOOKUP(A43,'Données projet'!$A$35:$I$55,4,0)),0,VLOOKUP(A43,'Données projet'!$A$35:$I$55,4,0))</f>
        <v>27</v>
      </c>
      <c r="W43" s="17">
        <f>IF(ISNA(VLOOKUP(A43,'Données projet'!$A$35:$I$55,5,0)),0%,VLOOKUP(A43,'Données projet'!$A$35:$I$55,5,0)*VLOOKUP('Données projet'!$B$9,Paramètres!$A$1:$I$88,7,0))</f>
        <v>0.36000000000000004</v>
      </c>
      <c r="X43" s="17">
        <f>IF(ISNA(VLOOKUP(A43,'Données projet'!$A$35:$I$55,6,0)),0%,VLOOKUP(A43,'Données projet'!$A$35:$I$55,6,0)*VLOOKUP('Données projet'!$B$9,Paramètres!$A$1:$I$88,7,0))</f>
        <v>5.0400000000000007E-2</v>
      </c>
      <c r="Y43" s="17">
        <f>IF(ISNA(VLOOKUP(A43,'Données projet'!$A$35:$I$55,7,0)),0%,VLOOKUP(A43,'Données projet'!$A$35:$I$55,7,0))</f>
        <v>8.7999999999999967E-2</v>
      </c>
      <c r="Z43" s="23">
        <f>EXP(-LN(2)/35)*Z42+(1-EXP(-LN(2)/35))/(LN(2)/35)*V43*W43*VLOOKUP('Données projet'!$B$9,Paramètres!$A$1:$I$88,3,0)*0.475*44/12</f>
        <v>13.991926999461898</v>
      </c>
      <c r="AA43" s="23">
        <f>EXP(-LN(2)/25)*AA42+(1-EXP(-LN(2)/25))/(LN(2)/25)*Calculateur!V43*Calculateur!X43*VLOOKUP('Données projet'!$B$9,Paramètres!$A$1:$I$88,3,0)*0.475*44/12</f>
        <v>23.743657511549458</v>
      </c>
      <c r="AB43" s="23">
        <f>EXP(-LN(2)/2)*AB42+(1-EXP(-LN(2)/2))/(LN(2)/2)*V43*Y43*VLOOKUP('Données projet'!$B$9,Paramètres!$A$1:$I$88,3,0)*0.475*44/12</f>
        <v>3.4706440595255761</v>
      </c>
      <c r="AC43" s="24">
        <f t="shared" si="3"/>
        <v>41.206228570536929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113</v>
      </c>
      <c r="AG43" s="13">
        <f>VLOOKUP(A43,'Données projet'!$A$61:$I$81,9,0)</f>
        <v>4.8</v>
      </c>
      <c r="AH43" s="13">
        <f t="array" ref="AH43">INDEX(AG:AG,MIN(IF(ISNUMBER(AG43:AG239),ROW(AG43:AG239),"")))</f>
        <v>4.8</v>
      </c>
      <c r="AI43" s="14">
        <f>IF('Données projet'!$A$62&gt;35,AI42+AH43-AQ42,IF(A43&lt;'Données projet'!$A$62,$AF$205^A43,IF(A43='Données projet'!$A$62,'Données projet'!$B$62,AI42+AH43-AQ42)))</f>
        <v>113</v>
      </c>
      <c r="AJ43" s="14">
        <f>AI43*VLOOKUP('Données projet'!$B$10,Paramètres!$A$1:$I$88,3,0)*VLOOKUP('Données projet'!$B$10,Paramètres!$A$1:$I$88,5,0)</f>
        <v>91.665600000000012</v>
      </c>
      <c r="AK43" s="14">
        <f t="shared" si="35"/>
        <v>24.966497888207439</v>
      </c>
      <c r="AL43" s="22">
        <f t="shared" si="4"/>
        <v>203.13423715529464</v>
      </c>
      <c r="AM43" s="60">
        <f t="shared" si="5"/>
        <v>496.46757048862798</v>
      </c>
      <c r="AN43" s="60">
        <f ca="1">AVERAGE(OFFSET($AM$3,0,0,'Données projet'!$E$10+1,1))-AVERAGE(OFFSET($H$3,0,0,'Données projet'!$E$10+1,1))</f>
        <v>55.581964048431473</v>
      </c>
      <c r="AO43" s="60">
        <f t="shared" si="36"/>
        <v>91.067506141193803</v>
      </c>
      <c r="AP43" s="16">
        <f>IF(ISNA(VLOOKUP(A43,'Données projet'!$A$61:$I$81,3,0)),0,VLOOKUP(A43,'Données projet'!$A$61:$I$81,3,0))</f>
        <v>6</v>
      </c>
      <c r="AQ43" s="16">
        <f>IF(ISNA(VLOOKUP(A43,'Données projet'!$A$61:$I$81,4,0)),0,VLOOKUP(A43,'Données projet'!$A$61:$I$81,4,0))</f>
        <v>11</v>
      </c>
      <c r="AR43" s="17">
        <f>IF(ISNA(VLOOKUP(A43,'Données projet'!$A$61:$I$81,5,0)),0%,VLOOKUP(A43,'Données projet'!$A$61:$I$81,5,0)*VLOOKUP('Données projet'!$B$10,Paramètres!$A$1:$I$88,7,0))</f>
        <v>0.17200000000000001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3.7263264288988922</v>
      </c>
      <c r="AV43" s="23">
        <f>EXP(-LN(2)/25)*AV42+(1-EXP(-LN(2)/25))/(LN(2)/25)*Calculateur!AQ43*Calculateur!AS43*VLOOKUP('Données projet'!$B$10,Paramètres!$A$1:$I$88,3,0)*0.475*44/12</f>
        <v>0</v>
      </c>
      <c r="AW43" s="23">
        <f>EXP(-LN(2)/2)*AW42+(1-EXP(-LN(2)/2))/(LN(2)/2)*AQ43*AT43*VLOOKUP('Données projet'!$B$10,Paramètres!$A$1:$I$88,3,0)*0.475*44/12</f>
        <v>0</v>
      </c>
      <c r="AX43" s="23">
        <f t="shared" si="6"/>
        <v>3.7263264288988922</v>
      </c>
      <c r="AY43" s="7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2.1607142857142856</v>
      </c>
      <c r="BD43" s="13">
        <f>IF('Données projet'!$A$88&gt;35,BD42+BC43-BL42,IF(A43&lt;'Données projet'!$A$88,$BA$205^A43,IF(A43='Données projet'!$A$88,'Données projet'!$B$88,BD42+BC43-BL42)))</f>
        <v>86.428571428571473</v>
      </c>
      <c r="BE43" s="14">
        <f>BD43*VLOOKUP('Données projet'!$B$11,Paramètres!$A$1:$I$88,3,0)*VLOOKUP('Données projet'!$B$11,Paramètres!$A$1:$I$88,5,0)</f>
        <v>87.638571428571481</v>
      </c>
      <c r="BF43" s="14">
        <f t="shared" si="37"/>
        <v>23.994826984865576</v>
      </c>
      <c r="BG43" s="22">
        <f t="shared" si="7"/>
        <v>194.42816890340285</v>
      </c>
      <c r="BH43" s="60">
        <f t="shared" si="8"/>
        <v>487.76150223673619</v>
      </c>
      <c r="BI43" s="60">
        <f ca="1">AVERAGE(OFFSET($BH$3,0,0,'Données projet'!$E$11+1,1))-AVERAGE(OFFSET($H$3,0,0,'Données projet'!$E$11+1,1))</f>
        <v>178.29366134936788</v>
      </c>
      <c r="BJ43" s="60">
        <f t="shared" si="38"/>
        <v>85.818195717787148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230</v>
      </c>
      <c r="BW43" s="13">
        <f>VLOOKUP(A43,'Données projet'!$A$113:$I$133,9,0)</f>
        <v>10</v>
      </c>
      <c r="BX43" s="13">
        <f t="array" ref="BX43">INDEX(BW:BW,MIN(IF(ISNUMBER(BW43:BW239),ROW(BW43:BW239),"")))</f>
        <v>10</v>
      </c>
      <c r="BY43" s="13">
        <f>IF('Données projet'!$A$114&gt;35,BY42+BX43-CG42,IF(A43&lt;'Données projet'!$A$114,$BV$205^A43,IF(A43='Données projet'!$A$114,'Données projet'!$B$114,BY42+BX43-CG42)))</f>
        <v>230</v>
      </c>
      <c r="BZ43" s="14">
        <f>BY43*VLOOKUP('Données projet'!$B$12,Paramètres!$A$1:$I$88,3,0)*VLOOKUP('Données projet'!$B$12,Paramètres!$A$1:$I$88,5,0)</f>
        <v>107.64</v>
      </c>
      <c r="CA43" s="14">
        <f t="shared" si="39"/>
        <v>28.774250263353583</v>
      </c>
      <c r="CB43" s="22">
        <f t="shared" si="10"/>
        <v>237.58815254200749</v>
      </c>
      <c r="CC43" s="60">
        <f t="shared" si="11"/>
        <v>530.92148587534075</v>
      </c>
      <c r="CD43" s="60">
        <f ca="1">AVERAGE(OFFSET($CC$3,0,0,'Données projet'!$E$12+1,1))-AVERAGE(OFFSET($H$3,0,0,'Données projet'!$E$12+1,1))</f>
        <v>104.00159056395933</v>
      </c>
      <c r="CE43" s="60">
        <f t="shared" si="40"/>
        <v>115.86489547584461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40</v>
      </c>
      <c r="CH43" s="17">
        <f>IF(ISNA(VLOOKUP(A43,'Données projet'!$A$113:$I$133,5,0)),0%,VLOOKUP(A43,'Données projet'!$A$113:$I$133,5,0)*VLOOKUP('Données projet'!$B$12,Paramètres!$A$1:$I$88,7,0))</f>
        <v>0.11000000000000001</v>
      </c>
      <c r="CI43" s="17">
        <f>IF(ISNA(VLOOKUP(A43,'Données projet'!$A$113:$I$133,6,0)),0%,VLOOKUP(A43,'Données projet'!$A$113:$I$133,6,0)*VLOOKUP('Données projet'!$B$12,Paramètres!$A$1:$I$88,7,0))</f>
        <v>0.24640000000000006</v>
      </c>
      <c r="CJ43" s="17">
        <f>IF(ISNA(VLOOKUP(A43,'Données projet'!$A$113:$I$133,7,0)),0%,VLOOKUP(A43,'Données projet'!$A$113:$I$133,7,0))</f>
        <v>0.35200000000000004</v>
      </c>
      <c r="CK43" s="23">
        <f>EXP(-LN(2)/35)*CK42+(1-EXP(-LN(2)/35))/(LN(2)/35)*CG43*CH43*VLOOKUP('Données projet'!$B$12,Paramètres!$A$1:$I$88,3,0)*0.475*44/12</f>
        <v>2.7316615266411008</v>
      </c>
      <c r="CL43" s="23">
        <f>EXP(-LN(2)/25)*CL42+(1-EXP(-LN(2)/25))/(LN(2)/25)*Calculateur!CG43*Calculateur!CI43*VLOOKUP('Données projet'!$B$12,Paramètres!$A$1:$I$88,3,0)*0.475*44/12</f>
        <v>11.86860037386916</v>
      </c>
      <c r="CM43" s="23">
        <f>EXP(-LN(2)/2)*CM42+(1-EXP(-LN(2)/2))/(LN(2)/2)*CG43*CJ43*VLOOKUP('Données projet'!$B$12,Paramètres!$A$1:$I$88,3,0)*0.475*44/12</f>
        <v>7.7522133839961072</v>
      </c>
      <c r="CN43" s="24">
        <f t="shared" si="12"/>
        <v>22.352475284506369</v>
      </c>
      <c r="CO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projet'!$B$13,Paramètres!$A$1:$I$88,3,0)*VLOOKUP('Données projet'!$B$13,Paramètres!$A$1:$I$88,5,0)</f>
        <v>#N/A</v>
      </c>
      <c r="CV43" s="14" t="e">
        <f t="shared" si="41"/>
        <v>#N/A</v>
      </c>
      <c r="CW43" s="22" t="e">
        <f t="shared" si="13"/>
        <v>#N/A</v>
      </c>
      <c r="CX43" s="60" t="e">
        <f t="shared" si="14"/>
        <v>#N/A</v>
      </c>
      <c r="CY43" s="60" t="e">
        <f ca="1">AVERAGE(OFFSET($CX$3,0,0,'Données projet'!$E$13+1,1))-AVERAGE(OFFSET($H$3,0,0,'Données projet'!$E$13+1,1))</f>
        <v>#N/A</v>
      </c>
      <c r="CZ43" s="60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projet'!$B$13,Paramètres!$A$1:$I$88,3,0)*0.475*44/12</f>
        <v>#N/A</v>
      </c>
      <c r="DG43" s="23" t="e">
        <f>EXP(-LN(2)/25)*DG42+(1-EXP(-LN(2)/25))/(LN(2)/25)*Calculateur!DB43*Calculateur!DD43*VLOOKUP('Données projet'!$B$13,Paramètres!$A$1:$I$88,3,0)*0.475*44/12</f>
        <v>#N/A</v>
      </c>
      <c r="DH43" s="23" t="e">
        <f>EXP(-LN(2)/2)*DH42+(1-EXP(-LN(2)/2))/(LN(2)/2)*DB43*DE43*VLOOKUP('Données projet'!$B$13,Paramètres!$A$1:$I$88,3,0)*0.475*44/12</f>
        <v>#N/A</v>
      </c>
      <c r="DI43" s="24" t="e">
        <f t="shared" si="15"/>
        <v>#N/A</v>
      </c>
      <c r="DJ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0" t="e">
        <f t="shared" si="17"/>
        <v>#N/A</v>
      </c>
      <c r="DT43" s="60" t="e">
        <f ca="1">AVERAGE(OFFSET($DS$3,0,0,'Données projet'!$E$14+1,1))-AVERAGE(OFFSET($H$3,0,0,'Données projet'!$E$14+1,1))</f>
        <v>#N/A</v>
      </c>
      <c r="DU43" s="60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4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36.4572</v>
      </c>
      <c r="D44" s="12">
        <f t="shared" si="32"/>
        <v>11.054619486999963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9.1</v>
      </c>
      <c r="N44" s="14">
        <f>IF('Données projet'!$A$36&gt;35,N43+M44-V43,IF(A44&lt;'Données projet'!$A$36,$K$205^A44,IF(A44='Données projet'!$A$36,'Données projet'!$B$36,N43+M44-V43)))</f>
        <v>255.10000000000002</v>
      </c>
      <c r="O44" s="14">
        <f>N44*VLOOKUP('Données projet'!$B$9,Paramètres!$A$1:$I$88,3,0)*VLOOKUP('Données projet'!$B$9,Paramètres!$A$1:$I$88,5,0)</f>
        <v>152.54980000000003</v>
      </c>
      <c r="P44" s="14">
        <f t="shared" si="33"/>
        <v>39.157467150475647</v>
      </c>
      <c r="Q44" s="22">
        <f t="shared" si="53"/>
        <v>333.89015695374513</v>
      </c>
      <c r="R44" s="60">
        <f t="shared" si="0"/>
        <v>627.22349028707845</v>
      </c>
      <c r="S44" s="60">
        <f ca="1">AVERAGE(OFFSET($R$3,0,0,'Données projet'!$E$9+1,1))-AVERAGE(OFFSET($H$3,0,0,'Données projet'!$E$9+1,1))</f>
        <v>181.84907943028196</v>
      </c>
      <c r="T44" s="60">
        <f t="shared" si="34"/>
        <v>199.66849909069458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13.717553845235233</v>
      </c>
      <c r="AA44" s="23">
        <f>EXP(-LN(2)/25)*AA43+(1-EXP(-LN(2)/25))/(LN(2)/25)*Calculateur!V44*Calculateur!X44*VLOOKUP('Données projet'!$B$9,Paramètres!$A$1:$I$88,3,0)*0.475*44/12</f>
        <v>23.094385948271455</v>
      </c>
      <c r="AB44" s="23">
        <f>EXP(-LN(2)/2)*AB43+(1-EXP(-LN(2)/2))/(LN(2)/2)*V44*Y44*VLOOKUP('Données projet'!$B$9,Paramètres!$A$1:$I$88,3,0)*0.475*44/12</f>
        <v>2.4541159495753426</v>
      </c>
      <c r="AC44" s="24">
        <f t="shared" si="3"/>
        <v>39.266055743082035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</v>
      </c>
      <c r="AI44" s="14">
        <f>IF('Données projet'!$A$62&gt;35,AI43+AH44-AQ43,IF(A44&lt;'Données projet'!$A$62,$AF$205^A44,IF(A44='Données projet'!$A$62,'Données projet'!$B$62,AI43+AH44-AQ43)))</f>
        <v>107</v>
      </c>
      <c r="AJ44" s="14">
        <f>AI44*VLOOKUP('Données projet'!$B$10,Paramètres!$A$1:$I$88,3,0)*VLOOKUP('Données projet'!$B$10,Paramètres!$A$1:$I$88,5,0)</f>
        <v>86.798400000000001</v>
      </c>
      <c r="AK44" s="14">
        <f t="shared" si="35"/>
        <v>23.791455965948352</v>
      </c>
      <c r="AL44" s="22">
        <f t="shared" si="4"/>
        <v>192.61066580735999</v>
      </c>
      <c r="AM44" s="60">
        <f t="shared" si="5"/>
        <v>485.94399914069334</v>
      </c>
      <c r="AN44" s="60">
        <f ca="1">AVERAGE(OFFSET($AM$3,0,0,'Données projet'!$E$10+1,1))-AVERAGE(OFFSET($H$3,0,0,'Données projet'!$E$10+1,1))</f>
        <v>55.581964048431473</v>
      </c>
      <c r="AO44" s="60">
        <f t="shared" si="36"/>
        <v>91.067506141193803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3.6532554404628828</v>
      </c>
      <c r="AV44" s="23">
        <f>EXP(-LN(2)/25)*AV43+(1-EXP(-LN(2)/25))/(LN(2)/25)*Calculateur!AQ44*Calculateur!AS44*VLOOKUP('Données projet'!$B$10,Paramètres!$A$1:$I$88,3,0)*0.475*44/12</f>
        <v>0</v>
      </c>
      <c r="AW44" s="23">
        <f>EXP(-LN(2)/2)*AW43+(1-EXP(-LN(2)/2))/(LN(2)/2)*AQ44*AT44*VLOOKUP('Données projet'!$B$10,Paramètres!$A$1:$I$88,3,0)*0.475*44/12</f>
        <v>0</v>
      </c>
      <c r="AX44" s="23">
        <f t="shared" si="6"/>
        <v>3.6532554404628828</v>
      </c>
      <c r="AY44" s="7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2.1607142857142856</v>
      </c>
      <c r="BD44" s="13">
        <f>IF('Données projet'!$A$88&gt;35,BD43+BC44-BL43,IF(A44&lt;'Données projet'!$A$88,$BA$205^A44,IF(A44='Données projet'!$A$88,'Données projet'!$B$88,BD43+BC44-BL43)))</f>
        <v>88.589285714285765</v>
      </c>
      <c r="BE44" s="14">
        <f>BD44*VLOOKUP('Données projet'!$B$11,Paramètres!$A$1:$I$88,3,0)*VLOOKUP('Données projet'!$B$11,Paramètres!$A$1:$I$88,5,0)</f>
        <v>89.829535714285768</v>
      </c>
      <c r="BF44" s="14">
        <f t="shared" si="37"/>
        <v>24.524108577859487</v>
      </c>
      <c r="BG44" s="22">
        <f t="shared" si="7"/>
        <v>199.16593047548631</v>
      </c>
      <c r="BH44" s="60">
        <f t="shared" si="8"/>
        <v>492.49926380881959</v>
      </c>
      <c r="BI44" s="60">
        <f ca="1">AVERAGE(OFFSET($BH$3,0,0,'Données projet'!$E$11+1,1))-AVERAGE(OFFSET($H$3,0,0,'Données projet'!$E$11+1,1))</f>
        <v>178.29366134936788</v>
      </c>
      <c r="BJ44" s="60">
        <f t="shared" si="38"/>
        <v>85.818195717787148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</v>
      </c>
      <c r="BY44" s="13">
        <f>IF('Données projet'!$A$114&gt;35,BY43+BX44-CG43,IF(A44&lt;'Données projet'!$A$114,$BV$205^A44,IF(A44='Données projet'!$A$114,'Données projet'!$B$114,BY43+BX44-CG43)))</f>
        <v>200</v>
      </c>
      <c r="BZ44" s="14">
        <f>BY44*VLOOKUP('Données projet'!$B$12,Paramètres!$A$1:$I$88,3,0)*VLOOKUP('Données projet'!$B$12,Paramètres!$A$1:$I$88,5,0)</f>
        <v>93.600000000000009</v>
      </c>
      <c r="CA44" s="14">
        <f t="shared" si="39"/>
        <v>25.431466524572937</v>
      </c>
      <c r="CB44" s="22">
        <f t="shared" si="10"/>
        <v>207.31313753029789</v>
      </c>
      <c r="CC44" s="60">
        <f t="shared" si="11"/>
        <v>500.64647086363118</v>
      </c>
      <c r="CD44" s="60">
        <f ca="1">AVERAGE(OFFSET($CC$3,0,0,'Données projet'!$E$12+1,1))-AVERAGE(OFFSET($H$3,0,0,'Données projet'!$E$12+1,1))</f>
        <v>104.00159056395933</v>
      </c>
      <c r="CE44" s="60">
        <f t="shared" si="40"/>
        <v>115.86489547584461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2.6780953102526817</v>
      </c>
      <c r="CL44" s="23">
        <f>EXP(-LN(2)/25)*CL43+(1-EXP(-LN(2)/25))/(LN(2)/25)*Calculateur!CG44*Calculateur!CI44*VLOOKUP('Données projet'!$B$12,Paramètres!$A$1:$I$88,3,0)*0.475*44/12</f>
        <v>11.544052872503141</v>
      </c>
      <c r="CM44" s="23">
        <f>EXP(-LN(2)/2)*CM43+(1-EXP(-LN(2)/2))/(LN(2)/2)*CG44*CJ44*VLOOKUP('Données projet'!$B$12,Paramètres!$A$1:$I$88,3,0)*0.475*44/12</f>
        <v>5.4816426530287607</v>
      </c>
      <c r="CN44" s="24">
        <f t="shared" si="12"/>
        <v>19.703790835784581</v>
      </c>
      <c r="CO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projet'!$B$13,Paramètres!$A$1:$I$88,3,0)*VLOOKUP('Données projet'!$B$13,Paramètres!$A$1:$I$88,5,0)</f>
        <v>#N/A</v>
      </c>
      <c r="CV44" s="14" t="e">
        <f t="shared" si="41"/>
        <v>#N/A</v>
      </c>
      <c r="CW44" s="22" t="e">
        <f t="shared" si="13"/>
        <v>#N/A</v>
      </c>
      <c r="CX44" s="60" t="e">
        <f t="shared" si="14"/>
        <v>#N/A</v>
      </c>
      <c r="CY44" s="60" t="e">
        <f ca="1">AVERAGE(OFFSET($CX$3,0,0,'Données projet'!$E$13+1,1))-AVERAGE(OFFSET($H$3,0,0,'Données projet'!$E$13+1,1))</f>
        <v>#N/A</v>
      </c>
      <c r="CZ44" s="60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projet'!$B$13,Paramètres!$A$1:$I$88,3,0)*0.475*44/12</f>
        <v>#N/A</v>
      </c>
      <c r="DG44" s="23" t="e">
        <f>EXP(-LN(2)/25)*DG43+(1-EXP(-LN(2)/25))/(LN(2)/25)*Calculateur!DB44*Calculateur!DD44*VLOOKUP('Données projet'!$B$13,Paramètres!$A$1:$I$88,3,0)*0.475*44/12</f>
        <v>#N/A</v>
      </c>
      <c r="DH44" s="23" t="e">
        <f>EXP(-LN(2)/2)*DH43+(1-EXP(-LN(2)/2))/(LN(2)/2)*DB44*DE44*VLOOKUP('Données projet'!$B$13,Paramètres!$A$1:$I$88,3,0)*0.475*44/12</f>
        <v>#N/A</v>
      </c>
      <c r="DI44" s="24" t="e">
        <f t="shared" si="15"/>
        <v>#N/A</v>
      </c>
      <c r="DJ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0" t="e">
        <f t="shared" si="17"/>
        <v>#N/A</v>
      </c>
      <c r="DT44" s="60" t="e">
        <f ca="1">AVERAGE(OFFSET($DS$3,0,0,'Données projet'!$E$14+1,1))-AVERAGE(OFFSET($H$3,0,0,'Données projet'!$E$14+1,1))</f>
        <v>#N/A</v>
      </c>
      <c r="DU44" s="60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4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37.346400000000003</v>
      </c>
      <c r="D45" s="12">
        <f t="shared" si="32"/>
        <v>11.292524863342397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9.1</v>
      </c>
      <c r="N45" s="14">
        <f>IF('Données projet'!$A$36&gt;35,N44+M45-V44,IF(A45&lt;'Données projet'!$A$36,$K$205^A45,IF(A45='Données projet'!$A$36,'Données projet'!$B$36,N44+M45-V44)))</f>
        <v>264.20000000000005</v>
      </c>
      <c r="O45" s="14">
        <f>N45*VLOOKUP('Données projet'!$B$9,Paramètres!$A$1:$I$88,3,0)*VLOOKUP('Données projet'!$B$9,Paramètres!$A$1:$I$88,5,0)</f>
        <v>157.99160000000003</v>
      </c>
      <c r="P45" s="14">
        <f t="shared" si="33"/>
        <v>40.389182682530297</v>
      </c>
      <c r="Q45" s="22">
        <f t="shared" si="53"/>
        <v>345.513196505407</v>
      </c>
      <c r="R45" s="60">
        <f t="shared" si="0"/>
        <v>638.84652983874025</v>
      </c>
      <c r="S45" s="60">
        <f ca="1">AVERAGE(OFFSET($R$3,0,0,'Données projet'!$E$9+1,1))-AVERAGE(OFFSET($H$3,0,0,'Données projet'!$E$9+1,1))</f>
        <v>181.84907943028196</v>
      </c>
      <c r="T45" s="60">
        <f t="shared" si="34"/>
        <v>199.66849909069458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13.448560981211855</v>
      </c>
      <c r="AA45" s="23">
        <f>EXP(-LN(2)/25)*AA44+(1-EXP(-LN(2)/25))/(LN(2)/25)*Calculateur!V45*Calculateur!X45*VLOOKUP('Données projet'!$B$9,Paramètres!$A$1:$I$88,3,0)*0.475*44/12</f>
        <v>22.462868750035</v>
      </c>
      <c r="AB45" s="23">
        <f>EXP(-LN(2)/2)*AB44+(1-EXP(-LN(2)/2))/(LN(2)/2)*V45*Y45*VLOOKUP('Données projet'!$B$9,Paramètres!$A$1:$I$88,3,0)*0.475*44/12</f>
        <v>1.7353220297627883</v>
      </c>
      <c r="AC45" s="24">
        <f t="shared" si="3"/>
        <v>37.646751761009646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</v>
      </c>
      <c r="AI45" s="14">
        <f>IF('Données projet'!$A$62&gt;35,AI44+AH45-AQ44,IF(A45&lt;'Données projet'!$A$62,$AF$205^A45,IF(A45='Données projet'!$A$62,'Données projet'!$B$62,AI44+AH45-AQ44)))</f>
        <v>112</v>
      </c>
      <c r="AJ45" s="14">
        <f>AI45*VLOOKUP('Données projet'!$B$10,Paramètres!$A$1:$I$88,3,0)*VLOOKUP('Données projet'!$B$10,Paramètres!$A$1:$I$88,5,0)</f>
        <v>90.854400000000012</v>
      </c>
      <c r="AK45" s="14">
        <f t="shared" si="35"/>
        <v>24.771172249191284</v>
      </c>
      <c r="AL45" s="22">
        <f t="shared" si="4"/>
        <v>201.38120500067484</v>
      </c>
      <c r="AM45" s="60">
        <f t="shared" si="5"/>
        <v>494.71453833400813</v>
      </c>
      <c r="AN45" s="60">
        <f ca="1">AVERAGE(OFFSET($AM$3,0,0,'Données projet'!$E$10+1,1))-AVERAGE(OFFSET($H$3,0,0,'Données projet'!$E$10+1,1))</f>
        <v>55.581964048431473</v>
      </c>
      <c r="AO45" s="60">
        <f t="shared" si="36"/>
        <v>91.067506141193803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3.5816173295412015</v>
      </c>
      <c r="AV45" s="23">
        <f>EXP(-LN(2)/25)*AV44+(1-EXP(-LN(2)/25))/(LN(2)/25)*Calculateur!AQ45*Calculateur!AS45*VLOOKUP('Données projet'!$B$10,Paramètres!$A$1:$I$88,3,0)*0.475*44/12</f>
        <v>0</v>
      </c>
      <c r="AW45" s="23">
        <f>EXP(-LN(2)/2)*AW44+(1-EXP(-LN(2)/2))/(LN(2)/2)*AQ45*AT45*VLOOKUP('Données projet'!$B$10,Paramètres!$A$1:$I$88,3,0)*0.475*44/12</f>
        <v>0</v>
      </c>
      <c r="AX45" s="23">
        <f t="shared" si="6"/>
        <v>3.5816173295412015</v>
      </c>
      <c r="AY45" s="7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2.1607142857142856</v>
      </c>
      <c r="BD45" s="13">
        <f>IF('Données projet'!$A$88&gt;35,BD44+BC45-BL44,IF(A45&lt;'Données projet'!$A$88,$BA$205^A45,IF(A45='Données projet'!$A$88,'Données projet'!$B$88,BD44+BC45-BL44)))</f>
        <v>90.750000000000057</v>
      </c>
      <c r="BE45" s="14">
        <f>BD45*VLOOKUP('Données projet'!$B$11,Paramètres!$A$1:$I$88,3,0)*VLOOKUP('Données projet'!$B$11,Paramètres!$A$1:$I$88,5,0)</f>
        <v>92.020500000000069</v>
      </c>
      <c r="BF45" s="14">
        <f t="shared" si="37"/>
        <v>25.051889501258934</v>
      </c>
      <c r="BG45" s="22">
        <f t="shared" si="7"/>
        <v>203.90107838135944</v>
      </c>
      <c r="BH45" s="60">
        <f t="shared" si="8"/>
        <v>497.23441171469278</v>
      </c>
      <c r="BI45" s="60">
        <f ca="1">AVERAGE(OFFSET($BH$3,0,0,'Données projet'!$E$11+1,1))-AVERAGE(OFFSET($H$3,0,0,'Données projet'!$E$11+1,1))</f>
        <v>178.29366134936788</v>
      </c>
      <c r="BJ45" s="60">
        <f t="shared" si="38"/>
        <v>85.818195717787148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</v>
      </c>
      <c r="BY45" s="13">
        <f>IF('Données projet'!$A$114&gt;35,BY44+BX45-CG44,IF(A45&lt;'Données projet'!$A$114,$BV$205^A45,IF(A45='Données projet'!$A$114,'Données projet'!$B$114,BY44+BX45-CG44)))</f>
        <v>210</v>
      </c>
      <c r="BZ45" s="14">
        <f>BY45*VLOOKUP('Données projet'!$B$12,Paramètres!$A$1:$I$88,3,0)*VLOOKUP('Données projet'!$B$12,Paramètres!$A$1:$I$88,5,0)</f>
        <v>98.28</v>
      </c>
      <c r="CA45" s="14">
        <f t="shared" si="39"/>
        <v>26.551818424463473</v>
      </c>
      <c r="CB45" s="22">
        <f t="shared" si="10"/>
        <v>217.41541708927389</v>
      </c>
      <c r="CC45" s="60">
        <f t="shared" si="11"/>
        <v>510.7487504226072</v>
      </c>
      <c r="CD45" s="60">
        <f ca="1">AVERAGE(OFFSET($CC$3,0,0,'Données projet'!$E$12+1,1))-AVERAGE(OFFSET($H$3,0,0,'Données projet'!$E$12+1,1))</f>
        <v>104.00159056395933</v>
      </c>
      <c r="CE45" s="60">
        <f t="shared" si="40"/>
        <v>115.86489547584461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2.6255794946954736</v>
      </c>
      <c r="CL45" s="23">
        <f>EXP(-LN(2)/25)*CL44+(1-EXP(-LN(2)/25))/(LN(2)/25)*Calculateur!CG45*Calculateur!CI45*VLOOKUP('Données projet'!$B$12,Paramètres!$A$1:$I$88,3,0)*0.475*44/12</f>
        <v>11.228380139629186</v>
      </c>
      <c r="CM45" s="23">
        <f>EXP(-LN(2)/2)*CM44+(1-EXP(-LN(2)/2))/(LN(2)/2)*CG45*CJ45*VLOOKUP('Données projet'!$B$12,Paramètres!$A$1:$I$88,3,0)*0.475*44/12</f>
        <v>3.876106691998054</v>
      </c>
      <c r="CN45" s="24">
        <f t="shared" si="12"/>
        <v>17.730066326322714</v>
      </c>
      <c r="CO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projet'!$B$13,Paramètres!$A$1:$I$88,3,0)*VLOOKUP('Données projet'!$B$13,Paramètres!$A$1:$I$88,5,0)</f>
        <v>#N/A</v>
      </c>
      <c r="CV45" s="14" t="e">
        <f t="shared" si="41"/>
        <v>#N/A</v>
      </c>
      <c r="CW45" s="22" t="e">
        <f t="shared" si="13"/>
        <v>#N/A</v>
      </c>
      <c r="CX45" s="60" t="e">
        <f t="shared" si="14"/>
        <v>#N/A</v>
      </c>
      <c r="CY45" s="60" t="e">
        <f ca="1">AVERAGE(OFFSET($CX$3,0,0,'Données projet'!$E$13+1,1))-AVERAGE(OFFSET($H$3,0,0,'Données projet'!$E$13+1,1))</f>
        <v>#N/A</v>
      </c>
      <c r="CZ45" s="60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projet'!$B$13,Paramètres!$A$1:$I$88,3,0)*0.475*44/12</f>
        <v>#N/A</v>
      </c>
      <c r="DG45" s="23" t="e">
        <f>EXP(-LN(2)/25)*DG44+(1-EXP(-LN(2)/25))/(LN(2)/25)*Calculateur!DB45*Calculateur!DD45*VLOOKUP('Données projet'!$B$13,Paramètres!$A$1:$I$88,3,0)*0.475*44/12</f>
        <v>#N/A</v>
      </c>
      <c r="DH45" s="23" t="e">
        <f>EXP(-LN(2)/2)*DH44+(1-EXP(-LN(2)/2))/(LN(2)/2)*DB45*DE45*VLOOKUP('Données projet'!$B$13,Paramètres!$A$1:$I$88,3,0)*0.475*44/12</f>
        <v>#N/A</v>
      </c>
      <c r="DI45" s="24" t="e">
        <f t="shared" si="15"/>
        <v>#N/A</v>
      </c>
      <c r="DJ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0" t="e">
        <f t="shared" si="17"/>
        <v>#N/A</v>
      </c>
      <c r="DT45" s="60" t="e">
        <f ca="1">AVERAGE(OFFSET($DS$3,0,0,'Données projet'!$E$14+1,1))-AVERAGE(OFFSET($H$3,0,0,'Données projet'!$E$14+1,1))</f>
        <v>#N/A</v>
      </c>
      <c r="DU45" s="60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4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38.235600000000005</v>
      </c>
      <c r="D46" s="12">
        <f t="shared" si="32"/>
        <v>11.529771748983352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9.1</v>
      </c>
      <c r="N46" s="14">
        <f>IF('Données projet'!$A$36&gt;35,N45+M46-V45,IF(A46&lt;'Données projet'!$A$36,$K$205^A46,IF(A46='Données projet'!$A$36,'Données projet'!$B$36,N45+M46-V45)))</f>
        <v>273.30000000000007</v>
      </c>
      <c r="O46" s="14">
        <f>N46*VLOOKUP('Données projet'!$B$9,Paramètres!$A$1:$I$88,3,0)*VLOOKUP('Données projet'!$B$9,Paramètres!$A$1:$I$88,5,0)</f>
        <v>163.43340000000003</v>
      </c>
      <c r="P46" s="14">
        <f t="shared" si="33"/>
        <v>41.615968833471683</v>
      </c>
      <c r="Q46" s="22">
        <f t="shared" si="53"/>
        <v>357.12765071829654</v>
      </c>
      <c r="R46" s="60">
        <f t="shared" si="0"/>
        <v>650.46098405162979</v>
      </c>
      <c r="S46" s="60">
        <f ca="1">AVERAGE(OFFSET($R$3,0,0,'Données projet'!$E$9+1,1))-AVERAGE(OFFSET($H$3,0,0,'Données projet'!$E$9+1,1))</f>
        <v>181.84907943028196</v>
      </c>
      <c r="T46" s="60">
        <f t="shared" si="34"/>
        <v>199.66849909069458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13.184842903182529</v>
      </c>
      <c r="AA46" s="23">
        <f>EXP(-LN(2)/25)*AA45+(1-EXP(-LN(2)/25))/(LN(2)/25)*Calculateur!V46*Calculateur!X46*VLOOKUP('Données projet'!$B$9,Paramètres!$A$1:$I$88,3,0)*0.475*44/12</f>
        <v>21.848620422794365</v>
      </c>
      <c r="AB46" s="23">
        <f>EXP(-LN(2)/2)*AB45+(1-EXP(-LN(2)/2))/(LN(2)/2)*V46*Y46*VLOOKUP('Données projet'!$B$9,Paramètres!$A$1:$I$88,3,0)*0.475*44/12</f>
        <v>1.2270579747876715</v>
      </c>
      <c r="AC46" s="24">
        <f t="shared" si="3"/>
        <v>36.260521300764566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</v>
      </c>
      <c r="AI46" s="14">
        <f>IF('Données projet'!$A$62&gt;35,AI45+AH46-AQ45,IF(A46&lt;'Données projet'!$A$62,$AF$205^A46,IF(A46='Données projet'!$A$62,'Données projet'!$B$62,AI45+AH46-AQ45)))</f>
        <v>117</v>
      </c>
      <c r="AJ46" s="14">
        <f>AI46*VLOOKUP('Données projet'!$B$10,Paramètres!$A$1:$I$88,3,0)*VLOOKUP('Données projet'!$B$10,Paramètres!$A$1:$I$88,5,0)</f>
        <v>94.91040000000001</v>
      </c>
      <c r="AK46" s="14">
        <f t="shared" si="35"/>
        <v>25.745808929754993</v>
      </c>
      <c r="AL46" s="22">
        <f t="shared" si="4"/>
        <v>210.14289721932326</v>
      </c>
      <c r="AM46" s="60">
        <f t="shared" si="5"/>
        <v>503.4762305526566</v>
      </c>
      <c r="AN46" s="60">
        <f ca="1">AVERAGE(OFFSET($AM$3,0,0,'Données projet'!$E$10+1,1))-AVERAGE(OFFSET($H$3,0,0,'Données projet'!$E$10+1,1))</f>
        <v>55.581964048431473</v>
      </c>
      <c r="AO46" s="60">
        <f t="shared" si="36"/>
        <v>91.067506141193803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3.511383998279761</v>
      </c>
      <c r="AV46" s="23">
        <f>EXP(-LN(2)/25)*AV45+(1-EXP(-LN(2)/25))/(LN(2)/25)*Calculateur!AQ46*Calculateur!AS46*VLOOKUP('Données projet'!$B$10,Paramètres!$A$1:$I$88,3,0)*0.475*44/12</f>
        <v>0</v>
      </c>
      <c r="AW46" s="23">
        <f>EXP(-LN(2)/2)*AW45+(1-EXP(-LN(2)/2))/(LN(2)/2)*AQ46*AT46*VLOOKUP('Données projet'!$B$10,Paramètres!$A$1:$I$88,3,0)*0.475*44/12</f>
        <v>0</v>
      </c>
      <c r="AX46" s="23">
        <f t="shared" si="6"/>
        <v>3.511383998279761</v>
      </c>
      <c r="AY46" s="7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2.1607142857142856</v>
      </c>
      <c r="BD46" s="13">
        <f>IF('Données projet'!$A$88&gt;35,BD45+BC46-BL45,IF(A46&lt;'Données projet'!$A$88,$BA$205^A46,IF(A46='Données projet'!$A$88,'Données projet'!$B$88,BD45+BC46-BL45)))</f>
        <v>92.910714285714349</v>
      </c>
      <c r="BE46" s="14">
        <f>BD46*VLOOKUP('Données projet'!$B$11,Paramètres!$A$1:$I$88,3,0)*VLOOKUP('Données projet'!$B$11,Paramètres!$A$1:$I$88,5,0)</f>
        <v>94.211464285714356</v>
      </c>
      <c r="BF46" s="14">
        <f t="shared" si="37"/>
        <v>25.578209596677851</v>
      </c>
      <c r="BG46" s="22">
        <f t="shared" si="7"/>
        <v>208.63368201183309</v>
      </c>
      <c r="BH46" s="60">
        <f t="shared" si="8"/>
        <v>501.96701534516637</v>
      </c>
      <c r="BI46" s="60">
        <f ca="1">AVERAGE(OFFSET($BH$3,0,0,'Données projet'!$E$11+1,1))-AVERAGE(OFFSET($H$3,0,0,'Données projet'!$E$11+1,1))</f>
        <v>178.29366134936788</v>
      </c>
      <c r="BJ46" s="60">
        <f t="shared" si="38"/>
        <v>85.818195717787148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</v>
      </c>
      <c r="BY46" s="13">
        <f>IF('Données projet'!$A$114&gt;35,BY45+BX46-CG45,IF(A46&lt;'Données projet'!$A$114,$BV$205^A46,IF(A46='Données projet'!$A$114,'Données projet'!$B$114,BY45+BX46-CG45)))</f>
        <v>220</v>
      </c>
      <c r="BZ46" s="14">
        <f>BY46*VLOOKUP('Données projet'!$B$12,Paramètres!$A$1:$I$88,3,0)*VLOOKUP('Données projet'!$B$12,Paramètres!$A$1:$I$88,5,0)</f>
        <v>102.96000000000001</v>
      </c>
      <c r="CA46" s="14">
        <f t="shared" si="39"/>
        <v>27.665975080374633</v>
      </c>
      <c r="CB46" s="22">
        <f t="shared" si="10"/>
        <v>227.50690659831915</v>
      </c>
      <c r="CC46" s="60">
        <f t="shared" si="11"/>
        <v>520.84023993165249</v>
      </c>
      <c r="CD46" s="60">
        <f ca="1">AVERAGE(OFFSET($CC$3,0,0,'Données projet'!$E$12+1,1))-AVERAGE(OFFSET($H$3,0,0,'Données projet'!$E$12+1,1))</f>
        <v>104.00159056395933</v>
      </c>
      <c r="CE46" s="60">
        <f t="shared" si="40"/>
        <v>115.86489547584461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2.5740934822498573</v>
      </c>
      <c r="CL46" s="23">
        <f>EXP(-LN(2)/25)*CL45+(1-EXP(-LN(2)/25))/(LN(2)/25)*Calculateur!CG46*Calculateur!CI46*VLOOKUP('Données projet'!$B$12,Paramètres!$A$1:$I$88,3,0)*0.475*44/12</f>
        <v>10.921339494236177</v>
      </c>
      <c r="CM46" s="23">
        <f>EXP(-LN(2)/2)*CM45+(1-EXP(-LN(2)/2))/(LN(2)/2)*CG46*CJ46*VLOOKUP('Données projet'!$B$12,Paramètres!$A$1:$I$88,3,0)*0.475*44/12</f>
        <v>2.7408213265143808</v>
      </c>
      <c r="CN46" s="24">
        <f t="shared" si="12"/>
        <v>16.236254303000415</v>
      </c>
      <c r="CO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projet'!$B$13,Paramètres!$A$1:$I$88,3,0)*VLOOKUP('Données projet'!$B$13,Paramètres!$A$1:$I$88,5,0)</f>
        <v>#N/A</v>
      </c>
      <c r="CV46" s="14" t="e">
        <f t="shared" si="41"/>
        <v>#N/A</v>
      </c>
      <c r="CW46" s="22" t="e">
        <f t="shared" si="13"/>
        <v>#N/A</v>
      </c>
      <c r="CX46" s="60" t="e">
        <f t="shared" si="14"/>
        <v>#N/A</v>
      </c>
      <c r="CY46" s="60" t="e">
        <f ca="1">AVERAGE(OFFSET($CX$3,0,0,'Données projet'!$E$13+1,1))-AVERAGE(OFFSET($H$3,0,0,'Données projet'!$E$13+1,1))</f>
        <v>#N/A</v>
      </c>
      <c r="CZ46" s="60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projet'!$B$13,Paramètres!$A$1:$I$88,3,0)*0.475*44/12</f>
        <v>#N/A</v>
      </c>
      <c r="DG46" s="23" t="e">
        <f>EXP(-LN(2)/25)*DG45+(1-EXP(-LN(2)/25))/(LN(2)/25)*Calculateur!DB46*Calculateur!DD46*VLOOKUP('Données projet'!$B$13,Paramètres!$A$1:$I$88,3,0)*0.475*44/12</f>
        <v>#N/A</v>
      </c>
      <c r="DH46" s="23" t="e">
        <f>EXP(-LN(2)/2)*DH45+(1-EXP(-LN(2)/2))/(LN(2)/2)*DB46*DE46*VLOOKUP('Données projet'!$B$13,Paramètres!$A$1:$I$88,3,0)*0.475*44/12</f>
        <v>#N/A</v>
      </c>
      <c r="DI46" s="24" t="e">
        <f t="shared" si="15"/>
        <v>#N/A</v>
      </c>
      <c r="DJ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0" t="e">
        <f t="shared" si="17"/>
        <v>#N/A</v>
      </c>
      <c r="DT46" s="60" t="e">
        <f ca="1">AVERAGE(OFFSET($DS$3,0,0,'Données projet'!$E$14+1,1))-AVERAGE(OFFSET($H$3,0,0,'Données projet'!$E$14+1,1))</f>
        <v>#N/A</v>
      </c>
      <c r="DU46" s="60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4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39.124800000000008</v>
      </c>
      <c r="D47" s="12">
        <f t="shared" si="32"/>
        <v>11.766377220171686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9.1</v>
      </c>
      <c r="N47" s="14">
        <f>IF('Données projet'!$A$36&gt;35,N46+M47-V46,IF(A47&lt;'Données projet'!$A$36,$K$205^A47,IF(A47='Données projet'!$A$36,'Données projet'!$B$36,N46+M47-V46)))</f>
        <v>282.40000000000009</v>
      </c>
      <c r="O47" s="14">
        <f>N47*VLOOKUP('Données projet'!$B$9,Paramètres!$A$1:$I$88,3,0)*VLOOKUP('Données projet'!$B$9,Paramètres!$A$1:$I$88,5,0)</f>
        <v>168.87520000000006</v>
      </c>
      <c r="P47" s="14">
        <f t="shared" si="33"/>
        <v>42.838008554673955</v>
      </c>
      <c r="Q47" s="22">
        <f t="shared" si="53"/>
        <v>368.73383823272394</v>
      </c>
      <c r="R47" s="60">
        <f t="shared" si="0"/>
        <v>662.06717156605725</v>
      </c>
      <c r="S47" s="60">
        <f ca="1">AVERAGE(OFFSET($R$3,0,0,'Données projet'!$E$9+1,1))-AVERAGE(OFFSET($H$3,0,0,'Données projet'!$E$9+1,1))</f>
        <v>181.84907943028196</v>
      </c>
      <c r="T47" s="60">
        <f t="shared" si="34"/>
        <v>199.66849909069458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12.926296175811213</v>
      </c>
      <c r="AA47" s="23">
        <f>EXP(-LN(2)/25)*AA46+(1-EXP(-LN(2)/25))/(LN(2)/25)*Calculateur!V47*Calculateur!X47*VLOOKUP('Données projet'!$B$9,Paramètres!$A$1:$I$88,3,0)*0.475*44/12</f>
        <v>21.251168748364041</v>
      </c>
      <c r="AB47" s="23">
        <f>EXP(-LN(2)/2)*AB46+(1-EXP(-LN(2)/2))/(LN(2)/2)*V47*Y47*VLOOKUP('Données projet'!$B$9,Paramètres!$A$1:$I$88,3,0)*0.475*44/12</f>
        <v>0.86766101488139424</v>
      </c>
      <c r="AC47" s="24">
        <f t="shared" si="3"/>
        <v>35.045125939056646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</v>
      </c>
      <c r="AI47" s="14">
        <f>IF('Données projet'!$A$62&gt;35,AI46+AH47-AQ46,IF(A47&lt;'Données projet'!$A$62,$AF$205^A47,IF(A47='Données projet'!$A$62,'Données projet'!$B$62,AI46+AH47-AQ46)))</f>
        <v>122</v>
      </c>
      <c r="AJ47" s="14">
        <f>AI47*VLOOKUP('Données projet'!$B$10,Paramètres!$A$1:$I$88,3,0)*VLOOKUP('Données projet'!$B$10,Paramètres!$A$1:$I$88,5,0)</f>
        <v>98.966400000000007</v>
      </c>
      <c r="AK47" s="14">
        <f t="shared" si="35"/>
        <v>26.715607900934952</v>
      </c>
      <c r="AL47" s="22">
        <f t="shared" si="4"/>
        <v>218.89616376079505</v>
      </c>
      <c r="AM47" s="60">
        <f t="shared" si="5"/>
        <v>512.22949709412842</v>
      </c>
      <c r="AN47" s="60">
        <f ca="1">AVERAGE(OFFSET($AM$3,0,0,'Données projet'!$E$10+1,1))-AVERAGE(OFFSET($H$3,0,0,'Données projet'!$E$10+1,1))</f>
        <v>55.581964048431473</v>
      </c>
      <c r="AO47" s="60">
        <f t="shared" si="36"/>
        <v>91.067506141193803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3.4425278998062554</v>
      </c>
      <c r="AV47" s="23">
        <f>EXP(-LN(2)/25)*AV46+(1-EXP(-LN(2)/25))/(LN(2)/25)*Calculateur!AQ47*Calculateur!AS47*VLOOKUP('Données projet'!$B$10,Paramètres!$A$1:$I$88,3,0)*0.475*44/12</f>
        <v>0</v>
      </c>
      <c r="AW47" s="23">
        <f>EXP(-LN(2)/2)*AW46+(1-EXP(-LN(2)/2))/(LN(2)/2)*AQ47*AT47*VLOOKUP('Données projet'!$B$10,Paramètres!$A$1:$I$88,3,0)*0.475*44/12</f>
        <v>0</v>
      </c>
      <c r="AX47" s="23">
        <f t="shared" si="6"/>
        <v>3.4425278998062554</v>
      </c>
      <c r="AY47" s="7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2.1607142857142856</v>
      </c>
      <c r="BD47" s="13">
        <f>IF('Données projet'!$A$88&gt;35,BD46+BC47-BL46,IF(A47&lt;'Données projet'!$A$88,$BA$205^A47,IF(A47='Données projet'!$A$88,'Données projet'!$B$88,BD46+BC47-BL46)))</f>
        <v>95.07142857142864</v>
      </c>
      <c r="BE47" s="14">
        <f>BD47*VLOOKUP('Données projet'!$B$11,Paramètres!$A$1:$I$88,3,0)*VLOOKUP('Données projet'!$B$11,Paramètres!$A$1:$I$88,5,0)</f>
        <v>96.402428571428658</v>
      </c>
      <c r="BF47" s="14">
        <f t="shared" si="37"/>
        <v>26.103106746901982</v>
      </c>
      <c r="BG47" s="22">
        <f t="shared" si="7"/>
        <v>213.3638073460925</v>
      </c>
      <c r="BH47" s="60">
        <f t="shared" si="8"/>
        <v>506.69714067942584</v>
      </c>
      <c r="BI47" s="60">
        <f ca="1">AVERAGE(OFFSET($BH$3,0,0,'Données projet'!$E$11+1,1))-AVERAGE(OFFSET($H$3,0,0,'Données projet'!$E$11+1,1))</f>
        <v>178.29366134936788</v>
      </c>
      <c r="BJ47" s="60">
        <f t="shared" si="38"/>
        <v>85.818195717787148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</v>
      </c>
      <c r="BY47" s="13">
        <f>IF('Données projet'!$A$114&gt;35,BY46+BX47-CG46,IF(A47&lt;'Données projet'!$A$114,$BV$205^A47,IF(A47='Données projet'!$A$114,'Données projet'!$B$114,BY46+BX47-CG46)))</f>
        <v>230</v>
      </c>
      <c r="BZ47" s="14">
        <f>BY47*VLOOKUP('Données projet'!$B$12,Paramètres!$A$1:$I$88,3,0)*VLOOKUP('Données projet'!$B$12,Paramètres!$A$1:$I$88,5,0)</f>
        <v>107.64</v>
      </c>
      <c r="CA47" s="14">
        <f t="shared" si="39"/>
        <v>28.774250263353583</v>
      </c>
      <c r="CB47" s="22">
        <f t="shared" si="10"/>
        <v>237.58815254200749</v>
      </c>
      <c r="CC47" s="60">
        <f t="shared" si="11"/>
        <v>530.92148587534075</v>
      </c>
      <c r="CD47" s="60">
        <f ca="1">AVERAGE(OFFSET($CC$3,0,0,'Données projet'!$E$12+1,1))-AVERAGE(OFFSET($H$3,0,0,'Données projet'!$E$12+1,1))</f>
        <v>104.00159056395933</v>
      </c>
      <c r="CE47" s="60">
        <f t="shared" si="40"/>
        <v>115.86489547584461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2.523617079104933</v>
      </c>
      <c r="CL47" s="23">
        <f>EXP(-LN(2)/25)*CL46+(1-EXP(-LN(2)/25))/(LN(2)/25)*Calculateur!CG47*Calculateur!CI47*VLOOKUP('Données projet'!$B$12,Paramètres!$A$1:$I$88,3,0)*0.475*44/12</f>
        <v>10.622694891438005</v>
      </c>
      <c r="CM47" s="23">
        <f>EXP(-LN(2)/2)*CM46+(1-EXP(-LN(2)/2))/(LN(2)/2)*CG47*CJ47*VLOOKUP('Données projet'!$B$12,Paramètres!$A$1:$I$88,3,0)*0.475*44/12</f>
        <v>1.9380533459990272</v>
      </c>
      <c r="CN47" s="24">
        <f t="shared" si="12"/>
        <v>15.084365316541966</v>
      </c>
      <c r="CO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projet'!$B$13,Paramètres!$A$1:$I$88,3,0)*VLOOKUP('Données projet'!$B$13,Paramètres!$A$1:$I$88,5,0)</f>
        <v>#N/A</v>
      </c>
      <c r="CV47" s="14" t="e">
        <f t="shared" si="41"/>
        <v>#N/A</v>
      </c>
      <c r="CW47" s="22" t="e">
        <f t="shared" si="13"/>
        <v>#N/A</v>
      </c>
      <c r="CX47" s="60" t="e">
        <f t="shared" si="14"/>
        <v>#N/A</v>
      </c>
      <c r="CY47" s="60" t="e">
        <f ca="1">AVERAGE(OFFSET($CX$3,0,0,'Données projet'!$E$13+1,1))-AVERAGE(OFFSET($H$3,0,0,'Données projet'!$E$13+1,1))</f>
        <v>#N/A</v>
      </c>
      <c r="CZ47" s="60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projet'!$B$13,Paramètres!$A$1:$I$88,3,0)*0.475*44/12</f>
        <v>#N/A</v>
      </c>
      <c r="DG47" s="23" t="e">
        <f>EXP(-LN(2)/25)*DG46+(1-EXP(-LN(2)/25))/(LN(2)/25)*Calculateur!DB47*Calculateur!DD47*VLOOKUP('Données projet'!$B$13,Paramètres!$A$1:$I$88,3,0)*0.475*44/12</f>
        <v>#N/A</v>
      </c>
      <c r="DH47" s="23" t="e">
        <f>EXP(-LN(2)/2)*DH46+(1-EXP(-LN(2)/2))/(LN(2)/2)*DB47*DE47*VLOOKUP('Données projet'!$B$13,Paramètres!$A$1:$I$88,3,0)*0.475*44/12</f>
        <v>#N/A</v>
      </c>
      <c r="DI47" s="24" t="e">
        <f t="shared" si="15"/>
        <v>#N/A</v>
      </c>
      <c r="DJ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0" t="e">
        <f t="shared" si="17"/>
        <v>#N/A</v>
      </c>
      <c r="DT47" s="60" t="e">
        <f ca="1">AVERAGE(OFFSET($DS$3,0,0,'Données projet'!$E$14+1,1))-AVERAGE(OFFSET($H$3,0,0,'Données projet'!$E$14+1,1))</f>
        <v>#N/A</v>
      </c>
      <c r="DU47" s="60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4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40.01400000000001</v>
      </c>
      <c r="D48" s="12">
        <f t="shared" si="32"/>
        <v>12.002357532661732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9.1</v>
      </c>
      <c r="N48" s="14">
        <f>IF('Données projet'!$A$36&gt;35,N47+M48-V47,IF(A48&lt;'Données projet'!$A$36,$K$205^A48,IF(A48='Données projet'!$A$36,'Données projet'!$B$36,N47+M48-V47)))</f>
        <v>291.50000000000011</v>
      </c>
      <c r="O48" s="14">
        <f>N48*VLOOKUP('Données projet'!$B$9,Paramètres!$A$1:$I$88,3,0)*VLOOKUP('Données projet'!$B$9,Paramètres!$A$1:$I$88,5,0)</f>
        <v>174.31700000000009</v>
      </c>
      <c r="P48" s="14">
        <f t="shared" si="33"/>
        <v>44.055472337333306</v>
      </c>
      <c r="Q48" s="22">
        <f t="shared" si="53"/>
        <v>380.33205598752232</v>
      </c>
      <c r="R48" s="60">
        <f t="shared" si="0"/>
        <v>673.66538932085564</v>
      </c>
      <c r="S48" s="60">
        <f ca="1">AVERAGE(OFFSET($R$3,0,0,'Données projet'!$E$9+1,1))-AVERAGE(OFFSET($H$3,0,0,'Données projet'!$E$9+1,1))</f>
        <v>181.84907943028196</v>
      </c>
      <c r="T48" s="60">
        <f t="shared" si="34"/>
        <v>199.66849909069458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12.672819392065717</v>
      </c>
      <c r="AA48" s="23">
        <f>EXP(-LN(2)/25)*AA47+(1-EXP(-LN(2)/25))/(LN(2)/25)*Calculateur!V48*Calculateur!X48*VLOOKUP('Données projet'!$B$9,Paramètres!$A$1:$I$88,3,0)*0.475*44/12</f>
        <v>20.670054421389633</v>
      </c>
      <c r="AB48" s="23">
        <f>EXP(-LN(2)/2)*AB47+(1-EXP(-LN(2)/2))/(LN(2)/2)*V48*Y48*VLOOKUP('Données projet'!$B$9,Paramètres!$A$1:$I$88,3,0)*0.475*44/12</f>
        <v>0.61352898739383588</v>
      </c>
      <c r="AC48" s="24">
        <f t="shared" si="3"/>
        <v>33.956402800849183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127</v>
      </c>
      <c r="AG48" s="13">
        <f>VLOOKUP(A48,'Données projet'!$A$61:$I$81,9,0)</f>
        <v>5</v>
      </c>
      <c r="AH48" s="13">
        <f t="array" ref="AH48">INDEX(AG:AG,MIN(IF(ISNUMBER(AG48:AG244),ROW(AG48:AG244),"")))</f>
        <v>5</v>
      </c>
      <c r="AI48" s="14">
        <f>IF('Données projet'!$A$62&gt;35,AI47+AH48-AQ47,IF(A48&lt;'Données projet'!$A$62,$AF$205^A48,IF(A48='Données projet'!$A$62,'Données projet'!$B$62,AI47+AH48-AQ47)))</f>
        <v>127</v>
      </c>
      <c r="AJ48" s="14">
        <f>AI48*VLOOKUP('Données projet'!$B$10,Paramètres!$A$1:$I$88,3,0)*VLOOKUP('Données projet'!$B$10,Paramètres!$A$1:$I$88,5,0)</f>
        <v>103.02240000000002</v>
      </c>
      <c r="AK48" s="14">
        <f t="shared" si="35"/>
        <v>27.680790106744656</v>
      </c>
      <c r="AL48" s="22">
        <f t="shared" si="4"/>
        <v>227.64138943591365</v>
      </c>
      <c r="AM48" s="60">
        <f t="shared" si="5"/>
        <v>520.97472276924691</v>
      </c>
      <c r="AN48" s="60">
        <f ca="1">AVERAGE(OFFSET($AM$3,0,0,'Données projet'!$E$10+1,1))-AVERAGE(OFFSET($H$3,0,0,'Données projet'!$E$10+1,1))</f>
        <v>55.581964048431473</v>
      </c>
      <c r="AO48" s="60">
        <f t="shared" si="36"/>
        <v>91.067506141193803</v>
      </c>
      <c r="AP48" s="16">
        <f>IF(ISNA(VLOOKUP(A48,'Données projet'!$A$61:$I$81,3,0)),0,VLOOKUP(A48,'Données projet'!$A$61:$I$81,3,0))</f>
        <v>7</v>
      </c>
      <c r="AQ48" s="16">
        <f>IF(ISNA(VLOOKUP(A48,'Données projet'!$A$61:$I$81,4,0)),0,VLOOKUP(A48,'Données projet'!$A$61:$I$81,4,0))</f>
        <v>127</v>
      </c>
      <c r="AR48" s="17">
        <f>IF(ISNA(VLOOKUP(A48,'Données projet'!$A$61:$I$81,5,0)),0%,VLOOKUP(A48,'Données projet'!$A$61:$I$81,5,0)*VLOOKUP('Données projet'!$B$10,Paramètres!$A$1:$I$88,7,0))</f>
        <v>0.25800000000000001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32.758180627551752</v>
      </c>
      <c r="AV48" s="23">
        <f>EXP(-LN(2)/25)*AV47+(1-EXP(-LN(2)/25))/(LN(2)/25)*Calculateur!AQ48*Calculateur!AS48*VLOOKUP('Données projet'!$B$10,Paramètres!$A$1:$I$88,3,0)*0.475*44/12</f>
        <v>0</v>
      </c>
      <c r="AW48" s="23">
        <f>EXP(-LN(2)/2)*AW47+(1-EXP(-LN(2)/2))/(LN(2)/2)*AQ48*AT48*VLOOKUP('Données projet'!$B$10,Paramètres!$A$1:$I$88,3,0)*0.475*44/12</f>
        <v>0</v>
      </c>
      <c r="AX48" s="23">
        <f t="shared" si="6"/>
        <v>32.758180627551752</v>
      </c>
      <c r="AY48" s="7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2.1607142857142856</v>
      </c>
      <c r="BD48" s="13">
        <f>IF('Données projet'!$A$88&gt;35,BD47+BC48-BL47,IF(A48&lt;'Données projet'!$A$88,$BA$205^A48,IF(A48='Données projet'!$A$88,'Données projet'!$B$88,BD47+BC48-BL47)))</f>
        <v>97.232142857142932</v>
      </c>
      <c r="BE48" s="14">
        <f>BD48*VLOOKUP('Données projet'!$B$11,Paramètres!$A$1:$I$88,3,0)*VLOOKUP('Données projet'!$B$11,Paramètres!$A$1:$I$88,5,0)</f>
        <v>98.593392857142945</v>
      </c>
      <c r="BF48" s="14">
        <f t="shared" si="37"/>
        <v>26.626617014491838</v>
      </c>
      <c r="BG48" s="22">
        <f t="shared" si="7"/>
        <v>218.09151719309725</v>
      </c>
      <c r="BH48" s="60">
        <f t="shared" si="8"/>
        <v>511.42485052643053</v>
      </c>
      <c r="BI48" s="60">
        <f ca="1">AVERAGE(OFFSET($BH$3,0,0,'Données projet'!$E$11+1,1))-AVERAGE(OFFSET($H$3,0,0,'Données projet'!$E$11+1,1))</f>
        <v>178.29366134936788</v>
      </c>
      <c r="BJ48" s="60">
        <f t="shared" si="38"/>
        <v>85.818195717787148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</v>
      </c>
      <c r="BY48" s="13">
        <f>IF('Données projet'!$A$114&gt;35,BY47+BX48-CG47,IF(A48&lt;'Données projet'!$A$114,$BV$205^A48,IF(A48='Données projet'!$A$114,'Données projet'!$B$114,BY47+BX48-CG47)))</f>
        <v>240</v>
      </c>
      <c r="BZ48" s="14">
        <f>BY48*VLOOKUP('Données projet'!$B$12,Paramètres!$A$1:$I$88,3,0)*VLOOKUP('Données projet'!$B$12,Paramètres!$A$1:$I$88,5,0)</f>
        <v>112.32</v>
      </c>
      <c r="CA48" s="14">
        <f t="shared" si="39"/>
        <v>29.87692891707237</v>
      </c>
      <c r="CB48" s="22">
        <f t="shared" si="10"/>
        <v>247.65965119723435</v>
      </c>
      <c r="CC48" s="60">
        <f t="shared" si="11"/>
        <v>540.9929845305677</v>
      </c>
      <c r="CD48" s="60">
        <f ca="1">AVERAGE(OFFSET($CC$3,0,0,'Données projet'!$E$12+1,1))-AVERAGE(OFFSET($H$3,0,0,'Données projet'!$E$12+1,1))</f>
        <v>104.00159056395933</v>
      </c>
      <c r="CE48" s="60">
        <f t="shared" si="40"/>
        <v>115.86489547584461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2.4741304874381149</v>
      </c>
      <c r="CL48" s="23">
        <f>EXP(-LN(2)/25)*CL47+(1-EXP(-LN(2)/25))/(LN(2)/25)*Calculateur!CG48*Calculateur!CI48*VLOOKUP('Données projet'!$B$12,Paramètres!$A$1:$I$88,3,0)*0.475*44/12</f>
        <v>10.332216741008388</v>
      </c>
      <c r="CM48" s="23">
        <f>EXP(-LN(2)/2)*CM47+(1-EXP(-LN(2)/2))/(LN(2)/2)*CG48*CJ48*VLOOKUP('Données projet'!$B$12,Paramètres!$A$1:$I$88,3,0)*0.475*44/12</f>
        <v>1.3704106632571906</v>
      </c>
      <c r="CN48" s="24">
        <f t="shared" si="12"/>
        <v>14.176757891703694</v>
      </c>
      <c r="CO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projet'!$B$13,Paramètres!$A$1:$I$88,3,0)*VLOOKUP('Données projet'!$B$13,Paramètres!$A$1:$I$88,5,0)</f>
        <v>#N/A</v>
      </c>
      <c r="CV48" s="14" t="e">
        <f t="shared" si="41"/>
        <v>#N/A</v>
      </c>
      <c r="CW48" s="22" t="e">
        <f t="shared" si="13"/>
        <v>#N/A</v>
      </c>
      <c r="CX48" s="60" t="e">
        <f t="shared" si="14"/>
        <v>#N/A</v>
      </c>
      <c r="CY48" s="60" t="e">
        <f ca="1">AVERAGE(OFFSET($CX$3,0,0,'Données projet'!$E$13+1,1))-AVERAGE(OFFSET($H$3,0,0,'Données projet'!$E$13+1,1))</f>
        <v>#N/A</v>
      </c>
      <c r="CZ48" s="60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projet'!$B$13,Paramètres!$A$1:$I$88,3,0)*0.475*44/12</f>
        <v>#N/A</v>
      </c>
      <c r="DG48" s="23" t="e">
        <f>EXP(-LN(2)/25)*DG47+(1-EXP(-LN(2)/25))/(LN(2)/25)*Calculateur!DB48*Calculateur!DD48*VLOOKUP('Données projet'!$B$13,Paramètres!$A$1:$I$88,3,0)*0.475*44/12</f>
        <v>#N/A</v>
      </c>
      <c r="DH48" s="23" t="e">
        <f>EXP(-LN(2)/2)*DH47+(1-EXP(-LN(2)/2))/(LN(2)/2)*DB48*DE48*VLOOKUP('Données projet'!$B$13,Paramètres!$A$1:$I$88,3,0)*0.475*44/12</f>
        <v>#N/A</v>
      </c>
      <c r="DI48" s="24" t="e">
        <f t="shared" si="15"/>
        <v>#N/A</v>
      </c>
      <c r="DJ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0" t="e">
        <f t="shared" si="17"/>
        <v>#N/A</v>
      </c>
      <c r="DT48" s="60" t="e">
        <f ca="1">AVERAGE(OFFSET($DS$3,0,0,'Données projet'!$E$14+1,1))-AVERAGE(OFFSET($H$3,0,0,'Données projet'!$E$14+1,1))</f>
        <v>#N/A</v>
      </c>
      <c r="DU48" s="60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4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40.903200000000012</v>
      </c>
      <c r="D49" s="12">
        <f t="shared" si="32"/>
        <v>12.237728178480605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9.1</v>
      </c>
      <c r="N49" s="14">
        <f>IF('Données projet'!$A$36&gt;35,N48+M49-V48,IF(A49&lt;'Données projet'!$A$36,$K$205^A49,IF(A49='Données projet'!$A$36,'Données projet'!$B$36,N48+M49-V48)))</f>
        <v>300.60000000000014</v>
      </c>
      <c r="O49" s="14">
        <f>N49*VLOOKUP('Données projet'!$B$9,Paramètres!$A$1:$I$88,3,0)*VLOOKUP('Données projet'!$B$9,Paramètres!$A$1:$I$88,5,0)</f>
        <v>179.75880000000009</v>
      </c>
      <c r="P49" s="14">
        <f t="shared" si="33"/>
        <v>45.26851942328657</v>
      </c>
      <c r="Q49" s="22">
        <f t="shared" si="53"/>
        <v>391.92258132889089</v>
      </c>
      <c r="R49" s="60">
        <f t="shared" si="0"/>
        <v>685.2559146622242</v>
      </c>
      <c r="S49" s="60">
        <f ca="1">AVERAGE(OFFSET($R$3,0,0,'Données projet'!$E$9+1,1))-AVERAGE(OFFSET($H$3,0,0,'Données projet'!$E$9+1,1))</f>
        <v>181.84907943028196</v>
      </c>
      <c r="T49" s="60">
        <f t="shared" si="34"/>
        <v>199.66849909069458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12.424313133443897</v>
      </c>
      <c r="AA49" s="23">
        <f>EXP(-LN(2)/25)*AA48+(1-EXP(-LN(2)/25))/(LN(2)/25)*Calculateur!V49*Calculateur!X49*VLOOKUP('Données projet'!$B$9,Paramètres!$A$1:$I$88,3,0)*0.475*44/12</f>
        <v>20.104830696245813</v>
      </c>
      <c r="AB49" s="23">
        <f>EXP(-LN(2)/2)*AB48+(1-EXP(-LN(2)/2))/(LN(2)/2)*V49*Y49*VLOOKUP('Données projet'!$B$9,Paramètres!$A$1:$I$88,3,0)*0.475*44/12</f>
        <v>0.43383050744069723</v>
      </c>
      <c r="AC49" s="24">
        <f t="shared" si="3"/>
        <v>32.962974337130404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projet'!$B$10,Paramètres!$A$1:$I$88,3,0)*VLOOKUP('Données projet'!$B$10,Paramètres!$A$1:$I$88,5,0)</f>
        <v>0</v>
      </c>
      <c r="AK49" s="14" t="e">
        <f t="shared" si="35"/>
        <v>#NUM!</v>
      </c>
      <c r="AL49" s="22" t="e">
        <f t="shared" si="4"/>
        <v>#NUM!</v>
      </c>
      <c r="AM49" s="60" t="e">
        <f t="shared" si="5"/>
        <v>#NUM!</v>
      </c>
      <c r="AN49" s="60">
        <f ca="1">AVERAGE(OFFSET($AM$3,0,0,'Données projet'!$E$10+1,1))-AVERAGE(OFFSET($H$3,0,0,'Données projet'!$E$10+1,1))</f>
        <v>55.581964048431473</v>
      </c>
      <c r="AO49" s="60">
        <f t="shared" si="36"/>
        <v>91.067506141193803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32.11581268596273</v>
      </c>
      <c r="AV49" s="23">
        <f>EXP(-LN(2)/25)*AV48+(1-EXP(-LN(2)/25))/(LN(2)/25)*Calculateur!AQ49*Calculateur!AS49*VLOOKUP('Données projet'!$B$10,Paramètres!$A$1:$I$88,3,0)*0.475*44/12</f>
        <v>0</v>
      </c>
      <c r="AW49" s="23">
        <f>EXP(-LN(2)/2)*AW48+(1-EXP(-LN(2)/2))/(LN(2)/2)*AQ49*AT49*VLOOKUP('Données projet'!$B$10,Paramètres!$A$1:$I$88,3,0)*0.475*44/12</f>
        <v>0</v>
      </c>
      <c r="AX49" s="23">
        <f t="shared" si="6"/>
        <v>32.11581268596273</v>
      </c>
      <c r="AY49" s="7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2.1607142857142856</v>
      </c>
      <c r="BD49" s="13">
        <f>IF('Données projet'!$A$88&gt;35,BD48+BC49-BL48,IF(A49&lt;'Données projet'!$A$88,$BA$205^A49,IF(A49='Données projet'!$A$88,'Données projet'!$B$88,BD48+BC49-BL48)))</f>
        <v>99.392857142857224</v>
      </c>
      <c r="BE49" s="14">
        <f>BD49*VLOOKUP('Données projet'!$B$11,Paramètres!$A$1:$I$88,3,0)*VLOOKUP('Données projet'!$B$11,Paramètres!$A$1:$I$88,5,0)</f>
        <v>100.78435714285723</v>
      </c>
      <c r="BF49" s="14">
        <f t="shared" si="37"/>
        <v>27.148774767718049</v>
      </c>
      <c r="BG49" s="22">
        <f t="shared" si="7"/>
        <v>222.81687141091859</v>
      </c>
      <c r="BH49" s="60">
        <f t="shared" si="8"/>
        <v>516.15020474425194</v>
      </c>
      <c r="BI49" s="60">
        <f ca="1">AVERAGE(OFFSET($BH$3,0,0,'Données projet'!$E$11+1,1))-AVERAGE(OFFSET($H$3,0,0,'Données projet'!$E$11+1,1))</f>
        <v>178.29366134936788</v>
      </c>
      <c r="BJ49" s="60">
        <f t="shared" si="38"/>
        <v>85.818195717787148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</v>
      </c>
      <c r="BY49" s="13">
        <f>IF('Données projet'!$A$114&gt;35,BY48+BX49-CG48,IF(A49&lt;'Données projet'!$A$114,$BV$205^A49,IF(A49='Données projet'!$A$114,'Données projet'!$B$114,BY48+BX49-CG48)))</f>
        <v>250</v>
      </c>
      <c r="BZ49" s="14">
        <f>BY49*VLOOKUP('Données projet'!$B$12,Paramètres!$A$1:$I$88,3,0)*VLOOKUP('Données projet'!$B$12,Paramètres!$A$1:$I$88,5,0)</f>
        <v>117</v>
      </c>
      <c r="CA49" s="14">
        <f t="shared" si="39"/>
        <v>30.974270896484146</v>
      </c>
      <c r="CB49" s="22">
        <f t="shared" si="10"/>
        <v>257.72185514470988</v>
      </c>
      <c r="CC49" s="60">
        <f t="shared" si="11"/>
        <v>551.05518847804319</v>
      </c>
      <c r="CD49" s="60">
        <f ca="1">AVERAGE(OFFSET($CC$3,0,0,'Données projet'!$E$12+1,1))-AVERAGE(OFFSET($H$3,0,0,'Données projet'!$E$12+1,1))</f>
        <v>104.00159056395933</v>
      </c>
      <c r="CE49" s="60">
        <f t="shared" si="40"/>
        <v>115.86489547584461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2.4256142976500423</v>
      </c>
      <c r="CL49" s="23">
        <f>EXP(-LN(2)/25)*CL48+(1-EXP(-LN(2)/25))/(LN(2)/25)*Calculateur!CG49*Calculateur!CI49*VLOOKUP('Données projet'!$B$12,Paramètres!$A$1:$I$88,3,0)*0.475*44/12</f>
        <v>10.04968173087785</v>
      </c>
      <c r="CM49" s="23">
        <f>EXP(-LN(2)/2)*CM48+(1-EXP(-LN(2)/2))/(LN(2)/2)*CG49*CJ49*VLOOKUP('Données projet'!$B$12,Paramètres!$A$1:$I$88,3,0)*0.475*44/12</f>
        <v>0.96902667299951384</v>
      </c>
      <c r="CN49" s="24">
        <f t="shared" si="12"/>
        <v>13.444322701527406</v>
      </c>
      <c r="CO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projet'!$B$13,Paramètres!$A$1:$I$88,3,0)*VLOOKUP('Données projet'!$B$13,Paramètres!$A$1:$I$88,5,0)</f>
        <v>#N/A</v>
      </c>
      <c r="CV49" s="14" t="e">
        <f t="shared" si="41"/>
        <v>#N/A</v>
      </c>
      <c r="CW49" s="22" t="e">
        <f t="shared" si="13"/>
        <v>#N/A</v>
      </c>
      <c r="CX49" s="60" t="e">
        <f t="shared" si="14"/>
        <v>#N/A</v>
      </c>
      <c r="CY49" s="60" t="e">
        <f ca="1">AVERAGE(OFFSET($CX$3,0,0,'Données projet'!$E$13+1,1))-AVERAGE(OFFSET($H$3,0,0,'Données projet'!$E$13+1,1))</f>
        <v>#N/A</v>
      </c>
      <c r="CZ49" s="60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projet'!$B$13,Paramètres!$A$1:$I$88,3,0)*0.475*44/12</f>
        <v>#N/A</v>
      </c>
      <c r="DG49" s="23" t="e">
        <f>EXP(-LN(2)/25)*DG48+(1-EXP(-LN(2)/25))/(LN(2)/25)*Calculateur!DB49*Calculateur!DD49*VLOOKUP('Données projet'!$B$13,Paramètres!$A$1:$I$88,3,0)*0.475*44/12</f>
        <v>#N/A</v>
      </c>
      <c r="DH49" s="23" t="e">
        <f>EXP(-LN(2)/2)*DH48+(1-EXP(-LN(2)/2))/(LN(2)/2)*DB49*DE49*VLOOKUP('Données projet'!$B$13,Paramètres!$A$1:$I$88,3,0)*0.475*44/12</f>
        <v>#N/A</v>
      </c>
      <c r="DI49" s="24" t="e">
        <f t="shared" si="15"/>
        <v>#N/A</v>
      </c>
      <c r="DJ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0" t="e">
        <f t="shared" si="17"/>
        <v>#N/A</v>
      </c>
      <c r="DT49" s="60" t="e">
        <f ca="1">AVERAGE(OFFSET($DS$3,0,0,'Données projet'!$E$14+1,1))-AVERAGE(OFFSET($H$3,0,0,'Données projet'!$E$14+1,1))</f>
        <v>#N/A</v>
      </c>
      <c r="DU49" s="60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4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41.792400000000015</v>
      </c>
      <c r="D50" s="12">
        <f t="shared" si="32"/>
        <v>12.472503937619972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9.1</v>
      </c>
      <c r="N50" s="14">
        <f>IF('Données projet'!$A$36&gt;35,N49+M50-V49,IF(A50&lt;'Données projet'!$A$36,$K$205^A50,IF(A50='Données projet'!$A$36,'Données projet'!$B$36,N49+M50-V49)))</f>
        <v>309.70000000000016</v>
      </c>
      <c r="O50" s="14">
        <f>N50*VLOOKUP('Données projet'!$B$9,Paramètres!$A$1:$I$88,3,0)*VLOOKUP('Données projet'!$B$9,Paramètres!$A$1:$I$88,5,0)</f>
        <v>185.20060000000009</v>
      </c>
      <c r="P50" s="14">
        <f t="shared" si="33"/>
        <v>46.477298865089892</v>
      </c>
      <c r="Q50" s="22">
        <f t="shared" si="53"/>
        <v>403.50567385669837</v>
      </c>
      <c r="R50" s="60">
        <f t="shared" si="0"/>
        <v>696.83900719003168</v>
      </c>
      <c r="S50" s="60">
        <f ca="1">AVERAGE(OFFSET($R$3,0,0,'Données projet'!$E$9+1,1))-AVERAGE(OFFSET($H$3,0,0,'Données projet'!$E$9+1,1))</f>
        <v>181.84907943028196</v>
      </c>
      <c r="T50" s="60">
        <f t="shared" si="34"/>
        <v>199.66849909069458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12.180679930979801</v>
      </c>
      <c r="AA50" s="23">
        <f>EXP(-LN(2)/25)*AA49+(1-EXP(-LN(2)/25))/(LN(2)/25)*Calculateur!V50*Calculateur!X50*VLOOKUP('Données projet'!$B$9,Paramètres!$A$1:$I$88,3,0)*0.475*44/12</f>
        <v>19.555063043589875</v>
      </c>
      <c r="AB50" s="23">
        <f>EXP(-LN(2)/2)*AB49+(1-EXP(-LN(2)/2))/(LN(2)/2)*V50*Y50*VLOOKUP('Données projet'!$B$9,Paramètres!$A$1:$I$88,3,0)*0.475*44/12</f>
        <v>0.30676449369691799</v>
      </c>
      <c r="AC50" s="24">
        <f t="shared" si="3"/>
        <v>32.042507468266592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projet'!$B$10,Paramètres!$A$1:$I$88,3,0)*VLOOKUP('Données projet'!$B$10,Paramètres!$A$1:$I$88,5,0)</f>
        <v>0</v>
      </c>
      <c r="AK50" s="14" t="e">
        <f t="shared" si="35"/>
        <v>#NUM!</v>
      </c>
      <c r="AL50" s="22" t="e">
        <f t="shared" si="4"/>
        <v>#NUM!</v>
      </c>
      <c r="AM50" s="60" t="e">
        <f t="shared" si="5"/>
        <v>#NUM!</v>
      </c>
      <c r="AN50" s="60">
        <f ca="1">AVERAGE(OFFSET($AM$3,0,0,'Données projet'!$E$10+1,1))-AVERAGE(OFFSET($H$3,0,0,'Données projet'!$E$10+1,1))</f>
        <v>55.581964048431473</v>
      </c>
      <c r="AO50" s="60">
        <f t="shared" si="36"/>
        <v>91.067506141193803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31.486041187902515</v>
      </c>
      <c r="AV50" s="23">
        <f>EXP(-LN(2)/25)*AV49+(1-EXP(-LN(2)/25))/(LN(2)/25)*Calculateur!AQ50*Calculateur!AS50*VLOOKUP('Données projet'!$B$10,Paramètres!$A$1:$I$88,3,0)*0.475*44/12</f>
        <v>0</v>
      </c>
      <c r="AW50" s="23">
        <f>EXP(-LN(2)/2)*AW49+(1-EXP(-LN(2)/2))/(LN(2)/2)*AQ50*AT50*VLOOKUP('Données projet'!$B$10,Paramètres!$A$1:$I$88,3,0)*0.475*44/12</f>
        <v>0</v>
      </c>
      <c r="AX50" s="23">
        <f t="shared" si="6"/>
        <v>31.486041187902515</v>
      </c>
      <c r="AY50" s="7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2.1607142857142856</v>
      </c>
      <c r="BD50" s="13">
        <f>IF('Données projet'!$A$88&gt;35,BD49+BC50-BL49,IF(A50&lt;'Données projet'!$A$88,$BA$205^A50,IF(A50='Données projet'!$A$88,'Données projet'!$B$88,BD49+BC50-BL49)))</f>
        <v>101.55357142857152</v>
      </c>
      <c r="BE50" s="14">
        <f>BD50*VLOOKUP('Données projet'!$B$11,Paramètres!$A$1:$I$88,3,0)*VLOOKUP('Données projet'!$B$11,Paramètres!$A$1:$I$88,5,0)</f>
        <v>102.97532142857152</v>
      </c>
      <c r="BF50" s="14">
        <f t="shared" si="37"/>
        <v>27.669612795237164</v>
      </c>
      <c r="BG50" s="22">
        <f t="shared" si="7"/>
        <v>227.53992710646682</v>
      </c>
      <c r="BH50" s="60">
        <f t="shared" si="8"/>
        <v>520.87326043980011</v>
      </c>
      <c r="BI50" s="60">
        <f ca="1">AVERAGE(OFFSET($BH$3,0,0,'Données projet'!$E$11+1,1))-AVERAGE(OFFSET($H$3,0,0,'Données projet'!$E$11+1,1))</f>
        <v>178.29366134936788</v>
      </c>
      <c r="BJ50" s="60">
        <f t="shared" si="38"/>
        <v>85.818195717787148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</v>
      </c>
      <c r="BY50" s="13">
        <f>IF('Données projet'!$A$114&gt;35,BY49+BX50-CG49,IF(A50&lt;'Données projet'!$A$114,$BV$205^A50,IF(A50='Données projet'!$A$114,'Données projet'!$B$114,BY49+BX50-CG49)))</f>
        <v>260</v>
      </c>
      <c r="BZ50" s="14">
        <f>BY50*VLOOKUP('Données projet'!$B$12,Paramètres!$A$1:$I$88,3,0)*VLOOKUP('Données projet'!$B$12,Paramètres!$A$1:$I$88,5,0)</f>
        <v>121.67999999999999</v>
      </c>
      <c r="CA50" s="14">
        <f t="shared" si="39"/>
        <v>32.066514091456256</v>
      </c>
      <c r="CB50" s="22">
        <f t="shared" si="10"/>
        <v>267.77517870928631</v>
      </c>
      <c r="CC50" s="60">
        <f t="shared" si="11"/>
        <v>561.10851204261962</v>
      </c>
      <c r="CD50" s="60">
        <f ca="1">AVERAGE(OFFSET($CC$3,0,0,'Données projet'!$E$12+1,1))-AVERAGE(OFFSET($H$3,0,0,'Données projet'!$E$12+1,1))</f>
        <v>104.00159056395933</v>
      </c>
      <c r="CE50" s="60">
        <f t="shared" si="40"/>
        <v>115.86489547584461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2.37804948075176</v>
      </c>
      <c r="CL50" s="23">
        <f>EXP(-LN(2)/25)*CL49+(1-EXP(-LN(2)/25))/(LN(2)/25)*Calculateur!CG50*Calculateur!CI50*VLOOKUP('Données projet'!$B$12,Paramètres!$A$1:$I$88,3,0)*0.475*44/12</f>
        <v>9.7748726554572016</v>
      </c>
      <c r="CM50" s="23">
        <f>EXP(-LN(2)/2)*CM49+(1-EXP(-LN(2)/2))/(LN(2)/2)*CG50*CJ50*VLOOKUP('Données projet'!$B$12,Paramètres!$A$1:$I$88,3,0)*0.475*44/12</f>
        <v>0.68520533162859543</v>
      </c>
      <c r="CN50" s="24">
        <f t="shared" si="12"/>
        <v>12.838127467837555</v>
      </c>
      <c r="CO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projet'!$B$13,Paramètres!$A$1:$I$88,3,0)*VLOOKUP('Données projet'!$B$13,Paramètres!$A$1:$I$88,5,0)</f>
        <v>#N/A</v>
      </c>
      <c r="CV50" s="14" t="e">
        <f t="shared" si="41"/>
        <v>#N/A</v>
      </c>
      <c r="CW50" s="22" t="e">
        <f t="shared" si="13"/>
        <v>#N/A</v>
      </c>
      <c r="CX50" s="60" t="e">
        <f t="shared" si="14"/>
        <v>#N/A</v>
      </c>
      <c r="CY50" s="60" t="e">
        <f ca="1">AVERAGE(OFFSET($CX$3,0,0,'Données projet'!$E$13+1,1))-AVERAGE(OFFSET($H$3,0,0,'Données projet'!$E$13+1,1))</f>
        <v>#N/A</v>
      </c>
      <c r="CZ50" s="60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projet'!$B$13,Paramètres!$A$1:$I$88,3,0)*0.475*44/12</f>
        <v>#N/A</v>
      </c>
      <c r="DG50" s="23" t="e">
        <f>EXP(-LN(2)/25)*DG49+(1-EXP(-LN(2)/25))/(LN(2)/25)*Calculateur!DB50*Calculateur!DD50*VLOOKUP('Données projet'!$B$13,Paramètres!$A$1:$I$88,3,0)*0.475*44/12</f>
        <v>#N/A</v>
      </c>
      <c r="DH50" s="23" t="e">
        <f>EXP(-LN(2)/2)*DH49+(1-EXP(-LN(2)/2))/(LN(2)/2)*DB50*DE50*VLOOKUP('Données projet'!$B$13,Paramètres!$A$1:$I$88,3,0)*0.475*44/12</f>
        <v>#N/A</v>
      </c>
      <c r="DI50" s="24" t="e">
        <f t="shared" si="15"/>
        <v>#N/A</v>
      </c>
      <c r="DJ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0" t="e">
        <f t="shared" si="17"/>
        <v>#N/A</v>
      </c>
      <c r="DT50" s="60" t="e">
        <f ca="1">AVERAGE(OFFSET($DS$3,0,0,'Données projet'!$E$14+1,1))-AVERAGE(OFFSET($H$3,0,0,'Données projet'!$E$14+1,1))</f>
        <v>#N/A</v>
      </c>
      <c r="DU50" s="60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4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42.681600000000017</v>
      </c>
      <c r="D51" s="12">
        <f t="shared" si="32"/>
        <v>12.706698925204435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9.1</v>
      </c>
      <c r="N51" s="14">
        <f>IF('Données projet'!$A$36&gt;35,N50+M51-V50,IF(A51&lt;'Données projet'!$A$36,$K$205^A51,IF(A51='Données projet'!$A$36,'Données projet'!$B$36,N50+M51-V50)))</f>
        <v>318.80000000000018</v>
      </c>
      <c r="O51" s="14">
        <f>N51*VLOOKUP('Données projet'!$B$9,Paramètres!$A$1:$I$88,3,0)*VLOOKUP('Données projet'!$B$9,Paramètres!$A$1:$I$88,5,0)</f>
        <v>190.64240000000012</v>
      </c>
      <c r="P51" s="14">
        <f t="shared" si="33"/>
        <v>47.681950458003193</v>
      </c>
      <c r="Q51" s="22">
        <f t="shared" si="53"/>
        <v>415.08157704768911</v>
      </c>
      <c r="R51" s="60">
        <f t="shared" si="0"/>
        <v>708.41491038102242</v>
      </c>
      <c r="S51" s="60">
        <f ca="1">AVERAGE(OFFSET($R$3,0,0,'Données projet'!$E$9+1,1))-AVERAGE(OFFSET($H$3,0,0,'Données projet'!$E$9+1,1))</f>
        <v>181.84907943028196</v>
      </c>
      <c r="T51" s="60">
        <f t="shared" si="34"/>
        <v>199.66849909069458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11.941824227014445</v>
      </c>
      <c r="AA51" s="23">
        <f>EXP(-LN(2)/25)*AA50+(1-EXP(-LN(2)/25))/(LN(2)/25)*Calculateur!V51*Calculateur!X51*VLOOKUP('Données projet'!$B$9,Paramètres!$A$1:$I$88,3,0)*0.475*44/12</f>
        <v>19.02032881630684</v>
      </c>
      <c r="AB51" s="23">
        <f>EXP(-LN(2)/2)*AB50+(1-EXP(-LN(2)/2))/(LN(2)/2)*V51*Y51*VLOOKUP('Données projet'!$B$9,Paramètres!$A$1:$I$88,3,0)*0.475*44/12</f>
        <v>0.21691525372034864</v>
      </c>
      <c r="AC51" s="24">
        <f t="shared" si="3"/>
        <v>31.179068297041635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projet'!$B$10,Paramètres!$A$1:$I$88,3,0)*VLOOKUP('Données projet'!$B$10,Paramètres!$A$1:$I$88,5,0)</f>
        <v>0</v>
      </c>
      <c r="AK51" s="14" t="e">
        <f t="shared" si="35"/>
        <v>#NUM!</v>
      </c>
      <c r="AL51" s="22" t="e">
        <f t="shared" si="4"/>
        <v>#NUM!</v>
      </c>
      <c r="AM51" s="60" t="e">
        <f t="shared" si="5"/>
        <v>#NUM!</v>
      </c>
      <c r="AN51" s="60">
        <f ca="1">AVERAGE(OFFSET($AM$3,0,0,'Données projet'!$E$10+1,1))-AVERAGE(OFFSET($H$3,0,0,'Données projet'!$E$10+1,1))</f>
        <v>55.581964048431473</v>
      </c>
      <c r="AO51" s="60">
        <f t="shared" si="36"/>
        <v>91.067506141193803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30.868619124796577</v>
      </c>
      <c r="AV51" s="23">
        <f>EXP(-LN(2)/25)*AV50+(1-EXP(-LN(2)/25))/(LN(2)/25)*Calculateur!AQ51*Calculateur!AS51*VLOOKUP('Données projet'!$B$10,Paramètres!$A$1:$I$88,3,0)*0.475*44/12</f>
        <v>0</v>
      </c>
      <c r="AW51" s="23">
        <f>EXP(-LN(2)/2)*AW50+(1-EXP(-LN(2)/2))/(LN(2)/2)*AQ51*AT51*VLOOKUP('Données projet'!$B$10,Paramètres!$A$1:$I$88,3,0)*0.475*44/12</f>
        <v>0</v>
      </c>
      <c r="AX51" s="23">
        <f t="shared" si="6"/>
        <v>30.868619124796577</v>
      </c>
      <c r="AY51" s="7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2.1607142857142856</v>
      </c>
      <c r="BD51" s="13">
        <f>IF('Données projet'!$A$88&gt;35,BD50+BC51-BL50,IF(A51&lt;'Données projet'!$A$88,$BA$205^A51,IF(A51='Données projet'!$A$88,'Données projet'!$B$88,BD50+BC51-BL50)))</f>
        <v>103.71428571428581</v>
      </c>
      <c r="BE51" s="14">
        <f>BD51*VLOOKUP('Données projet'!$B$11,Paramètres!$A$1:$I$88,3,0)*VLOOKUP('Données projet'!$B$11,Paramètres!$A$1:$I$88,5,0)</f>
        <v>105.16628571428582</v>
      </c>
      <c r="BF51" s="14">
        <f t="shared" si="37"/>
        <v>28.189162410731925</v>
      </c>
      <c r="BG51" s="22">
        <f t="shared" si="7"/>
        <v>232.26073881773922</v>
      </c>
      <c r="BH51" s="60">
        <f t="shared" si="8"/>
        <v>525.59407215107251</v>
      </c>
      <c r="BI51" s="60">
        <f ca="1">AVERAGE(OFFSET($BH$3,0,0,'Données projet'!$E$11+1,1))-AVERAGE(OFFSET($H$3,0,0,'Données projet'!$E$11+1,1))</f>
        <v>178.29366134936788</v>
      </c>
      <c r="BJ51" s="60">
        <f t="shared" si="38"/>
        <v>85.818195717787148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</v>
      </c>
      <c r="BY51" s="13">
        <f>IF('Données projet'!$A$114&gt;35,BY50+BX51-CG50,IF(A51&lt;'Données projet'!$A$114,$BV$205^A51,IF(A51='Données projet'!$A$114,'Données projet'!$B$114,BY50+BX51-CG50)))</f>
        <v>270</v>
      </c>
      <c r="BZ51" s="14">
        <f>BY51*VLOOKUP('Données projet'!$B$12,Paramètres!$A$1:$I$88,3,0)*VLOOKUP('Données projet'!$B$12,Paramètres!$A$1:$I$88,5,0)</f>
        <v>126.36000000000001</v>
      </c>
      <c r="CA51" s="14">
        <f t="shared" si="39"/>
        <v>33.153877056327453</v>
      </c>
      <c r="CB51" s="22">
        <f t="shared" si="10"/>
        <v>277.82000253977031</v>
      </c>
      <c r="CC51" s="60">
        <f t="shared" si="11"/>
        <v>571.15333587310363</v>
      </c>
      <c r="CD51" s="60">
        <f ca="1">AVERAGE(OFFSET($CC$3,0,0,'Données projet'!$E$12+1,1))-AVERAGE(OFFSET($H$3,0,0,'Données projet'!$E$12+1,1))</f>
        <v>104.00159056395933</v>
      </c>
      <c r="CE51" s="60">
        <f t="shared" si="40"/>
        <v>115.86489547584461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2.3314173809011796</v>
      </c>
      <c r="CL51" s="23">
        <f>EXP(-LN(2)/25)*CL50+(1-EXP(-LN(2)/25))/(LN(2)/25)*Calculateur!CG51*Calculateur!CI51*VLOOKUP('Données projet'!$B$12,Paramètres!$A$1:$I$88,3,0)*0.475*44/12</f>
        <v>9.5075782486555127</v>
      </c>
      <c r="CM51" s="23">
        <f>EXP(-LN(2)/2)*CM50+(1-EXP(-LN(2)/2))/(LN(2)/2)*CG51*CJ51*VLOOKUP('Données projet'!$B$12,Paramètres!$A$1:$I$88,3,0)*0.475*44/12</f>
        <v>0.48451333649975697</v>
      </c>
      <c r="CN51" s="24">
        <f t="shared" si="12"/>
        <v>12.323508966056449</v>
      </c>
      <c r="CO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projet'!$B$13,Paramètres!$A$1:$I$88,3,0)*VLOOKUP('Données projet'!$B$13,Paramètres!$A$1:$I$88,5,0)</f>
        <v>#N/A</v>
      </c>
      <c r="CV51" s="14" t="e">
        <f t="shared" si="41"/>
        <v>#N/A</v>
      </c>
      <c r="CW51" s="22" t="e">
        <f t="shared" si="13"/>
        <v>#N/A</v>
      </c>
      <c r="CX51" s="60" t="e">
        <f t="shared" si="14"/>
        <v>#N/A</v>
      </c>
      <c r="CY51" s="60" t="e">
        <f ca="1">AVERAGE(OFFSET($CX$3,0,0,'Données projet'!$E$13+1,1))-AVERAGE(OFFSET($H$3,0,0,'Données projet'!$E$13+1,1))</f>
        <v>#N/A</v>
      </c>
      <c r="CZ51" s="60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projet'!$B$13,Paramètres!$A$1:$I$88,3,0)*0.475*44/12</f>
        <v>#N/A</v>
      </c>
      <c r="DG51" s="23" t="e">
        <f>EXP(-LN(2)/25)*DG50+(1-EXP(-LN(2)/25))/(LN(2)/25)*Calculateur!DB51*Calculateur!DD51*VLOOKUP('Données projet'!$B$13,Paramètres!$A$1:$I$88,3,0)*0.475*44/12</f>
        <v>#N/A</v>
      </c>
      <c r="DH51" s="23" t="e">
        <f>EXP(-LN(2)/2)*DH50+(1-EXP(-LN(2)/2))/(LN(2)/2)*DB51*DE51*VLOOKUP('Données projet'!$B$13,Paramètres!$A$1:$I$88,3,0)*0.475*44/12</f>
        <v>#N/A</v>
      </c>
      <c r="DI51" s="24" t="e">
        <f t="shared" si="15"/>
        <v>#N/A</v>
      </c>
      <c r="DJ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0" t="e">
        <f t="shared" si="17"/>
        <v>#N/A</v>
      </c>
      <c r="DT51" s="60" t="e">
        <f ca="1">AVERAGE(OFFSET($DS$3,0,0,'Données projet'!$E$14+1,1))-AVERAGE(OFFSET($H$3,0,0,'Données projet'!$E$14+1,1))</f>
        <v>#N/A</v>
      </c>
      <c r="DU51" s="60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4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43.57080000000002</v>
      </c>
      <c r="D52" s="12">
        <f t="shared" si="32"/>
        <v>12.940326634618209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9.1</v>
      </c>
      <c r="N52" s="14">
        <f>IF('Données projet'!$A$36&gt;35,N51+M52-V51,IF(A52&lt;'Données projet'!$A$36,$K$205^A52,IF(A52='Données projet'!$A$36,'Données projet'!$B$36,N51+M52-V51)))</f>
        <v>327.9000000000002</v>
      </c>
      <c r="O52" s="14">
        <f>N52*VLOOKUP('Données projet'!$B$9,Paramètres!$A$1:$I$88,3,0)*VLOOKUP('Données projet'!$B$9,Paramètres!$A$1:$I$88,5,0)</f>
        <v>196.08420000000012</v>
      </c>
      <c r="P52" s="14">
        <f t="shared" si="33"/>
        <v>48.882605562569879</v>
      </c>
      <c r="Q52" s="22">
        <f t="shared" si="53"/>
        <v>426.65051968814277</v>
      </c>
      <c r="R52" s="60">
        <f t="shared" si="0"/>
        <v>719.98385302147608</v>
      </c>
      <c r="S52" s="60">
        <f ca="1">AVERAGE(OFFSET($R$3,0,0,'Données projet'!$E$9+1,1))-AVERAGE(OFFSET($H$3,0,0,'Données projet'!$E$9+1,1))</f>
        <v>181.84907943028196</v>
      </c>
      <c r="T52" s="60">
        <f t="shared" si="34"/>
        <v>199.66849909069458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11.707652337716254</v>
      </c>
      <c r="AA52" s="23">
        <f>EXP(-LN(2)/25)*AA51+(1-EXP(-LN(2)/25))/(LN(2)/25)*Calculateur!V52*Calculateur!X52*VLOOKUP('Données projet'!$B$9,Paramètres!$A$1:$I$88,3,0)*0.475*44/12</f>
        <v>18.50021692458931</v>
      </c>
      <c r="AB52" s="23">
        <f>EXP(-LN(2)/2)*AB51+(1-EXP(-LN(2)/2))/(LN(2)/2)*V52*Y52*VLOOKUP('Données projet'!$B$9,Paramètres!$A$1:$I$88,3,0)*0.475*44/12</f>
        <v>0.15338224684845903</v>
      </c>
      <c r="AC52" s="24">
        <f t="shared" si="3"/>
        <v>30.361251509154023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projet'!$B$10,Paramètres!$A$1:$I$88,3,0)*VLOOKUP('Données projet'!$B$10,Paramètres!$A$1:$I$88,5,0)</f>
        <v>0</v>
      </c>
      <c r="AK52" s="14" t="e">
        <f t="shared" si="35"/>
        <v>#NUM!</v>
      </c>
      <c r="AL52" s="22" t="e">
        <f t="shared" si="4"/>
        <v>#NUM!</v>
      </c>
      <c r="AM52" s="60" t="e">
        <f t="shared" si="5"/>
        <v>#NUM!</v>
      </c>
      <c r="AN52" s="60">
        <f ca="1">AVERAGE(OFFSET($AM$3,0,0,'Données projet'!$E$10+1,1))-AVERAGE(OFFSET($H$3,0,0,'Données projet'!$E$10+1,1))</f>
        <v>55.581964048431473</v>
      </c>
      <c r="AO52" s="60">
        <f t="shared" si="36"/>
        <v>91.067506141193803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30.263304331757872</v>
      </c>
      <c r="AV52" s="23">
        <f>EXP(-LN(2)/25)*AV51+(1-EXP(-LN(2)/25))/(LN(2)/25)*Calculateur!AQ52*Calculateur!AS52*VLOOKUP('Données projet'!$B$10,Paramètres!$A$1:$I$88,3,0)*0.475*44/12</f>
        <v>0</v>
      </c>
      <c r="AW52" s="23">
        <f>EXP(-LN(2)/2)*AW51+(1-EXP(-LN(2)/2))/(LN(2)/2)*AQ52*AT52*VLOOKUP('Données projet'!$B$10,Paramètres!$A$1:$I$88,3,0)*0.475*44/12</f>
        <v>0</v>
      </c>
      <c r="AX52" s="23">
        <f t="shared" si="6"/>
        <v>30.263304331757872</v>
      </c>
      <c r="AY52" s="7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2.1607142857142856</v>
      </c>
      <c r="BD52" s="13">
        <f>IF('Données projet'!$A$88&gt;35,BD51+BC52-BL51,IF(A52&lt;'Données projet'!$A$88,$BA$205^A52,IF(A52='Données projet'!$A$88,'Données projet'!$B$88,BD51+BC52-BL51)))</f>
        <v>105.8750000000001</v>
      </c>
      <c r="BE52" s="14">
        <f>BD52*VLOOKUP('Données projet'!$B$11,Paramètres!$A$1:$I$88,3,0)*VLOOKUP('Données projet'!$B$11,Paramètres!$A$1:$I$88,5,0)</f>
        <v>107.35725000000011</v>
      </c>
      <c r="BF52" s="14">
        <f t="shared" si="37"/>
        <v>28.707453548585892</v>
      </c>
      <c r="BG52" s="22">
        <f t="shared" si="7"/>
        <v>236.97935868045394</v>
      </c>
      <c r="BH52" s="60">
        <f t="shared" si="8"/>
        <v>530.31269201378723</v>
      </c>
      <c r="BI52" s="60">
        <f ca="1">AVERAGE(OFFSET($BH$3,0,0,'Données projet'!$E$11+1,1))-AVERAGE(OFFSET($H$3,0,0,'Données projet'!$E$11+1,1))</f>
        <v>178.29366134936788</v>
      </c>
      <c r="BJ52" s="60">
        <f t="shared" si="38"/>
        <v>85.818195717787148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</v>
      </c>
      <c r="BY52" s="13">
        <f>IF('Données projet'!$A$114&gt;35,BY51+BX52-CG51,IF(A52&lt;'Données projet'!$A$114,$BV$205^A52,IF(A52='Données projet'!$A$114,'Données projet'!$B$114,BY51+BX52-CG51)))</f>
        <v>280</v>
      </c>
      <c r="BZ52" s="14">
        <f>BY52*VLOOKUP('Données projet'!$B$12,Paramètres!$A$1:$I$88,3,0)*VLOOKUP('Données projet'!$B$12,Paramètres!$A$1:$I$88,5,0)</f>
        <v>131.04</v>
      </c>
      <c r="CA52" s="14">
        <f t="shared" si="39"/>
        <v>34.236561238949918</v>
      </c>
      <c r="CB52" s="22">
        <f t="shared" si="10"/>
        <v>287.85667749117107</v>
      </c>
      <c r="CC52" s="60">
        <f t="shared" si="11"/>
        <v>581.19001082450438</v>
      </c>
      <c r="CD52" s="60">
        <f ca="1">AVERAGE(OFFSET($CC$3,0,0,'Données projet'!$E$12+1,1))-AVERAGE(OFFSET($H$3,0,0,'Données projet'!$E$12+1,1))</f>
        <v>104.00159056395933</v>
      </c>
      <c r="CE52" s="60">
        <f t="shared" si="40"/>
        <v>115.86489547584461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2.2856997080858967</v>
      </c>
      <c r="CL52" s="23">
        <f>EXP(-LN(2)/25)*CL51+(1-EXP(-LN(2)/25))/(LN(2)/25)*Calculateur!CG52*Calculateur!CI52*VLOOKUP('Données projet'!$B$12,Paramètres!$A$1:$I$88,3,0)*0.475*44/12</f>
        <v>9.2475930214642172</v>
      </c>
      <c r="CM52" s="23">
        <f>EXP(-LN(2)/2)*CM51+(1-EXP(-LN(2)/2))/(LN(2)/2)*CG52*CJ52*VLOOKUP('Données projet'!$B$12,Paramètres!$A$1:$I$88,3,0)*0.475*44/12</f>
        <v>0.34260266581429777</v>
      </c>
      <c r="CN52" s="24">
        <f t="shared" si="12"/>
        <v>11.875895395364411</v>
      </c>
      <c r="CO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projet'!$B$13,Paramètres!$A$1:$I$88,3,0)*VLOOKUP('Données projet'!$B$13,Paramètres!$A$1:$I$88,5,0)</f>
        <v>#N/A</v>
      </c>
      <c r="CV52" s="14" t="e">
        <f t="shared" si="41"/>
        <v>#N/A</v>
      </c>
      <c r="CW52" s="22" t="e">
        <f t="shared" si="13"/>
        <v>#N/A</v>
      </c>
      <c r="CX52" s="60" t="e">
        <f t="shared" si="14"/>
        <v>#N/A</v>
      </c>
      <c r="CY52" s="60" t="e">
        <f ca="1">AVERAGE(OFFSET($CX$3,0,0,'Données projet'!$E$13+1,1))-AVERAGE(OFFSET($H$3,0,0,'Données projet'!$E$13+1,1))</f>
        <v>#N/A</v>
      </c>
      <c r="CZ52" s="60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projet'!$B$13,Paramètres!$A$1:$I$88,3,0)*0.475*44/12</f>
        <v>#N/A</v>
      </c>
      <c r="DG52" s="23" t="e">
        <f>EXP(-LN(2)/25)*DG51+(1-EXP(-LN(2)/25))/(LN(2)/25)*Calculateur!DB52*Calculateur!DD52*VLOOKUP('Données projet'!$B$13,Paramètres!$A$1:$I$88,3,0)*0.475*44/12</f>
        <v>#N/A</v>
      </c>
      <c r="DH52" s="23" t="e">
        <f>EXP(-LN(2)/2)*DH51+(1-EXP(-LN(2)/2))/(LN(2)/2)*DB52*DE52*VLOOKUP('Données projet'!$B$13,Paramètres!$A$1:$I$88,3,0)*0.475*44/12</f>
        <v>#N/A</v>
      </c>
      <c r="DI52" s="24" t="e">
        <f t="shared" si="15"/>
        <v>#N/A</v>
      </c>
      <c r="DJ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0" t="e">
        <f t="shared" si="17"/>
        <v>#N/A</v>
      </c>
      <c r="DT52" s="60" t="e">
        <f ca="1">AVERAGE(OFFSET($DS$3,0,0,'Données projet'!$E$14+1,1))-AVERAGE(OFFSET($H$3,0,0,'Données projet'!$E$14+1,1))</f>
        <v>#N/A</v>
      </c>
      <c r="DU52" s="60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4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44.460000000000022</v>
      </c>
      <c r="D53" s="12">
        <f t="shared" si="32"/>
        <v>13.17339997701186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337</v>
      </c>
      <c r="L53" s="13">
        <f>VLOOKUP(A53,'Données projet'!$A$35:$I$55,9,0)</f>
        <v>9.1</v>
      </c>
      <c r="M53" s="13">
        <f t="array" ref="M53">INDEX(L:L,MIN(IF(ISNUMBER(L53:L249),ROW(L53:L249),"")))</f>
        <v>9.1</v>
      </c>
      <c r="N53" s="14">
        <f>IF('Données projet'!$A$36&gt;35,N52+M53-V52,IF(A53&lt;'Données projet'!$A$36,$K$205^A53,IF(A53='Données projet'!$A$36,'Données projet'!$B$36,N52+M53-V52)))</f>
        <v>337.00000000000023</v>
      </c>
      <c r="O53" s="14">
        <f>N53*VLOOKUP('Données projet'!$B$9,Paramètres!$A$1:$I$88,3,0)*VLOOKUP('Données projet'!$B$9,Paramètres!$A$1:$I$88,5,0)</f>
        <v>201.52600000000018</v>
      </c>
      <c r="P53" s="14">
        <f t="shared" si="33"/>
        <v>50.079387833316794</v>
      </c>
      <c r="Q53" s="22">
        <f t="shared" si="53"/>
        <v>438.21271714302702</v>
      </c>
      <c r="R53" s="60">
        <f t="shared" si="0"/>
        <v>731.54605047636028</v>
      </c>
      <c r="S53" s="60">
        <f ca="1">AVERAGE(OFFSET($R$3,0,0,'Données projet'!$E$9+1,1))-AVERAGE(OFFSET($H$3,0,0,'Données projet'!$E$9+1,1))</f>
        <v>181.84907943028196</v>
      </c>
      <c r="T53" s="60">
        <f t="shared" si="34"/>
        <v>199.66849909069458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30</v>
      </c>
      <c r="W53" s="17">
        <f>IF(ISNA(VLOOKUP(A53,'Données projet'!$A$35:$I$55,5,0)),0%,VLOOKUP(A53,'Données projet'!$A$35:$I$55,5,0)*VLOOKUP('Données projet'!$B$9,Paramètres!$A$1:$I$88,7,0))</f>
        <v>0.36000000000000004</v>
      </c>
      <c r="X53" s="17">
        <f>IF(ISNA(VLOOKUP(A53,'Données projet'!$A$35:$I$55,6,0)),0%,VLOOKUP(A53,'Données projet'!$A$35:$I$55,6,0)*VLOOKUP('Données projet'!$B$9,Paramètres!$A$1:$I$88,7,0))</f>
        <v>5.0400000000000007E-2</v>
      </c>
      <c r="Y53" s="17">
        <f>IF(ISNA(VLOOKUP(A53,'Données projet'!$A$35:$I$55,7,0)),0%,VLOOKUP(A53,'Données projet'!$A$35:$I$55,7,0))</f>
        <v>8.7999999999999967E-2</v>
      </c>
      <c r="Z53" s="23">
        <f>EXP(-LN(2)/35)*Z52+(1-EXP(-LN(2)/35))/(LN(2)/35)*V53*W53*VLOOKUP('Données projet'!$B$9,Paramètres!$A$1:$I$88,3,0)*0.475*44/12</f>
        <v>20.045556295347183</v>
      </c>
      <c r="AA53" s="23">
        <f>EXP(-LN(2)/25)*AA52+(1-EXP(-LN(2)/25))/(LN(2)/25)*Calculateur!V53*Calculateur!X53*VLOOKUP('Données projet'!$B$9,Paramètres!$A$1:$I$88,3,0)*0.475*44/12</f>
        <v>19.189052580173936</v>
      </c>
      <c r="AB53" s="23">
        <f>EXP(-LN(2)/2)*AB52+(1-EXP(-LN(2)/2))/(LN(2)/2)*V53*Y53*VLOOKUP('Données projet'!$B$9,Paramètres!$A$1:$I$88,3,0)*0.475*44/12</f>
        <v>1.8959353996111559</v>
      </c>
      <c r="AC53" s="24">
        <f t="shared" si="3"/>
        <v>41.130544275132273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projet'!$B$10,Paramètres!$A$1:$I$88,3,0)*VLOOKUP('Données projet'!$B$10,Paramètres!$A$1:$I$88,5,0)</f>
        <v>0</v>
      </c>
      <c r="AK53" s="14" t="e">
        <f t="shared" si="35"/>
        <v>#NUM!</v>
      </c>
      <c r="AL53" s="22" t="e">
        <f t="shared" si="4"/>
        <v>#NUM!</v>
      </c>
      <c r="AM53" s="60" t="e">
        <f t="shared" si="5"/>
        <v>#NUM!</v>
      </c>
      <c r="AN53" s="60">
        <f ca="1">AVERAGE(OFFSET($AM$3,0,0,'Données projet'!$E$10+1,1))-AVERAGE(OFFSET($H$3,0,0,'Données projet'!$E$10+1,1))</f>
        <v>55.581964048431473</v>
      </c>
      <c r="AO53" s="60">
        <f t="shared" si="36"/>
        <v>91.067506141193803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29.669859392605087</v>
      </c>
      <c r="AV53" s="23">
        <f>EXP(-LN(2)/25)*AV52+(1-EXP(-LN(2)/25))/(LN(2)/25)*Calculateur!AQ53*Calculateur!AS53*VLOOKUP('Données projet'!$B$10,Paramètres!$A$1:$I$88,3,0)*0.475*44/12</f>
        <v>0</v>
      </c>
      <c r="AW53" s="23">
        <f>EXP(-LN(2)/2)*AW52+(1-EXP(-LN(2)/2))/(LN(2)/2)*AQ53*AT53*VLOOKUP('Données projet'!$B$10,Paramètres!$A$1:$I$88,3,0)*0.475*44/12</f>
        <v>0</v>
      </c>
      <c r="AX53" s="23">
        <f t="shared" si="6"/>
        <v>29.669859392605087</v>
      </c>
      <c r="AY53" s="7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2.1607142857142856</v>
      </c>
      <c r="BD53" s="13">
        <f>IF('Données projet'!$A$88&gt;35,BD52+BC53-BL52,IF(A53&lt;'Données projet'!$A$88,$BA$205^A53,IF(A53='Données projet'!$A$88,'Données projet'!$B$88,BD52+BC53-BL52)))</f>
        <v>108.03571428571439</v>
      </c>
      <c r="BE53" s="14">
        <f>BD53*VLOOKUP('Données projet'!$B$11,Paramètres!$A$1:$I$88,3,0)*VLOOKUP('Données projet'!$B$11,Paramètres!$A$1:$I$88,5,0)</f>
        <v>109.54821428571441</v>
      </c>
      <c r="BF53" s="14">
        <f t="shared" si="37"/>
        <v>29.224514851527026</v>
      </c>
      <c r="BG53" s="22">
        <f t="shared" si="7"/>
        <v>241.69583658069553</v>
      </c>
      <c r="BH53" s="60">
        <f t="shared" si="8"/>
        <v>535.0291699140289</v>
      </c>
      <c r="BI53" s="60">
        <f ca="1">AVERAGE(OFFSET($BH$3,0,0,'Données projet'!$E$11+1,1))-AVERAGE(OFFSET($H$3,0,0,'Données projet'!$E$11+1,1))</f>
        <v>178.29366134936788</v>
      </c>
      <c r="BJ53" s="60">
        <f t="shared" si="38"/>
        <v>85.818195717787148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290</v>
      </c>
      <c r="BW53" s="13">
        <f>VLOOKUP(A53,'Données projet'!$A$113:$I$133,9,0)</f>
        <v>10</v>
      </c>
      <c r="BX53" s="13">
        <f t="array" ref="BX53">INDEX(BW:BW,MIN(IF(ISNUMBER(BW53:BW249),ROW(BW53:BW249),"")))</f>
        <v>10</v>
      </c>
      <c r="BY53" s="13">
        <f>IF('Données projet'!$A$114&gt;35,BY52+BX53-CG52,IF(A53&lt;'Données projet'!$A$114,$BV$205^A53,IF(A53='Données projet'!$A$114,'Données projet'!$B$114,BY52+BX53-CG52)))</f>
        <v>290</v>
      </c>
      <c r="BZ53" s="14">
        <f>BY53*VLOOKUP('Données projet'!$B$12,Paramètres!$A$1:$I$88,3,0)*VLOOKUP('Données projet'!$B$12,Paramètres!$A$1:$I$88,5,0)</f>
        <v>135.72</v>
      </c>
      <c r="CA53" s="14">
        <f t="shared" si="39"/>
        <v>35.314752882348131</v>
      </c>
      <c r="CB53" s="22">
        <f t="shared" si="10"/>
        <v>297.88552793675632</v>
      </c>
      <c r="CC53" s="60">
        <f t="shared" si="11"/>
        <v>591.21886127008963</v>
      </c>
      <c r="CD53" s="60">
        <f ca="1">AVERAGE(OFFSET($CC$3,0,0,'Données projet'!$E$12+1,1))-AVERAGE(OFFSET($H$3,0,0,'Données projet'!$E$12+1,1))</f>
        <v>104.00159056395933</v>
      </c>
      <c r="CE53" s="60">
        <f t="shared" si="40"/>
        <v>115.86489547584461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40</v>
      </c>
      <c r="CH53" s="17">
        <f>IF(ISNA(VLOOKUP(A53,'Données projet'!$A$113:$I$133,5,0)),0%,VLOOKUP(A53,'Données projet'!$A$113:$I$133,5,0)*VLOOKUP('Données projet'!$B$12,Paramètres!$A$1:$I$88,7,0))</f>
        <v>0.22000000000000003</v>
      </c>
      <c r="CI53" s="17">
        <f>IF(ISNA(VLOOKUP(A53,'Données projet'!$A$113:$I$133,6,0)),0%,VLOOKUP(A53,'Données projet'!$A$113:$I$133,6,0)*VLOOKUP('Données projet'!$B$12,Paramètres!$A$1:$I$88,7,0))</f>
        <v>0.18480000000000002</v>
      </c>
      <c r="CJ53" s="17">
        <f>IF(ISNA(VLOOKUP(A53,'Données projet'!$A$113:$I$133,7,0)),0%,VLOOKUP(A53,'Données projet'!$A$113:$I$133,7,0))</f>
        <v>0.26400000000000001</v>
      </c>
      <c r="CK53" s="23">
        <f>EXP(-LN(2)/35)*CK52+(1-EXP(-LN(2)/35))/(LN(2)/35)*CG53*CH53*VLOOKUP('Données projet'!$B$12,Paramètres!$A$1:$I$88,3,0)*0.475*44/12</f>
        <v>7.7042015842316962</v>
      </c>
      <c r="CL53" s="23">
        <f>EXP(-LN(2)/25)*CL52+(1-EXP(-LN(2)/25))/(LN(2)/25)*Calculateur!CG53*Calculateur!CI53*VLOOKUP('Données projet'!$B$12,Paramètres!$A$1:$I$88,3,0)*0.475*44/12</f>
        <v>13.565839073717498</v>
      </c>
      <c r="CM53" s="23">
        <f>EXP(-LN(2)/2)*CM52+(1-EXP(-LN(2)/2))/(LN(2)/2)*CG53*CJ53*VLOOKUP('Données projet'!$B$12,Paramètres!$A$1:$I$88,3,0)*0.475*44/12</f>
        <v>5.837839261209476</v>
      </c>
      <c r="CN53" s="24">
        <f t="shared" si="12"/>
        <v>27.10787991915867</v>
      </c>
      <c r="CO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projet'!$B$13,Paramètres!$A$1:$I$88,3,0)*VLOOKUP('Données projet'!$B$13,Paramètres!$A$1:$I$88,5,0)</f>
        <v>#N/A</v>
      </c>
      <c r="CV53" s="14" t="e">
        <f t="shared" si="41"/>
        <v>#N/A</v>
      </c>
      <c r="CW53" s="22" t="e">
        <f t="shared" si="13"/>
        <v>#N/A</v>
      </c>
      <c r="CX53" s="60" t="e">
        <f t="shared" si="14"/>
        <v>#N/A</v>
      </c>
      <c r="CY53" s="60" t="e">
        <f ca="1">AVERAGE(OFFSET($CX$3,0,0,'Données projet'!$E$13+1,1))-AVERAGE(OFFSET($H$3,0,0,'Données projet'!$E$13+1,1))</f>
        <v>#N/A</v>
      </c>
      <c r="CZ53" s="60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projet'!$B$13,Paramètres!$A$1:$I$88,3,0)*0.475*44/12</f>
        <v>#N/A</v>
      </c>
      <c r="DG53" s="23" t="e">
        <f>EXP(-LN(2)/25)*DG52+(1-EXP(-LN(2)/25))/(LN(2)/25)*Calculateur!DB53*Calculateur!DD53*VLOOKUP('Données projet'!$B$13,Paramètres!$A$1:$I$88,3,0)*0.475*44/12</f>
        <v>#N/A</v>
      </c>
      <c r="DH53" s="23" t="e">
        <f>EXP(-LN(2)/2)*DH52+(1-EXP(-LN(2)/2))/(LN(2)/2)*DB53*DE53*VLOOKUP('Données projet'!$B$13,Paramètres!$A$1:$I$88,3,0)*0.475*44/12</f>
        <v>#N/A</v>
      </c>
      <c r="DI53" s="24" t="e">
        <f t="shared" si="15"/>
        <v>#N/A</v>
      </c>
      <c r="DJ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0" t="e">
        <f t="shared" si="17"/>
        <v>#N/A</v>
      </c>
      <c r="DT53" s="60" t="e">
        <f ca="1">AVERAGE(OFFSET($DS$3,0,0,'Données projet'!$E$14+1,1))-AVERAGE(OFFSET($H$3,0,0,'Données projet'!$E$14+1,1))</f>
        <v>#N/A</v>
      </c>
      <c r="DU53" s="60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4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45.349200000000025</v>
      </c>
      <c r="D54" s="12">
        <f t="shared" si="32"/>
        <v>13.405931317559242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9.1</v>
      </c>
      <c r="N54" s="14">
        <f>IF('Données projet'!$A$36&gt;35,N53+M54-V53,IF(A54&lt;'Données projet'!$A$36,$K$205^A54,IF(A54='Données projet'!$A$36,'Données projet'!$B$36,N53+M54-V53)))</f>
        <v>316.10000000000025</v>
      </c>
      <c r="O54" s="14">
        <f>N54*VLOOKUP('Données projet'!$B$9,Paramètres!$A$1:$I$88,3,0)*VLOOKUP('Données projet'!$B$9,Paramètres!$A$1:$I$88,5,0)</f>
        <v>189.02780000000016</v>
      </c>
      <c r="P54" s="14">
        <f t="shared" si="33"/>
        <v>47.324949103454941</v>
      </c>
      <c r="Q54" s="22">
        <f t="shared" si="53"/>
        <v>411.64770468851765</v>
      </c>
      <c r="R54" s="60">
        <f t="shared" si="0"/>
        <v>704.98103802185096</v>
      </c>
      <c r="S54" s="60">
        <f ca="1">AVERAGE(OFFSET($R$3,0,0,'Données projet'!$E$9+1,1))-AVERAGE(OFFSET($H$3,0,0,'Données projet'!$E$9+1,1))</f>
        <v>181.84907943028196</v>
      </c>
      <c r="T54" s="60">
        <f t="shared" si="34"/>
        <v>199.66849909069458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19.652475162977488</v>
      </c>
      <c r="AA54" s="23">
        <f>EXP(-LN(2)/25)*AA53+(1-EXP(-LN(2)/25))/(LN(2)/25)*Calculateur!V54*Calculateur!X54*VLOOKUP('Données projet'!$B$9,Paramètres!$A$1:$I$88,3,0)*0.475*44/12</f>
        <v>18.66432692826066</v>
      </c>
      <c r="AB54" s="23">
        <f>EXP(-LN(2)/2)*AB53+(1-EXP(-LN(2)/2))/(LN(2)/2)*V54*Y54*VLOOKUP('Données projet'!$B$9,Paramètres!$A$1:$I$88,3,0)*0.475*44/12</f>
        <v>1.3406287777566752</v>
      </c>
      <c r="AC54" s="24">
        <f t="shared" si="3"/>
        <v>39.657430868994823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projet'!$B$10,Paramètres!$A$1:$I$88,3,0)*VLOOKUP('Données projet'!$B$10,Paramètres!$A$1:$I$88,5,0)</f>
        <v>0</v>
      </c>
      <c r="AK54" s="14" t="e">
        <f t="shared" si="35"/>
        <v>#NUM!</v>
      </c>
      <c r="AL54" s="22" t="e">
        <f t="shared" si="4"/>
        <v>#NUM!</v>
      </c>
      <c r="AM54" s="60" t="e">
        <f t="shared" si="5"/>
        <v>#NUM!</v>
      </c>
      <c r="AN54" s="60">
        <f ca="1">AVERAGE(OFFSET($AM$3,0,0,'Données projet'!$E$10+1,1))-AVERAGE(OFFSET($H$3,0,0,'Données projet'!$E$10+1,1))</f>
        <v>55.581964048431473</v>
      </c>
      <c r="AO54" s="60">
        <f t="shared" si="36"/>
        <v>91.067506141193803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29.088051546743419</v>
      </c>
      <c r="AV54" s="23">
        <f>EXP(-LN(2)/25)*AV53+(1-EXP(-LN(2)/25))/(LN(2)/25)*Calculateur!AQ54*Calculateur!AS54*VLOOKUP('Données projet'!$B$10,Paramètres!$A$1:$I$88,3,0)*0.475*44/12</f>
        <v>0</v>
      </c>
      <c r="AW54" s="23">
        <f>EXP(-LN(2)/2)*AW53+(1-EXP(-LN(2)/2))/(LN(2)/2)*AQ54*AT54*VLOOKUP('Données projet'!$B$10,Paramètres!$A$1:$I$88,3,0)*0.475*44/12</f>
        <v>0</v>
      </c>
      <c r="AX54" s="23">
        <f t="shared" si="6"/>
        <v>29.088051546743419</v>
      </c>
      <c r="AY54" s="7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2.1607142857142856</v>
      </c>
      <c r="BD54" s="13">
        <f>IF('Données projet'!$A$88&gt;35,BD53+BC54-BL53,IF(A54&lt;'Données projet'!$A$88,$BA$205^A54,IF(A54='Données projet'!$A$88,'Données projet'!$B$88,BD53+BC54-BL53)))</f>
        <v>110.19642857142868</v>
      </c>
      <c r="BE54" s="14">
        <f>BD54*VLOOKUP('Données projet'!$B$11,Paramètres!$A$1:$I$88,3,0)*VLOOKUP('Données projet'!$B$11,Paramètres!$A$1:$I$88,5,0)</f>
        <v>111.7391785714287</v>
      </c>
      <c r="BF54" s="14">
        <f t="shared" si="37"/>
        <v>29.740373751061774</v>
      </c>
      <c r="BG54" s="22">
        <f t="shared" si="7"/>
        <v>246.41022029500422</v>
      </c>
      <c r="BH54" s="60">
        <f t="shared" si="8"/>
        <v>539.74355362833751</v>
      </c>
      <c r="BI54" s="60">
        <f ca="1">AVERAGE(OFFSET($BH$3,0,0,'Données projet'!$E$11+1,1))-AVERAGE(OFFSET($H$3,0,0,'Données projet'!$E$11+1,1))</f>
        <v>178.29366134936788</v>
      </c>
      <c r="BJ54" s="60">
        <f t="shared" si="38"/>
        <v>85.818195717787148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</v>
      </c>
      <c r="BY54" s="13">
        <f>IF('Données projet'!$A$114&gt;35,BY53+BX54-CG53,IF(A54&lt;'Données projet'!$A$114,$BV$205^A54,IF(A54='Données projet'!$A$114,'Données projet'!$B$114,BY53+BX54-CG53)))</f>
        <v>260</v>
      </c>
      <c r="BZ54" s="14">
        <f>BY54*VLOOKUP('Données projet'!$B$12,Paramètres!$A$1:$I$88,3,0)*VLOOKUP('Données projet'!$B$12,Paramètres!$A$1:$I$88,5,0)</f>
        <v>121.67999999999999</v>
      </c>
      <c r="CA54" s="14">
        <f t="shared" si="39"/>
        <v>32.066514091456256</v>
      </c>
      <c r="CB54" s="22">
        <f t="shared" si="10"/>
        <v>267.77517870928631</v>
      </c>
      <c r="CC54" s="60">
        <f t="shared" si="11"/>
        <v>561.10851204261962</v>
      </c>
      <c r="CD54" s="60">
        <f ca="1">AVERAGE(OFFSET($CC$3,0,0,'Données projet'!$E$12+1,1))-AVERAGE(OFFSET($H$3,0,0,'Données projet'!$E$12+1,1))</f>
        <v>104.00159056395933</v>
      </c>
      <c r="CE54" s="60">
        <f t="shared" si="40"/>
        <v>115.86489547584461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7.553126890263882</v>
      </c>
      <c r="CL54" s="23">
        <f>EXP(-LN(2)/25)*CL53+(1-EXP(-LN(2)/25))/(LN(2)/25)*Calculateur!CG54*Calculateur!CI54*VLOOKUP('Données projet'!$B$12,Paramètres!$A$1:$I$88,3,0)*0.475*44/12</f>
        <v>13.194880490850222</v>
      </c>
      <c r="CM54" s="23">
        <f>EXP(-LN(2)/2)*CM53+(1-EXP(-LN(2)/2))/(LN(2)/2)*CG54*CJ54*VLOOKUP('Données projet'!$B$12,Paramètres!$A$1:$I$88,3,0)*0.475*44/12</f>
        <v>4.1279757290782859</v>
      </c>
      <c r="CN54" s="24">
        <f t="shared" si="12"/>
        <v>24.87598311019239</v>
      </c>
      <c r="CO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projet'!$B$13,Paramètres!$A$1:$I$88,3,0)*VLOOKUP('Données projet'!$B$13,Paramètres!$A$1:$I$88,5,0)</f>
        <v>#N/A</v>
      </c>
      <c r="CV54" s="14" t="e">
        <f t="shared" si="41"/>
        <v>#N/A</v>
      </c>
      <c r="CW54" s="22" t="e">
        <f t="shared" si="13"/>
        <v>#N/A</v>
      </c>
      <c r="CX54" s="60" t="e">
        <f t="shared" si="14"/>
        <v>#N/A</v>
      </c>
      <c r="CY54" s="60" t="e">
        <f ca="1">AVERAGE(OFFSET($CX$3,0,0,'Données projet'!$E$13+1,1))-AVERAGE(OFFSET($H$3,0,0,'Données projet'!$E$13+1,1))</f>
        <v>#N/A</v>
      </c>
      <c r="CZ54" s="60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projet'!$B$13,Paramètres!$A$1:$I$88,3,0)*0.475*44/12</f>
        <v>#N/A</v>
      </c>
      <c r="DG54" s="23" t="e">
        <f>EXP(-LN(2)/25)*DG53+(1-EXP(-LN(2)/25))/(LN(2)/25)*Calculateur!DB54*Calculateur!DD54*VLOOKUP('Données projet'!$B$13,Paramètres!$A$1:$I$88,3,0)*0.475*44/12</f>
        <v>#N/A</v>
      </c>
      <c r="DH54" s="23" t="e">
        <f>EXP(-LN(2)/2)*DH53+(1-EXP(-LN(2)/2))/(LN(2)/2)*DB54*DE54*VLOOKUP('Données projet'!$B$13,Paramètres!$A$1:$I$88,3,0)*0.475*44/12</f>
        <v>#N/A</v>
      </c>
      <c r="DI54" s="24" t="e">
        <f t="shared" si="15"/>
        <v>#N/A</v>
      </c>
      <c r="DJ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0" t="e">
        <f t="shared" si="17"/>
        <v>#N/A</v>
      </c>
      <c r="DT54" s="60" t="e">
        <f ca="1">AVERAGE(OFFSET($DS$3,0,0,'Données projet'!$E$14+1,1))-AVERAGE(OFFSET($H$3,0,0,'Données projet'!$E$14+1,1))</f>
        <v>#N/A</v>
      </c>
      <c r="DU54" s="60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4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46.238400000000027</v>
      </c>
      <c r="D55" s="12">
        <f t="shared" si="32"/>
        <v>13.637932508790366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9.1</v>
      </c>
      <c r="N55" s="14">
        <f>IF('Données projet'!$A$36&gt;35,N54+M55-V54,IF(A55&lt;'Données projet'!$A$36,$K$205^A55,IF(A55='Données projet'!$A$36,'Données projet'!$B$36,N54+M55-V54)))</f>
        <v>325.20000000000027</v>
      </c>
      <c r="O55" s="14">
        <f>N55*VLOOKUP('Données projet'!$B$9,Paramètres!$A$1:$I$88,3,0)*VLOOKUP('Données projet'!$B$9,Paramètres!$A$1:$I$88,5,0)</f>
        <v>194.46960000000018</v>
      </c>
      <c r="P55" s="14">
        <f t="shared" si="33"/>
        <v>48.526776743352698</v>
      </c>
      <c r="Q55" s="22">
        <f t="shared" si="53"/>
        <v>423.2186894946729</v>
      </c>
      <c r="R55" s="60">
        <f t="shared" si="0"/>
        <v>716.55202282800622</v>
      </c>
      <c r="S55" s="60">
        <f ca="1">AVERAGE(OFFSET($R$3,0,0,'Données projet'!$E$9+1,1))-AVERAGE(OFFSET($H$3,0,0,'Données projet'!$E$9+1,1))</f>
        <v>181.84907943028196</v>
      </c>
      <c r="T55" s="60">
        <f t="shared" si="34"/>
        <v>199.66849909069458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19.267102111857749</v>
      </c>
      <c r="AA55" s="23">
        <f>EXP(-LN(2)/25)*AA54+(1-EXP(-LN(2)/25))/(LN(2)/25)*Calculateur!V55*Calculateur!X55*VLOOKUP('Données projet'!$B$9,Paramètres!$A$1:$I$88,3,0)*0.475*44/12</f>
        <v>18.153949926893077</v>
      </c>
      <c r="AB55" s="23">
        <f>EXP(-LN(2)/2)*AB54+(1-EXP(-LN(2)/2))/(LN(2)/2)*V55*Y55*VLOOKUP('Données projet'!$B$9,Paramètres!$A$1:$I$88,3,0)*0.475*44/12</f>
        <v>0.94796769980557805</v>
      </c>
      <c r="AC55" s="24">
        <f t="shared" si="3"/>
        <v>38.36901973855641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projet'!$B$10,Paramètres!$A$1:$I$88,3,0)*VLOOKUP('Données projet'!$B$10,Paramètres!$A$1:$I$88,5,0)</f>
        <v>0</v>
      </c>
      <c r="AK55" s="14" t="e">
        <f t="shared" si="35"/>
        <v>#NUM!</v>
      </c>
      <c r="AL55" s="22" t="e">
        <f t="shared" si="4"/>
        <v>#NUM!</v>
      </c>
      <c r="AM55" s="60" t="e">
        <f t="shared" si="5"/>
        <v>#NUM!</v>
      </c>
      <c r="AN55" s="60">
        <f ca="1">AVERAGE(OFFSET($AM$3,0,0,'Données projet'!$E$10+1,1))-AVERAGE(OFFSET($H$3,0,0,'Données projet'!$E$10+1,1))</f>
        <v>55.581964048431473</v>
      </c>
      <c r="AO55" s="60">
        <f t="shared" si="36"/>
        <v>91.067506141193803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28.517652597871351</v>
      </c>
      <c r="AV55" s="23">
        <f>EXP(-LN(2)/25)*AV54+(1-EXP(-LN(2)/25))/(LN(2)/25)*Calculateur!AQ55*Calculateur!AS55*VLOOKUP('Données projet'!$B$10,Paramètres!$A$1:$I$88,3,0)*0.475*44/12</f>
        <v>0</v>
      </c>
      <c r="AW55" s="23">
        <f>EXP(-LN(2)/2)*AW54+(1-EXP(-LN(2)/2))/(LN(2)/2)*AQ55*AT55*VLOOKUP('Données projet'!$B$10,Paramètres!$A$1:$I$88,3,0)*0.475*44/12</f>
        <v>0</v>
      </c>
      <c r="AX55" s="23">
        <f t="shared" si="6"/>
        <v>28.517652597871351</v>
      </c>
      <c r="AY55" s="7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2.1607142857142856</v>
      </c>
      <c r="BD55" s="13">
        <f>IF('Données projet'!$A$88&gt;35,BD54+BC55-BL54,IF(A55&lt;'Données projet'!$A$88,$BA$205^A55,IF(A55='Données projet'!$A$88,'Données projet'!$B$88,BD54+BC55-BL54)))</f>
        <v>112.35714285714297</v>
      </c>
      <c r="BE55" s="14">
        <f>BD55*VLOOKUP('Données projet'!$B$11,Paramètres!$A$1:$I$88,3,0)*VLOOKUP('Données projet'!$B$11,Paramètres!$A$1:$I$88,5,0)</f>
        <v>113.93014285714297</v>
      </c>
      <c r="BF55" s="14">
        <f t="shared" si="37"/>
        <v>30.255056541422459</v>
      </c>
      <c r="BG55" s="22">
        <f t="shared" si="7"/>
        <v>251.12255561916814</v>
      </c>
      <c r="BH55" s="60">
        <f t="shared" si="8"/>
        <v>544.45588895250148</v>
      </c>
      <c r="BI55" s="60">
        <f ca="1">AVERAGE(OFFSET($BH$3,0,0,'Données projet'!$E$11+1,1))-AVERAGE(OFFSET($H$3,0,0,'Données projet'!$E$11+1,1))</f>
        <v>178.29366134936788</v>
      </c>
      <c r="BJ55" s="60">
        <f t="shared" si="38"/>
        <v>85.818195717787148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</v>
      </c>
      <c r="BY55" s="13">
        <f>IF('Données projet'!$A$114&gt;35,BY54+BX55-CG54,IF(A55&lt;'Données projet'!$A$114,$BV$205^A55,IF(A55='Données projet'!$A$114,'Données projet'!$B$114,BY54+BX55-CG54)))</f>
        <v>270</v>
      </c>
      <c r="BZ55" s="14">
        <f>BY55*VLOOKUP('Données projet'!$B$12,Paramètres!$A$1:$I$88,3,0)*VLOOKUP('Données projet'!$B$12,Paramètres!$A$1:$I$88,5,0)</f>
        <v>126.36000000000001</v>
      </c>
      <c r="CA55" s="14">
        <f t="shared" si="39"/>
        <v>33.153877056327453</v>
      </c>
      <c r="CB55" s="22">
        <f t="shared" si="10"/>
        <v>277.82000253977031</v>
      </c>
      <c r="CC55" s="60">
        <f t="shared" si="11"/>
        <v>571.15333587310363</v>
      </c>
      <c r="CD55" s="60">
        <f ca="1">AVERAGE(OFFSET($CC$3,0,0,'Données projet'!$E$12+1,1))-AVERAGE(OFFSET($H$3,0,0,'Données projet'!$E$12+1,1))</f>
        <v>104.00159056395933</v>
      </c>
      <c r="CE55" s="60">
        <f t="shared" si="40"/>
        <v>115.86489547584461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7.4050146788983113</v>
      </c>
      <c r="CL55" s="23">
        <f>EXP(-LN(2)/25)*CL54+(1-EXP(-LN(2)/25))/(LN(2)/25)*Calculateur!CG55*Calculateur!CI55*VLOOKUP('Données projet'!$B$12,Paramètres!$A$1:$I$88,3,0)*0.475*44/12</f>
        <v>12.834065789939315</v>
      </c>
      <c r="CM55" s="23">
        <f>EXP(-LN(2)/2)*CM54+(1-EXP(-LN(2)/2))/(LN(2)/2)*CG55*CJ55*VLOOKUP('Données projet'!$B$12,Paramètres!$A$1:$I$88,3,0)*0.475*44/12</f>
        <v>2.9189196306047389</v>
      </c>
      <c r="CN55" s="24">
        <f t="shared" si="12"/>
        <v>23.158000099442368</v>
      </c>
      <c r="CO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projet'!$B$13,Paramètres!$A$1:$I$88,3,0)*VLOOKUP('Données projet'!$B$13,Paramètres!$A$1:$I$88,5,0)</f>
        <v>#N/A</v>
      </c>
      <c r="CV55" s="14" t="e">
        <f t="shared" si="41"/>
        <v>#N/A</v>
      </c>
      <c r="CW55" s="22" t="e">
        <f t="shared" si="13"/>
        <v>#N/A</v>
      </c>
      <c r="CX55" s="60" t="e">
        <f t="shared" si="14"/>
        <v>#N/A</v>
      </c>
      <c r="CY55" s="60" t="e">
        <f ca="1">AVERAGE(OFFSET($CX$3,0,0,'Données projet'!$E$13+1,1))-AVERAGE(OFFSET($H$3,0,0,'Données projet'!$E$13+1,1))</f>
        <v>#N/A</v>
      </c>
      <c r="CZ55" s="60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projet'!$B$13,Paramètres!$A$1:$I$88,3,0)*0.475*44/12</f>
        <v>#N/A</v>
      </c>
      <c r="DG55" s="23" t="e">
        <f>EXP(-LN(2)/25)*DG54+(1-EXP(-LN(2)/25))/(LN(2)/25)*Calculateur!DB55*Calculateur!DD55*VLOOKUP('Données projet'!$B$13,Paramètres!$A$1:$I$88,3,0)*0.475*44/12</f>
        <v>#N/A</v>
      </c>
      <c r="DH55" s="23" t="e">
        <f>EXP(-LN(2)/2)*DH54+(1-EXP(-LN(2)/2))/(LN(2)/2)*DB55*DE55*VLOOKUP('Données projet'!$B$13,Paramètres!$A$1:$I$88,3,0)*0.475*44/12</f>
        <v>#N/A</v>
      </c>
      <c r="DI55" s="24" t="e">
        <f t="shared" si="15"/>
        <v>#N/A</v>
      </c>
      <c r="DJ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0" t="e">
        <f t="shared" si="17"/>
        <v>#N/A</v>
      </c>
      <c r="DT55" s="60" t="e">
        <f ca="1">AVERAGE(OFFSET($DS$3,0,0,'Données projet'!$E$14+1,1))-AVERAGE(OFFSET($H$3,0,0,'Données projet'!$E$14+1,1))</f>
        <v>#N/A</v>
      </c>
      <c r="DU55" s="60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4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47.127600000000029</v>
      </c>
      <c r="D56" s="12">
        <f t="shared" si="32"/>
        <v>13.869414921287754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9.1</v>
      </c>
      <c r="N56" s="14">
        <f>IF('Données projet'!$A$36&gt;35,N55+M56-V55,IF(A56&lt;'Données projet'!$A$36,$K$205^A56,IF(A56='Données projet'!$A$36,'Données projet'!$B$36,N55+M56-V55)))</f>
        <v>334.3000000000003</v>
      </c>
      <c r="O56" s="14">
        <f>N56*VLOOKUP('Données projet'!$B$9,Paramètres!$A$1:$I$88,3,0)*VLOOKUP('Données projet'!$B$9,Paramètres!$A$1:$I$88,5,0)</f>
        <v>199.91140000000019</v>
      </c>
      <c r="P56" s="14">
        <f t="shared" si="33"/>
        <v>49.72469562492725</v>
      </c>
      <c r="Q56" s="22">
        <f t="shared" si="53"/>
        <v>434.78286654674861</v>
      </c>
      <c r="R56" s="60">
        <f t="shared" si="0"/>
        <v>728.11619988008192</v>
      </c>
      <c r="S56" s="60">
        <f ca="1">AVERAGE(OFFSET($R$3,0,0,'Données projet'!$E$9+1,1))-AVERAGE(OFFSET($H$3,0,0,'Données projet'!$E$9+1,1))</f>
        <v>181.84907943028196</v>
      </c>
      <c r="T56" s="60">
        <f t="shared" si="34"/>
        <v>199.66849909069458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18.889285991216116</v>
      </c>
      <c r="AA56" s="23">
        <f>EXP(-LN(2)/25)*AA55+(1-EXP(-LN(2)/25))/(LN(2)/25)*Calculateur!V56*Calculateur!X56*VLOOKUP('Données projet'!$B$9,Paramètres!$A$1:$I$88,3,0)*0.475*44/12</f>
        <v>17.657529211467452</v>
      </c>
      <c r="AB56" s="23">
        <f>EXP(-LN(2)/2)*AB55+(1-EXP(-LN(2)/2))/(LN(2)/2)*V56*Y56*VLOOKUP('Données projet'!$B$9,Paramètres!$A$1:$I$88,3,0)*0.475*44/12</f>
        <v>0.67031438887833772</v>
      </c>
      <c r="AC56" s="24">
        <f t="shared" si="3"/>
        <v>37.217129591561907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projet'!$B$10,Paramètres!$A$1:$I$88,3,0)*VLOOKUP('Données projet'!$B$10,Paramètres!$A$1:$I$88,5,0)</f>
        <v>0</v>
      </c>
      <c r="AK56" s="14" t="e">
        <f t="shared" si="35"/>
        <v>#NUM!</v>
      </c>
      <c r="AL56" s="22" t="e">
        <f t="shared" si="4"/>
        <v>#NUM!</v>
      </c>
      <c r="AM56" s="60" t="e">
        <f t="shared" si="5"/>
        <v>#NUM!</v>
      </c>
      <c r="AN56" s="60">
        <f ca="1">AVERAGE(OFFSET($AM$3,0,0,'Données projet'!$E$10+1,1))-AVERAGE(OFFSET($H$3,0,0,'Données projet'!$E$10+1,1))</f>
        <v>55.581964048431473</v>
      </c>
      <c r="AO56" s="60">
        <f t="shared" si="36"/>
        <v>91.067506141193803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27.958438824477657</v>
      </c>
      <c r="AV56" s="23">
        <f>EXP(-LN(2)/25)*AV55+(1-EXP(-LN(2)/25))/(LN(2)/25)*Calculateur!AQ56*Calculateur!AS56*VLOOKUP('Données projet'!$B$10,Paramètres!$A$1:$I$88,3,0)*0.475*44/12</f>
        <v>0</v>
      </c>
      <c r="AW56" s="23">
        <f>EXP(-LN(2)/2)*AW55+(1-EXP(-LN(2)/2))/(LN(2)/2)*AQ56*AT56*VLOOKUP('Données projet'!$B$10,Paramètres!$A$1:$I$88,3,0)*0.475*44/12</f>
        <v>0</v>
      </c>
      <c r="AX56" s="23">
        <f t="shared" si="6"/>
        <v>27.958438824477657</v>
      </c>
      <c r="AY56" s="7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2.1607142857142856</v>
      </c>
      <c r="BD56" s="13">
        <f>IF('Données projet'!$A$88&gt;35,BD55+BC56-BL55,IF(A56&lt;'Données projet'!$A$88,$BA$205^A56,IF(A56='Données projet'!$A$88,'Données projet'!$B$88,BD55+BC56-BL55)))</f>
        <v>114.51785714285727</v>
      </c>
      <c r="BE56" s="14">
        <f>BD56*VLOOKUP('Données projet'!$B$11,Paramètres!$A$1:$I$88,3,0)*VLOOKUP('Données projet'!$B$11,Paramètres!$A$1:$I$88,5,0)</f>
        <v>116.12110714285728</v>
      </c>
      <c r="BF56" s="14">
        <f t="shared" si="37"/>
        <v>30.768588447665518</v>
      </c>
      <c r="BG56" s="22">
        <f t="shared" si="7"/>
        <v>255.83288648682719</v>
      </c>
      <c r="BH56" s="60">
        <f t="shared" si="8"/>
        <v>549.16621982016045</v>
      </c>
      <c r="BI56" s="60">
        <f ca="1">AVERAGE(OFFSET($BH$3,0,0,'Données projet'!$E$11+1,1))-AVERAGE(OFFSET($H$3,0,0,'Données projet'!$E$11+1,1))</f>
        <v>178.29366134936788</v>
      </c>
      <c r="BJ56" s="60">
        <f t="shared" si="38"/>
        <v>85.818195717787148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</v>
      </c>
      <c r="BY56" s="13">
        <f>IF('Données projet'!$A$114&gt;35,BY55+BX56-CG55,IF(A56&lt;'Données projet'!$A$114,$BV$205^A56,IF(A56='Données projet'!$A$114,'Données projet'!$B$114,BY55+BX56-CG55)))</f>
        <v>280</v>
      </c>
      <c r="BZ56" s="14">
        <f>BY56*VLOOKUP('Données projet'!$B$12,Paramètres!$A$1:$I$88,3,0)*VLOOKUP('Données projet'!$B$12,Paramètres!$A$1:$I$88,5,0)</f>
        <v>131.04</v>
      </c>
      <c r="CA56" s="14">
        <f t="shared" si="39"/>
        <v>34.236561238949918</v>
      </c>
      <c r="CB56" s="22">
        <f t="shared" si="10"/>
        <v>287.85667749117107</v>
      </c>
      <c r="CC56" s="60">
        <f t="shared" si="11"/>
        <v>581.19001082450438</v>
      </c>
      <c r="CD56" s="60">
        <f ca="1">AVERAGE(OFFSET($CC$3,0,0,'Données projet'!$E$12+1,1))-AVERAGE(OFFSET($H$3,0,0,'Données projet'!$E$12+1,1))</f>
        <v>104.00159056395933</v>
      </c>
      <c r="CE56" s="60">
        <f t="shared" si="40"/>
        <v>115.86489547584461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7.2598068576580914</v>
      </c>
      <c r="CL56" s="23">
        <f>EXP(-LN(2)/25)*CL55+(1-EXP(-LN(2)/25))/(LN(2)/25)*Calculateur!CG56*Calculateur!CI56*VLOOKUP('Données projet'!$B$12,Paramètres!$A$1:$I$88,3,0)*0.475*44/12</f>
        <v>12.483117585999237</v>
      </c>
      <c r="CM56" s="23">
        <f>EXP(-LN(2)/2)*CM55+(1-EXP(-LN(2)/2))/(LN(2)/2)*CG56*CJ56*VLOOKUP('Données projet'!$B$12,Paramètres!$A$1:$I$88,3,0)*0.475*44/12</f>
        <v>2.0639878645391434</v>
      </c>
      <c r="CN56" s="24">
        <f t="shared" si="12"/>
        <v>21.806912308196473</v>
      </c>
      <c r="CO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projet'!$B$13,Paramètres!$A$1:$I$88,3,0)*VLOOKUP('Données projet'!$B$13,Paramètres!$A$1:$I$88,5,0)</f>
        <v>#N/A</v>
      </c>
      <c r="CV56" s="14" t="e">
        <f t="shared" si="41"/>
        <v>#N/A</v>
      </c>
      <c r="CW56" s="22" t="e">
        <f t="shared" si="13"/>
        <v>#N/A</v>
      </c>
      <c r="CX56" s="60" t="e">
        <f t="shared" si="14"/>
        <v>#N/A</v>
      </c>
      <c r="CY56" s="60" t="e">
        <f ca="1">AVERAGE(OFFSET($CX$3,0,0,'Données projet'!$E$13+1,1))-AVERAGE(OFFSET($H$3,0,0,'Données projet'!$E$13+1,1))</f>
        <v>#N/A</v>
      </c>
      <c r="CZ56" s="60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projet'!$B$13,Paramètres!$A$1:$I$88,3,0)*0.475*44/12</f>
        <v>#N/A</v>
      </c>
      <c r="DG56" s="23" t="e">
        <f>EXP(-LN(2)/25)*DG55+(1-EXP(-LN(2)/25))/(LN(2)/25)*Calculateur!DB56*Calculateur!DD56*VLOOKUP('Données projet'!$B$13,Paramètres!$A$1:$I$88,3,0)*0.475*44/12</f>
        <v>#N/A</v>
      </c>
      <c r="DH56" s="23" t="e">
        <f>EXP(-LN(2)/2)*DH55+(1-EXP(-LN(2)/2))/(LN(2)/2)*DB56*DE56*VLOOKUP('Données projet'!$B$13,Paramètres!$A$1:$I$88,3,0)*0.475*44/12</f>
        <v>#N/A</v>
      </c>
      <c r="DI56" s="24" t="e">
        <f t="shared" si="15"/>
        <v>#N/A</v>
      </c>
      <c r="DJ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0" t="e">
        <f t="shared" si="17"/>
        <v>#N/A</v>
      </c>
      <c r="DT56" s="60" t="e">
        <f ca="1">AVERAGE(OFFSET($DS$3,0,0,'Données projet'!$E$14+1,1))-AVERAGE(OFFSET($H$3,0,0,'Données projet'!$E$14+1,1))</f>
        <v>#N/A</v>
      </c>
      <c r="DU56" s="60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4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48.016800000000032</v>
      </c>
      <c r="D57" s="12">
        <f t="shared" si="32"/>
        <v>14.100389472000563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9.1</v>
      </c>
      <c r="N57" s="14">
        <f>IF('Données projet'!$A$36&gt;35,N56+M57-V56,IF(A57&lt;'Données projet'!$A$36,$K$205^A57,IF(A57='Données projet'!$A$36,'Données projet'!$B$36,N56+M57-V56)))</f>
        <v>343.40000000000032</v>
      </c>
      <c r="O57" s="14">
        <f>N57*VLOOKUP('Données projet'!$B$9,Paramètres!$A$1:$I$88,3,0)*VLOOKUP('Données projet'!$B$9,Paramètres!$A$1:$I$88,5,0)</f>
        <v>205.35320000000019</v>
      </c>
      <c r="P57" s="14">
        <f t="shared" si="33"/>
        <v>50.91882437542197</v>
      </c>
      <c r="Q57" s="22">
        <f t="shared" si="53"/>
        <v>446.34044245386031</v>
      </c>
      <c r="R57" s="60">
        <f t="shared" si="0"/>
        <v>739.67377578719356</v>
      </c>
      <c r="S57" s="60">
        <f ca="1">AVERAGE(OFFSET($R$3,0,0,'Données projet'!$E$9+1,1))-AVERAGE(OFFSET($H$3,0,0,'Données projet'!$E$9+1,1))</f>
        <v>181.84907943028196</v>
      </c>
      <c r="T57" s="60">
        <f t="shared" si="34"/>
        <v>199.66849909069458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18.518878614255186</v>
      </c>
      <c r="AA57" s="23">
        <f>EXP(-LN(2)/25)*AA56+(1-EXP(-LN(2)/25))/(LN(2)/25)*Calculateur!V57*Calculateur!X57*VLOOKUP('Données projet'!$B$9,Paramètres!$A$1:$I$88,3,0)*0.475*44/12</f>
        <v>17.174683146610771</v>
      </c>
      <c r="AB57" s="23">
        <f>EXP(-LN(2)/2)*AB56+(1-EXP(-LN(2)/2))/(LN(2)/2)*V57*Y57*VLOOKUP('Données projet'!$B$9,Paramètres!$A$1:$I$88,3,0)*0.475*44/12</f>
        <v>0.47398384990278913</v>
      </c>
      <c r="AC57" s="24">
        <f t="shared" si="3"/>
        <v>36.167545610768748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projet'!$B$10,Paramètres!$A$1:$I$88,3,0)*VLOOKUP('Données projet'!$B$10,Paramètres!$A$1:$I$88,5,0)</f>
        <v>0</v>
      </c>
      <c r="AK57" s="14" t="e">
        <f t="shared" si="35"/>
        <v>#NUM!</v>
      </c>
      <c r="AL57" s="22" t="e">
        <f t="shared" si="4"/>
        <v>#NUM!</v>
      </c>
      <c r="AM57" s="60" t="e">
        <f t="shared" si="5"/>
        <v>#NUM!</v>
      </c>
      <c r="AN57" s="60">
        <f ca="1">AVERAGE(OFFSET($AM$3,0,0,'Données projet'!$E$10+1,1))-AVERAGE(OFFSET($H$3,0,0,'Données projet'!$E$10+1,1))</f>
        <v>55.581964048431473</v>
      </c>
      <c r="AO57" s="60">
        <f t="shared" si="36"/>
        <v>91.067506141193803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27.410190892093492</v>
      </c>
      <c r="AV57" s="23">
        <f>EXP(-LN(2)/25)*AV56+(1-EXP(-LN(2)/25))/(LN(2)/25)*Calculateur!AQ57*Calculateur!AS57*VLOOKUP('Données projet'!$B$10,Paramètres!$A$1:$I$88,3,0)*0.475*44/12</f>
        <v>0</v>
      </c>
      <c r="AW57" s="23">
        <f>EXP(-LN(2)/2)*AW56+(1-EXP(-LN(2)/2))/(LN(2)/2)*AQ57*AT57*VLOOKUP('Données projet'!$B$10,Paramètres!$A$1:$I$88,3,0)*0.475*44/12</f>
        <v>0</v>
      </c>
      <c r="AX57" s="23">
        <f t="shared" si="6"/>
        <v>27.410190892093492</v>
      </c>
      <c r="AY57" s="7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2.1607142857142856</v>
      </c>
      <c r="BD57" s="13">
        <f>IF('Données projet'!$A$88&gt;35,BD56+BC57-BL56,IF(A57&lt;'Données projet'!$A$88,$BA$205^A57,IF(A57='Données projet'!$A$88,'Données projet'!$B$88,BD56+BC57-BL56)))</f>
        <v>116.67857142857156</v>
      </c>
      <c r="BE57" s="14">
        <f>BD57*VLOOKUP('Données projet'!$B$11,Paramètres!$A$1:$I$88,3,0)*VLOOKUP('Données projet'!$B$11,Paramètres!$A$1:$I$88,5,0)</f>
        <v>118.31207142857156</v>
      </c>
      <c r="BF57" s="14">
        <f t="shared" si="37"/>
        <v>31.280993688484951</v>
      </c>
      <c r="BG57" s="22">
        <f t="shared" si="7"/>
        <v>260.54125507887341</v>
      </c>
      <c r="BH57" s="60">
        <f t="shared" si="8"/>
        <v>553.87458841220678</v>
      </c>
      <c r="BI57" s="60">
        <f ca="1">AVERAGE(OFFSET($BH$3,0,0,'Données projet'!$E$11+1,1))-AVERAGE(OFFSET($H$3,0,0,'Données projet'!$E$11+1,1))</f>
        <v>178.29366134936788</v>
      </c>
      <c r="BJ57" s="60">
        <f t="shared" si="38"/>
        <v>85.818195717787148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</v>
      </c>
      <c r="BY57" s="13">
        <f>IF('Données projet'!$A$114&gt;35,BY56+BX57-CG56,IF(A57&lt;'Données projet'!$A$114,$BV$205^A57,IF(A57='Données projet'!$A$114,'Données projet'!$B$114,BY56+BX57-CG56)))</f>
        <v>290</v>
      </c>
      <c r="BZ57" s="14">
        <f>BY57*VLOOKUP('Données projet'!$B$12,Paramètres!$A$1:$I$88,3,0)*VLOOKUP('Données projet'!$B$12,Paramètres!$A$1:$I$88,5,0)</f>
        <v>135.72</v>
      </c>
      <c r="CA57" s="14">
        <f t="shared" si="39"/>
        <v>35.314752882348131</v>
      </c>
      <c r="CB57" s="22">
        <f t="shared" si="10"/>
        <v>297.88552793675632</v>
      </c>
      <c r="CC57" s="60">
        <f t="shared" si="11"/>
        <v>591.21886127008963</v>
      </c>
      <c r="CD57" s="60">
        <f ca="1">AVERAGE(OFFSET($CC$3,0,0,'Données projet'!$E$12+1,1))-AVERAGE(OFFSET($H$3,0,0,'Données projet'!$E$12+1,1))</f>
        <v>104.00159056395933</v>
      </c>
      <c r="CE57" s="60">
        <f t="shared" si="40"/>
        <v>115.86489547584461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7.1174464732243665</v>
      </c>
      <c r="CL57" s="23">
        <f>EXP(-LN(2)/25)*CL56+(1-EXP(-LN(2)/25))/(LN(2)/25)*Calculateur!CG57*Calculateur!CI57*VLOOKUP('Données projet'!$B$12,Paramètres!$A$1:$I$88,3,0)*0.475*44/12</f>
        <v>12.141766079151465</v>
      </c>
      <c r="CM57" s="23">
        <f>EXP(-LN(2)/2)*CM56+(1-EXP(-LN(2)/2))/(LN(2)/2)*CG57*CJ57*VLOOKUP('Données projet'!$B$12,Paramètres!$A$1:$I$88,3,0)*0.475*44/12</f>
        <v>1.4594598153023697</v>
      </c>
      <c r="CN57" s="24">
        <f t="shared" si="12"/>
        <v>20.718672367678202</v>
      </c>
      <c r="CO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projet'!$B$13,Paramètres!$A$1:$I$88,3,0)*VLOOKUP('Données projet'!$B$13,Paramètres!$A$1:$I$88,5,0)</f>
        <v>#N/A</v>
      </c>
      <c r="CV57" s="14" t="e">
        <f t="shared" si="41"/>
        <v>#N/A</v>
      </c>
      <c r="CW57" s="22" t="e">
        <f t="shared" si="13"/>
        <v>#N/A</v>
      </c>
      <c r="CX57" s="60" t="e">
        <f t="shared" si="14"/>
        <v>#N/A</v>
      </c>
      <c r="CY57" s="60" t="e">
        <f ca="1">AVERAGE(OFFSET($CX$3,0,0,'Données projet'!$E$13+1,1))-AVERAGE(OFFSET($H$3,0,0,'Données projet'!$E$13+1,1))</f>
        <v>#N/A</v>
      </c>
      <c r="CZ57" s="60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projet'!$B$13,Paramètres!$A$1:$I$88,3,0)*0.475*44/12</f>
        <v>#N/A</v>
      </c>
      <c r="DG57" s="23" t="e">
        <f>EXP(-LN(2)/25)*DG56+(1-EXP(-LN(2)/25))/(LN(2)/25)*Calculateur!DB57*Calculateur!DD57*VLOOKUP('Données projet'!$B$13,Paramètres!$A$1:$I$88,3,0)*0.475*44/12</f>
        <v>#N/A</v>
      </c>
      <c r="DH57" s="23" t="e">
        <f>EXP(-LN(2)/2)*DH56+(1-EXP(-LN(2)/2))/(LN(2)/2)*DB57*DE57*VLOOKUP('Données projet'!$B$13,Paramètres!$A$1:$I$88,3,0)*0.475*44/12</f>
        <v>#N/A</v>
      </c>
      <c r="DI57" s="24" t="e">
        <f t="shared" si="15"/>
        <v>#N/A</v>
      </c>
      <c r="DJ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0" t="e">
        <f t="shared" si="17"/>
        <v>#N/A</v>
      </c>
      <c r="DT57" s="60" t="e">
        <f ca="1">AVERAGE(OFFSET($DS$3,0,0,'Données projet'!$E$14+1,1))-AVERAGE(OFFSET($H$3,0,0,'Données projet'!$E$14+1,1))</f>
        <v>#N/A</v>
      </c>
      <c r="DU57" s="60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4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48.906000000000034</v>
      </c>
      <c r="D58" s="12">
        <f t="shared" si="32"/>
        <v>14.330866650402033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9.1</v>
      </c>
      <c r="N58" s="14">
        <f>IF('Données projet'!$A$36&gt;35,N57+M58-V57,IF(A58&lt;'Données projet'!$A$36,$K$205^A58,IF(A58='Données projet'!$A$36,'Données projet'!$B$36,N57+M58-V57)))</f>
        <v>352.50000000000034</v>
      </c>
      <c r="O58" s="14">
        <f>N58*VLOOKUP('Données projet'!$B$9,Paramètres!$A$1:$I$88,3,0)*VLOOKUP('Données projet'!$B$9,Paramètres!$A$1:$I$88,5,0)</f>
        <v>210.79500000000024</v>
      </c>
      <c r="P58" s="14">
        <f t="shared" si="33"/>
        <v>52.10927497689395</v>
      </c>
      <c r="Q58" s="22">
        <f t="shared" si="53"/>
        <v>457.89161225142408</v>
      </c>
      <c r="R58" s="60">
        <f t="shared" si="0"/>
        <v>751.22494558475739</v>
      </c>
      <c r="S58" s="60">
        <f ca="1">AVERAGE(OFFSET($R$3,0,0,'Données projet'!$E$9+1,1))-AVERAGE(OFFSET($H$3,0,0,'Données projet'!$E$9+1,1))</f>
        <v>181.84907943028196</v>
      </c>
      <c r="T58" s="60">
        <f t="shared" si="34"/>
        <v>199.66849909069458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18.155734700030269</v>
      </c>
      <c r="AA58" s="23">
        <f>EXP(-LN(2)/25)*AA57+(1-EXP(-LN(2)/25))/(LN(2)/25)*Calculateur!V58*Calculateur!X58*VLOOKUP('Données projet'!$B$9,Paramètres!$A$1:$I$88,3,0)*0.475*44/12</f>
        <v>16.705040532789365</v>
      </c>
      <c r="AB58" s="23">
        <f>EXP(-LN(2)/2)*AB57+(1-EXP(-LN(2)/2))/(LN(2)/2)*V58*Y58*VLOOKUP('Données projet'!$B$9,Paramètres!$A$1:$I$88,3,0)*0.475*44/12</f>
        <v>0.33515719443916892</v>
      </c>
      <c r="AC58" s="24">
        <f t="shared" si="3"/>
        <v>35.195932427258803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projet'!$B$10,Paramètres!$A$1:$I$88,3,0)*VLOOKUP('Données projet'!$B$10,Paramètres!$A$1:$I$88,5,0)</f>
        <v>0</v>
      </c>
      <c r="AK58" s="14" t="e">
        <f t="shared" si="35"/>
        <v>#NUM!</v>
      </c>
      <c r="AL58" s="22" t="e">
        <f t="shared" si="4"/>
        <v>#NUM!</v>
      </c>
      <c r="AM58" s="60" t="e">
        <f t="shared" si="5"/>
        <v>#NUM!</v>
      </c>
      <c r="AN58" s="60">
        <f ca="1">AVERAGE(OFFSET($AM$3,0,0,'Données projet'!$E$10+1,1))-AVERAGE(OFFSET($H$3,0,0,'Données projet'!$E$10+1,1))</f>
        <v>55.581964048431473</v>
      </c>
      <c r="AO58" s="60">
        <f t="shared" si="36"/>
        <v>91.067506141193803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26.872693767265162</v>
      </c>
      <c r="AV58" s="23">
        <f>EXP(-LN(2)/25)*AV57+(1-EXP(-LN(2)/25))/(LN(2)/25)*Calculateur!AQ58*Calculateur!AS58*VLOOKUP('Données projet'!$B$10,Paramètres!$A$1:$I$88,3,0)*0.475*44/12</f>
        <v>0</v>
      </c>
      <c r="AW58" s="23">
        <f>EXP(-LN(2)/2)*AW57+(1-EXP(-LN(2)/2))/(LN(2)/2)*AQ58*AT58*VLOOKUP('Données projet'!$B$10,Paramètres!$A$1:$I$88,3,0)*0.475*44/12</f>
        <v>0</v>
      </c>
      <c r="AX58" s="23">
        <f t="shared" si="6"/>
        <v>26.872693767265162</v>
      </c>
      <c r="AY58" s="7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2.1607142857142856</v>
      </c>
      <c r="BD58" s="13">
        <f>IF('Données projet'!$A$88&gt;35,BD57+BC58-BL57,IF(A58&lt;'Données projet'!$A$88,$BA$205^A58,IF(A58='Données projet'!$A$88,'Données projet'!$B$88,BD57+BC58-BL57)))</f>
        <v>118.83928571428585</v>
      </c>
      <c r="BE58" s="14">
        <f>BD58*VLOOKUP('Données projet'!$B$11,Paramètres!$A$1:$I$88,3,0)*VLOOKUP('Données projet'!$B$11,Paramètres!$A$1:$I$88,5,0)</f>
        <v>120.50303571428586</v>
      </c>
      <c r="BF58" s="14">
        <f t="shared" si="37"/>
        <v>31.792295534241237</v>
      </c>
      <c r="BG58" s="22">
        <f t="shared" si="7"/>
        <v>265.24770192451803</v>
      </c>
      <c r="BH58" s="60">
        <f t="shared" si="8"/>
        <v>558.58103525785134</v>
      </c>
      <c r="BI58" s="60">
        <f ca="1">AVERAGE(OFFSET($BH$3,0,0,'Données projet'!$E$11+1,1))-AVERAGE(OFFSET($H$3,0,0,'Données projet'!$E$11+1,1))</f>
        <v>178.29366134936788</v>
      </c>
      <c r="BJ58" s="60">
        <f t="shared" si="38"/>
        <v>85.818195717787148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</v>
      </c>
      <c r="BY58" s="13">
        <f>IF('Données projet'!$A$114&gt;35,BY57+BX58-CG57,IF(A58&lt;'Données projet'!$A$114,$BV$205^A58,IF(A58='Données projet'!$A$114,'Données projet'!$B$114,BY57+BX58-CG57)))</f>
        <v>300</v>
      </c>
      <c r="BZ58" s="14">
        <f>BY58*VLOOKUP('Données projet'!$B$12,Paramètres!$A$1:$I$88,3,0)*VLOOKUP('Données projet'!$B$12,Paramètres!$A$1:$I$88,5,0)</f>
        <v>140.4</v>
      </c>
      <c r="CA58" s="14">
        <f t="shared" si="39"/>
        <v>36.388624656711201</v>
      </c>
      <c r="CB58" s="22">
        <f t="shared" si="10"/>
        <v>307.90685461043864</v>
      </c>
      <c r="CC58" s="60">
        <f t="shared" si="11"/>
        <v>601.24018794377196</v>
      </c>
      <c r="CD58" s="60">
        <f ca="1">AVERAGE(OFFSET($CC$3,0,0,'Données projet'!$E$12+1,1))-AVERAGE(OFFSET($H$3,0,0,'Données projet'!$E$12+1,1))</f>
        <v>104.00159056395933</v>
      </c>
      <c r="CE58" s="60">
        <f t="shared" si="40"/>
        <v>115.86489547584461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6.9778776890981264</v>
      </c>
      <c r="CL58" s="23">
        <f>EXP(-LN(2)/25)*CL57+(1-EXP(-LN(2)/25))/(LN(2)/25)*Calculateur!CG58*Calculateur!CI58*VLOOKUP('Données projet'!$B$12,Paramètres!$A$1:$I$88,3,0)*0.475*44/12</f>
        <v>11.80974884720934</v>
      </c>
      <c r="CM58" s="23">
        <f>EXP(-LN(2)/2)*CM57+(1-EXP(-LN(2)/2))/(LN(2)/2)*CG58*CJ58*VLOOKUP('Données projet'!$B$12,Paramètres!$A$1:$I$88,3,0)*0.475*44/12</f>
        <v>1.0319939322695719</v>
      </c>
      <c r="CN58" s="24">
        <f t="shared" si="12"/>
        <v>19.819620468577039</v>
      </c>
      <c r="CO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projet'!$B$13,Paramètres!$A$1:$I$88,3,0)*VLOOKUP('Données projet'!$B$13,Paramètres!$A$1:$I$88,5,0)</f>
        <v>#N/A</v>
      </c>
      <c r="CV58" s="14" t="e">
        <f t="shared" si="41"/>
        <v>#N/A</v>
      </c>
      <c r="CW58" s="22" t="e">
        <f t="shared" si="13"/>
        <v>#N/A</v>
      </c>
      <c r="CX58" s="60" t="e">
        <f t="shared" si="14"/>
        <v>#N/A</v>
      </c>
      <c r="CY58" s="60" t="e">
        <f ca="1">AVERAGE(OFFSET($CX$3,0,0,'Données projet'!$E$13+1,1))-AVERAGE(OFFSET($H$3,0,0,'Données projet'!$E$13+1,1))</f>
        <v>#N/A</v>
      </c>
      <c r="CZ58" s="60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projet'!$B$13,Paramètres!$A$1:$I$88,3,0)*0.475*44/12</f>
        <v>#N/A</v>
      </c>
      <c r="DG58" s="23" t="e">
        <f>EXP(-LN(2)/25)*DG57+(1-EXP(-LN(2)/25))/(LN(2)/25)*Calculateur!DB58*Calculateur!DD58*VLOOKUP('Données projet'!$B$13,Paramètres!$A$1:$I$88,3,0)*0.475*44/12</f>
        <v>#N/A</v>
      </c>
      <c r="DH58" s="23" t="e">
        <f>EXP(-LN(2)/2)*DH57+(1-EXP(-LN(2)/2))/(LN(2)/2)*DB58*DE58*VLOOKUP('Données projet'!$B$13,Paramètres!$A$1:$I$88,3,0)*0.475*44/12</f>
        <v>#N/A</v>
      </c>
      <c r="DI58" s="24" t="e">
        <f t="shared" si="15"/>
        <v>#N/A</v>
      </c>
      <c r="DJ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0" t="e">
        <f t="shared" si="17"/>
        <v>#N/A</v>
      </c>
      <c r="DT58" s="60" t="e">
        <f ca="1">AVERAGE(OFFSET($DS$3,0,0,'Données projet'!$E$14+1,1))-AVERAGE(OFFSET($H$3,0,0,'Données projet'!$E$14+1,1))</f>
        <v>#N/A</v>
      </c>
      <c r="DU58" s="60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4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49.795200000000037</v>
      </c>
      <c r="D59" s="12">
        <f t="shared" si="32"/>
        <v>14.560856542690786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9.1</v>
      </c>
      <c r="N59" s="14">
        <f>IF('Données projet'!$A$36&gt;35,N58+M59-V58,IF(A59&lt;'Données projet'!$A$36,$K$205^A59,IF(A59='Données projet'!$A$36,'Données projet'!$B$36,N58+M59-V58)))</f>
        <v>361.60000000000036</v>
      </c>
      <c r="O59" s="14">
        <f>N59*VLOOKUP('Données projet'!$B$9,Paramètres!$A$1:$I$88,3,0)*VLOOKUP('Données projet'!$B$9,Paramètres!$A$1:$I$88,5,0)</f>
        <v>216.23680000000024</v>
      </c>
      <c r="P59" s="14">
        <f t="shared" si="33"/>
        <v>53.296153300267967</v>
      </c>
      <c r="Q59" s="22">
        <f t="shared" si="53"/>
        <v>469.43656033130043</v>
      </c>
      <c r="R59" s="60">
        <f t="shared" si="0"/>
        <v>762.76989366463374</v>
      </c>
      <c r="S59" s="60">
        <f ca="1">AVERAGE(OFFSET($R$3,0,0,'Données projet'!$E$9+1,1))-AVERAGE(OFFSET($H$3,0,0,'Données projet'!$E$9+1,1))</f>
        <v>181.84907943028196</v>
      </c>
      <c r="T59" s="60">
        <f t="shared" si="34"/>
        <v>199.66849909069458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17.799711816467386</v>
      </c>
      <c r="AA59" s="23">
        <f>EXP(-LN(2)/25)*AA58+(1-EXP(-LN(2)/25))/(LN(2)/25)*Calculateur!V59*Calculateur!X59*VLOOKUP('Données projet'!$B$9,Paramètres!$A$1:$I$88,3,0)*0.475*44/12</f>
        <v>16.248240320940337</v>
      </c>
      <c r="AB59" s="23">
        <f>EXP(-LN(2)/2)*AB58+(1-EXP(-LN(2)/2))/(LN(2)/2)*V59*Y59*VLOOKUP('Données projet'!$B$9,Paramètres!$A$1:$I$88,3,0)*0.475*44/12</f>
        <v>0.23699192495139459</v>
      </c>
      <c r="AC59" s="24">
        <f t="shared" si="3"/>
        <v>34.284944062359116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projet'!$B$10,Paramètres!$A$1:$I$88,3,0)*VLOOKUP('Données projet'!$B$10,Paramètres!$A$1:$I$88,5,0)</f>
        <v>0</v>
      </c>
      <c r="AK59" s="14" t="e">
        <f t="shared" si="35"/>
        <v>#NUM!</v>
      </c>
      <c r="AL59" s="22" t="e">
        <f t="shared" si="4"/>
        <v>#NUM!</v>
      </c>
      <c r="AM59" s="60" t="e">
        <f t="shared" si="5"/>
        <v>#NUM!</v>
      </c>
      <c r="AN59" s="60">
        <f ca="1">AVERAGE(OFFSET($AM$3,0,0,'Données projet'!$E$10+1,1))-AVERAGE(OFFSET($H$3,0,0,'Données projet'!$E$10+1,1))</f>
        <v>55.581964048431473</v>
      </c>
      <c r="AO59" s="60">
        <f t="shared" si="36"/>
        <v>91.067506141193803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26.345736633213839</v>
      </c>
      <c r="AV59" s="23">
        <f>EXP(-LN(2)/25)*AV58+(1-EXP(-LN(2)/25))/(LN(2)/25)*Calculateur!AQ59*Calculateur!AS59*VLOOKUP('Données projet'!$B$10,Paramètres!$A$1:$I$88,3,0)*0.475*44/12</f>
        <v>0</v>
      </c>
      <c r="AW59" s="23">
        <f>EXP(-LN(2)/2)*AW58+(1-EXP(-LN(2)/2))/(LN(2)/2)*AQ59*AT59*VLOOKUP('Données projet'!$B$10,Paramètres!$A$1:$I$88,3,0)*0.475*44/12</f>
        <v>0</v>
      </c>
      <c r="AX59" s="23">
        <f t="shared" si="6"/>
        <v>26.345736633213839</v>
      </c>
      <c r="AY59" s="7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121</v>
      </c>
      <c r="BB59" s="13">
        <f>VLOOKUP(A59,'Données projet'!$A$87:$I$107,9,0)</f>
        <v>2.1607142857142856</v>
      </c>
      <c r="BC59" s="13">
        <f t="array" ref="BC59">INDEX(BB:BB,MIN(IF(ISNUMBER(BB59:BB255),ROW(BB59:BB255),"")))</f>
        <v>2.1607142857142856</v>
      </c>
      <c r="BD59" s="13">
        <f>IF('Données projet'!$A$88&gt;35,BD58+BC59-BL58,IF(A59&lt;'Données projet'!$A$88,$BA$205^A59,IF(A59='Données projet'!$A$88,'Données projet'!$B$88,BD58+BC59-BL58)))</f>
        <v>121.00000000000014</v>
      </c>
      <c r="BE59" s="14">
        <f>BD59*VLOOKUP('Données projet'!$B$11,Paramètres!$A$1:$I$88,3,0)*VLOOKUP('Données projet'!$B$11,Paramètres!$A$1:$I$88,5,0)</f>
        <v>122.69400000000014</v>
      </c>
      <c r="BF59" s="14">
        <f t="shared" si="37"/>
        <v>32.302516360650714</v>
      </c>
      <c r="BG59" s="22">
        <f t="shared" si="7"/>
        <v>269.9522659948002</v>
      </c>
      <c r="BH59" s="60">
        <f t="shared" si="8"/>
        <v>563.28559932813346</v>
      </c>
      <c r="BI59" s="60">
        <f ca="1">AVERAGE(OFFSET($BH$3,0,0,'Données projet'!$E$11+1,1))-AVERAGE(OFFSET($H$3,0,0,'Données projet'!$E$11+1,1))</f>
        <v>178.29366134936788</v>
      </c>
      <c r="BJ59" s="60">
        <f t="shared" si="38"/>
        <v>85.818195717787148</v>
      </c>
      <c r="BK59" s="16">
        <f>IF(ISNA(VLOOKUP(A59,'Données projet'!$A$87:$I$107,3,0)),0,VLOOKUP(A59,'Données projet'!$A$87:$I$107,3,0))</f>
        <v>1</v>
      </c>
      <c r="BL59" s="16">
        <f>IF(ISNA(VLOOKUP(A59,'Données projet'!$A$87:$I$107,4,0)),0,VLOOKUP(A59,'Données projet'!$A$87:$I$107,4,0))</f>
        <v>29</v>
      </c>
      <c r="BM59" s="17">
        <f>IF(ISNA(VLOOKUP(A59,'Données projet'!$A$87:$I$107,5,0)),0%,VLOOKUP(A59,'Données projet'!$A$87:$I$107,5,0)*VLOOKUP('Données projet'!$B$11,Paramètres!$A$1:$I$88,7,0))</f>
        <v>4.3000000000000003E-2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1.3978208651634751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1.3978208651634751</v>
      </c>
      <c r="BT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</v>
      </c>
      <c r="BY59" s="13">
        <f>IF('Données projet'!$A$114&gt;35,BY58+BX59-CG58,IF(A59&lt;'Données projet'!$A$114,$BV$205^A59,IF(A59='Données projet'!$A$114,'Données projet'!$B$114,BY58+BX59-CG58)))</f>
        <v>310</v>
      </c>
      <c r="BZ59" s="14">
        <f>BY59*VLOOKUP('Données projet'!$B$12,Paramètres!$A$1:$I$88,3,0)*VLOOKUP('Données projet'!$B$12,Paramètres!$A$1:$I$88,5,0)</f>
        <v>145.07999999999998</v>
      </c>
      <c r="CA59" s="14">
        <f t="shared" si="39"/>
        <v>37.458337067672986</v>
      </c>
      <c r="CB59" s="22">
        <f t="shared" si="10"/>
        <v>317.92093705953039</v>
      </c>
      <c r="CC59" s="60">
        <f t="shared" si="11"/>
        <v>611.25427039286365</v>
      </c>
      <c r="CD59" s="60">
        <f ca="1">AVERAGE(OFFSET($CC$3,0,0,'Données projet'!$E$12+1,1))-AVERAGE(OFFSET($H$3,0,0,'Données projet'!$E$12+1,1))</f>
        <v>104.00159056395933</v>
      </c>
      <c r="CE59" s="60">
        <f t="shared" si="40"/>
        <v>115.86489547584461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6.8410457637000492</v>
      </c>
      <c r="CL59" s="23">
        <f>EXP(-LN(2)/25)*CL58+(1-EXP(-LN(2)/25))/(LN(2)/25)*Calculateur!CG59*Calculateur!CI59*VLOOKUP('Données projet'!$B$12,Paramètres!$A$1:$I$88,3,0)*0.475*44/12</f>
        <v>11.4868106439347</v>
      </c>
      <c r="CM59" s="23">
        <f>EXP(-LN(2)/2)*CM58+(1-EXP(-LN(2)/2))/(LN(2)/2)*CG59*CJ59*VLOOKUP('Données projet'!$B$12,Paramètres!$A$1:$I$88,3,0)*0.475*44/12</f>
        <v>0.72972990765118495</v>
      </c>
      <c r="CN59" s="24">
        <f t="shared" si="12"/>
        <v>19.057586315285931</v>
      </c>
      <c r="CO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projet'!$B$13,Paramètres!$A$1:$I$88,3,0)*VLOOKUP('Données projet'!$B$13,Paramètres!$A$1:$I$88,5,0)</f>
        <v>#N/A</v>
      </c>
      <c r="CV59" s="14" t="e">
        <f t="shared" si="41"/>
        <v>#N/A</v>
      </c>
      <c r="CW59" s="22" t="e">
        <f t="shared" si="13"/>
        <v>#N/A</v>
      </c>
      <c r="CX59" s="60" t="e">
        <f t="shared" si="14"/>
        <v>#N/A</v>
      </c>
      <c r="CY59" s="60" t="e">
        <f ca="1">AVERAGE(OFFSET($CX$3,0,0,'Données projet'!$E$13+1,1))-AVERAGE(OFFSET($H$3,0,0,'Données projet'!$E$13+1,1))</f>
        <v>#N/A</v>
      </c>
      <c r="CZ59" s="60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projet'!$B$13,Paramètres!$A$1:$I$88,3,0)*0.475*44/12</f>
        <v>#N/A</v>
      </c>
      <c r="DG59" s="23" t="e">
        <f>EXP(-LN(2)/25)*DG58+(1-EXP(-LN(2)/25))/(LN(2)/25)*Calculateur!DB59*Calculateur!DD59*VLOOKUP('Données projet'!$B$13,Paramètres!$A$1:$I$88,3,0)*0.475*44/12</f>
        <v>#N/A</v>
      </c>
      <c r="DH59" s="23" t="e">
        <f>EXP(-LN(2)/2)*DH58+(1-EXP(-LN(2)/2))/(LN(2)/2)*DB59*DE59*VLOOKUP('Données projet'!$B$13,Paramètres!$A$1:$I$88,3,0)*0.475*44/12</f>
        <v>#N/A</v>
      </c>
      <c r="DI59" s="24" t="e">
        <f t="shared" si="15"/>
        <v>#N/A</v>
      </c>
      <c r="DJ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0" t="e">
        <f t="shared" si="17"/>
        <v>#N/A</v>
      </c>
      <c r="DT59" s="60" t="e">
        <f ca="1">AVERAGE(OFFSET($DS$3,0,0,'Données projet'!$E$14+1,1))-AVERAGE(OFFSET($H$3,0,0,'Données projet'!$E$14+1,1))</f>
        <v>#N/A</v>
      </c>
      <c r="DU59" s="60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4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50.684400000000039</v>
      </c>
      <c r="D60" s="12">
        <f t="shared" si="32"/>
        <v>14.790368854214481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9.1</v>
      </c>
      <c r="N60" s="14">
        <f>IF('Données projet'!$A$36&gt;35,N59+M60-V59,IF(A60&lt;'Données projet'!$A$36,$K$205^A60,IF(A60='Données projet'!$A$36,'Données projet'!$B$36,N59+M60-V59)))</f>
        <v>370.70000000000039</v>
      </c>
      <c r="O60" s="14">
        <f>N60*VLOOKUP('Données projet'!$B$9,Paramètres!$A$1:$I$88,3,0)*VLOOKUP('Données projet'!$B$9,Paramètres!$A$1:$I$88,5,0)</f>
        <v>221.67860000000024</v>
      </c>
      <c r="P60" s="14">
        <f t="shared" si="33"/>
        <v>54.479559584117467</v>
      </c>
      <c r="Q60" s="22">
        <f t="shared" si="53"/>
        <v>480.97546127567165</v>
      </c>
      <c r="R60" s="60">
        <f t="shared" si="0"/>
        <v>774.30879460900496</v>
      </c>
      <c r="S60" s="60">
        <f ca="1">AVERAGE(OFFSET($R$3,0,0,'Données projet'!$E$9+1,1))-AVERAGE(OFFSET($H$3,0,0,'Données projet'!$E$9+1,1))</f>
        <v>181.84907943028196</v>
      </c>
      <c r="T60" s="60">
        <f t="shared" si="34"/>
        <v>199.66849909069458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17.450670324498653</v>
      </c>
      <c r="AA60" s="23">
        <f>EXP(-LN(2)/25)*AA59+(1-EXP(-LN(2)/25))/(LN(2)/25)*Calculateur!V60*Calculateur!X60*VLOOKUP('Données projet'!$B$9,Paramètres!$A$1:$I$88,3,0)*0.475*44/12</f>
        <v>15.8039313349064</v>
      </c>
      <c r="AB60" s="23">
        <f>EXP(-LN(2)/2)*AB59+(1-EXP(-LN(2)/2))/(LN(2)/2)*V60*Y60*VLOOKUP('Données projet'!$B$9,Paramètres!$A$1:$I$88,3,0)*0.475*44/12</f>
        <v>0.16757859721958449</v>
      </c>
      <c r="AC60" s="24">
        <f t="shared" si="3"/>
        <v>33.422180256624635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projet'!$B$10,Paramètres!$A$1:$I$88,3,0)*VLOOKUP('Données projet'!$B$10,Paramètres!$A$1:$I$88,5,0)</f>
        <v>0</v>
      </c>
      <c r="AK60" s="14" t="e">
        <f t="shared" si="35"/>
        <v>#NUM!</v>
      </c>
      <c r="AL60" s="22" t="e">
        <f t="shared" si="4"/>
        <v>#NUM!</v>
      </c>
      <c r="AM60" s="60" t="e">
        <f t="shared" si="5"/>
        <v>#NUM!</v>
      </c>
      <c r="AN60" s="60">
        <f ca="1">AVERAGE(OFFSET($AM$3,0,0,'Données projet'!$E$10+1,1))-AVERAGE(OFFSET($H$3,0,0,'Données projet'!$E$10+1,1))</f>
        <v>55.581964048431473</v>
      </c>
      <c r="AO60" s="60">
        <f t="shared" si="36"/>
        <v>91.067506141193803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25.829112807149148</v>
      </c>
      <c r="AV60" s="23">
        <f>EXP(-LN(2)/25)*AV59+(1-EXP(-LN(2)/25))/(LN(2)/25)*Calculateur!AQ60*Calculateur!AS60*VLOOKUP('Données projet'!$B$10,Paramètres!$A$1:$I$88,3,0)*0.475*44/12</f>
        <v>0</v>
      </c>
      <c r="AW60" s="23">
        <f>EXP(-LN(2)/2)*AW59+(1-EXP(-LN(2)/2))/(LN(2)/2)*AQ60*AT60*VLOOKUP('Données projet'!$B$10,Paramètres!$A$1:$I$88,3,0)*0.475*44/12</f>
        <v>0</v>
      </c>
      <c r="AX60" s="23">
        <f t="shared" si="6"/>
        <v>25.829112807149148</v>
      </c>
      <c r="AY60" s="7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5.625</v>
      </c>
      <c r="BD60" s="13">
        <f>IF('Données projet'!$A$88&gt;35,BD59+BC60-BL59,IF(A60&lt;'Données projet'!$A$88,$BA$205^A60,IF(A60='Données projet'!$A$88,'Données projet'!$B$88,BD59+BC60-BL59)))</f>
        <v>97.625000000000142</v>
      </c>
      <c r="BE60" s="14">
        <f>BD60*VLOOKUP('Données projet'!$B$11,Paramètres!$A$1:$I$88,3,0)*VLOOKUP('Données projet'!$B$11,Paramètres!$A$1:$I$88,5,0)</f>
        <v>98.991750000000152</v>
      </c>
      <c r="BF60" s="14">
        <f t="shared" si="37"/>
        <v>26.721654406893734</v>
      </c>
      <c r="BG60" s="22">
        <f t="shared" si="7"/>
        <v>218.95084600867349</v>
      </c>
      <c r="BH60" s="60">
        <f t="shared" si="8"/>
        <v>512.28417934200684</v>
      </c>
      <c r="BI60" s="60">
        <f ca="1">AVERAGE(OFFSET($BH$3,0,0,'Données projet'!$E$11+1,1))-AVERAGE(OFFSET($H$3,0,0,'Données projet'!$E$11+1,1))</f>
        <v>178.29366134936788</v>
      </c>
      <c r="BJ60" s="60">
        <f t="shared" si="38"/>
        <v>85.818195717787148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1.3704104505841612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1.3704104505841612</v>
      </c>
      <c r="BT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</v>
      </c>
      <c r="BY60" s="13">
        <f>IF('Données projet'!$A$114&gt;35,BY59+BX60-CG59,IF(A60&lt;'Données projet'!$A$114,$BV$205^A60,IF(A60='Données projet'!$A$114,'Données projet'!$B$114,BY59+BX60-CG59)))</f>
        <v>320</v>
      </c>
      <c r="BZ60" s="14">
        <f>BY60*VLOOKUP('Données projet'!$B$12,Paramètres!$A$1:$I$88,3,0)*VLOOKUP('Données projet'!$B$12,Paramètres!$A$1:$I$88,5,0)</f>
        <v>149.76</v>
      </c>
      <c r="CA60" s="14">
        <f t="shared" si="39"/>
        <v>38.524039677774802</v>
      </c>
      <c r="CB60" s="22">
        <f t="shared" si="10"/>
        <v>327.92803577212442</v>
      </c>
      <c r="CC60" s="60">
        <f t="shared" si="11"/>
        <v>621.26136910545779</v>
      </c>
      <c r="CD60" s="60">
        <f ca="1">AVERAGE(OFFSET($CC$3,0,0,'Données projet'!$E$12+1,1))-AVERAGE(OFFSET($H$3,0,0,'Données projet'!$E$12+1,1))</f>
        <v>104.00159056395933</v>
      </c>
      <c r="CE60" s="60">
        <f t="shared" si="40"/>
        <v>115.86489547584461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6.7068970288997942</v>
      </c>
      <c r="CL60" s="23">
        <f>EXP(-LN(2)/25)*CL59+(1-EXP(-LN(2)/25))/(LN(2)/25)*Calculateur!CG60*Calculateur!CI60*VLOOKUP('Données projet'!$B$12,Paramètres!$A$1:$I$88,3,0)*0.475*44/12</f>
        <v>11.172703202811187</v>
      </c>
      <c r="CM60" s="23">
        <f>EXP(-LN(2)/2)*CM59+(1-EXP(-LN(2)/2))/(LN(2)/2)*CG60*CJ60*VLOOKUP('Données projet'!$B$12,Paramètres!$A$1:$I$88,3,0)*0.475*44/12</f>
        <v>0.51599696613478596</v>
      </c>
      <c r="CN60" s="24">
        <f t="shared" si="12"/>
        <v>18.395597197845767</v>
      </c>
      <c r="CO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projet'!$B$13,Paramètres!$A$1:$I$88,3,0)*VLOOKUP('Données projet'!$B$13,Paramètres!$A$1:$I$88,5,0)</f>
        <v>#N/A</v>
      </c>
      <c r="CV60" s="14" t="e">
        <f t="shared" si="41"/>
        <v>#N/A</v>
      </c>
      <c r="CW60" s="22" t="e">
        <f t="shared" si="13"/>
        <v>#N/A</v>
      </c>
      <c r="CX60" s="60" t="e">
        <f t="shared" si="14"/>
        <v>#N/A</v>
      </c>
      <c r="CY60" s="60" t="e">
        <f ca="1">AVERAGE(OFFSET($CX$3,0,0,'Données projet'!$E$13+1,1))-AVERAGE(OFFSET($H$3,0,0,'Données projet'!$E$13+1,1))</f>
        <v>#N/A</v>
      </c>
      <c r="CZ60" s="60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projet'!$B$13,Paramètres!$A$1:$I$88,3,0)*0.475*44/12</f>
        <v>#N/A</v>
      </c>
      <c r="DG60" s="23" t="e">
        <f>EXP(-LN(2)/25)*DG59+(1-EXP(-LN(2)/25))/(LN(2)/25)*Calculateur!DB60*Calculateur!DD60*VLOOKUP('Données projet'!$B$13,Paramètres!$A$1:$I$88,3,0)*0.475*44/12</f>
        <v>#N/A</v>
      </c>
      <c r="DH60" s="23" t="e">
        <f>EXP(-LN(2)/2)*DH59+(1-EXP(-LN(2)/2))/(LN(2)/2)*DB60*DE60*VLOOKUP('Données projet'!$B$13,Paramètres!$A$1:$I$88,3,0)*0.475*44/12</f>
        <v>#N/A</v>
      </c>
      <c r="DI60" s="24" t="e">
        <f t="shared" si="15"/>
        <v>#N/A</v>
      </c>
      <c r="DJ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0" t="e">
        <f t="shared" si="17"/>
        <v>#N/A</v>
      </c>
      <c r="DT60" s="60" t="e">
        <f ca="1">AVERAGE(OFFSET($DS$3,0,0,'Données projet'!$E$14+1,1))-AVERAGE(OFFSET($H$3,0,0,'Données projet'!$E$14+1,1))</f>
        <v>#N/A</v>
      </c>
      <c r="DU60" s="60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4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51.573600000000042</v>
      </c>
      <c r="D61" s="12">
        <f t="shared" si="32"/>
        <v>15.01941293027533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9.1</v>
      </c>
      <c r="N61" s="14">
        <f>IF('Données projet'!$A$36&gt;35,N60+M61-V60,IF(A61&lt;'Données projet'!$A$36,$K$205^A61,IF(A61='Données projet'!$A$36,'Données projet'!$B$36,N60+M61-V60)))</f>
        <v>379.80000000000041</v>
      </c>
      <c r="O61" s="14">
        <f>N61*VLOOKUP('Données projet'!$B$9,Paramètres!$A$1:$I$88,3,0)*VLOOKUP('Données projet'!$B$9,Paramètres!$A$1:$I$88,5,0)</f>
        <v>227.12040000000027</v>
      </c>
      <c r="P61" s="14">
        <f t="shared" si="33"/>
        <v>55.659588865109249</v>
      </c>
      <c r="Q61" s="22">
        <f t="shared" si="53"/>
        <v>492.50848060673246</v>
      </c>
      <c r="R61" s="60">
        <f t="shared" si="0"/>
        <v>785.84181394006578</v>
      </c>
      <c r="S61" s="60">
        <f ca="1">AVERAGE(OFFSET($R$3,0,0,'Données projet'!$E$9+1,1))-AVERAGE(OFFSET($H$3,0,0,'Données projet'!$E$9+1,1))</f>
        <v>181.84907943028196</v>
      </c>
      <c r="T61" s="60">
        <f t="shared" si="34"/>
        <v>199.66849909069458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17.10847332329314</v>
      </c>
      <c r="AA61" s="23">
        <f>EXP(-LN(2)/25)*AA60+(1-EXP(-LN(2)/25))/(LN(2)/25)*Calculateur!V61*Calculateur!X61*VLOOKUP('Données projet'!$B$9,Paramètres!$A$1:$I$88,3,0)*0.475*44/12</f>
        <v>15.371772001460755</v>
      </c>
      <c r="AB61" s="23">
        <f>EXP(-LN(2)/2)*AB60+(1-EXP(-LN(2)/2))/(LN(2)/2)*V61*Y61*VLOOKUP('Données projet'!$B$9,Paramètres!$A$1:$I$88,3,0)*0.475*44/12</f>
        <v>0.11849596247569731</v>
      </c>
      <c r="AC61" s="24">
        <f t="shared" si="3"/>
        <v>32.598741287229593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projet'!$B$10,Paramètres!$A$1:$I$88,3,0)*VLOOKUP('Données projet'!$B$10,Paramètres!$A$1:$I$88,5,0)</f>
        <v>0</v>
      </c>
      <c r="AK61" s="14" t="e">
        <f t="shared" si="35"/>
        <v>#NUM!</v>
      </c>
      <c r="AL61" s="22" t="e">
        <f t="shared" si="4"/>
        <v>#NUM!</v>
      </c>
      <c r="AM61" s="60" t="e">
        <f t="shared" si="5"/>
        <v>#NUM!</v>
      </c>
      <c r="AN61" s="60">
        <f ca="1">AVERAGE(OFFSET($AM$3,0,0,'Données projet'!$E$10+1,1))-AVERAGE(OFFSET($H$3,0,0,'Données projet'!$E$10+1,1))</f>
        <v>55.581964048431473</v>
      </c>
      <c r="AO61" s="60">
        <f t="shared" si="36"/>
        <v>91.067506141193803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25.322619659204168</v>
      </c>
      <c r="AV61" s="23">
        <f>EXP(-LN(2)/25)*AV60+(1-EXP(-LN(2)/25))/(LN(2)/25)*Calculateur!AQ61*Calculateur!AS61*VLOOKUP('Données projet'!$B$10,Paramètres!$A$1:$I$88,3,0)*0.475*44/12</f>
        <v>0</v>
      </c>
      <c r="AW61" s="23">
        <f>EXP(-LN(2)/2)*AW60+(1-EXP(-LN(2)/2))/(LN(2)/2)*AQ61*AT61*VLOOKUP('Données projet'!$B$10,Paramètres!$A$1:$I$88,3,0)*0.475*44/12</f>
        <v>0</v>
      </c>
      <c r="AX61" s="23">
        <f t="shared" si="6"/>
        <v>25.322619659204168</v>
      </c>
      <c r="AY61" s="7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5.625</v>
      </c>
      <c r="BD61" s="13">
        <f>IF('Données projet'!$A$88&gt;35,BD60+BC61-BL60,IF(A61&lt;'Données projet'!$A$88,$BA$205^A61,IF(A61='Données projet'!$A$88,'Données projet'!$B$88,BD60+BC61-BL60)))</f>
        <v>103.25000000000014</v>
      </c>
      <c r="BE61" s="14">
        <f>BD61*VLOOKUP('Données projet'!$B$11,Paramètres!$A$1:$I$88,3,0)*VLOOKUP('Données projet'!$B$11,Paramètres!$A$1:$I$88,5,0)</f>
        <v>104.69550000000015</v>
      </c>
      <c r="BF61" s="14">
        <f t="shared" si="37"/>
        <v>28.077630807961086</v>
      </c>
      <c r="BG61" s="22">
        <f t="shared" si="7"/>
        <v>231.24653615719913</v>
      </c>
      <c r="BH61" s="60">
        <f t="shared" si="8"/>
        <v>524.57986949053247</v>
      </c>
      <c r="BI61" s="60">
        <f ca="1">AVERAGE(OFFSET($BH$3,0,0,'Données projet'!$E$11+1,1))-AVERAGE(OFFSET($H$3,0,0,'Données projet'!$E$11+1,1))</f>
        <v>178.29366134936788</v>
      </c>
      <c r="BJ61" s="60">
        <f t="shared" si="38"/>
        <v>85.818195717787148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1.3435375375160457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1.3435375375160457</v>
      </c>
      <c r="BT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</v>
      </c>
      <c r="BY61" s="13">
        <f>IF('Données projet'!$A$114&gt;35,BY60+BX61-CG60,IF(A61&lt;'Données projet'!$A$114,$BV$205^A61,IF(A61='Données projet'!$A$114,'Données projet'!$B$114,BY60+BX61-CG60)))</f>
        <v>330</v>
      </c>
      <c r="BZ61" s="14">
        <f>BY61*VLOOKUP('Données projet'!$B$12,Paramètres!$A$1:$I$88,3,0)*VLOOKUP('Données projet'!$B$12,Paramètres!$A$1:$I$88,5,0)</f>
        <v>154.44</v>
      </c>
      <c r="CA61" s="14">
        <f t="shared" si="39"/>
        <v>39.58587217095549</v>
      </c>
      <c r="CB61" s="22">
        <f t="shared" si="10"/>
        <v>337.92839403108081</v>
      </c>
      <c r="CC61" s="60">
        <f t="shared" si="11"/>
        <v>631.26172736441413</v>
      </c>
      <c r="CD61" s="60">
        <f ca="1">AVERAGE(OFFSET($CC$3,0,0,'Données projet'!$E$12+1,1))-AVERAGE(OFFSET($H$3,0,0,'Données projet'!$E$12+1,1))</f>
        <v>104.00159056395933</v>
      </c>
      <c r="CE61" s="60">
        <f t="shared" si="40"/>
        <v>115.86489547584461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6.5753788689663235</v>
      </c>
      <c r="CL61" s="23">
        <f>EXP(-LN(2)/25)*CL60+(1-EXP(-LN(2)/25))/(LN(2)/25)*Calculateur!CG61*Calculateur!CI61*VLOOKUP('Données projet'!$B$12,Paramètres!$A$1:$I$88,3,0)*0.475*44/12</f>
        <v>10.867185046183389</v>
      </c>
      <c r="CM61" s="23">
        <f>EXP(-LN(2)/2)*CM60+(1-EXP(-LN(2)/2))/(LN(2)/2)*CG61*CJ61*VLOOKUP('Données projet'!$B$12,Paramètres!$A$1:$I$88,3,0)*0.475*44/12</f>
        <v>0.36486495382559248</v>
      </c>
      <c r="CN61" s="24">
        <f t="shared" si="12"/>
        <v>17.807428868975304</v>
      </c>
      <c r="CO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projet'!$B$13,Paramètres!$A$1:$I$88,3,0)*VLOOKUP('Données projet'!$B$13,Paramètres!$A$1:$I$88,5,0)</f>
        <v>#N/A</v>
      </c>
      <c r="CV61" s="14" t="e">
        <f t="shared" si="41"/>
        <v>#N/A</v>
      </c>
      <c r="CW61" s="22" t="e">
        <f t="shared" si="13"/>
        <v>#N/A</v>
      </c>
      <c r="CX61" s="60" t="e">
        <f t="shared" si="14"/>
        <v>#N/A</v>
      </c>
      <c r="CY61" s="60" t="e">
        <f ca="1">AVERAGE(OFFSET($CX$3,0,0,'Données projet'!$E$13+1,1))-AVERAGE(OFFSET($H$3,0,0,'Données projet'!$E$13+1,1))</f>
        <v>#N/A</v>
      </c>
      <c r="CZ61" s="60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projet'!$B$13,Paramètres!$A$1:$I$88,3,0)*0.475*44/12</f>
        <v>#N/A</v>
      </c>
      <c r="DG61" s="23" t="e">
        <f>EXP(-LN(2)/25)*DG60+(1-EXP(-LN(2)/25))/(LN(2)/25)*Calculateur!DB61*Calculateur!DD61*VLOOKUP('Données projet'!$B$13,Paramètres!$A$1:$I$88,3,0)*0.475*44/12</f>
        <v>#N/A</v>
      </c>
      <c r="DH61" s="23" t="e">
        <f>EXP(-LN(2)/2)*DH60+(1-EXP(-LN(2)/2))/(LN(2)/2)*DB61*DE61*VLOOKUP('Données projet'!$B$13,Paramètres!$A$1:$I$88,3,0)*0.475*44/12</f>
        <v>#N/A</v>
      </c>
      <c r="DI61" s="24" t="e">
        <f t="shared" si="15"/>
        <v>#N/A</v>
      </c>
      <c r="DJ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0" t="e">
        <f t="shared" si="17"/>
        <v>#N/A</v>
      </c>
      <c r="DT61" s="60" t="e">
        <f ca="1">AVERAGE(OFFSET($DS$3,0,0,'Données projet'!$E$14+1,1))-AVERAGE(OFFSET($H$3,0,0,'Données projet'!$E$14+1,1))</f>
        <v>#N/A</v>
      </c>
      <c r="DU61" s="60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4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52.462800000000044</v>
      </c>
      <c r="D62" s="12">
        <f t="shared" si="32"/>
        <v>15.247997775460181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9.1</v>
      </c>
      <c r="N62" s="14">
        <f>IF('Données projet'!$A$36&gt;35,N61+M62-V61,IF(A62&lt;'Données projet'!$A$36,$K$205^A62,IF(A62='Données projet'!$A$36,'Données projet'!$B$36,N61+M62-V61)))</f>
        <v>388.90000000000043</v>
      </c>
      <c r="O62" s="14">
        <f>N62*VLOOKUP('Données projet'!$B$9,Paramètres!$A$1:$I$88,3,0)*VLOOKUP('Données projet'!$B$9,Paramètres!$A$1:$I$88,5,0)</f>
        <v>232.56220000000027</v>
      </c>
      <c r="P62" s="14">
        <f t="shared" si="33"/>
        <v>56.836331366032063</v>
      </c>
      <c r="Q62" s="22">
        <f t="shared" si="53"/>
        <v>504.03577546250631</v>
      </c>
      <c r="R62" s="60">
        <f t="shared" si="0"/>
        <v>797.36910879583957</v>
      </c>
      <c r="S62" s="60">
        <f ca="1">AVERAGE(OFFSET($R$3,0,0,'Données projet'!$E$9+1,1))-AVERAGE(OFFSET($H$3,0,0,'Données projet'!$E$9+1,1))</f>
        <v>181.84907943028196</v>
      </c>
      <c r="T62" s="60">
        <f t="shared" si="34"/>
        <v>199.66849909069458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16.772986596561704</v>
      </c>
      <c r="AA62" s="23">
        <f>EXP(-LN(2)/25)*AA61+(1-EXP(-LN(2)/25))/(LN(2)/25)*Calculateur!V62*Calculateur!X62*VLOOKUP('Données projet'!$B$9,Paramètres!$A$1:$I$88,3,0)*0.475*44/12</f>
        <v>14.951430087714455</v>
      </c>
      <c r="AB62" s="23">
        <f>EXP(-LN(2)/2)*AB61+(1-EXP(-LN(2)/2))/(LN(2)/2)*V62*Y62*VLOOKUP('Données projet'!$B$9,Paramètres!$A$1:$I$88,3,0)*0.475*44/12</f>
        <v>8.3789298609792257E-2</v>
      </c>
      <c r="AC62" s="24">
        <f t="shared" si="3"/>
        <v>31.808205982885948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projet'!$B$10,Paramètres!$A$1:$I$88,3,0)*VLOOKUP('Données projet'!$B$10,Paramètres!$A$1:$I$88,5,0)</f>
        <v>0</v>
      </c>
      <c r="AK62" s="14" t="e">
        <f t="shared" si="35"/>
        <v>#NUM!</v>
      </c>
      <c r="AL62" s="22" t="e">
        <f t="shared" si="4"/>
        <v>#NUM!</v>
      </c>
      <c r="AM62" s="60" t="e">
        <f t="shared" si="5"/>
        <v>#NUM!</v>
      </c>
      <c r="AN62" s="60">
        <f ca="1">AVERAGE(OFFSET($AM$3,0,0,'Données projet'!$E$10+1,1))-AVERAGE(OFFSET($H$3,0,0,'Données projet'!$E$10+1,1))</f>
        <v>55.581964048431473</v>
      </c>
      <c r="AO62" s="60">
        <f t="shared" si="36"/>
        <v>91.067506141193803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24.826058532960072</v>
      </c>
      <c r="AV62" s="23">
        <f>EXP(-LN(2)/25)*AV61+(1-EXP(-LN(2)/25))/(LN(2)/25)*Calculateur!AQ62*Calculateur!AS62*VLOOKUP('Données projet'!$B$10,Paramètres!$A$1:$I$88,3,0)*0.475*44/12</f>
        <v>0</v>
      </c>
      <c r="AW62" s="23">
        <f>EXP(-LN(2)/2)*AW61+(1-EXP(-LN(2)/2))/(LN(2)/2)*AQ62*AT62*VLOOKUP('Données projet'!$B$10,Paramètres!$A$1:$I$88,3,0)*0.475*44/12</f>
        <v>0</v>
      </c>
      <c r="AX62" s="23">
        <f t="shared" si="6"/>
        <v>24.826058532960072</v>
      </c>
      <c r="AY62" s="7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5.625</v>
      </c>
      <c r="BD62" s="13">
        <f>IF('Données projet'!$A$88&gt;35,BD61+BC62-BL61,IF(A62&lt;'Données projet'!$A$88,$BA$205^A62,IF(A62='Données projet'!$A$88,'Données projet'!$B$88,BD61+BC62-BL61)))</f>
        <v>108.87500000000014</v>
      </c>
      <c r="BE62" s="14">
        <f>BD62*VLOOKUP('Données projet'!$B$11,Paramètres!$A$1:$I$88,3,0)*VLOOKUP('Données projet'!$B$11,Paramètres!$A$1:$I$88,5,0)</f>
        <v>110.39925000000015</v>
      </c>
      <c r="BF62" s="14">
        <f t="shared" si="37"/>
        <v>29.425031142834751</v>
      </c>
      <c r="BG62" s="22">
        <f t="shared" si="7"/>
        <v>243.52728965710412</v>
      </c>
      <c r="BH62" s="60">
        <f t="shared" si="8"/>
        <v>536.86062299043738</v>
      </c>
      <c r="BI62" s="60">
        <f ca="1">AVERAGE(OFFSET($BH$3,0,0,'Données projet'!$E$11+1,1))-AVERAGE(OFFSET($H$3,0,0,'Données projet'!$E$11+1,1))</f>
        <v>178.29366134936788</v>
      </c>
      <c r="BJ62" s="60">
        <f t="shared" si="38"/>
        <v>85.818195717787148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1.3171915858823373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1.3171915858823373</v>
      </c>
      <c r="BT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</v>
      </c>
      <c r="BY62" s="13">
        <f>IF('Données projet'!$A$114&gt;35,BY61+BX62-CG61,IF(A62&lt;'Données projet'!$A$114,$BV$205^A62,IF(A62='Données projet'!$A$114,'Données projet'!$B$114,BY61+BX62-CG61)))</f>
        <v>340</v>
      </c>
      <c r="BZ62" s="14">
        <f>BY62*VLOOKUP('Données projet'!$B$12,Paramètres!$A$1:$I$88,3,0)*VLOOKUP('Données projet'!$B$12,Paramètres!$A$1:$I$88,5,0)</f>
        <v>159.12</v>
      </c>
      <c r="CA62" s="14">
        <f t="shared" si="39"/>
        <v>40.643965284387697</v>
      </c>
      <c r="CB62" s="22">
        <f t="shared" si="10"/>
        <v>347.92223953697521</v>
      </c>
      <c r="CC62" s="60">
        <f t="shared" si="11"/>
        <v>641.25557287030847</v>
      </c>
      <c r="CD62" s="60">
        <f ca="1">AVERAGE(OFFSET($CC$3,0,0,'Données projet'!$E$12+1,1))-AVERAGE(OFFSET($H$3,0,0,'Données projet'!$E$12+1,1))</f>
        <v>104.00159056395933</v>
      </c>
      <c r="CE62" s="60">
        <f t="shared" si="40"/>
        <v>115.86489547584461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6.4464396999309912</v>
      </c>
      <c r="CL62" s="23">
        <f>EXP(-LN(2)/25)*CL61+(1-EXP(-LN(2)/25))/(LN(2)/25)*Calculateur!CG62*Calculateur!CI62*VLOOKUP('Données projet'!$B$12,Paramètres!$A$1:$I$88,3,0)*0.475*44/12</f>
        <v>10.57002129961508</v>
      </c>
      <c r="CM62" s="23">
        <f>EXP(-LN(2)/2)*CM61+(1-EXP(-LN(2)/2))/(LN(2)/2)*CG62*CJ62*VLOOKUP('Données projet'!$B$12,Paramètres!$A$1:$I$88,3,0)*0.475*44/12</f>
        <v>0.25799848306739298</v>
      </c>
      <c r="CN62" s="24">
        <f t="shared" si="12"/>
        <v>17.274459482613462</v>
      </c>
      <c r="CO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projet'!$B$13,Paramètres!$A$1:$I$88,3,0)*VLOOKUP('Données projet'!$B$13,Paramètres!$A$1:$I$88,5,0)</f>
        <v>#N/A</v>
      </c>
      <c r="CV62" s="14" t="e">
        <f t="shared" si="41"/>
        <v>#N/A</v>
      </c>
      <c r="CW62" s="22" t="e">
        <f t="shared" si="13"/>
        <v>#N/A</v>
      </c>
      <c r="CX62" s="60" t="e">
        <f t="shared" si="14"/>
        <v>#N/A</v>
      </c>
      <c r="CY62" s="60" t="e">
        <f ca="1">AVERAGE(OFFSET($CX$3,0,0,'Données projet'!$E$13+1,1))-AVERAGE(OFFSET($H$3,0,0,'Données projet'!$E$13+1,1))</f>
        <v>#N/A</v>
      </c>
      <c r="CZ62" s="60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projet'!$B$13,Paramètres!$A$1:$I$88,3,0)*0.475*44/12</f>
        <v>#N/A</v>
      </c>
      <c r="DG62" s="23" t="e">
        <f>EXP(-LN(2)/25)*DG61+(1-EXP(-LN(2)/25))/(LN(2)/25)*Calculateur!DB62*Calculateur!DD62*VLOOKUP('Données projet'!$B$13,Paramètres!$A$1:$I$88,3,0)*0.475*44/12</f>
        <v>#N/A</v>
      </c>
      <c r="DH62" s="23" t="e">
        <f>EXP(-LN(2)/2)*DH61+(1-EXP(-LN(2)/2))/(LN(2)/2)*DB62*DE62*VLOOKUP('Données projet'!$B$13,Paramètres!$A$1:$I$88,3,0)*0.475*44/12</f>
        <v>#N/A</v>
      </c>
      <c r="DI62" s="24" t="e">
        <f t="shared" si="15"/>
        <v>#N/A</v>
      </c>
      <c r="DJ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0" t="e">
        <f t="shared" si="17"/>
        <v>#N/A</v>
      </c>
      <c r="DT62" s="60" t="e">
        <f ca="1">AVERAGE(OFFSET($DS$3,0,0,'Données projet'!$E$14+1,1))-AVERAGE(OFFSET($H$3,0,0,'Données projet'!$E$14+1,1))</f>
        <v>#N/A</v>
      </c>
      <c r="DU62" s="60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4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53.352000000000046</v>
      </c>
      <c r="D63" s="12">
        <f t="shared" si="32"/>
        <v>15.476132071622855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398</v>
      </c>
      <c r="L63" s="13">
        <f>VLOOKUP(A63,'Données projet'!$A$35:$I$55,9,0)</f>
        <v>9.1</v>
      </c>
      <c r="M63" s="13">
        <f t="array" ref="M63">INDEX(L:L,MIN(IF(ISNUMBER(L63:L259),ROW(L63:L259),"")))</f>
        <v>9.1</v>
      </c>
      <c r="N63" s="14">
        <f>IF('Données projet'!$A$36&gt;35,N62+M63-V62,IF(A63&lt;'Données projet'!$A$36,$K$205^A63,IF(A63='Données projet'!$A$36,'Données projet'!$B$36,N62+M63-V62)))</f>
        <v>398.00000000000045</v>
      </c>
      <c r="O63" s="14">
        <f>N63*VLOOKUP('Données projet'!$B$9,Paramètres!$A$1:$I$88,3,0)*VLOOKUP('Données projet'!$B$9,Paramètres!$A$1:$I$88,5,0)</f>
        <v>238.00400000000027</v>
      </c>
      <c r="P63" s="14">
        <f t="shared" si="33"/>
        <v>58.009872846484164</v>
      </c>
      <c r="Q63" s="22">
        <f t="shared" si="53"/>
        <v>515.55749520762708</v>
      </c>
      <c r="R63" s="60">
        <f t="shared" si="0"/>
        <v>808.89082854096046</v>
      </c>
      <c r="S63" s="60">
        <f ca="1">AVERAGE(OFFSET($R$3,0,0,'Données projet'!$E$9+1,1))-AVERAGE(OFFSET($H$3,0,0,'Données projet'!$E$9+1,1))</f>
        <v>181.84907943028196</v>
      </c>
      <c r="T63" s="60">
        <f t="shared" si="34"/>
        <v>199.66849909069458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398</v>
      </c>
      <c r="W63" s="17">
        <f>IF(ISNA(VLOOKUP(A63,'Données projet'!$A$35:$I$55,5,0)),0%,VLOOKUP(A63,'Données projet'!$A$35:$I$55,5,0)*VLOOKUP('Données projet'!$B$9,Paramètres!$A$1:$I$88,7,0))</f>
        <v>0.36000000000000004</v>
      </c>
      <c r="X63" s="17">
        <f>IF(ISNA(VLOOKUP(A63,'Données projet'!$A$35:$I$55,6,0)),0%,VLOOKUP(A63,'Données projet'!$A$35:$I$55,6,0)*VLOOKUP('Données projet'!$B$9,Paramètres!$A$1:$I$88,7,0))</f>
        <v>5.0400000000000007E-2</v>
      </c>
      <c r="Y63" s="17">
        <f>IF(ISNA(VLOOKUP(A63,'Données projet'!$A$35:$I$55,7,0)),0%,VLOOKUP(A63,'Données projet'!$A$35:$I$55,7,0))</f>
        <v>8.7999999999999967E-2</v>
      </c>
      <c r="Z63" s="23">
        <f>EXP(-LN(2)/35)*Z62+(1-EXP(-LN(2)/35))/(LN(2)/35)*V63*W63*VLOOKUP('Données projet'!$B$9,Paramètres!$A$1:$I$88,3,0)*0.475*44/12</f>
        <v>130.10603135479042</v>
      </c>
      <c r="AA63" s="23">
        <f>EXP(-LN(2)/25)*AA62+(1-EXP(-LN(2)/25))/(LN(2)/25)*Calculateur!V63*Calculateur!X63*VLOOKUP('Données projet'!$B$9,Paramètres!$A$1:$I$88,3,0)*0.475*44/12</f>
        <v>30.392601578641568</v>
      </c>
      <c r="AB63" s="23">
        <f>EXP(-LN(2)/2)*AB62+(1-EXP(-LN(2)/2))/(LN(2)/2)*V63*Y63*VLOOKUP('Données projet'!$B$9,Paramètres!$A$1:$I$88,3,0)*0.475*44/12</f>
        <v>23.773119766400875</v>
      </c>
      <c r="AC63" s="24">
        <f t="shared" si="3"/>
        <v>184.27175269983286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projet'!$B$10,Paramètres!$A$1:$I$88,3,0)*VLOOKUP('Données projet'!$B$10,Paramètres!$A$1:$I$88,5,0)</f>
        <v>0</v>
      </c>
      <c r="AK63" s="14" t="e">
        <f t="shared" si="35"/>
        <v>#NUM!</v>
      </c>
      <c r="AL63" s="22" t="e">
        <f t="shared" si="4"/>
        <v>#NUM!</v>
      </c>
      <c r="AM63" s="60" t="e">
        <f t="shared" si="5"/>
        <v>#NUM!</v>
      </c>
      <c r="AN63" s="60">
        <f ca="1">AVERAGE(OFFSET($AM$3,0,0,'Données projet'!$E$10+1,1))-AVERAGE(OFFSET($H$3,0,0,'Données projet'!$E$10+1,1))</f>
        <v>55.581964048431473</v>
      </c>
      <c r="AO63" s="60">
        <f t="shared" si="36"/>
        <v>91.067506141193803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24.339234667529244</v>
      </c>
      <c r="AV63" s="23">
        <f>EXP(-LN(2)/25)*AV62+(1-EXP(-LN(2)/25))/(LN(2)/25)*Calculateur!AQ63*Calculateur!AS63*VLOOKUP('Données projet'!$B$10,Paramètres!$A$1:$I$88,3,0)*0.475*44/12</f>
        <v>0</v>
      </c>
      <c r="AW63" s="23">
        <f>EXP(-LN(2)/2)*AW62+(1-EXP(-LN(2)/2))/(LN(2)/2)*AQ63*AT63*VLOOKUP('Données projet'!$B$10,Paramètres!$A$1:$I$88,3,0)*0.475*44/12</f>
        <v>0</v>
      </c>
      <c r="AX63" s="23">
        <f t="shared" si="6"/>
        <v>24.339234667529244</v>
      </c>
      <c r="AY63" s="7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5.625</v>
      </c>
      <c r="BD63" s="13">
        <f>IF('Données projet'!$A$88&gt;35,BD62+BC63-BL62,IF(A63&lt;'Données projet'!$A$88,$BA$205^A63,IF(A63='Données projet'!$A$88,'Données projet'!$B$88,BD62+BC63-BL62)))</f>
        <v>114.50000000000014</v>
      </c>
      <c r="BE63" s="14">
        <f>BD63*VLOOKUP('Données projet'!$B$11,Paramètres!$A$1:$I$88,3,0)*VLOOKUP('Données projet'!$B$11,Paramètres!$A$1:$I$88,5,0)</f>
        <v>116.10300000000015</v>
      </c>
      <c r="BF63" s="14">
        <f t="shared" si="37"/>
        <v>30.764349032181585</v>
      </c>
      <c r="BG63" s="22">
        <f t="shared" si="7"/>
        <v>255.79396623104984</v>
      </c>
      <c r="BH63" s="60">
        <f t="shared" si="8"/>
        <v>549.12729956438318</v>
      </c>
      <c r="BI63" s="60">
        <f ca="1">AVERAGE(OFFSET($BH$3,0,0,'Données projet'!$E$11+1,1))-AVERAGE(OFFSET($H$3,0,0,'Données projet'!$E$11+1,1))</f>
        <v>178.29366134936788</v>
      </c>
      <c r="BJ63" s="60">
        <f t="shared" si="38"/>
        <v>85.818195717787148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1.2913622622907222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1.2913622622907222</v>
      </c>
      <c r="BT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350</v>
      </c>
      <c r="BW63" s="13">
        <f>VLOOKUP(A63,'Données projet'!$A$113:$I$133,9,0)</f>
        <v>10</v>
      </c>
      <c r="BX63" s="13">
        <f t="array" ref="BX63">INDEX(BW:BW,MIN(IF(ISNUMBER(BW63:BW259),ROW(BW63:BW259),"")))</f>
        <v>10</v>
      </c>
      <c r="BY63" s="13">
        <f>IF('Données projet'!$A$114&gt;35,BY62+BX63-CG62,IF(A63&lt;'Données projet'!$A$114,$BV$205^A63,IF(A63='Données projet'!$A$114,'Données projet'!$B$114,BY62+BX63-CG62)))</f>
        <v>350</v>
      </c>
      <c r="BZ63" s="14">
        <f>BY63*VLOOKUP('Données projet'!$B$12,Paramètres!$A$1:$I$88,3,0)*VLOOKUP('Données projet'!$B$12,Paramètres!$A$1:$I$88,5,0)</f>
        <v>163.80000000000001</v>
      </c>
      <c r="CA63" s="14">
        <f t="shared" si="39"/>
        <v>41.698441627605334</v>
      </c>
      <c r="CB63" s="22">
        <f t="shared" si="10"/>
        <v>357.90978583474595</v>
      </c>
      <c r="CC63" s="60">
        <f t="shared" si="11"/>
        <v>651.24311916807926</v>
      </c>
      <c r="CD63" s="60">
        <f ca="1">AVERAGE(OFFSET($CC$3,0,0,'Données projet'!$E$12+1,1))-AVERAGE(OFFSET($H$3,0,0,'Données projet'!$E$12+1,1))</f>
        <v>104.00159056395933</v>
      </c>
      <c r="CE63" s="60">
        <f t="shared" si="40"/>
        <v>115.86489547584461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40</v>
      </c>
      <c r="CH63" s="17">
        <f>IF(ISNA(VLOOKUP(A63,'Données projet'!$A$113:$I$133,5,0)),0%,VLOOKUP(A63,'Données projet'!$A$113:$I$133,5,0)*VLOOKUP('Données projet'!$B$12,Paramètres!$A$1:$I$88,7,0))</f>
        <v>0.33</v>
      </c>
      <c r="CI63" s="17">
        <f>IF(ISNA(VLOOKUP(A63,'Données projet'!$A$113:$I$133,6,0)),0%,VLOOKUP(A63,'Données projet'!$A$113:$I$133,6,0)*VLOOKUP('Données projet'!$B$12,Paramètres!$A$1:$I$88,7,0))</f>
        <v>0.12320000000000003</v>
      </c>
      <c r="CJ63" s="17">
        <f>IF(ISNA(VLOOKUP(A63,'Données projet'!$A$113:$I$133,7,0)),0%,VLOOKUP(A63,'Données projet'!$A$113:$I$133,7,0))</f>
        <v>0.17600000000000002</v>
      </c>
      <c r="CK63" s="23">
        <f>EXP(-LN(2)/35)*CK62+(1-EXP(-LN(2)/35))/(LN(2)/35)*CG63*CH63*VLOOKUP('Données projet'!$B$12,Paramètres!$A$1:$I$88,3,0)*0.475*44/12</f>
        <v>14.515013529278617</v>
      </c>
      <c r="CL63" s="23">
        <f>EXP(-LN(2)/25)*CL62+(1-EXP(-LN(2)/25))/(LN(2)/25)*Calculateur!CG63*Calculateur!CI63*VLOOKUP('Données projet'!$B$12,Paramètres!$A$1:$I$88,3,0)*0.475*44/12</f>
        <v>13.328398157813846</v>
      </c>
      <c r="CM63" s="23">
        <f>EXP(-LN(2)/2)*CM62+(1-EXP(-LN(2)/2))/(LN(2)/2)*CG63*CJ63*VLOOKUP('Données projet'!$B$12,Paramètres!$A$1:$I$88,3,0)*0.475*44/12</f>
        <v>3.9128208722191937</v>
      </c>
      <c r="CN63" s="24">
        <f t="shared" si="12"/>
        <v>31.756232559311655</v>
      </c>
      <c r="CO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projet'!$B$13,Paramètres!$A$1:$I$88,3,0)*VLOOKUP('Données projet'!$B$13,Paramètres!$A$1:$I$88,5,0)</f>
        <v>#N/A</v>
      </c>
      <c r="CV63" s="14" t="e">
        <f t="shared" si="41"/>
        <v>#N/A</v>
      </c>
      <c r="CW63" s="22" t="e">
        <f t="shared" si="13"/>
        <v>#N/A</v>
      </c>
      <c r="CX63" s="60" t="e">
        <f t="shared" si="14"/>
        <v>#N/A</v>
      </c>
      <c r="CY63" s="60" t="e">
        <f ca="1">AVERAGE(OFFSET($CX$3,0,0,'Données projet'!$E$13+1,1))-AVERAGE(OFFSET($H$3,0,0,'Données projet'!$E$13+1,1))</f>
        <v>#N/A</v>
      </c>
      <c r="CZ63" s="60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projet'!$B$13,Paramètres!$A$1:$I$88,3,0)*0.475*44/12</f>
        <v>#N/A</v>
      </c>
      <c r="DG63" s="23" t="e">
        <f>EXP(-LN(2)/25)*DG62+(1-EXP(-LN(2)/25))/(LN(2)/25)*Calculateur!DB63*Calculateur!DD63*VLOOKUP('Données projet'!$B$13,Paramètres!$A$1:$I$88,3,0)*0.475*44/12</f>
        <v>#N/A</v>
      </c>
      <c r="DH63" s="23" t="e">
        <f>EXP(-LN(2)/2)*DH62+(1-EXP(-LN(2)/2))/(LN(2)/2)*DB63*DE63*VLOOKUP('Données projet'!$B$13,Paramètres!$A$1:$I$88,3,0)*0.475*44/12</f>
        <v>#N/A</v>
      </c>
      <c r="DI63" s="24" t="e">
        <f t="shared" si="15"/>
        <v>#N/A</v>
      </c>
      <c r="DJ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0" t="e">
        <f t="shared" si="17"/>
        <v>#N/A</v>
      </c>
      <c r="DT63" s="60" t="e">
        <f ca="1">AVERAGE(OFFSET($DS$3,0,0,'Données projet'!$E$14+1,1))-AVERAGE(OFFSET($H$3,0,0,'Données projet'!$E$14+1,1))</f>
        <v>#N/A</v>
      </c>
      <c r="DU63" s="60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4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54.241200000000049</v>
      </c>
      <c r="D64" s="12">
        <f t="shared" si="32"/>
        <v>15.703824194633762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4.5474735088646412E-13</v>
      </c>
      <c r="O64" s="14">
        <f>N64*VLOOKUP('Données projet'!$B$9,Paramètres!$A$1:$I$88,3,0)*VLOOKUP('Données projet'!$B$9,Paramètres!$A$1:$I$88,5,0)</f>
        <v>2.7193891583010558E-13</v>
      </c>
      <c r="P64" s="14">
        <f t="shared" si="33"/>
        <v>3.6362267729089988E-12</v>
      </c>
      <c r="Q64" s="22">
        <f t="shared" si="53"/>
        <v>6.8067219078872727E-12</v>
      </c>
      <c r="R64" s="60">
        <f t="shared" si="0"/>
        <v>293.33333333334014</v>
      </c>
      <c r="S64" s="60">
        <f ca="1">AVERAGE(OFFSET($R$3,0,0,'Données projet'!$E$9+1,1))-AVERAGE(OFFSET($H$3,0,0,'Données projet'!$E$9+1,1))</f>
        <v>181.84907943028196</v>
      </c>
      <c r="T64" s="60">
        <f t="shared" si="34"/>
        <v>199.66849909069458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127.55473143676626</v>
      </c>
      <c r="AA64" s="23">
        <f>EXP(-LN(2)/25)*AA63+(1-EXP(-LN(2)/25))/(LN(2)/25)*Calculateur!V64*Calculateur!X64*VLOOKUP('Données projet'!$B$9,Paramètres!$A$1:$I$88,3,0)*0.475*44/12</f>
        <v>29.561514290196161</v>
      </c>
      <c r="AB64" s="23">
        <f>EXP(-LN(2)/2)*AB63+(1-EXP(-LN(2)/2))/(LN(2)/2)*V64*Y64*VLOOKUP('Données projet'!$B$9,Paramètres!$A$1:$I$88,3,0)*0.475*44/12</f>
        <v>16.810134196782013</v>
      </c>
      <c r="AC64" s="24">
        <f t="shared" si="3"/>
        <v>173.92637992374443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projet'!$B$10,Paramètres!$A$1:$I$88,3,0)*VLOOKUP('Données projet'!$B$10,Paramètres!$A$1:$I$88,5,0)</f>
        <v>0</v>
      </c>
      <c r="AK64" s="14" t="e">
        <f t="shared" si="35"/>
        <v>#NUM!</v>
      </c>
      <c r="AL64" s="22" t="e">
        <f t="shared" si="4"/>
        <v>#NUM!</v>
      </c>
      <c r="AM64" s="60" t="e">
        <f t="shared" si="5"/>
        <v>#NUM!</v>
      </c>
      <c r="AN64" s="60">
        <f ca="1">AVERAGE(OFFSET($AM$3,0,0,'Données projet'!$E$10+1,1))-AVERAGE(OFFSET($H$3,0,0,'Données projet'!$E$10+1,1))</f>
        <v>55.581964048431473</v>
      </c>
      <c r="AO64" s="60">
        <f t="shared" si="36"/>
        <v>91.067506141193803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23.861957121166274</v>
      </c>
      <c r="AV64" s="23">
        <f>EXP(-LN(2)/25)*AV63+(1-EXP(-LN(2)/25))/(LN(2)/25)*Calculateur!AQ64*Calculateur!AS64*VLOOKUP('Données projet'!$B$10,Paramètres!$A$1:$I$88,3,0)*0.475*44/12</f>
        <v>0</v>
      </c>
      <c r="AW64" s="23">
        <f>EXP(-LN(2)/2)*AW63+(1-EXP(-LN(2)/2))/(LN(2)/2)*AQ64*AT64*VLOOKUP('Données projet'!$B$10,Paramètres!$A$1:$I$88,3,0)*0.475*44/12</f>
        <v>0</v>
      </c>
      <c r="AX64" s="23">
        <f t="shared" si="6"/>
        <v>23.861957121166274</v>
      </c>
      <c r="AY64" s="7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5.625</v>
      </c>
      <c r="BD64" s="13">
        <f>IF('Données projet'!$A$88&gt;35,BD63+BC64-BL63,IF(A64&lt;'Données projet'!$A$88,$BA$205^A64,IF(A64='Données projet'!$A$88,'Données projet'!$B$88,BD63+BC64-BL63)))</f>
        <v>120.12500000000014</v>
      </c>
      <c r="BE64" s="14">
        <f>BD64*VLOOKUP('Données projet'!$B$11,Paramètres!$A$1:$I$88,3,0)*VLOOKUP('Données projet'!$B$11,Paramètres!$A$1:$I$88,5,0)</f>
        <v>121.80675000000015</v>
      </c>
      <c r="BF64" s="14">
        <f t="shared" si="37"/>
        <v>32.096026856841362</v>
      </c>
      <c r="BG64" s="22">
        <f t="shared" si="7"/>
        <v>268.04733635899896</v>
      </c>
      <c r="BH64" s="60">
        <f t="shared" si="8"/>
        <v>561.38066969233228</v>
      </c>
      <c r="BI64" s="60">
        <f ca="1">AVERAGE(OFFSET($BH$3,0,0,'Données projet'!$E$11+1,1))-AVERAGE(OFFSET($H$3,0,0,'Données projet'!$E$11+1,1))</f>
        <v>178.29366134936788</v>
      </c>
      <c r="BJ64" s="60">
        <f t="shared" si="38"/>
        <v>85.818195717787148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1.2660394359804068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1.2660394359804068</v>
      </c>
      <c r="BT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9</v>
      </c>
      <c r="BY64" s="13">
        <f>IF('Données projet'!$A$114&gt;35,BY63+BX64-CG63,IF(A64&lt;'Données projet'!$A$114,$BV$205^A64,IF(A64='Données projet'!$A$114,'Données projet'!$B$114,BY63+BX64-CG63)))</f>
        <v>319</v>
      </c>
      <c r="BZ64" s="14">
        <f>BY64*VLOOKUP('Données projet'!$B$12,Paramètres!$A$1:$I$88,3,0)*VLOOKUP('Données projet'!$B$12,Paramètres!$A$1:$I$88,5,0)</f>
        <v>149.292</v>
      </c>
      <c r="CA64" s="14">
        <f t="shared" si="39"/>
        <v>38.417645803815446</v>
      </c>
      <c r="CB64" s="22">
        <f t="shared" si="10"/>
        <v>326.92763310831185</v>
      </c>
      <c r="CC64" s="60">
        <f t="shared" si="11"/>
        <v>620.26096644164522</v>
      </c>
      <c r="CD64" s="60">
        <f ca="1">AVERAGE(OFFSET($CC$3,0,0,'Données projet'!$E$12+1,1))-AVERAGE(OFFSET($H$3,0,0,'Données projet'!$E$12+1,1))</f>
        <v>104.00159056395933</v>
      </c>
      <c r="CE64" s="60">
        <f t="shared" si="40"/>
        <v>115.86489547584461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14.230382967253528</v>
      </c>
      <c r="CL64" s="23">
        <f>EXP(-LN(2)/25)*CL63+(1-EXP(-LN(2)/25))/(LN(2)/25)*Calculateur!CG64*Calculateur!CI64*VLOOKUP('Données projet'!$B$12,Paramètres!$A$1:$I$88,3,0)*0.475*44/12</f>
        <v>12.96393240927843</v>
      </c>
      <c r="CM64" s="23">
        <f>EXP(-LN(2)/2)*CM63+(1-EXP(-LN(2)/2))/(LN(2)/2)*CG64*CJ64*VLOOKUP('Données projet'!$B$12,Paramètres!$A$1:$I$88,3,0)*0.475*44/12</f>
        <v>2.7667821723144534</v>
      </c>
      <c r="CN64" s="24">
        <f t="shared" si="12"/>
        <v>29.961097548846411</v>
      </c>
      <c r="CO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projet'!$B$13,Paramètres!$A$1:$I$88,3,0)*VLOOKUP('Données projet'!$B$13,Paramètres!$A$1:$I$88,5,0)</f>
        <v>#N/A</v>
      </c>
      <c r="CV64" s="14" t="e">
        <f t="shared" si="41"/>
        <v>#N/A</v>
      </c>
      <c r="CW64" s="22" t="e">
        <f t="shared" si="13"/>
        <v>#N/A</v>
      </c>
      <c r="CX64" s="60" t="e">
        <f t="shared" si="14"/>
        <v>#N/A</v>
      </c>
      <c r="CY64" s="60" t="e">
        <f ca="1">AVERAGE(OFFSET($CX$3,0,0,'Données projet'!$E$13+1,1))-AVERAGE(OFFSET($H$3,0,0,'Données projet'!$E$13+1,1))</f>
        <v>#N/A</v>
      </c>
      <c r="CZ64" s="60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projet'!$B$13,Paramètres!$A$1:$I$88,3,0)*0.475*44/12</f>
        <v>#N/A</v>
      </c>
      <c r="DG64" s="23" t="e">
        <f>EXP(-LN(2)/25)*DG63+(1-EXP(-LN(2)/25))/(LN(2)/25)*Calculateur!DB64*Calculateur!DD64*VLOOKUP('Données projet'!$B$13,Paramètres!$A$1:$I$88,3,0)*0.475*44/12</f>
        <v>#N/A</v>
      </c>
      <c r="DH64" s="23" t="e">
        <f>EXP(-LN(2)/2)*DH63+(1-EXP(-LN(2)/2))/(LN(2)/2)*DB64*DE64*VLOOKUP('Données projet'!$B$13,Paramètres!$A$1:$I$88,3,0)*0.475*44/12</f>
        <v>#N/A</v>
      </c>
      <c r="DI64" s="24" t="e">
        <f t="shared" si="15"/>
        <v>#N/A</v>
      </c>
      <c r="DJ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0" t="e">
        <f t="shared" si="17"/>
        <v>#N/A</v>
      </c>
      <c r="DT64" s="60" t="e">
        <f ca="1">AVERAGE(OFFSET($DS$3,0,0,'Données projet'!$E$14+1,1))-AVERAGE(OFFSET($H$3,0,0,'Données projet'!$E$14+1,1))</f>
        <v>#N/A</v>
      </c>
      <c r="DU64" s="60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4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55.130400000000051</v>
      </c>
      <c r="D65" s="12">
        <f t="shared" si="32"/>
        <v>15.931082230000042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4.5474735088646412E-13</v>
      </c>
      <c r="O65" s="14">
        <f>N65*VLOOKUP('Données projet'!$B$9,Paramètres!$A$1:$I$88,3,0)*VLOOKUP('Données projet'!$B$9,Paramètres!$A$1:$I$88,5,0)</f>
        <v>2.7193891583010558E-13</v>
      </c>
      <c r="P65" s="14">
        <f t="shared" si="33"/>
        <v>3.6362267729089988E-12</v>
      </c>
      <c r="Q65" s="22">
        <f t="shared" si="53"/>
        <v>6.8067219078872727E-12</v>
      </c>
      <c r="R65" s="60">
        <f t="shared" si="0"/>
        <v>293.33333333334014</v>
      </c>
      <c r="S65" s="60">
        <f ca="1">AVERAGE(OFFSET($R$3,0,0,'Données projet'!$E$9+1,1))-AVERAGE(OFFSET($H$3,0,0,'Données projet'!$E$9+1,1))</f>
        <v>181.84907943028196</v>
      </c>
      <c r="T65" s="60">
        <f t="shared" si="34"/>
        <v>199.66849909069458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125.05346095399527</v>
      </c>
      <c r="AA65" s="23">
        <f>EXP(-LN(2)/25)*AA64+(1-EXP(-LN(2)/25))/(LN(2)/25)*Calculateur!V65*Calculateur!X65*VLOOKUP('Données projet'!$B$9,Paramètres!$A$1:$I$88,3,0)*0.475*44/12</f>
        <v>28.753153127358274</v>
      </c>
      <c r="AB65" s="23">
        <f>EXP(-LN(2)/2)*AB64+(1-EXP(-LN(2)/2))/(LN(2)/2)*V65*Y65*VLOOKUP('Données projet'!$B$9,Paramètres!$A$1:$I$88,3,0)*0.475*44/12</f>
        <v>11.886559883200439</v>
      </c>
      <c r="AC65" s="24">
        <f t="shared" si="3"/>
        <v>165.69317396455398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projet'!$B$10,Paramètres!$A$1:$I$88,3,0)*VLOOKUP('Données projet'!$B$10,Paramètres!$A$1:$I$88,5,0)</f>
        <v>0</v>
      </c>
      <c r="AK65" s="14" t="e">
        <f t="shared" si="35"/>
        <v>#NUM!</v>
      </c>
      <c r="AL65" s="22" t="e">
        <f t="shared" si="4"/>
        <v>#NUM!</v>
      </c>
      <c r="AM65" s="60" t="e">
        <f t="shared" si="5"/>
        <v>#NUM!</v>
      </c>
      <c r="AN65" s="60">
        <f ca="1">AVERAGE(OFFSET($AM$3,0,0,'Données projet'!$E$10+1,1))-AVERAGE(OFFSET($H$3,0,0,'Données projet'!$E$10+1,1))</f>
        <v>55.581964048431473</v>
      </c>
      <c r="AO65" s="60">
        <f t="shared" si="36"/>
        <v>91.067506141193803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23.394038696376924</v>
      </c>
      <c r="AV65" s="23">
        <f>EXP(-LN(2)/25)*AV64+(1-EXP(-LN(2)/25))/(LN(2)/25)*Calculateur!AQ65*Calculateur!AS65*VLOOKUP('Données projet'!$B$10,Paramètres!$A$1:$I$88,3,0)*0.475*44/12</f>
        <v>0</v>
      </c>
      <c r="AW65" s="23">
        <f>EXP(-LN(2)/2)*AW64+(1-EXP(-LN(2)/2))/(LN(2)/2)*AQ65*AT65*VLOOKUP('Données projet'!$B$10,Paramètres!$A$1:$I$88,3,0)*0.475*44/12</f>
        <v>0</v>
      </c>
      <c r="AX65" s="23">
        <f t="shared" si="6"/>
        <v>23.394038696376924</v>
      </c>
      <c r="AY65" s="7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5.625</v>
      </c>
      <c r="BD65" s="13">
        <f>IF('Données projet'!$A$88&gt;35,BD64+BC65-BL64,IF(A65&lt;'Données projet'!$A$88,$BA$205^A65,IF(A65='Données projet'!$A$88,'Données projet'!$B$88,BD64+BC65-BL64)))</f>
        <v>125.75000000000014</v>
      </c>
      <c r="BE65" s="14">
        <f>BD65*VLOOKUP('Données projet'!$B$11,Paramètres!$A$1:$I$88,3,0)*VLOOKUP('Données projet'!$B$11,Paramètres!$A$1:$I$88,5,0)</f>
        <v>127.51050000000015</v>
      </c>
      <c r="BF65" s="14">
        <f t="shared" si="37"/>
        <v>33.420463226289328</v>
      </c>
      <c r="BG65" s="22">
        <f t="shared" si="7"/>
        <v>280.28809428578745</v>
      </c>
      <c r="BH65" s="60">
        <f t="shared" si="8"/>
        <v>573.62142761912082</v>
      </c>
      <c r="BI65" s="60">
        <f ca="1">AVERAGE(OFFSET($BH$3,0,0,'Données projet'!$E$11+1,1))-AVERAGE(OFFSET($H$3,0,0,'Données projet'!$E$11+1,1))</f>
        <v>178.29366134936788</v>
      </c>
      <c r="BJ65" s="60">
        <f t="shared" si="38"/>
        <v>85.818195717787148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1.2412131748486377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1.2412131748486377</v>
      </c>
      <c r="BT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9</v>
      </c>
      <c r="BY65" s="13">
        <f>IF('Données projet'!$A$114&gt;35,BY64+BX65-CG64,IF(A65&lt;'Données projet'!$A$114,$BV$205^A65,IF(A65='Données projet'!$A$114,'Données projet'!$B$114,BY64+BX65-CG64)))</f>
        <v>328</v>
      </c>
      <c r="BZ65" s="14">
        <f>BY65*VLOOKUP('Données projet'!$B$12,Paramètres!$A$1:$I$88,3,0)*VLOOKUP('Données projet'!$B$12,Paramètres!$A$1:$I$88,5,0)</f>
        <v>153.50399999999999</v>
      </c>
      <c r="CA65" s="14">
        <f t="shared" si="39"/>
        <v>39.373808884365609</v>
      </c>
      <c r="CB65" s="22">
        <f t="shared" si="10"/>
        <v>335.9288504736034</v>
      </c>
      <c r="CC65" s="60">
        <f t="shared" si="11"/>
        <v>629.26218380693672</v>
      </c>
      <c r="CD65" s="60">
        <f ca="1">AVERAGE(OFFSET($CC$3,0,0,'Données projet'!$E$12+1,1))-AVERAGE(OFFSET($H$3,0,0,'Données projet'!$E$12+1,1))</f>
        <v>104.00159056395933</v>
      </c>
      <c r="CE65" s="60">
        <f t="shared" si="40"/>
        <v>115.86489547584461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13.951333836942249</v>
      </c>
      <c r="CL65" s="23">
        <f>EXP(-LN(2)/25)*CL64+(1-EXP(-LN(2)/25))/(LN(2)/25)*Calculateur!CG65*Calculateur!CI65*VLOOKUP('Données projet'!$B$12,Paramètres!$A$1:$I$88,3,0)*0.475*44/12</f>
        <v>12.609432995803134</v>
      </c>
      <c r="CM65" s="23">
        <f>EXP(-LN(2)/2)*CM64+(1-EXP(-LN(2)/2))/(LN(2)/2)*CG65*CJ65*VLOOKUP('Données projet'!$B$12,Paramètres!$A$1:$I$88,3,0)*0.475*44/12</f>
        <v>1.9564104361095971</v>
      </c>
      <c r="CN65" s="24">
        <f t="shared" si="12"/>
        <v>28.517177268854979</v>
      </c>
      <c r="CO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projet'!$B$13,Paramètres!$A$1:$I$88,3,0)*VLOOKUP('Données projet'!$B$13,Paramètres!$A$1:$I$88,5,0)</f>
        <v>#N/A</v>
      </c>
      <c r="CV65" s="14" t="e">
        <f t="shared" si="41"/>
        <v>#N/A</v>
      </c>
      <c r="CW65" s="22" t="e">
        <f t="shared" si="13"/>
        <v>#N/A</v>
      </c>
      <c r="CX65" s="60" t="e">
        <f t="shared" si="14"/>
        <v>#N/A</v>
      </c>
      <c r="CY65" s="60" t="e">
        <f ca="1">AVERAGE(OFFSET($CX$3,0,0,'Données projet'!$E$13+1,1))-AVERAGE(OFFSET($H$3,0,0,'Données projet'!$E$13+1,1))</f>
        <v>#N/A</v>
      </c>
      <c r="CZ65" s="60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projet'!$B$13,Paramètres!$A$1:$I$88,3,0)*0.475*44/12</f>
        <v>#N/A</v>
      </c>
      <c r="DG65" s="23" t="e">
        <f>EXP(-LN(2)/25)*DG64+(1-EXP(-LN(2)/25))/(LN(2)/25)*Calculateur!DB65*Calculateur!DD65*VLOOKUP('Données projet'!$B$13,Paramètres!$A$1:$I$88,3,0)*0.475*44/12</f>
        <v>#N/A</v>
      </c>
      <c r="DH65" s="23" t="e">
        <f>EXP(-LN(2)/2)*DH64+(1-EXP(-LN(2)/2))/(LN(2)/2)*DB65*DE65*VLOOKUP('Données projet'!$B$13,Paramètres!$A$1:$I$88,3,0)*0.475*44/12</f>
        <v>#N/A</v>
      </c>
      <c r="DI65" s="24" t="e">
        <f t="shared" si="15"/>
        <v>#N/A</v>
      </c>
      <c r="DJ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0" t="e">
        <f t="shared" si="17"/>
        <v>#N/A</v>
      </c>
      <c r="DT65" s="60" t="e">
        <f ca="1">AVERAGE(OFFSET($DS$3,0,0,'Données projet'!$E$14+1,1))-AVERAGE(OFFSET($H$3,0,0,'Données projet'!$E$14+1,1))</f>
        <v>#N/A</v>
      </c>
      <c r="DU65" s="60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4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56.019600000000054</v>
      </c>
      <c r="D66" s="12">
        <f t="shared" si="32"/>
        <v>16.157913987449295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4.5474735088646412E-13</v>
      </c>
      <c r="O66" s="14">
        <f>N66*VLOOKUP('Données projet'!$B$9,Paramètres!$A$1:$I$88,3,0)*VLOOKUP('Données projet'!$B$9,Paramètres!$A$1:$I$88,5,0)</f>
        <v>2.7193891583010558E-13</v>
      </c>
      <c r="P66" s="14">
        <f t="shared" si="33"/>
        <v>3.6362267729089988E-12</v>
      </c>
      <c r="Q66" s="22">
        <f t="shared" si="53"/>
        <v>6.8067219078872727E-12</v>
      </c>
      <c r="R66" s="60">
        <f t="shared" si="0"/>
        <v>293.33333333334014</v>
      </c>
      <c r="S66" s="60">
        <f ca="1">AVERAGE(OFFSET($R$3,0,0,'Données projet'!$E$9+1,1))-AVERAGE(OFFSET($H$3,0,0,'Données projet'!$E$9+1,1))</f>
        <v>181.84907943028196</v>
      </c>
      <c r="T66" s="60">
        <f t="shared" si="34"/>
        <v>199.66849909069458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122.60123885976707</v>
      </c>
      <c r="AA66" s="23">
        <f>EXP(-LN(2)/25)*AA65+(1-EXP(-LN(2)/25))/(LN(2)/25)*Calculateur!V66*Calculateur!X66*VLOOKUP('Données projet'!$B$9,Paramètres!$A$1:$I$88,3,0)*0.475*44/12</f>
        <v>27.966896643028054</v>
      </c>
      <c r="AB66" s="23">
        <f>EXP(-LN(2)/2)*AB65+(1-EXP(-LN(2)/2))/(LN(2)/2)*V66*Y66*VLOOKUP('Données projet'!$B$9,Paramètres!$A$1:$I$88,3,0)*0.475*44/12</f>
        <v>8.4050670983910081</v>
      </c>
      <c r="AC66" s="24">
        <f t="shared" si="3"/>
        <v>158.97320260118613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projet'!$B$10,Paramètres!$A$1:$I$88,3,0)*VLOOKUP('Données projet'!$B$10,Paramètres!$A$1:$I$88,5,0)</f>
        <v>0</v>
      </c>
      <c r="AK66" s="14" t="e">
        <f t="shared" si="35"/>
        <v>#NUM!</v>
      </c>
      <c r="AL66" s="22" t="e">
        <f t="shared" si="4"/>
        <v>#NUM!</v>
      </c>
      <c r="AM66" s="60" t="e">
        <f t="shared" si="5"/>
        <v>#NUM!</v>
      </c>
      <c r="AN66" s="60">
        <f ca="1">AVERAGE(OFFSET($AM$3,0,0,'Données projet'!$E$10+1,1))-AVERAGE(OFFSET($H$3,0,0,'Données projet'!$E$10+1,1))</f>
        <v>55.581964048431473</v>
      </c>
      <c r="AO66" s="60">
        <f t="shared" si="36"/>
        <v>91.067506141193803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22.935295866495636</v>
      </c>
      <c r="AV66" s="23">
        <f>EXP(-LN(2)/25)*AV65+(1-EXP(-LN(2)/25))/(LN(2)/25)*Calculateur!AQ66*Calculateur!AS66*VLOOKUP('Données projet'!$B$10,Paramètres!$A$1:$I$88,3,0)*0.475*44/12</f>
        <v>0</v>
      </c>
      <c r="AW66" s="23">
        <f>EXP(-LN(2)/2)*AW65+(1-EXP(-LN(2)/2))/(LN(2)/2)*AQ66*AT66*VLOOKUP('Données projet'!$B$10,Paramètres!$A$1:$I$88,3,0)*0.475*44/12</f>
        <v>0</v>
      </c>
      <c r="AX66" s="23">
        <f t="shared" si="6"/>
        <v>22.935295866495636</v>
      </c>
      <c r="AY66" s="7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5.625</v>
      </c>
      <c r="BD66" s="13">
        <f>IF('Données projet'!$A$88&gt;35,BD65+BC66-BL65,IF(A66&lt;'Données projet'!$A$88,$BA$205^A66,IF(A66='Données projet'!$A$88,'Données projet'!$B$88,BD65+BC66-BL65)))</f>
        <v>131.37500000000014</v>
      </c>
      <c r="BE66" s="14">
        <f>BD66*VLOOKUP('Données projet'!$B$11,Paramètres!$A$1:$I$88,3,0)*VLOOKUP('Données projet'!$B$11,Paramètres!$A$1:$I$88,5,0)</f>
        <v>133.21425000000016</v>
      </c>
      <c r="BF66" s="14">
        <f t="shared" si="37"/>
        <v>34.738019073045614</v>
      </c>
      <c r="BG66" s="22">
        <f t="shared" si="7"/>
        <v>292.51686863555472</v>
      </c>
      <c r="BH66" s="60">
        <f t="shared" si="8"/>
        <v>585.85020196888809</v>
      </c>
      <c r="BI66" s="60">
        <f ca="1">AVERAGE(OFFSET($BH$3,0,0,'Données projet'!$E$11+1,1))-AVERAGE(OFFSET($H$3,0,0,'Données projet'!$E$11+1,1))</f>
        <v>178.29366134936788</v>
      </c>
      <c r="BJ66" s="60">
        <f t="shared" si="38"/>
        <v>85.818195717787148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1.2168737415551385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1.2168737415551385</v>
      </c>
      <c r="BT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9</v>
      </c>
      <c r="BY66" s="13">
        <f>IF('Données projet'!$A$114&gt;35,BY65+BX66-CG65,IF(A66&lt;'Données projet'!$A$114,$BV$205^A66,IF(A66='Données projet'!$A$114,'Données projet'!$B$114,BY65+BX66-CG65)))</f>
        <v>337</v>
      </c>
      <c r="BZ66" s="14">
        <f>BY66*VLOOKUP('Données projet'!$B$12,Paramètres!$A$1:$I$88,3,0)*VLOOKUP('Données projet'!$B$12,Paramètres!$A$1:$I$88,5,0)</f>
        <v>157.71600000000001</v>
      </c>
      <c r="CA66" s="14">
        <f t="shared" si="39"/>
        <v>40.326922540698838</v>
      </c>
      <c r="CB66" s="22">
        <f t="shared" si="10"/>
        <v>344.92475675838381</v>
      </c>
      <c r="CC66" s="60">
        <f t="shared" si="11"/>
        <v>638.25809009171712</v>
      </c>
      <c r="CD66" s="60">
        <f ca="1">AVERAGE(OFFSET($CC$3,0,0,'Données projet'!$E$12+1,1))-AVERAGE(OFFSET($H$3,0,0,'Données projet'!$E$12+1,1))</f>
        <v>104.00159056395933</v>
      </c>
      <c r="CE66" s="60">
        <f t="shared" si="40"/>
        <v>115.86489547584461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13.677756689873211</v>
      </c>
      <c r="CL66" s="23">
        <f>EXP(-LN(2)/25)*CL65+(1-EXP(-LN(2)/25))/(LN(2)/25)*Calculateur!CG66*Calculateur!CI66*VLOOKUP('Données projet'!$B$12,Paramètres!$A$1:$I$88,3,0)*0.475*44/12</f>
        <v>12.264627387431636</v>
      </c>
      <c r="CM66" s="23">
        <f>EXP(-LN(2)/2)*CM65+(1-EXP(-LN(2)/2))/(LN(2)/2)*CG66*CJ66*VLOOKUP('Données projet'!$B$12,Paramètres!$A$1:$I$88,3,0)*0.475*44/12</f>
        <v>1.3833910861572269</v>
      </c>
      <c r="CN66" s="24">
        <f t="shared" si="12"/>
        <v>27.325775163462076</v>
      </c>
      <c r="CO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projet'!$B$13,Paramètres!$A$1:$I$88,3,0)*VLOOKUP('Données projet'!$B$13,Paramètres!$A$1:$I$88,5,0)</f>
        <v>#N/A</v>
      </c>
      <c r="CV66" s="14" t="e">
        <f t="shared" si="41"/>
        <v>#N/A</v>
      </c>
      <c r="CW66" s="22" t="e">
        <f t="shared" si="13"/>
        <v>#N/A</v>
      </c>
      <c r="CX66" s="60" t="e">
        <f t="shared" si="14"/>
        <v>#N/A</v>
      </c>
      <c r="CY66" s="60" t="e">
        <f ca="1">AVERAGE(OFFSET($CX$3,0,0,'Données projet'!$E$13+1,1))-AVERAGE(OFFSET($H$3,0,0,'Données projet'!$E$13+1,1))</f>
        <v>#N/A</v>
      </c>
      <c r="CZ66" s="60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projet'!$B$13,Paramètres!$A$1:$I$88,3,0)*0.475*44/12</f>
        <v>#N/A</v>
      </c>
      <c r="DG66" s="23" t="e">
        <f>EXP(-LN(2)/25)*DG65+(1-EXP(-LN(2)/25))/(LN(2)/25)*Calculateur!DB66*Calculateur!DD66*VLOOKUP('Données projet'!$B$13,Paramètres!$A$1:$I$88,3,0)*0.475*44/12</f>
        <v>#N/A</v>
      </c>
      <c r="DH66" s="23" t="e">
        <f>EXP(-LN(2)/2)*DH65+(1-EXP(-LN(2)/2))/(LN(2)/2)*DB66*DE66*VLOOKUP('Données projet'!$B$13,Paramètres!$A$1:$I$88,3,0)*0.475*44/12</f>
        <v>#N/A</v>
      </c>
      <c r="DI66" s="24" t="e">
        <f t="shared" si="15"/>
        <v>#N/A</v>
      </c>
      <c r="DJ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0" t="e">
        <f t="shared" si="17"/>
        <v>#N/A</v>
      </c>
      <c r="DT66" s="60" t="e">
        <f ca="1">AVERAGE(OFFSET($DS$3,0,0,'Données projet'!$E$14+1,1))-AVERAGE(OFFSET($H$3,0,0,'Données projet'!$E$14+1,1))</f>
        <v>#N/A</v>
      </c>
      <c r="DU66" s="60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4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56.908800000000056</v>
      </c>
      <c r="D67" s="12">
        <f t="shared" si="32"/>
        <v>16.384327014561212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4.5474735088646412E-13</v>
      </c>
      <c r="O67" s="14">
        <f>N67*VLOOKUP('Données projet'!$B$9,Paramètres!$A$1:$I$88,3,0)*VLOOKUP('Données projet'!$B$9,Paramètres!$A$1:$I$88,5,0)</f>
        <v>2.7193891583010558E-13</v>
      </c>
      <c r="P67" s="14">
        <f t="shared" si="33"/>
        <v>3.6362267729089988E-12</v>
      </c>
      <c r="Q67" s="22">
        <f t="shared" ref="Q67:Q98" si="54">(O67+P67)*0.475*44/12</f>
        <v>6.8067219078872727E-12</v>
      </c>
      <c r="R67" s="60">
        <f t="shared" ref="R67:R130" si="55">Q67+(I67+J67)*44/12</f>
        <v>293.33333333334014</v>
      </c>
      <c r="S67" s="60">
        <f ca="1">AVERAGE(OFFSET($R$3,0,0,'Données projet'!$E$9+1,1))-AVERAGE(OFFSET($H$3,0,0,'Données projet'!$E$9+1,1))</f>
        <v>181.84907943028196</v>
      </c>
      <c r="T67" s="60">
        <f t="shared" si="34"/>
        <v>199.66849909069458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120.19710334509888</v>
      </c>
      <c r="AA67" s="23">
        <f>EXP(-LN(2)/25)*AA66+(1-EXP(-LN(2)/25))/(LN(2)/25)*Calculateur!V67*Calculateur!X67*VLOOKUP('Données projet'!$B$9,Paramètres!$A$1:$I$88,3,0)*0.475*44/12</f>
        <v>27.202140383609276</v>
      </c>
      <c r="AB67" s="23">
        <f>EXP(-LN(2)/2)*AB66+(1-EXP(-LN(2)/2))/(LN(2)/2)*V67*Y67*VLOOKUP('Données projet'!$B$9,Paramètres!$A$1:$I$88,3,0)*0.475*44/12</f>
        <v>5.9432799416002204</v>
      </c>
      <c r="AC67" s="24">
        <f t="shared" si="3"/>
        <v>153.34252367030837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projet'!$B$10,Paramètres!$A$1:$I$88,3,0)*VLOOKUP('Données projet'!$B$10,Paramètres!$A$1:$I$88,5,0)</f>
        <v>0</v>
      </c>
      <c r="AK67" s="14" t="e">
        <f t="shared" si="35"/>
        <v>#NUM!</v>
      </c>
      <c r="AL67" s="22" t="e">
        <f t="shared" si="4"/>
        <v>#NUM!</v>
      </c>
      <c r="AM67" s="60" t="e">
        <f t="shared" si="5"/>
        <v>#NUM!</v>
      </c>
      <c r="AN67" s="60">
        <f ca="1">AVERAGE(OFFSET($AM$3,0,0,'Données projet'!$E$10+1,1))-AVERAGE(OFFSET($H$3,0,0,'Données projet'!$E$10+1,1))</f>
        <v>55.581964048431473</v>
      </c>
      <c r="AO67" s="60">
        <f t="shared" si="36"/>
        <v>91.067506141193803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22.485548703702822</v>
      </c>
      <c r="AV67" s="23">
        <f>EXP(-LN(2)/25)*AV66+(1-EXP(-LN(2)/25))/(LN(2)/25)*Calculateur!AQ67*Calculateur!AS67*VLOOKUP('Données projet'!$B$10,Paramètres!$A$1:$I$88,3,0)*0.475*44/12</f>
        <v>0</v>
      </c>
      <c r="AW67" s="23">
        <f>EXP(-LN(2)/2)*AW66+(1-EXP(-LN(2)/2))/(LN(2)/2)*AQ67*AT67*VLOOKUP('Données projet'!$B$10,Paramètres!$A$1:$I$88,3,0)*0.475*44/12</f>
        <v>0</v>
      </c>
      <c r="AX67" s="23">
        <f t="shared" si="6"/>
        <v>22.485548703702822</v>
      </c>
      <c r="AY67" s="7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>
        <f>VLOOKUP(A67,'Données projet'!$A$87:$I$107,2,0)</f>
        <v>137</v>
      </c>
      <c r="BB67" s="13">
        <f>VLOOKUP(A67,'Données projet'!$A$87:$I$107,9,0)</f>
        <v>5.625</v>
      </c>
      <c r="BC67" s="13">
        <f t="array" ref="BC67">INDEX(BB:BB,MIN(IF(ISNUMBER(BB67:BB263),ROW(BB67:BB263),"")))</f>
        <v>5.625</v>
      </c>
      <c r="BD67" s="13">
        <f>IF('Données projet'!$A$88&gt;35,BD66+BC67-BL66,IF(A67&lt;'Données projet'!$A$88,$BA$205^A67,IF(A67='Données projet'!$A$88,'Données projet'!$B$88,BD66+BC67-BL66)))</f>
        <v>137.00000000000014</v>
      </c>
      <c r="BE67" s="14">
        <f>BD67*VLOOKUP('Données projet'!$B$11,Paramètres!$A$1:$I$88,3,0)*VLOOKUP('Données projet'!$B$11,Paramètres!$A$1:$I$88,5,0)</f>
        <v>138.91800000000015</v>
      </c>
      <c r="BF67" s="14">
        <f t="shared" si="37"/>
        <v>36.049022673886341</v>
      </c>
      <c r="BG67" s="22">
        <f t="shared" si="7"/>
        <v>304.734231157019</v>
      </c>
      <c r="BH67" s="60">
        <f t="shared" si="8"/>
        <v>598.06756449035231</v>
      </c>
      <c r="BI67" s="60">
        <f ca="1">AVERAGE(OFFSET($BH$3,0,0,'Données projet'!$E$11+1,1))-AVERAGE(OFFSET($H$3,0,0,'Données projet'!$E$11+1,1))</f>
        <v>178.29366134936788</v>
      </c>
      <c r="BJ67" s="60">
        <f t="shared" si="38"/>
        <v>85.818195717787148</v>
      </c>
      <c r="BK67" s="16">
        <f>IF(ISNA(VLOOKUP(A67,'Données projet'!$A$87:$I$107,3,0)),0,VLOOKUP(A67,'Données projet'!$A$87:$I$107,3,0))</f>
        <v>2</v>
      </c>
      <c r="BL67" s="16">
        <f>IF(ISNA(VLOOKUP(A67,'Données projet'!$A$87:$I$107,4,0)),0,VLOOKUP(A67,'Données projet'!$A$87:$I$107,4,0))</f>
        <v>32</v>
      </c>
      <c r="BM67" s="17">
        <f>IF(ISNA(VLOOKUP(A67,'Données projet'!$A$87:$I$107,5,0)),0%,VLOOKUP(A67,'Données projet'!$A$87:$I$107,5,0)*VLOOKUP('Données projet'!$B$11,Paramètres!$A$1:$I$88,7,0))</f>
        <v>8.6000000000000007E-2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4.2778576369602614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4.2778576369602614</v>
      </c>
      <c r="BT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</v>
      </c>
      <c r="BY67" s="13">
        <f>IF('Données projet'!$A$114&gt;35,BY66+BX67-CG66,IF(A67&lt;'Données projet'!$A$114,$BV$205^A67,IF(A67='Données projet'!$A$114,'Données projet'!$B$114,BY66+BX67-CG66)))</f>
        <v>346</v>
      </c>
      <c r="BZ67" s="14">
        <f>BY67*VLOOKUP('Données projet'!$B$12,Paramètres!$A$1:$I$88,3,0)*VLOOKUP('Données projet'!$B$12,Paramètres!$A$1:$I$88,5,0)</f>
        <v>161.928</v>
      </c>
      <c r="CA67" s="14">
        <f t="shared" si="39"/>
        <v>41.277077571585352</v>
      </c>
      <c r="CB67" s="22">
        <f t="shared" si="10"/>
        <v>353.9155101038445</v>
      </c>
      <c r="CC67" s="60">
        <f t="shared" si="11"/>
        <v>647.24884343717781</v>
      </c>
      <c r="CD67" s="60">
        <f ca="1">AVERAGE(OFFSET($CC$3,0,0,'Données projet'!$E$12+1,1))-AVERAGE(OFFSET($H$3,0,0,'Données projet'!$E$12+1,1))</f>
        <v>104.00159056395933</v>
      </c>
      <c r="CE67" s="60">
        <f t="shared" si="40"/>
        <v>115.86489547584461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13.409544223792615</v>
      </c>
      <c r="CL67" s="23">
        <f>EXP(-LN(2)/25)*CL66+(1-EXP(-LN(2)/25))/(LN(2)/25)*Calculateur!CG67*Calculateur!CI67*VLOOKUP('Données projet'!$B$12,Paramètres!$A$1:$I$88,3,0)*0.475*44/12</f>
        <v>11.929250506553595</v>
      </c>
      <c r="CM67" s="23">
        <f>EXP(-LN(2)/2)*CM66+(1-EXP(-LN(2)/2))/(LN(2)/2)*CG67*CJ67*VLOOKUP('Données projet'!$B$12,Paramètres!$A$1:$I$88,3,0)*0.475*44/12</f>
        <v>0.97820521805479865</v>
      </c>
      <c r="CN67" s="24">
        <f t="shared" si="12"/>
        <v>26.316999948401008</v>
      </c>
      <c r="CO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projet'!$B$13,Paramètres!$A$1:$I$88,3,0)*VLOOKUP('Données projet'!$B$13,Paramètres!$A$1:$I$88,5,0)</f>
        <v>#N/A</v>
      </c>
      <c r="CV67" s="14" t="e">
        <f t="shared" si="41"/>
        <v>#N/A</v>
      </c>
      <c r="CW67" s="22" t="e">
        <f t="shared" si="13"/>
        <v>#N/A</v>
      </c>
      <c r="CX67" s="60" t="e">
        <f t="shared" si="14"/>
        <v>#N/A</v>
      </c>
      <c r="CY67" s="60" t="e">
        <f ca="1">AVERAGE(OFFSET($CX$3,0,0,'Données projet'!$E$13+1,1))-AVERAGE(OFFSET($H$3,0,0,'Données projet'!$E$13+1,1))</f>
        <v>#N/A</v>
      </c>
      <c r="CZ67" s="60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projet'!$B$13,Paramètres!$A$1:$I$88,3,0)*0.475*44/12</f>
        <v>#N/A</v>
      </c>
      <c r="DG67" s="23" t="e">
        <f>EXP(-LN(2)/25)*DG66+(1-EXP(-LN(2)/25))/(LN(2)/25)*Calculateur!DB67*Calculateur!DD67*VLOOKUP('Données projet'!$B$13,Paramètres!$A$1:$I$88,3,0)*0.475*44/12</f>
        <v>#N/A</v>
      </c>
      <c r="DH67" s="23" t="e">
        <f>EXP(-LN(2)/2)*DH66+(1-EXP(-LN(2)/2))/(LN(2)/2)*DB67*DE67*VLOOKUP('Données projet'!$B$13,Paramètres!$A$1:$I$88,3,0)*0.475*44/12</f>
        <v>#N/A</v>
      </c>
      <c r="DI67" s="24" t="e">
        <f t="shared" si="15"/>
        <v>#N/A</v>
      </c>
      <c r="DJ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0" t="e">
        <f t="shared" si="17"/>
        <v>#N/A</v>
      </c>
      <c r="DT67" s="60" t="e">
        <f ca="1">AVERAGE(OFFSET($DS$3,0,0,'Données projet'!$E$14+1,1))-AVERAGE(OFFSET($H$3,0,0,'Données projet'!$E$14+1,1))</f>
        <v>#N/A</v>
      </c>
      <c r="DU67" s="60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4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57.798000000000059</v>
      </c>
      <c r="D68" s="12">
        <f t="shared" si="32"/>
        <v>16.610328609523005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4.5474735088646412E-13</v>
      </c>
      <c r="O68" s="14">
        <f>N68*VLOOKUP('Données projet'!$B$9,Paramètres!$A$1:$I$88,3,0)*VLOOKUP('Données projet'!$B$9,Paramètres!$A$1:$I$88,5,0)</f>
        <v>2.7193891583010558E-13</v>
      </c>
      <c r="P68" s="14">
        <f t="shared" si="33"/>
        <v>3.6362267729089988E-12</v>
      </c>
      <c r="Q68" s="22">
        <f t="shared" si="54"/>
        <v>6.8067219078872727E-12</v>
      </c>
      <c r="R68" s="60">
        <f t="shared" si="55"/>
        <v>293.33333333334014</v>
      </c>
      <c r="S68" s="60">
        <f ca="1">AVERAGE(OFFSET($R$3,0,0,'Données projet'!$E$9+1,1))-AVERAGE(OFFSET($H$3,0,0,'Données projet'!$E$9+1,1))</f>
        <v>181.84907943028196</v>
      </c>
      <c r="T68" s="60">
        <f t="shared" si="34"/>
        <v>199.66849909069458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117.84011146149548</v>
      </c>
      <c r="AA68" s="23">
        <f>EXP(-LN(2)/25)*AA67+(1-EXP(-LN(2)/25))/(LN(2)/25)*Calculateur!V68*Calculateur!X68*VLOOKUP('Données projet'!$B$9,Paramètres!$A$1:$I$88,3,0)*0.475*44/12</f>
        <v>26.458296424321087</v>
      </c>
      <c r="AB68" s="23">
        <f>EXP(-LN(2)/2)*AB67+(1-EXP(-LN(2)/2))/(LN(2)/2)*V68*Y68*VLOOKUP('Données projet'!$B$9,Paramètres!$A$1:$I$88,3,0)*0.475*44/12</f>
        <v>4.202533549195504</v>
      </c>
      <c r="AC68" s="24">
        <f t="shared" ref="AC68:AC131" si="57">SUM(Z68:AB68)</f>
        <v>148.50094143501207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projet'!$B$10,Paramètres!$A$1:$I$88,3,0)*VLOOKUP('Données projet'!$B$10,Paramètres!$A$1:$I$88,5,0)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0" t="e">
        <f t="shared" ref="AM68:AM131" si="59">AL68+(AD68+AE68)*44/12</f>
        <v>#NUM!</v>
      </c>
      <c r="AN68" s="60">
        <f ca="1">AVERAGE(OFFSET($AM$3,0,0,'Données projet'!$E$10+1,1))-AVERAGE(OFFSET($H$3,0,0,'Données projet'!$E$10+1,1))</f>
        <v>55.581964048431473</v>
      </c>
      <c r="AO68" s="60">
        <f t="shared" si="36"/>
        <v>91.067506141193803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22.044620808453693</v>
      </c>
      <c r="AV68" s="23">
        <f>EXP(-LN(2)/25)*AV67+(1-EXP(-LN(2)/25))/(LN(2)/25)*Calculateur!AQ68*Calculateur!AS68*VLOOKUP('Données projet'!$B$10,Paramètres!$A$1:$I$88,3,0)*0.475*44/12</f>
        <v>0</v>
      </c>
      <c r="AW68" s="23">
        <f>EXP(-LN(2)/2)*AW67+(1-EXP(-LN(2)/2))/(LN(2)/2)*AQ68*AT68*VLOOKUP('Données projet'!$B$10,Paramètres!$A$1:$I$88,3,0)*0.475*44/12</f>
        <v>0</v>
      </c>
      <c r="AX68" s="23">
        <f t="shared" ref="AX68:AX131" si="60">SUM(AU68:AW68)</f>
        <v>22.044620808453693</v>
      </c>
      <c r="AY68" s="7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4.875</v>
      </c>
      <c r="BD68" s="13">
        <f>IF('Données projet'!$A$88&gt;35,BD67+BC68-BL67,IF(A68&lt;'Données projet'!$A$88,$BA$205^A68,IF(A68='Données projet'!$A$88,'Données projet'!$B$88,BD67+BC68-BL67)))</f>
        <v>109.87500000000014</v>
      </c>
      <c r="BE68" s="14">
        <f>BD68*VLOOKUP('Données projet'!$B$11,Paramètres!$A$1:$I$88,3,0)*VLOOKUP('Données projet'!$B$11,Paramètres!$A$1:$I$88,5,0)</f>
        <v>111.41325000000015</v>
      </c>
      <c r="BF68" s="14">
        <f t="shared" si="37"/>
        <v>29.663709501579618</v>
      </c>
      <c r="BG68" s="22">
        <f t="shared" ref="BG68:BG131" si="61">(BE68+BF68)*0.475*44/12</f>
        <v>245.70903779858475</v>
      </c>
      <c r="BH68" s="60">
        <f t="shared" ref="BH68:BH131" si="62">BG68+(AY68+AZ68)*44/12</f>
        <v>539.04237113191812</v>
      </c>
      <c r="BI68" s="60">
        <f ca="1">AVERAGE(OFFSET($BH$3,0,0,'Données projet'!$E$11+1,1))-AVERAGE(OFFSET($H$3,0,0,'Données projet'!$E$11+1,1))</f>
        <v>178.29366134936788</v>
      </c>
      <c r="BJ68" s="60">
        <f t="shared" si="38"/>
        <v>85.818195717787148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4.1939714579349889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4.1939714579349889</v>
      </c>
      <c r="BT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</v>
      </c>
      <c r="BY68" s="13">
        <f>IF('Données projet'!$A$114&gt;35,BY67+BX68-CG67,IF(A68&lt;'Données projet'!$A$114,$BV$205^A68,IF(A68='Données projet'!$A$114,'Données projet'!$B$114,BY67+BX68-CG67)))</f>
        <v>355</v>
      </c>
      <c r="BZ68" s="14">
        <f>BY68*VLOOKUP('Données projet'!$B$12,Paramètres!$A$1:$I$88,3,0)*VLOOKUP('Données projet'!$B$12,Paramètres!$A$1:$I$88,5,0)</f>
        <v>166.14000000000001</v>
      </c>
      <c r="CA68" s="14">
        <f t="shared" si="39"/>
        <v>42.224359783104845</v>
      </c>
      <c r="CB68" s="22">
        <f t="shared" ref="CB68:CB131" si="64">(BZ68+CA68)*0.475*44/12</f>
        <v>362.90125995557429</v>
      </c>
      <c r="CC68" s="60">
        <f t="shared" ref="CC68:CC131" si="65">CB68+(BT68+BU68)*44/12</f>
        <v>656.2345932889076</v>
      </c>
      <c r="CD68" s="60">
        <f ca="1">AVERAGE(OFFSET($CC$3,0,0,'Données projet'!$E$12+1,1))-AVERAGE(OFFSET($H$3,0,0,'Données projet'!$E$12+1,1))</f>
        <v>104.00159056395933</v>
      </c>
      <c r="CE68" s="60">
        <f t="shared" si="40"/>
        <v>115.86489547584461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13.146591240578408</v>
      </c>
      <c r="CL68" s="23">
        <f>EXP(-LN(2)/25)*CL67+(1-EXP(-LN(2)/25))/(LN(2)/25)*Calculateur!CG68*Calculateur!CI68*VLOOKUP('Données projet'!$B$12,Paramètres!$A$1:$I$88,3,0)*0.475*44/12</f>
        <v>11.603044524119868</v>
      </c>
      <c r="CM68" s="23">
        <f>EXP(-LN(2)/2)*CM67+(1-EXP(-LN(2)/2))/(LN(2)/2)*CG68*CJ68*VLOOKUP('Données projet'!$B$12,Paramètres!$A$1:$I$88,3,0)*0.475*44/12</f>
        <v>0.69169554307861358</v>
      </c>
      <c r="CN68" s="24">
        <f t="shared" ref="CN68:CN131" si="66">SUM(CK68:CM68)</f>
        <v>25.441331307776888</v>
      </c>
      <c r="CO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projet'!$B$13,Paramètres!$A$1:$I$88,3,0)*VLOOKUP('Données projet'!$B$13,Paramètres!$A$1:$I$88,5,0)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0" t="e">
        <f t="shared" ref="CX68:CX131" si="68">CW68+(CO68+CP68)*44/12</f>
        <v>#N/A</v>
      </c>
      <c r="CY68" s="60" t="e">
        <f ca="1">AVERAGE(OFFSET($CX$3,0,0,'Données projet'!$E$13+1,1))-AVERAGE(OFFSET($H$3,0,0,'Données projet'!$E$13+1,1))</f>
        <v>#N/A</v>
      </c>
      <c r="CZ68" s="60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projet'!$B$13,Paramètres!$A$1:$I$88,3,0)*0.475*44/12</f>
        <v>#N/A</v>
      </c>
      <c r="DG68" s="23" t="e">
        <f>EXP(-LN(2)/25)*DG67+(1-EXP(-LN(2)/25))/(LN(2)/25)*Calculateur!DB68*Calculateur!DD68*VLOOKUP('Données projet'!$B$13,Paramètres!$A$1:$I$88,3,0)*0.475*44/12</f>
        <v>#N/A</v>
      </c>
      <c r="DH68" s="23" t="e">
        <f>EXP(-LN(2)/2)*DH67+(1-EXP(-LN(2)/2))/(LN(2)/2)*DB68*DE68*VLOOKUP('Données projet'!$B$13,Paramètres!$A$1:$I$88,3,0)*0.475*44/12</f>
        <v>#N/A</v>
      </c>
      <c r="DI68" s="24" t="e">
        <f t="shared" ref="DI68:DI131" si="69">SUM(DF68:DH68)</f>
        <v>#N/A</v>
      </c>
      <c r="DJ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0" t="e">
        <f t="shared" ref="DS68:DS131" si="71">DR68+(DJ68+DK68)*44/12</f>
        <v>#N/A</v>
      </c>
      <c r="DT68" s="60" t="e">
        <f ca="1">AVERAGE(OFFSET($DS$3,0,0,'Données projet'!$E$14+1,1))-AVERAGE(OFFSET($H$3,0,0,'Données projet'!$E$14+1,1))</f>
        <v>#N/A</v>
      </c>
      <c r="DU68" s="60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4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58.687200000000061</v>
      </c>
      <c r="D69" s="12">
        <f t="shared" ref="D69:D132" si="86">IFERROR(EXP(-1.0587+0.8836*LN(C69)+0.284),0)</f>
        <v>16.835925833077553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4.5474735088646412E-13</v>
      </c>
      <c r="O69" s="14">
        <f>N69*VLOOKUP('Données projet'!$B$9,Paramètres!$A$1:$I$88,3,0)*VLOOKUP('Données projet'!$B$9,Paramètres!$A$1:$I$88,5,0)</f>
        <v>2.7193891583010558E-13</v>
      </c>
      <c r="P69" s="14">
        <f t="shared" ref="P69:P132" si="87">EXP(-1.0587+0.8836*LN(O69)+0.284)</f>
        <v>3.6362267729089988E-12</v>
      </c>
      <c r="Q69" s="22">
        <f t="shared" si="54"/>
        <v>6.8067219078872727E-12</v>
      </c>
      <c r="R69" s="60">
        <f t="shared" si="55"/>
        <v>293.33333333334014</v>
      </c>
      <c r="S69" s="60">
        <f ca="1">AVERAGE(OFFSET($R$3,0,0,'Données projet'!$E$9+1,1))-AVERAGE(OFFSET($H$3,0,0,'Données projet'!$E$9+1,1))</f>
        <v>181.84907943028196</v>
      </c>
      <c r="T69" s="60">
        <f t="shared" ref="T69:T132" si="88">$T$3</f>
        <v>199.66849909069458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115.52933875110645</v>
      </c>
      <c r="AA69" s="23">
        <f>EXP(-LN(2)/25)*AA68+(1-EXP(-LN(2)/25))/(LN(2)/25)*Calculateur!V69*Calculateur!X69*VLOOKUP('Données projet'!$B$9,Paramètres!$A$1:$I$88,3,0)*0.475*44/12</f>
        <v>25.734792917216691</v>
      </c>
      <c r="AB69" s="23">
        <f>EXP(-LN(2)/2)*AB68+(1-EXP(-LN(2)/2))/(LN(2)/2)*V69*Y69*VLOOKUP('Données projet'!$B$9,Paramètres!$A$1:$I$88,3,0)*0.475*44/12</f>
        <v>2.9716399708001102</v>
      </c>
      <c r="AC69" s="24">
        <f t="shared" si="57"/>
        <v>144.23577163912324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projet'!$B$10,Paramètres!$A$1:$I$88,3,0)*VLOOKUP('Données projet'!$B$10,Paramètres!$A$1:$I$88,5,0)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0" t="e">
        <f t="shared" si="59"/>
        <v>#NUM!</v>
      </c>
      <c r="AN69" s="60">
        <f ca="1">AVERAGE(OFFSET($AM$3,0,0,'Données projet'!$E$10+1,1))-AVERAGE(OFFSET($H$3,0,0,'Données projet'!$E$10+1,1))</f>
        <v>55.581964048431473</v>
      </c>
      <c r="AO69" s="60">
        <f t="shared" ref="AO69:AO132" si="90">$AO$3</f>
        <v>91.067506141193803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21.61233924029094</v>
      </c>
      <c r="AV69" s="23">
        <f>EXP(-LN(2)/25)*AV68+(1-EXP(-LN(2)/25))/(LN(2)/25)*Calculateur!AQ69*Calculateur!AS69*VLOOKUP('Données projet'!$B$10,Paramètres!$A$1:$I$88,3,0)*0.475*44/12</f>
        <v>0</v>
      </c>
      <c r="AW69" s="23">
        <f>EXP(-LN(2)/2)*AW68+(1-EXP(-LN(2)/2))/(LN(2)/2)*AQ69*AT69*VLOOKUP('Données projet'!$B$10,Paramètres!$A$1:$I$88,3,0)*0.475*44/12</f>
        <v>0</v>
      </c>
      <c r="AX69" s="23">
        <f t="shared" si="60"/>
        <v>21.61233924029094</v>
      </c>
      <c r="AY69" s="7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4.875</v>
      </c>
      <c r="BD69" s="13">
        <f>IF('Données projet'!$A$88&gt;35,BD68+BC69-BL68,IF(A69&lt;'Données projet'!$A$88,$BA$205^A69,IF(A69='Données projet'!$A$88,'Données projet'!$B$88,BD68+BC69-BL68)))</f>
        <v>114.75000000000014</v>
      </c>
      <c r="BE69" s="14">
        <f>BD69*VLOOKUP('Données projet'!$B$11,Paramètres!$A$1:$I$88,3,0)*VLOOKUP('Données projet'!$B$11,Paramètres!$A$1:$I$88,5,0)</f>
        <v>116.35650000000014</v>
      </c>
      <c r="BF69" s="14">
        <f t="shared" ref="BF69:BF132" si="91">EXP(-1.0587+0.8836*LN(BE69)+0.284)</f>
        <v>30.823693851616529</v>
      </c>
      <c r="BG69" s="22">
        <f t="shared" si="61"/>
        <v>256.33883762489904</v>
      </c>
      <c r="BH69" s="60">
        <f t="shared" si="62"/>
        <v>549.6721709582323</v>
      </c>
      <c r="BI69" s="60">
        <f ca="1">AVERAGE(OFFSET($BH$3,0,0,'Données projet'!$E$11+1,1))-AVERAGE(OFFSET($H$3,0,0,'Données projet'!$E$11+1,1))</f>
        <v>178.29366134936788</v>
      </c>
      <c r="BJ69" s="60">
        <f t="shared" ref="BJ69:BJ132" si="92">$BJ$3</f>
        <v>85.818195717787148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4.1117302357148846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4.1117302357148846</v>
      </c>
      <c r="BT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9</v>
      </c>
      <c r="BY69" s="13">
        <f>IF('Données projet'!$A$114&gt;35,BY68+BX69-CG68,IF(A69&lt;'Données projet'!$A$114,$BV$205^A69,IF(A69='Données projet'!$A$114,'Données projet'!$B$114,BY68+BX69-CG68)))</f>
        <v>364</v>
      </c>
      <c r="BZ69" s="14">
        <f>BY69*VLOOKUP('Données projet'!$B$12,Paramètres!$A$1:$I$88,3,0)*VLOOKUP('Données projet'!$B$12,Paramètres!$A$1:$I$88,5,0)</f>
        <v>170.352</v>
      </c>
      <c r="CA69" s="14">
        <f t="shared" ref="CA69:CA132" si="93">EXP(-1.0587+0.8836*LN(BZ69)+0.284)</f>
        <v>43.168850382694451</v>
      </c>
      <c r="CB69" s="22">
        <f t="shared" si="64"/>
        <v>371.88214774985948</v>
      </c>
      <c r="CC69" s="60">
        <f t="shared" si="65"/>
        <v>665.2154810831928</v>
      </c>
      <c r="CD69" s="60">
        <f ca="1">AVERAGE(OFFSET($CC$3,0,0,'Données projet'!$E$12+1,1))-AVERAGE(OFFSET($H$3,0,0,'Données projet'!$E$12+1,1))</f>
        <v>104.00159056395933</v>
      </c>
      <c r="CE69" s="60">
        <f t="shared" ref="CE69:CE132" si="94">$CE$3</f>
        <v>115.86489547584461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12.888794604979548</v>
      </c>
      <c r="CL69" s="23">
        <f>EXP(-LN(2)/25)*CL68+(1-EXP(-LN(2)/25))/(LN(2)/25)*Calculateur!CG69*Calculateur!CI69*VLOOKUP('Données projet'!$B$12,Paramètres!$A$1:$I$88,3,0)*0.475*44/12</f>
        <v>11.285758661430219</v>
      </c>
      <c r="CM69" s="23">
        <f>EXP(-LN(2)/2)*CM68+(1-EXP(-LN(2)/2))/(LN(2)/2)*CG69*CJ69*VLOOKUP('Données projet'!$B$12,Paramètres!$A$1:$I$88,3,0)*0.475*44/12</f>
        <v>0.48910260902739938</v>
      </c>
      <c r="CN69" s="24">
        <f t="shared" si="66"/>
        <v>24.663655875437165</v>
      </c>
      <c r="CO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projet'!$B$13,Paramètres!$A$1:$I$88,3,0)*VLOOKUP('Données projet'!$B$13,Paramètres!$A$1:$I$88,5,0)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0" t="e">
        <f t="shared" si="68"/>
        <v>#N/A</v>
      </c>
      <c r="CY69" s="60" t="e">
        <f ca="1">AVERAGE(OFFSET($CX$3,0,0,'Données projet'!$E$13+1,1))-AVERAGE(OFFSET($H$3,0,0,'Données projet'!$E$13+1,1))</f>
        <v>#N/A</v>
      </c>
      <c r="CZ69" s="60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projet'!$B$13,Paramètres!$A$1:$I$88,3,0)*0.475*44/12</f>
        <v>#N/A</v>
      </c>
      <c r="DG69" s="23" t="e">
        <f>EXP(-LN(2)/25)*DG68+(1-EXP(-LN(2)/25))/(LN(2)/25)*Calculateur!DB69*Calculateur!DD69*VLOOKUP('Données projet'!$B$13,Paramètres!$A$1:$I$88,3,0)*0.475*44/12</f>
        <v>#N/A</v>
      </c>
      <c r="DH69" s="23" t="e">
        <f>EXP(-LN(2)/2)*DH68+(1-EXP(-LN(2)/2))/(LN(2)/2)*DB69*DE69*VLOOKUP('Données projet'!$B$13,Paramètres!$A$1:$I$88,3,0)*0.475*44/12</f>
        <v>#N/A</v>
      </c>
      <c r="DI69" s="24" t="e">
        <f t="shared" si="69"/>
        <v>#N/A</v>
      </c>
      <c r="DJ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0" t="e">
        <f t="shared" si="71"/>
        <v>#N/A</v>
      </c>
      <c r="DT69" s="60" t="e">
        <f ca="1">AVERAGE(OFFSET($DS$3,0,0,'Données projet'!$E$14+1,1))-AVERAGE(OFFSET($H$3,0,0,'Données projet'!$E$14+1,1))</f>
        <v>#N/A</v>
      </c>
      <c r="DU69" s="60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4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59.576400000000064</v>
      </c>
      <c r="D70" s="12">
        <f t="shared" si="86"/>
        <v>17.061125519726964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4.5474735088646412E-13</v>
      </c>
      <c r="O70" s="14">
        <f>N70*VLOOKUP('Données projet'!$B$9,Paramètres!$A$1:$I$88,3,0)*VLOOKUP('Données projet'!$B$9,Paramètres!$A$1:$I$88,5,0)</f>
        <v>2.7193891583010558E-13</v>
      </c>
      <c r="P70" s="14">
        <f t="shared" si="87"/>
        <v>3.6362267729089988E-12</v>
      </c>
      <c r="Q70" s="22">
        <f t="shared" si="54"/>
        <v>6.8067219078872727E-12</v>
      </c>
      <c r="R70" s="60">
        <f t="shared" si="55"/>
        <v>293.33333333334014</v>
      </c>
      <c r="S70" s="60">
        <f ca="1">AVERAGE(OFFSET($R$3,0,0,'Données projet'!$E$9+1,1))-AVERAGE(OFFSET($H$3,0,0,'Données projet'!$E$9+1,1))</f>
        <v>181.84907943028196</v>
      </c>
      <c r="T70" s="60">
        <f t="shared" si="88"/>
        <v>199.66849909069458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113.26387888413596</v>
      </c>
      <c r="AA70" s="23">
        <f>EXP(-LN(2)/25)*AA69+(1-EXP(-LN(2)/25))/(LN(2)/25)*Calculateur!V70*Calculateur!X70*VLOOKUP('Données projet'!$B$9,Paramètres!$A$1:$I$88,3,0)*0.475*44/12</f>
        <v>25.03107365156146</v>
      </c>
      <c r="AB70" s="23">
        <f>EXP(-LN(2)/2)*AB69+(1-EXP(-LN(2)/2))/(LN(2)/2)*V70*Y70*VLOOKUP('Données projet'!$B$9,Paramètres!$A$1:$I$88,3,0)*0.475*44/12</f>
        <v>2.101266774597752</v>
      </c>
      <c r="AC70" s="24">
        <f t="shared" si="57"/>
        <v>140.39621931029518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projet'!$B$10,Paramètres!$A$1:$I$88,3,0)*VLOOKUP('Données projet'!$B$10,Paramètres!$A$1:$I$88,5,0)</f>
        <v>0</v>
      </c>
      <c r="AK70" s="14" t="e">
        <f t="shared" si="89"/>
        <v>#NUM!</v>
      </c>
      <c r="AL70" s="22" t="e">
        <f t="shared" si="58"/>
        <v>#NUM!</v>
      </c>
      <c r="AM70" s="60" t="e">
        <f t="shared" si="59"/>
        <v>#NUM!</v>
      </c>
      <c r="AN70" s="60">
        <f ca="1">AVERAGE(OFFSET($AM$3,0,0,'Données projet'!$E$10+1,1))-AVERAGE(OFFSET($H$3,0,0,'Données projet'!$E$10+1,1))</f>
        <v>55.581964048431473</v>
      </c>
      <c r="AO70" s="60">
        <f t="shared" si="90"/>
        <v>91.067506141193803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21.188534450014135</v>
      </c>
      <c r="AV70" s="23">
        <f>EXP(-LN(2)/25)*AV69+(1-EXP(-LN(2)/25))/(LN(2)/25)*Calculateur!AQ70*Calculateur!AS70*VLOOKUP('Données projet'!$B$10,Paramètres!$A$1:$I$88,3,0)*0.475*44/12</f>
        <v>0</v>
      </c>
      <c r="AW70" s="23">
        <f>EXP(-LN(2)/2)*AW69+(1-EXP(-LN(2)/2))/(LN(2)/2)*AQ70*AT70*VLOOKUP('Données projet'!$B$10,Paramètres!$A$1:$I$88,3,0)*0.475*44/12</f>
        <v>0</v>
      </c>
      <c r="AX70" s="23">
        <f t="shared" si="60"/>
        <v>21.188534450014135</v>
      </c>
      <c r="AY70" s="7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4.875</v>
      </c>
      <c r="BD70" s="13">
        <f>IF('Données projet'!$A$88&gt;35,BD69+BC70-BL69,IF(A70&lt;'Données projet'!$A$88,$BA$205^A70,IF(A70='Données projet'!$A$88,'Données projet'!$B$88,BD69+BC70-BL69)))</f>
        <v>119.62500000000014</v>
      </c>
      <c r="BE70" s="14">
        <f>BD70*VLOOKUP('Données projet'!$B$11,Paramètres!$A$1:$I$88,3,0)*VLOOKUP('Données projet'!$B$11,Paramètres!$A$1:$I$88,5,0)</f>
        <v>121.29975000000015</v>
      </c>
      <c r="BF70" s="14">
        <f t="shared" si="91"/>
        <v>31.977954306784234</v>
      </c>
      <c r="BG70" s="22">
        <f t="shared" si="61"/>
        <v>266.95866833431609</v>
      </c>
      <c r="BH70" s="60">
        <f t="shared" si="62"/>
        <v>560.2920016676494</v>
      </c>
      <c r="BI70" s="60">
        <f ca="1">AVERAGE(OFFSET($BH$3,0,0,'Données projet'!$E$11+1,1))-AVERAGE(OFFSET($H$3,0,0,'Données projet'!$E$11+1,1))</f>
        <v>178.29366134936788</v>
      </c>
      <c r="BJ70" s="60">
        <f t="shared" si="92"/>
        <v>85.818195717787148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4.0311017137003242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4.0311017137003242</v>
      </c>
      <c r="BT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9</v>
      </c>
      <c r="BY70" s="13">
        <f>IF('Données projet'!$A$114&gt;35,BY69+BX70-CG69,IF(A70&lt;'Données projet'!$A$114,$BV$205^A70,IF(A70='Données projet'!$A$114,'Données projet'!$B$114,BY69+BX70-CG69)))</f>
        <v>373</v>
      </c>
      <c r="BZ70" s="14">
        <f>BY70*VLOOKUP('Données projet'!$B$12,Paramètres!$A$1:$I$88,3,0)*VLOOKUP('Données projet'!$B$12,Paramètres!$A$1:$I$88,5,0)</f>
        <v>174.56400000000002</v>
      </c>
      <c r="CA70" s="14">
        <f t="shared" si="93"/>
        <v>44.110626333127961</v>
      </c>
      <c r="CB70" s="22">
        <f t="shared" si="64"/>
        <v>380.85830753019786</v>
      </c>
      <c r="CC70" s="60">
        <f t="shared" si="65"/>
        <v>674.19164086353112</v>
      </c>
      <c r="CD70" s="60">
        <f ca="1">AVERAGE(OFFSET($CC$3,0,0,'Données projet'!$E$12+1,1))-AVERAGE(OFFSET($H$3,0,0,'Données projet'!$E$12+1,1))</f>
        <v>104.00159056395933</v>
      </c>
      <c r="CE70" s="60">
        <f t="shared" si="94"/>
        <v>115.86489547584461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12.636053204164361</v>
      </c>
      <c r="CL70" s="23">
        <f>EXP(-LN(2)/25)*CL69+(1-EXP(-LN(2)/25))/(LN(2)/25)*Calculateur!CG70*Calculateur!CI70*VLOOKUP('Données projet'!$B$12,Paramètres!$A$1:$I$88,3,0)*0.475*44/12</f>
        <v>10.977148997341155</v>
      </c>
      <c r="CM70" s="23">
        <f>EXP(-LN(2)/2)*CM69+(1-EXP(-LN(2)/2))/(LN(2)/2)*CG70*CJ70*VLOOKUP('Données projet'!$B$12,Paramètres!$A$1:$I$88,3,0)*0.475*44/12</f>
        <v>0.34584777153930685</v>
      </c>
      <c r="CN70" s="24">
        <f t="shared" si="66"/>
        <v>23.959049973044824</v>
      </c>
      <c r="CO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projet'!$B$13,Paramètres!$A$1:$I$88,3,0)*VLOOKUP('Données projet'!$B$13,Paramètres!$A$1:$I$88,5,0)</f>
        <v>#N/A</v>
      </c>
      <c r="CV70" s="14" t="e">
        <f t="shared" si="95"/>
        <v>#N/A</v>
      </c>
      <c r="CW70" s="22" t="e">
        <f t="shared" si="67"/>
        <v>#N/A</v>
      </c>
      <c r="CX70" s="60" t="e">
        <f t="shared" si="68"/>
        <v>#N/A</v>
      </c>
      <c r="CY70" s="60" t="e">
        <f ca="1">AVERAGE(OFFSET($CX$3,0,0,'Données projet'!$E$13+1,1))-AVERAGE(OFFSET($H$3,0,0,'Données projet'!$E$13+1,1))</f>
        <v>#N/A</v>
      </c>
      <c r="CZ70" s="60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projet'!$B$13,Paramètres!$A$1:$I$88,3,0)*0.475*44/12</f>
        <v>#N/A</v>
      </c>
      <c r="DG70" s="23" t="e">
        <f>EXP(-LN(2)/25)*DG69+(1-EXP(-LN(2)/25))/(LN(2)/25)*Calculateur!DB70*Calculateur!DD70*VLOOKUP('Données projet'!$B$13,Paramètres!$A$1:$I$88,3,0)*0.475*44/12</f>
        <v>#N/A</v>
      </c>
      <c r="DH70" s="23" t="e">
        <f>EXP(-LN(2)/2)*DH69+(1-EXP(-LN(2)/2))/(LN(2)/2)*DB70*DE70*VLOOKUP('Données projet'!$B$13,Paramètres!$A$1:$I$88,3,0)*0.475*44/12</f>
        <v>#N/A</v>
      </c>
      <c r="DI70" s="24" t="e">
        <f t="shared" si="69"/>
        <v>#N/A</v>
      </c>
      <c r="DJ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0" t="e">
        <f t="shared" si="71"/>
        <v>#N/A</v>
      </c>
      <c r="DT70" s="60" t="e">
        <f ca="1">AVERAGE(OFFSET($DS$3,0,0,'Données projet'!$E$14+1,1))-AVERAGE(OFFSET($H$3,0,0,'Données projet'!$E$14+1,1))</f>
        <v>#N/A</v>
      </c>
      <c r="DU70" s="60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4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60.465600000000066</v>
      </c>
      <c r="D71" s="12">
        <f t="shared" si="86"/>
        <v>17.285934288248221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4.5474735088646412E-13</v>
      </c>
      <c r="O71" s="14">
        <f>N71*VLOOKUP('Données projet'!$B$9,Paramètres!$A$1:$I$88,3,0)*VLOOKUP('Données projet'!$B$9,Paramètres!$A$1:$I$88,5,0)</f>
        <v>2.7193891583010558E-13</v>
      </c>
      <c r="P71" s="14">
        <f t="shared" si="87"/>
        <v>3.6362267729089988E-12</v>
      </c>
      <c r="Q71" s="22">
        <f t="shared" si="54"/>
        <v>6.8067219078872727E-12</v>
      </c>
      <c r="R71" s="60">
        <f t="shared" si="55"/>
        <v>293.33333333334014</v>
      </c>
      <c r="S71" s="60">
        <f ca="1">AVERAGE(OFFSET($R$3,0,0,'Données projet'!$E$9+1,1))-AVERAGE(OFFSET($H$3,0,0,'Données projet'!$E$9+1,1))</f>
        <v>181.84907943028196</v>
      </c>
      <c r="T71" s="60">
        <f t="shared" si="88"/>
        <v>199.66849909069458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111.04284330336269</v>
      </c>
      <c r="AA71" s="23">
        <f>EXP(-LN(2)/25)*AA70+(1-EXP(-LN(2)/25))/(LN(2)/25)*Calculateur!V71*Calculateur!X71*VLOOKUP('Données projet'!$B$9,Paramètres!$A$1:$I$88,3,0)*0.475*44/12</f>
        <v>24.346597626232558</v>
      </c>
      <c r="AB71" s="23">
        <f>EXP(-LN(2)/2)*AB70+(1-EXP(-LN(2)/2))/(LN(2)/2)*V71*Y71*VLOOKUP('Données projet'!$B$9,Paramètres!$A$1:$I$88,3,0)*0.475*44/12</f>
        <v>1.4858199854000551</v>
      </c>
      <c r="AC71" s="24">
        <f t="shared" si="57"/>
        <v>136.87526091499529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projet'!$B$10,Paramètres!$A$1:$I$88,3,0)*VLOOKUP('Données projet'!$B$10,Paramètres!$A$1:$I$88,5,0)</f>
        <v>0</v>
      </c>
      <c r="AK71" s="14" t="e">
        <f t="shared" si="89"/>
        <v>#NUM!</v>
      </c>
      <c r="AL71" s="22" t="e">
        <f t="shared" si="58"/>
        <v>#NUM!</v>
      </c>
      <c r="AM71" s="60" t="e">
        <f t="shared" si="59"/>
        <v>#NUM!</v>
      </c>
      <c r="AN71" s="60">
        <f ca="1">AVERAGE(OFFSET($AM$3,0,0,'Données projet'!$E$10+1,1))-AVERAGE(OFFSET($H$3,0,0,'Données projet'!$E$10+1,1))</f>
        <v>55.581964048431473</v>
      </c>
      <c r="AO71" s="60">
        <f t="shared" si="90"/>
        <v>91.067506141193803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20.773040213179261</v>
      </c>
      <c r="AV71" s="23">
        <f>EXP(-LN(2)/25)*AV70+(1-EXP(-LN(2)/25))/(LN(2)/25)*Calculateur!AQ71*Calculateur!AS71*VLOOKUP('Données projet'!$B$10,Paramètres!$A$1:$I$88,3,0)*0.475*44/12</f>
        <v>0</v>
      </c>
      <c r="AW71" s="23">
        <f>EXP(-LN(2)/2)*AW70+(1-EXP(-LN(2)/2))/(LN(2)/2)*AQ71*AT71*VLOOKUP('Données projet'!$B$10,Paramètres!$A$1:$I$88,3,0)*0.475*44/12</f>
        <v>0</v>
      </c>
      <c r="AX71" s="23">
        <f t="shared" si="60"/>
        <v>20.773040213179261</v>
      </c>
      <c r="AY71" s="7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4.875</v>
      </c>
      <c r="BD71" s="13">
        <f>IF('Données projet'!$A$88&gt;35,BD70+BC71-BL70,IF(A71&lt;'Données projet'!$A$88,$BA$205^A71,IF(A71='Données projet'!$A$88,'Données projet'!$B$88,BD70+BC71-BL70)))</f>
        <v>124.50000000000014</v>
      </c>
      <c r="BE71" s="14">
        <f>BD71*VLOOKUP('Données projet'!$B$11,Paramètres!$A$1:$I$88,3,0)*VLOOKUP('Données projet'!$B$11,Paramètres!$A$1:$I$88,5,0)</f>
        <v>126.24300000000015</v>
      </c>
      <c r="BF71" s="14">
        <f t="shared" si="91"/>
        <v>33.126750810981584</v>
      </c>
      <c r="BG71" s="22">
        <f t="shared" si="61"/>
        <v>277.56898266245986</v>
      </c>
      <c r="BH71" s="60">
        <f t="shared" si="62"/>
        <v>570.90231599579317</v>
      </c>
      <c r="BI71" s="60">
        <f ca="1">AVERAGE(OFFSET($BH$3,0,0,'Données projet'!$E$11+1,1))-AVERAGE(OFFSET($H$3,0,0,'Données projet'!$E$11+1,1))</f>
        <v>178.29366134936788</v>
      </c>
      <c r="BJ71" s="60">
        <f t="shared" si="92"/>
        <v>85.818195717787148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3.952054267823927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3.952054267823927</v>
      </c>
      <c r="BT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9</v>
      </c>
      <c r="BY71" s="13">
        <f>IF('Données projet'!$A$114&gt;35,BY70+BX71-CG70,IF(A71&lt;'Données projet'!$A$114,$BV$205^A71,IF(A71='Données projet'!$A$114,'Données projet'!$B$114,BY70+BX71-CG70)))</f>
        <v>382</v>
      </c>
      <c r="BZ71" s="14">
        <f>BY71*VLOOKUP('Données projet'!$B$12,Paramètres!$A$1:$I$88,3,0)*VLOOKUP('Données projet'!$B$12,Paramètres!$A$1:$I$88,5,0)</f>
        <v>178.77599999999998</v>
      </c>
      <c r="CA71" s="14">
        <f t="shared" si="93"/>
        <v>45.049760671368226</v>
      </c>
      <c r="CB71" s="22">
        <f t="shared" si="64"/>
        <v>389.82986650263297</v>
      </c>
      <c r="CC71" s="60">
        <f t="shared" si="65"/>
        <v>683.16319983596622</v>
      </c>
      <c r="CD71" s="60">
        <f ca="1">AVERAGE(OFFSET($CC$3,0,0,'Données projet'!$E$12+1,1))-AVERAGE(OFFSET($H$3,0,0,'Données projet'!$E$12+1,1))</f>
        <v>104.00159056395933</v>
      </c>
      <c r="CE71" s="60">
        <f t="shared" si="94"/>
        <v>115.86489547584461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12.388267908062126</v>
      </c>
      <c r="CL71" s="23">
        <f>EXP(-LN(2)/25)*CL70+(1-EXP(-LN(2)/25))/(LN(2)/25)*Calculateur!CG71*Calculateur!CI71*VLOOKUP('Données projet'!$B$12,Paramètres!$A$1:$I$88,3,0)*0.475*44/12</f>
        <v>10.676978280745685</v>
      </c>
      <c r="CM71" s="23">
        <f>EXP(-LN(2)/2)*CM70+(1-EXP(-LN(2)/2))/(LN(2)/2)*CG71*CJ71*VLOOKUP('Données projet'!$B$12,Paramètres!$A$1:$I$88,3,0)*0.475*44/12</f>
        <v>0.24455130451369975</v>
      </c>
      <c r="CN71" s="24">
        <f t="shared" si="66"/>
        <v>23.309797493321511</v>
      </c>
      <c r="CO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projet'!$B$13,Paramètres!$A$1:$I$88,3,0)*VLOOKUP('Données projet'!$B$13,Paramètres!$A$1:$I$88,5,0)</f>
        <v>#N/A</v>
      </c>
      <c r="CV71" s="14" t="e">
        <f t="shared" si="95"/>
        <v>#N/A</v>
      </c>
      <c r="CW71" s="22" t="e">
        <f t="shared" si="67"/>
        <v>#N/A</v>
      </c>
      <c r="CX71" s="60" t="e">
        <f t="shared" si="68"/>
        <v>#N/A</v>
      </c>
      <c r="CY71" s="60" t="e">
        <f ca="1">AVERAGE(OFFSET($CX$3,0,0,'Données projet'!$E$13+1,1))-AVERAGE(OFFSET($H$3,0,0,'Données projet'!$E$13+1,1))</f>
        <v>#N/A</v>
      </c>
      <c r="CZ71" s="60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projet'!$B$13,Paramètres!$A$1:$I$88,3,0)*0.475*44/12</f>
        <v>#N/A</v>
      </c>
      <c r="DG71" s="23" t="e">
        <f>EXP(-LN(2)/25)*DG70+(1-EXP(-LN(2)/25))/(LN(2)/25)*Calculateur!DB71*Calculateur!DD71*VLOOKUP('Données projet'!$B$13,Paramètres!$A$1:$I$88,3,0)*0.475*44/12</f>
        <v>#N/A</v>
      </c>
      <c r="DH71" s="23" t="e">
        <f>EXP(-LN(2)/2)*DH70+(1-EXP(-LN(2)/2))/(LN(2)/2)*DB71*DE71*VLOOKUP('Données projet'!$B$13,Paramètres!$A$1:$I$88,3,0)*0.475*44/12</f>
        <v>#N/A</v>
      </c>
      <c r="DI71" s="24" t="e">
        <f t="shared" si="69"/>
        <v>#N/A</v>
      </c>
      <c r="DJ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0" t="e">
        <f t="shared" si="71"/>
        <v>#N/A</v>
      </c>
      <c r="DT71" s="60" t="e">
        <f ca="1">AVERAGE(OFFSET($DS$3,0,0,'Données projet'!$E$14+1,1))-AVERAGE(OFFSET($H$3,0,0,'Données projet'!$E$14+1,1))</f>
        <v>#N/A</v>
      </c>
      <c r="DU71" s="60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4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61.354800000000068</v>
      </c>
      <c r="D72" s="12">
        <f t="shared" si="86"/>
        <v>17.510358551572637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4.5474735088646412E-13</v>
      </c>
      <c r="O72" s="14">
        <f>N72*VLOOKUP('Données projet'!$B$9,Paramètres!$A$1:$I$88,3,0)*VLOOKUP('Données projet'!$B$9,Paramètres!$A$1:$I$88,5,0)</f>
        <v>2.7193891583010558E-13</v>
      </c>
      <c r="P72" s="14">
        <f t="shared" si="87"/>
        <v>3.6362267729089988E-12</v>
      </c>
      <c r="Q72" s="22">
        <f t="shared" si="54"/>
        <v>6.8067219078872727E-12</v>
      </c>
      <c r="R72" s="60">
        <f t="shared" si="55"/>
        <v>293.33333333334014</v>
      </c>
      <c r="S72" s="60">
        <f ca="1">AVERAGE(OFFSET($R$3,0,0,'Données projet'!$E$9+1,1))-AVERAGE(OFFSET($H$3,0,0,'Données projet'!$E$9+1,1))</f>
        <v>181.84907943028196</v>
      </c>
      <c r="T72" s="60">
        <f t="shared" si="88"/>
        <v>199.66849909069458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108.86536087563043</v>
      </c>
      <c r="AA72" s="23">
        <f>EXP(-LN(2)/25)*AA71+(1-EXP(-LN(2)/25))/(LN(2)/25)*Calculateur!V72*Calculateur!X72*VLOOKUP('Données projet'!$B$9,Paramètres!$A$1:$I$88,3,0)*0.475*44/12</f>
        <v>23.680838633811305</v>
      </c>
      <c r="AB72" s="23">
        <f>EXP(-LN(2)/2)*AB71+(1-EXP(-LN(2)/2))/(LN(2)/2)*V72*Y72*VLOOKUP('Données projet'!$B$9,Paramètres!$A$1:$I$88,3,0)*0.475*44/12</f>
        <v>1.050633387298876</v>
      </c>
      <c r="AC72" s="24">
        <f t="shared" si="57"/>
        <v>133.59683289674064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projet'!$B$10,Paramètres!$A$1:$I$88,3,0)*VLOOKUP('Données projet'!$B$10,Paramètres!$A$1:$I$88,5,0)</f>
        <v>0</v>
      </c>
      <c r="AK72" s="14" t="e">
        <f t="shared" si="89"/>
        <v>#NUM!</v>
      </c>
      <c r="AL72" s="22" t="e">
        <f t="shared" si="58"/>
        <v>#NUM!</v>
      </c>
      <c r="AM72" s="60" t="e">
        <f t="shared" si="59"/>
        <v>#NUM!</v>
      </c>
      <c r="AN72" s="60">
        <f ca="1">AVERAGE(OFFSET($AM$3,0,0,'Données projet'!$E$10+1,1))-AVERAGE(OFFSET($H$3,0,0,'Données projet'!$E$10+1,1))</f>
        <v>55.581964048431473</v>
      </c>
      <c r="AO72" s="60">
        <f t="shared" si="90"/>
        <v>91.067506141193803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20.365693564902259</v>
      </c>
      <c r="AV72" s="23">
        <f>EXP(-LN(2)/25)*AV71+(1-EXP(-LN(2)/25))/(LN(2)/25)*Calculateur!AQ72*Calculateur!AS72*VLOOKUP('Données projet'!$B$10,Paramètres!$A$1:$I$88,3,0)*0.475*44/12</f>
        <v>0</v>
      </c>
      <c r="AW72" s="23">
        <f>EXP(-LN(2)/2)*AW71+(1-EXP(-LN(2)/2))/(LN(2)/2)*AQ72*AT72*VLOOKUP('Données projet'!$B$10,Paramètres!$A$1:$I$88,3,0)*0.475*44/12</f>
        <v>0</v>
      </c>
      <c r="AX72" s="23">
        <f t="shared" si="60"/>
        <v>20.365693564902259</v>
      </c>
      <c r="AY72" s="7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4.875</v>
      </c>
      <c r="BD72" s="13">
        <f>IF('Données projet'!$A$88&gt;35,BD71+BC72-BL71,IF(A72&lt;'Données projet'!$A$88,$BA$205^A72,IF(A72='Données projet'!$A$88,'Données projet'!$B$88,BD71+BC72-BL71)))</f>
        <v>129.37500000000014</v>
      </c>
      <c r="BE72" s="14">
        <f>BD72*VLOOKUP('Données projet'!$B$11,Paramètres!$A$1:$I$88,3,0)*VLOOKUP('Données projet'!$B$11,Paramètres!$A$1:$I$88,5,0)</f>
        <v>131.18625000000017</v>
      </c>
      <c r="BF72" s="14">
        <f t="shared" si="91"/>
        <v>34.270321798474747</v>
      </c>
      <c r="BG72" s="22">
        <f t="shared" si="61"/>
        <v>288.17019588234376</v>
      </c>
      <c r="BH72" s="60">
        <f t="shared" si="62"/>
        <v>581.50352921567708</v>
      </c>
      <c r="BI72" s="60">
        <f ca="1">AVERAGE(OFFSET($BH$3,0,0,'Données projet'!$E$11+1,1))-AVERAGE(OFFSET($H$3,0,0,'Données projet'!$E$11+1,1))</f>
        <v>178.29366134936788</v>
      </c>
      <c r="BJ72" s="60">
        <f t="shared" si="92"/>
        <v>85.818195717787148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3.8745568941469846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3.8745568941469846</v>
      </c>
      <c r="BT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9</v>
      </c>
      <c r="BY72" s="13">
        <f>IF('Données projet'!$A$114&gt;35,BY71+BX72-CG71,IF(A72&lt;'Données projet'!$A$114,$BV$205^A72,IF(A72='Données projet'!$A$114,'Données projet'!$B$114,BY71+BX72-CG71)))</f>
        <v>391</v>
      </c>
      <c r="BZ72" s="14">
        <f>BY72*VLOOKUP('Données projet'!$B$12,Paramètres!$A$1:$I$88,3,0)*VLOOKUP('Données projet'!$B$12,Paramètres!$A$1:$I$88,5,0)</f>
        <v>182.988</v>
      </c>
      <c r="CA72" s="14">
        <f t="shared" si="93"/>
        <v>45.986322796524831</v>
      </c>
      <c r="CB72" s="22">
        <f t="shared" si="64"/>
        <v>398.79694553728069</v>
      </c>
      <c r="CC72" s="60">
        <f t="shared" si="65"/>
        <v>692.13027887061401</v>
      </c>
      <c r="CD72" s="60">
        <f ca="1">AVERAGE(OFFSET($CC$3,0,0,'Données projet'!$E$12+1,1))-AVERAGE(OFFSET($H$3,0,0,'Données projet'!$E$12+1,1))</f>
        <v>104.00159056395933</v>
      </c>
      <c r="CE72" s="60">
        <f t="shared" si="94"/>
        <v>115.86489547584461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12.145341530482348</v>
      </c>
      <c r="CL72" s="23">
        <f>EXP(-LN(2)/25)*CL71+(1-EXP(-LN(2)/25))/(LN(2)/25)*Calculateur!CG72*Calculateur!CI72*VLOOKUP('Données projet'!$B$12,Paramètres!$A$1:$I$88,3,0)*0.475*44/12</f>
        <v>10.385015748180809</v>
      </c>
      <c r="CM72" s="23">
        <f>EXP(-LN(2)/2)*CM71+(1-EXP(-LN(2)/2))/(LN(2)/2)*CG72*CJ72*VLOOKUP('Données projet'!$B$12,Paramètres!$A$1:$I$88,3,0)*0.475*44/12</f>
        <v>0.17292388576965345</v>
      </c>
      <c r="CN72" s="24">
        <f t="shared" si="66"/>
        <v>22.703281164432809</v>
      </c>
      <c r="CO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projet'!$B$13,Paramètres!$A$1:$I$88,3,0)*VLOOKUP('Données projet'!$B$13,Paramètres!$A$1:$I$88,5,0)</f>
        <v>#N/A</v>
      </c>
      <c r="CV72" s="14" t="e">
        <f t="shared" si="95"/>
        <v>#N/A</v>
      </c>
      <c r="CW72" s="22" t="e">
        <f t="shared" si="67"/>
        <v>#N/A</v>
      </c>
      <c r="CX72" s="60" t="e">
        <f t="shared" si="68"/>
        <v>#N/A</v>
      </c>
      <c r="CY72" s="60" t="e">
        <f ca="1">AVERAGE(OFFSET($CX$3,0,0,'Données projet'!$E$13+1,1))-AVERAGE(OFFSET($H$3,0,0,'Données projet'!$E$13+1,1))</f>
        <v>#N/A</v>
      </c>
      <c r="CZ72" s="60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projet'!$B$13,Paramètres!$A$1:$I$88,3,0)*0.475*44/12</f>
        <v>#N/A</v>
      </c>
      <c r="DG72" s="23" t="e">
        <f>EXP(-LN(2)/25)*DG71+(1-EXP(-LN(2)/25))/(LN(2)/25)*Calculateur!DB72*Calculateur!DD72*VLOOKUP('Données projet'!$B$13,Paramètres!$A$1:$I$88,3,0)*0.475*44/12</f>
        <v>#N/A</v>
      </c>
      <c r="DH72" s="23" t="e">
        <f>EXP(-LN(2)/2)*DH71+(1-EXP(-LN(2)/2))/(LN(2)/2)*DB72*DE72*VLOOKUP('Données projet'!$B$13,Paramètres!$A$1:$I$88,3,0)*0.475*44/12</f>
        <v>#N/A</v>
      </c>
      <c r="DI72" s="24" t="e">
        <f t="shared" si="69"/>
        <v>#N/A</v>
      </c>
      <c r="DJ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0" t="e">
        <f t="shared" si="71"/>
        <v>#N/A</v>
      </c>
      <c r="DT72" s="60" t="e">
        <f ca="1">AVERAGE(OFFSET($DS$3,0,0,'Données projet'!$E$14+1,1))-AVERAGE(OFFSET($H$3,0,0,'Données projet'!$E$14+1,1))</f>
        <v>#N/A</v>
      </c>
      <c r="DU72" s="60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4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62.244000000000071</v>
      </c>
      <c r="D73" s="12">
        <f t="shared" si="86"/>
        <v>17.734404526076464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4.5474735088646412E-13</v>
      </c>
      <c r="O73" s="14">
        <f>N73*VLOOKUP('Données projet'!$B$9,Paramètres!$A$1:$I$88,3,0)*VLOOKUP('Données projet'!$B$9,Paramètres!$A$1:$I$88,5,0)</f>
        <v>2.7193891583010558E-13</v>
      </c>
      <c r="P73" s="14">
        <f t="shared" si="87"/>
        <v>3.6362267729089988E-12</v>
      </c>
      <c r="Q73" s="22">
        <f t="shared" si="54"/>
        <v>6.8067219078872727E-12</v>
      </c>
      <c r="R73" s="60">
        <f t="shared" si="55"/>
        <v>293.33333333334014</v>
      </c>
      <c r="S73" s="60">
        <f ca="1">AVERAGE(OFFSET($R$3,0,0,'Données projet'!$E$9+1,1))-AVERAGE(OFFSET($H$3,0,0,'Données projet'!$E$9+1,1))</f>
        <v>181.84907943028196</v>
      </c>
      <c r="T73" s="60">
        <f t="shared" si="88"/>
        <v>199.66849909069458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106.73057755017287</v>
      </c>
      <c r="AA73" s="23">
        <f>EXP(-LN(2)/25)*AA72+(1-EXP(-LN(2)/25))/(LN(2)/25)*Calculateur!V73*Calculateur!X73*VLOOKUP('Données projet'!$B$9,Paramètres!$A$1:$I$88,3,0)*0.475*44/12</f>
        <v>23.033284856048553</v>
      </c>
      <c r="AB73" s="23">
        <f>EXP(-LN(2)/2)*AB72+(1-EXP(-LN(2)/2))/(LN(2)/2)*V73*Y73*VLOOKUP('Données projet'!$B$9,Paramètres!$A$1:$I$88,3,0)*0.475*44/12</f>
        <v>0.74290999270002755</v>
      </c>
      <c r="AC73" s="24">
        <f t="shared" si="57"/>
        <v>130.50677239892144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projet'!$B$10,Paramètres!$A$1:$I$88,3,0)*VLOOKUP('Données projet'!$B$10,Paramètres!$A$1:$I$88,5,0)</f>
        <v>0</v>
      </c>
      <c r="AK73" s="14" t="e">
        <f t="shared" si="89"/>
        <v>#NUM!</v>
      </c>
      <c r="AL73" s="22" t="e">
        <f t="shared" si="58"/>
        <v>#NUM!</v>
      </c>
      <c r="AM73" s="60" t="e">
        <f t="shared" si="59"/>
        <v>#NUM!</v>
      </c>
      <c r="AN73" s="60">
        <f ca="1">AVERAGE(OFFSET($AM$3,0,0,'Données projet'!$E$10+1,1))-AVERAGE(OFFSET($H$3,0,0,'Données projet'!$E$10+1,1))</f>
        <v>55.581964048431473</v>
      </c>
      <c r="AO73" s="60">
        <f t="shared" si="90"/>
        <v>91.067506141193803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19.966334735941043</v>
      </c>
      <c r="AV73" s="23">
        <f>EXP(-LN(2)/25)*AV72+(1-EXP(-LN(2)/25))/(LN(2)/25)*Calculateur!AQ73*Calculateur!AS73*VLOOKUP('Données projet'!$B$10,Paramètres!$A$1:$I$88,3,0)*0.475*44/12</f>
        <v>0</v>
      </c>
      <c r="AW73" s="23">
        <f>EXP(-LN(2)/2)*AW72+(1-EXP(-LN(2)/2))/(LN(2)/2)*AQ73*AT73*VLOOKUP('Données projet'!$B$10,Paramètres!$A$1:$I$88,3,0)*0.475*44/12</f>
        <v>0</v>
      </c>
      <c r="AX73" s="23">
        <f t="shared" si="60"/>
        <v>19.966334735941043</v>
      </c>
      <c r="AY73" s="7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4.875</v>
      </c>
      <c r="BD73" s="13">
        <f>IF('Données projet'!$A$88&gt;35,BD72+BC73-BL72,IF(A73&lt;'Données projet'!$A$88,$BA$205^A73,IF(A73='Données projet'!$A$88,'Données projet'!$B$88,BD72+BC73-BL72)))</f>
        <v>134.25000000000014</v>
      </c>
      <c r="BE73" s="14">
        <f>BD73*VLOOKUP('Données projet'!$B$11,Paramètres!$A$1:$I$88,3,0)*VLOOKUP('Données projet'!$B$11,Paramètres!$A$1:$I$88,5,0)</f>
        <v>136.12950000000018</v>
      </c>
      <c r="BF73" s="14">
        <f t="shared" si="91"/>
        <v>35.408886716690795</v>
      </c>
      <c r="BG73" s="22">
        <f t="shared" si="61"/>
        <v>298.76269019823678</v>
      </c>
      <c r="BH73" s="60">
        <f t="shared" si="62"/>
        <v>592.09602353157015</v>
      </c>
      <c r="BI73" s="60">
        <f ca="1">AVERAGE(OFFSET($BH$3,0,0,'Données projet'!$E$11+1,1))-AVERAGE(OFFSET($H$3,0,0,'Données projet'!$E$11+1,1))</f>
        <v>178.29366134936788</v>
      </c>
      <c r="BJ73" s="60">
        <f t="shared" si="92"/>
        <v>85.818195717787148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3.7985791966991163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3.7985791966991163</v>
      </c>
      <c r="BT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400</v>
      </c>
      <c r="BW73" s="13">
        <f>VLOOKUP(A73,'Données projet'!$A$113:$I$133,9,0)</f>
        <v>9</v>
      </c>
      <c r="BX73" s="13">
        <f t="array" ref="BX73">INDEX(BW:BW,MIN(IF(ISNUMBER(BW73:BW269),ROW(BW73:BW269),"")))</f>
        <v>9</v>
      </c>
      <c r="BY73" s="13">
        <f>IF('Données projet'!$A$114&gt;35,BY72+BX73-CG72,IF(A73&lt;'Données projet'!$A$114,$BV$205^A73,IF(A73='Données projet'!$A$114,'Données projet'!$B$114,BY72+BX73-CG72)))</f>
        <v>400</v>
      </c>
      <c r="BZ73" s="14">
        <f>BY73*VLOOKUP('Données projet'!$B$12,Paramètres!$A$1:$I$88,3,0)*VLOOKUP('Données projet'!$B$12,Paramètres!$A$1:$I$88,5,0)</f>
        <v>187.20000000000002</v>
      </c>
      <c r="CA73" s="14">
        <f t="shared" si="93"/>
        <v>46.920378730551299</v>
      </c>
      <c r="CB73" s="22">
        <f t="shared" si="64"/>
        <v>407.75965962237683</v>
      </c>
      <c r="CC73" s="60">
        <f t="shared" si="65"/>
        <v>701.09299295571009</v>
      </c>
      <c r="CD73" s="60">
        <f ca="1">AVERAGE(OFFSET($CC$3,0,0,'Données projet'!$E$12+1,1))-AVERAGE(OFFSET($H$3,0,0,'Données projet'!$E$12+1,1))</f>
        <v>104.00159056395933</v>
      </c>
      <c r="CE73" s="60">
        <f t="shared" si="94"/>
        <v>115.86489547584461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400</v>
      </c>
      <c r="CH73" s="17">
        <f>IF(ISNA(VLOOKUP(A73,'Données projet'!$A$113:$I$133,5,0)),0%,VLOOKUP(A73,'Données projet'!$A$113:$I$133,5,0)*VLOOKUP('Données projet'!$B$12,Paramètres!$A$1:$I$88,7,0))</f>
        <v>0.44000000000000006</v>
      </c>
      <c r="CI73" s="17">
        <f>IF(ISNA(VLOOKUP(A73,'Données projet'!$A$113:$I$133,6,0)),0%,VLOOKUP(A73,'Données projet'!$A$113:$I$133,6,0)*VLOOKUP('Données projet'!$B$12,Paramètres!$A$1:$I$88,7,0))</f>
        <v>6.0500000000000005E-2</v>
      </c>
      <c r="CJ73" s="17">
        <f>IF(ISNA(VLOOKUP(A73,'Données projet'!$A$113:$I$133,7,0)),0%,VLOOKUP(A73,'Données projet'!$A$113:$I$133,7,0))</f>
        <v>0.09</v>
      </c>
      <c r="CK73" s="23">
        <f>EXP(-LN(2)/35)*CK72+(1-EXP(-LN(2)/35))/(LN(2)/35)*CG73*CH73*VLOOKUP('Données projet'!$B$12,Paramètres!$A$1:$I$88,3,0)*0.475*44/12</f>
        <v>121.17363985664052</v>
      </c>
      <c r="CL73" s="23">
        <f>EXP(-LN(2)/25)*CL72+(1-EXP(-LN(2)/25))/(LN(2)/25)*Calculateur!CG73*Calculateur!CI73*VLOOKUP('Données projet'!$B$12,Paramètres!$A$1:$I$88,3,0)*0.475*44/12</f>
        <v>25.066019585435964</v>
      </c>
      <c r="CM73" s="23">
        <f>EXP(-LN(2)/2)*CM72+(1-EXP(-LN(2)/2))/(LN(2)/2)*CG73*CJ73*VLOOKUP('Données projet'!$B$12,Paramètres!$A$1:$I$88,3,0)*0.475*44/12</f>
        <v>19.198125400982743</v>
      </c>
      <c r="CN73" s="24">
        <f t="shared" si="66"/>
        <v>165.43778484305923</v>
      </c>
      <c r="CO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projet'!$B$13,Paramètres!$A$1:$I$88,3,0)*VLOOKUP('Données projet'!$B$13,Paramètres!$A$1:$I$88,5,0)</f>
        <v>#N/A</v>
      </c>
      <c r="CV73" s="14" t="e">
        <f t="shared" si="95"/>
        <v>#N/A</v>
      </c>
      <c r="CW73" s="22" t="e">
        <f t="shared" si="67"/>
        <v>#N/A</v>
      </c>
      <c r="CX73" s="60" t="e">
        <f t="shared" si="68"/>
        <v>#N/A</v>
      </c>
      <c r="CY73" s="60" t="e">
        <f ca="1">AVERAGE(OFFSET($CX$3,0,0,'Données projet'!$E$13+1,1))-AVERAGE(OFFSET($H$3,0,0,'Données projet'!$E$13+1,1))</f>
        <v>#N/A</v>
      </c>
      <c r="CZ73" s="60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projet'!$B$13,Paramètres!$A$1:$I$88,3,0)*0.475*44/12</f>
        <v>#N/A</v>
      </c>
      <c r="DG73" s="23" t="e">
        <f>EXP(-LN(2)/25)*DG72+(1-EXP(-LN(2)/25))/(LN(2)/25)*Calculateur!DB73*Calculateur!DD73*VLOOKUP('Données projet'!$B$13,Paramètres!$A$1:$I$88,3,0)*0.475*44/12</f>
        <v>#N/A</v>
      </c>
      <c r="DH73" s="23" t="e">
        <f>EXP(-LN(2)/2)*DH72+(1-EXP(-LN(2)/2))/(LN(2)/2)*DB73*DE73*VLOOKUP('Données projet'!$B$13,Paramètres!$A$1:$I$88,3,0)*0.475*44/12</f>
        <v>#N/A</v>
      </c>
      <c r="DI73" s="24" t="e">
        <f t="shared" si="69"/>
        <v>#N/A</v>
      </c>
      <c r="DJ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0" t="e">
        <f t="shared" si="71"/>
        <v>#N/A</v>
      </c>
      <c r="DT73" s="60" t="e">
        <f ca="1">AVERAGE(OFFSET($DS$3,0,0,'Données projet'!$E$14+1,1))-AVERAGE(OFFSET($H$3,0,0,'Données projet'!$E$14+1,1))</f>
        <v>#N/A</v>
      </c>
      <c r="DU73" s="60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4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63.133200000000073</v>
      </c>
      <c r="D74" s="12">
        <f t="shared" si="86"/>
        <v>17.958078240325332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4.5474735088646412E-13</v>
      </c>
      <c r="O74" s="14">
        <f>N74*VLOOKUP('Données projet'!$B$9,Paramètres!$A$1:$I$88,3,0)*VLOOKUP('Données projet'!$B$9,Paramètres!$A$1:$I$88,5,0)</f>
        <v>2.7193891583010558E-13</v>
      </c>
      <c r="P74" s="14">
        <f t="shared" si="87"/>
        <v>3.6362267729089988E-12</v>
      </c>
      <c r="Q74" s="22">
        <f t="shared" si="54"/>
        <v>6.8067219078872727E-12</v>
      </c>
      <c r="R74" s="60">
        <f t="shared" si="55"/>
        <v>293.33333333334014</v>
      </c>
      <c r="S74" s="60">
        <f ca="1">AVERAGE(OFFSET($R$3,0,0,'Données projet'!$E$9+1,1))-AVERAGE(OFFSET($H$3,0,0,'Données projet'!$E$9+1,1))</f>
        <v>181.84907943028196</v>
      </c>
      <c r="T74" s="60">
        <f t="shared" si="88"/>
        <v>199.66849909069458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104.63765602363827</v>
      </c>
      <c r="AA74" s="23">
        <f>EXP(-LN(2)/25)*AA73+(1-EXP(-LN(2)/25))/(LN(2)/25)*Calculateur!V74*Calculateur!X74*VLOOKUP('Données projet'!$B$9,Paramètres!$A$1:$I$88,3,0)*0.475*44/12</f>
        <v>22.403438470392096</v>
      </c>
      <c r="AB74" s="23">
        <f>EXP(-LN(2)/2)*AB73+(1-EXP(-LN(2)/2))/(LN(2)/2)*V74*Y74*VLOOKUP('Données projet'!$B$9,Paramètres!$A$1:$I$88,3,0)*0.475*44/12</f>
        <v>0.525316693649438</v>
      </c>
      <c r="AC74" s="24">
        <f t="shared" si="57"/>
        <v>127.56641118767982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projet'!$B$10,Paramètres!$A$1:$I$88,3,0)*VLOOKUP('Données projet'!$B$10,Paramètres!$A$1:$I$88,5,0)</f>
        <v>0</v>
      </c>
      <c r="AK74" s="14" t="e">
        <f t="shared" si="89"/>
        <v>#NUM!</v>
      </c>
      <c r="AL74" s="22" t="e">
        <f t="shared" si="58"/>
        <v>#NUM!</v>
      </c>
      <c r="AM74" s="60" t="e">
        <f t="shared" si="59"/>
        <v>#NUM!</v>
      </c>
      <c r="AN74" s="60">
        <f ca="1">AVERAGE(OFFSET($AM$3,0,0,'Données projet'!$E$10+1,1))-AVERAGE(OFFSET($H$3,0,0,'Données projet'!$E$10+1,1))</f>
        <v>55.581964048431473</v>
      </c>
      <c r="AO74" s="60">
        <f t="shared" si="90"/>
        <v>91.067506141193803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19.574807090030923</v>
      </c>
      <c r="AV74" s="23">
        <f>EXP(-LN(2)/25)*AV73+(1-EXP(-LN(2)/25))/(LN(2)/25)*Calculateur!AQ74*Calculateur!AS74*VLOOKUP('Données projet'!$B$10,Paramètres!$A$1:$I$88,3,0)*0.475*44/12</f>
        <v>0</v>
      </c>
      <c r="AW74" s="23">
        <f>EXP(-LN(2)/2)*AW73+(1-EXP(-LN(2)/2))/(LN(2)/2)*AQ74*AT74*VLOOKUP('Données projet'!$B$10,Paramètres!$A$1:$I$88,3,0)*0.475*44/12</f>
        <v>0</v>
      </c>
      <c r="AX74" s="23">
        <f t="shared" si="60"/>
        <v>19.574807090030923</v>
      </c>
      <c r="AY74" s="7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4.875</v>
      </c>
      <c r="BD74" s="13">
        <f>IF('Données projet'!$A$88&gt;35,BD73+BC74-BL73,IF(A74&lt;'Données projet'!$A$88,$BA$205^A74,IF(A74='Données projet'!$A$88,'Données projet'!$B$88,BD73+BC74-BL73)))</f>
        <v>139.12500000000014</v>
      </c>
      <c r="BE74" s="14">
        <f>BD74*VLOOKUP('Données projet'!$B$11,Paramètres!$A$1:$I$88,3,0)*VLOOKUP('Données projet'!$B$11,Paramètres!$A$1:$I$88,5,0)</f>
        <v>141.07275000000016</v>
      </c>
      <c r="BF74" s="14">
        <f t="shared" si="91"/>
        <v>36.542648172273218</v>
      </c>
      <c r="BG74" s="22">
        <f t="shared" si="61"/>
        <v>309.34681848337613</v>
      </c>
      <c r="BH74" s="60">
        <f t="shared" si="62"/>
        <v>602.68015181670944</v>
      </c>
      <c r="BI74" s="60">
        <f ca="1">AVERAGE(OFFSET($BH$3,0,0,'Données projet'!$E$11+1,1))-AVERAGE(OFFSET($H$3,0,0,'Données projet'!$E$11+1,1))</f>
        <v>178.29366134936788</v>
      </c>
      <c r="BJ74" s="60">
        <f t="shared" si="92"/>
        <v>85.818195717787148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3.7240913755563811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3.7240913755563811</v>
      </c>
      <c r="BT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>
        <f>BY74*VLOOKUP('Données projet'!$B$12,Paramètres!$A$1:$I$88,3,0)*VLOOKUP('Données projet'!$B$12,Paramètres!$A$1:$I$88,5,0)</f>
        <v>0</v>
      </c>
      <c r="CA74" s="14" t="e">
        <f t="shared" si="93"/>
        <v>#NUM!</v>
      </c>
      <c r="CB74" s="22" t="e">
        <f t="shared" si="64"/>
        <v>#NUM!</v>
      </c>
      <c r="CC74" s="60" t="e">
        <f t="shared" si="65"/>
        <v>#NUM!</v>
      </c>
      <c r="CD74" s="60">
        <f ca="1">AVERAGE(OFFSET($CC$3,0,0,'Données projet'!$E$12+1,1))-AVERAGE(OFFSET($H$3,0,0,'Données projet'!$E$12+1,1))</f>
        <v>104.00159056395933</v>
      </c>
      <c r="CE74" s="60">
        <f t="shared" si="94"/>
        <v>115.86489547584461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118.79749868767423</v>
      </c>
      <c r="CL74" s="23">
        <f>EXP(-LN(2)/25)*CL73+(1-EXP(-LN(2)/25))/(LN(2)/25)*Calculateur!CG74*Calculateur!CI74*VLOOKUP('Données projet'!$B$12,Paramètres!$A$1:$I$88,3,0)*0.475*44/12</f>
        <v>24.380587961707537</v>
      </c>
      <c r="CM74" s="23">
        <f>EXP(-LN(2)/2)*CM73+(1-EXP(-LN(2)/2))/(LN(2)/2)*CG74*CJ74*VLOOKUP('Données projet'!$B$12,Paramètres!$A$1:$I$88,3,0)*0.475*44/12</f>
        <v>13.575124657104606</v>
      </c>
      <c r="CN74" s="24">
        <f t="shared" si="66"/>
        <v>156.75321130648638</v>
      </c>
      <c r="CO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projet'!$B$13,Paramètres!$A$1:$I$88,3,0)*VLOOKUP('Données projet'!$B$13,Paramètres!$A$1:$I$88,5,0)</f>
        <v>#N/A</v>
      </c>
      <c r="CV74" s="14" t="e">
        <f t="shared" si="95"/>
        <v>#N/A</v>
      </c>
      <c r="CW74" s="22" t="e">
        <f t="shared" si="67"/>
        <v>#N/A</v>
      </c>
      <c r="CX74" s="60" t="e">
        <f t="shared" si="68"/>
        <v>#N/A</v>
      </c>
      <c r="CY74" s="60" t="e">
        <f ca="1">AVERAGE(OFFSET($CX$3,0,0,'Données projet'!$E$13+1,1))-AVERAGE(OFFSET($H$3,0,0,'Données projet'!$E$13+1,1))</f>
        <v>#N/A</v>
      </c>
      <c r="CZ74" s="60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projet'!$B$13,Paramètres!$A$1:$I$88,3,0)*0.475*44/12</f>
        <v>#N/A</v>
      </c>
      <c r="DG74" s="23" t="e">
        <f>EXP(-LN(2)/25)*DG73+(1-EXP(-LN(2)/25))/(LN(2)/25)*Calculateur!DB74*Calculateur!DD74*VLOOKUP('Données projet'!$B$13,Paramètres!$A$1:$I$88,3,0)*0.475*44/12</f>
        <v>#N/A</v>
      </c>
      <c r="DH74" s="23" t="e">
        <f>EXP(-LN(2)/2)*DH73+(1-EXP(-LN(2)/2))/(LN(2)/2)*DB74*DE74*VLOOKUP('Données projet'!$B$13,Paramètres!$A$1:$I$88,3,0)*0.475*44/12</f>
        <v>#N/A</v>
      </c>
      <c r="DI74" s="24" t="e">
        <f t="shared" si="69"/>
        <v>#N/A</v>
      </c>
      <c r="DJ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0" t="e">
        <f t="shared" si="71"/>
        <v>#N/A</v>
      </c>
      <c r="DT74" s="60" t="e">
        <f ca="1">AVERAGE(OFFSET($DS$3,0,0,'Données projet'!$E$14+1,1))-AVERAGE(OFFSET($H$3,0,0,'Données projet'!$E$14+1,1))</f>
        <v>#N/A</v>
      </c>
      <c r="DU74" s="60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4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64.022400000000076</v>
      </c>
      <c r="D75" s="12">
        <f t="shared" si="86"/>
        <v>18.181385543312256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4.5474735088646412E-13</v>
      </c>
      <c r="O75" s="14">
        <f>N75*VLOOKUP('Données projet'!$B$9,Paramètres!$A$1:$I$88,3,0)*VLOOKUP('Données projet'!$B$9,Paramètres!$A$1:$I$88,5,0)</f>
        <v>2.7193891583010558E-13</v>
      </c>
      <c r="P75" s="14">
        <f t="shared" si="87"/>
        <v>3.6362267729089988E-12</v>
      </c>
      <c r="Q75" s="22">
        <f t="shared" si="54"/>
        <v>6.8067219078872727E-12</v>
      </c>
      <c r="R75" s="60">
        <f t="shared" si="55"/>
        <v>293.33333333334014</v>
      </c>
      <c r="S75" s="60">
        <f ca="1">AVERAGE(OFFSET($R$3,0,0,'Données projet'!$E$9+1,1))-AVERAGE(OFFSET($H$3,0,0,'Données projet'!$E$9+1,1))</f>
        <v>181.84907943028196</v>
      </c>
      <c r="T75" s="60">
        <f t="shared" si="88"/>
        <v>199.66849909069458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102.58577541168293</v>
      </c>
      <c r="AA75" s="23">
        <f>EXP(-LN(2)/25)*AA74+(1-EXP(-LN(2)/25))/(LN(2)/25)*Calculateur!V75*Calculateur!X75*VLOOKUP('Données projet'!$B$9,Paramètres!$A$1:$I$88,3,0)*0.475*44/12</f>
        <v>21.790815267273597</v>
      </c>
      <c r="AB75" s="23">
        <f>EXP(-LN(2)/2)*AB74+(1-EXP(-LN(2)/2))/(LN(2)/2)*V75*Y75*VLOOKUP('Données projet'!$B$9,Paramètres!$A$1:$I$88,3,0)*0.475*44/12</f>
        <v>0.37145499635001378</v>
      </c>
      <c r="AC75" s="24">
        <f t="shared" si="57"/>
        <v>124.74804567530654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projet'!$B$10,Paramètres!$A$1:$I$88,3,0)*VLOOKUP('Données projet'!$B$10,Paramètres!$A$1:$I$88,5,0)</f>
        <v>0</v>
      </c>
      <c r="AK75" s="14" t="e">
        <f t="shared" si="89"/>
        <v>#NUM!</v>
      </c>
      <c r="AL75" s="22" t="e">
        <f t="shared" si="58"/>
        <v>#NUM!</v>
      </c>
      <c r="AM75" s="60" t="e">
        <f t="shared" si="59"/>
        <v>#NUM!</v>
      </c>
      <c r="AN75" s="60">
        <f ca="1">AVERAGE(OFFSET($AM$3,0,0,'Données projet'!$E$10+1,1))-AVERAGE(OFFSET($H$3,0,0,'Données projet'!$E$10+1,1))</f>
        <v>55.581964048431473</v>
      </c>
      <c r="AO75" s="60">
        <f t="shared" si="90"/>
        <v>91.067506141193803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19.190957062448817</v>
      </c>
      <c r="AV75" s="23">
        <f>EXP(-LN(2)/25)*AV74+(1-EXP(-LN(2)/25))/(LN(2)/25)*Calculateur!AQ75*Calculateur!AS75*VLOOKUP('Données projet'!$B$10,Paramètres!$A$1:$I$88,3,0)*0.475*44/12</f>
        <v>0</v>
      </c>
      <c r="AW75" s="23">
        <f>EXP(-LN(2)/2)*AW74+(1-EXP(-LN(2)/2))/(LN(2)/2)*AQ75*AT75*VLOOKUP('Données projet'!$B$10,Paramètres!$A$1:$I$88,3,0)*0.475*44/12</f>
        <v>0</v>
      </c>
      <c r="AX75" s="23">
        <f t="shared" si="60"/>
        <v>19.190957062448817</v>
      </c>
      <c r="AY75" s="7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144</v>
      </c>
      <c r="BB75" s="13">
        <f>VLOOKUP(A75,'Données projet'!$A$87:$I$107,9,0)</f>
        <v>4.875</v>
      </c>
      <c r="BC75" s="13">
        <f t="array" ref="BC75">INDEX(BB:BB,MIN(IF(ISNUMBER(BB75:BB271),ROW(BB75:BB271),"")))</f>
        <v>4.875</v>
      </c>
      <c r="BD75" s="13">
        <f>IF('Données projet'!$A$88&gt;35,BD74+BC75-BL74,IF(A75&lt;'Données projet'!$A$88,$BA$205^A75,IF(A75='Données projet'!$A$88,'Données projet'!$B$88,BD74+BC75-BL74)))</f>
        <v>144.00000000000014</v>
      </c>
      <c r="BE75" s="14">
        <f>BD75*VLOOKUP('Données projet'!$B$11,Paramètres!$A$1:$I$88,3,0)*VLOOKUP('Données projet'!$B$11,Paramètres!$A$1:$I$88,5,0)</f>
        <v>146.01600000000016</v>
      </c>
      <c r="BF75" s="14">
        <f t="shared" si="91"/>
        <v>37.671793767891131</v>
      </c>
      <c r="BG75" s="22">
        <f t="shared" si="61"/>
        <v>319.92290747907731</v>
      </c>
      <c r="BH75" s="60">
        <f t="shared" si="62"/>
        <v>613.25624081241062</v>
      </c>
      <c r="BI75" s="60">
        <f ca="1">AVERAGE(OFFSET($BH$3,0,0,'Données projet'!$E$11+1,1))-AVERAGE(OFFSET($H$3,0,0,'Données projet'!$E$11+1,1))</f>
        <v>178.29366134936788</v>
      </c>
      <c r="BJ75" s="60">
        <f t="shared" si="92"/>
        <v>85.818195717787148</v>
      </c>
      <c r="BK75" s="16">
        <f>IF(ISNA(VLOOKUP(A75,'Données projet'!$A$87:$I$107,3,0)),0,VLOOKUP(A75,'Données projet'!$A$87:$I$107,3,0))</f>
        <v>3</v>
      </c>
      <c r="BL75" s="16">
        <f>IF(ISNA(VLOOKUP(A75,'Données projet'!$A$87:$I$107,4,0)),0,VLOOKUP(A75,'Données projet'!$A$87:$I$107,4,0))</f>
        <v>26</v>
      </c>
      <c r="BM75" s="17">
        <f>IF(ISNA(VLOOKUP(A75,'Données projet'!$A$87:$I$107,5,0)),0%,VLOOKUP(A75,'Données projet'!$A$87:$I$107,5,0)*VLOOKUP('Données projet'!$B$11,Paramètres!$A$1:$I$88,7,0))</f>
        <v>8.6000000000000007E-2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6.1575016285497473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6.1575016285497473</v>
      </c>
      <c r="BT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>
        <f>BY75*VLOOKUP('Données projet'!$B$12,Paramètres!$A$1:$I$88,3,0)*VLOOKUP('Données projet'!$B$12,Paramètres!$A$1:$I$88,5,0)</f>
        <v>0</v>
      </c>
      <c r="CA75" s="14" t="e">
        <f t="shared" si="93"/>
        <v>#NUM!</v>
      </c>
      <c r="CB75" s="22" t="e">
        <f t="shared" si="64"/>
        <v>#NUM!</v>
      </c>
      <c r="CC75" s="60" t="e">
        <f t="shared" si="65"/>
        <v>#NUM!</v>
      </c>
      <c r="CD75" s="60">
        <f ca="1">AVERAGE(OFFSET($CC$3,0,0,'Données projet'!$E$12+1,1))-AVERAGE(OFFSET($H$3,0,0,'Données projet'!$E$12+1,1))</f>
        <v>104.00159056395933</v>
      </c>
      <c r="CE75" s="60">
        <f t="shared" si="94"/>
        <v>115.86489547584461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116.46795219772838</v>
      </c>
      <c r="CL75" s="23">
        <f>EXP(-LN(2)/25)*CL74+(1-EXP(-LN(2)/25))/(LN(2)/25)*Calculateur!CG75*Calculateur!CI75*VLOOKUP('Données projet'!$B$12,Paramètres!$A$1:$I$88,3,0)*0.475*44/12</f>
        <v>23.713899501775245</v>
      </c>
      <c r="CM75" s="23">
        <f>EXP(-LN(2)/2)*CM74+(1-EXP(-LN(2)/2))/(LN(2)/2)*CG75*CJ75*VLOOKUP('Données projet'!$B$12,Paramètres!$A$1:$I$88,3,0)*0.475*44/12</f>
        <v>9.5990627004913733</v>
      </c>
      <c r="CN75" s="24">
        <f t="shared" si="66"/>
        <v>149.780914399995</v>
      </c>
      <c r="CO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projet'!$B$13,Paramètres!$A$1:$I$88,3,0)*VLOOKUP('Données projet'!$B$13,Paramètres!$A$1:$I$88,5,0)</f>
        <v>#N/A</v>
      </c>
      <c r="CV75" s="14" t="e">
        <f t="shared" si="95"/>
        <v>#N/A</v>
      </c>
      <c r="CW75" s="22" t="e">
        <f t="shared" si="67"/>
        <v>#N/A</v>
      </c>
      <c r="CX75" s="60" t="e">
        <f t="shared" si="68"/>
        <v>#N/A</v>
      </c>
      <c r="CY75" s="60" t="e">
        <f ca="1">AVERAGE(OFFSET($CX$3,0,0,'Données projet'!$E$13+1,1))-AVERAGE(OFFSET($H$3,0,0,'Données projet'!$E$13+1,1))</f>
        <v>#N/A</v>
      </c>
      <c r="CZ75" s="60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projet'!$B$13,Paramètres!$A$1:$I$88,3,0)*0.475*44/12</f>
        <v>#N/A</v>
      </c>
      <c r="DG75" s="23" t="e">
        <f>EXP(-LN(2)/25)*DG74+(1-EXP(-LN(2)/25))/(LN(2)/25)*Calculateur!DB75*Calculateur!DD75*VLOOKUP('Données projet'!$B$13,Paramètres!$A$1:$I$88,3,0)*0.475*44/12</f>
        <v>#N/A</v>
      </c>
      <c r="DH75" s="23" t="e">
        <f>EXP(-LN(2)/2)*DH74+(1-EXP(-LN(2)/2))/(LN(2)/2)*DB75*DE75*VLOOKUP('Données projet'!$B$13,Paramètres!$A$1:$I$88,3,0)*0.475*44/12</f>
        <v>#N/A</v>
      </c>
      <c r="DI75" s="24" t="e">
        <f t="shared" si="69"/>
        <v>#N/A</v>
      </c>
      <c r="DJ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0" t="e">
        <f t="shared" si="71"/>
        <v>#N/A</v>
      </c>
      <c r="DT75" s="60" t="e">
        <f ca="1">AVERAGE(OFFSET($DS$3,0,0,'Données projet'!$E$14+1,1))-AVERAGE(OFFSET($H$3,0,0,'Données projet'!$E$14+1,1))</f>
        <v>#N/A</v>
      </c>
      <c r="DU75" s="60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4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64.911600000000078</v>
      </c>
      <c r="D76" s="12">
        <f t="shared" si="86"/>
        <v>18.404332112224722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4.5474735088646412E-13</v>
      </c>
      <c r="O76" s="14">
        <f>N76*VLOOKUP('Données projet'!$B$9,Paramètres!$A$1:$I$88,3,0)*VLOOKUP('Données projet'!$B$9,Paramètres!$A$1:$I$88,5,0)</f>
        <v>2.7193891583010558E-13</v>
      </c>
      <c r="P76" s="14">
        <f t="shared" si="87"/>
        <v>3.6362267729089988E-12</v>
      </c>
      <c r="Q76" s="22">
        <f t="shared" si="54"/>
        <v>6.8067219078872727E-12</v>
      </c>
      <c r="R76" s="60">
        <f t="shared" si="55"/>
        <v>293.33333333334014</v>
      </c>
      <c r="S76" s="60">
        <f ca="1">AVERAGE(OFFSET($R$3,0,0,'Données projet'!$E$9+1,1))-AVERAGE(OFFSET($H$3,0,0,'Données projet'!$E$9+1,1))</f>
        <v>181.84907943028196</v>
      </c>
      <c r="T76" s="60">
        <f t="shared" si="88"/>
        <v>199.66849909069458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100.57413092700445</v>
      </c>
      <c r="AA76" s="23">
        <f>EXP(-LN(2)/25)*AA75+(1-EXP(-LN(2)/25))/(LN(2)/25)*Calculateur!V76*Calculateur!X76*VLOOKUP('Données projet'!$B$9,Paramètres!$A$1:$I$88,3,0)*0.475*44/12</f>
        <v>21.194944277860831</v>
      </c>
      <c r="AB76" s="23">
        <f>EXP(-LN(2)/2)*AB75+(1-EXP(-LN(2)/2))/(LN(2)/2)*V76*Y76*VLOOKUP('Données projet'!$B$9,Paramètres!$A$1:$I$88,3,0)*0.475*44/12</f>
        <v>0.262658346824719</v>
      </c>
      <c r="AC76" s="24">
        <f t="shared" si="57"/>
        <v>122.03173355169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projet'!$B$10,Paramètres!$A$1:$I$88,3,0)*VLOOKUP('Données projet'!$B$10,Paramètres!$A$1:$I$88,5,0)</f>
        <v>0</v>
      </c>
      <c r="AK76" s="14" t="e">
        <f t="shared" si="89"/>
        <v>#NUM!</v>
      </c>
      <c r="AL76" s="22" t="e">
        <f t="shared" si="58"/>
        <v>#NUM!</v>
      </c>
      <c r="AM76" s="60" t="e">
        <f t="shared" si="59"/>
        <v>#NUM!</v>
      </c>
      <c r="AN76" s="60">
        <f ca="1">AVERAGE(OFFSET($AM$3,0,0,'Données projet'!$E$10+1,1))-AVERAGE(OFFSET($H$3,0,0,'Données projet'!$E$10+1,1))</f>
        <v>55.581964048431473</v>
      </c>
      <c r="AO76" s="60">
        <f t="shared" si="90"/>
        <v>91.067506141193803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18.8146340997822</v>
      </c>
      <c r="AV76" s="23">
        <f>EXP(-LN(2)/25)*AV75+(1-EXP(-LN(2)/25))/(LN(2)/25)*Calculateur!AQ76*Calculateur!AS76*VLOOKUP('Données projet'!$B$10,Paramètres!$A$1:$I$88,3,0)*0.475*44/12</f>
        <v>0</v>
      </c>
      <c r="AW76" s="23">
        <f>EXP(-LN(2)/2)*AW75+(1-EXP(-LN(2)/2))/(LN(2)/2)*AQ76*AT76*VLOOKUP('Données projet'!$B$10,Paramètres!$A$1:$I$88,3,0)*0.475*44/12</f>
        <v>0</v>
      </c>
      <c r="AX76" s="23">
        <f t="shared" si="60"/>
        <v>18.8146340997822</v>
      </c>
      <c r="AY76" s="7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4.5555555555555554</v>
      </c>
      <c r="BD76" s="13">
        <f>IF('Données projet'!$A$88&gt;35,BD75+BC76-BL75,IF(A76&lt;'Données projet'!$A$88,$BA$205^A76,IF(A76='Données projet'!$A$88,'Données projet'!$B$88,BD75+BC76-BL75)))</f>
        <v>122.55555555555569</v>
      </c>
      <c r="BE76" s="14">
        <f>BD76*VLOOKUP('Données projet'!$B$11,Paramètres!$A$1:$I$88,3,0)*VLOOKUP('Données projet'!$B$11,Paramètres!$A$1:$I$88,5,0)</f>
        <v>124.27133333333347</v>
      </c>
      <c r="BF76" s="14">
        <f t="shared" si="91"/>
        <v>32.669180720913964</v>
      </c>
      <c r="BG76" s="22">
        <f t="shared" si="61"/>
        <v>273.33806197781428</v>
      </c>
      <c r="BH76" s="60">
        <f t="shared" si="62"/>
        <v>566.67139531114753</v>
      </c>
      <c r="BI76" s="60">
        <f ca="1">AVERAGE(OFFSET($BH$3,0,0,'Données projet'!$E$11+1,1))-AVERAGE(OFFSET($H$3,0,0,'Données projet'!$E$11+1,1))</f>
        <v>178.29366134936788</v>
      </c>
      <c r="BJ76" s="60">
        <f t="shared" si="92"/>
        <v>85.818195717787148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6.0367567773190354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6.0367567773190354</v>
      </c>
      <c r="BT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>
        <f>BY76*VLOOKUP('Données projet'!$B$12,Paramètres!$A$1:$I$88,3,0)*VLOOKUP('Données projet'!$B$12,Paramètres!$A$1:$I$88,5,0)</f>
        <v>0</v>
      </c>
      <c r="CA76" s="14" t="e">
        <f t="shared" si="93"/>
        <v>#NUM!</v>
      </c>
      <c r="CB76" s="22" t="e">
        <f t="shared" si="64"/>
        <v>#NUM!</v>
      </c>
      <c r="CC76" s="60" t="e">
        <f t="shared" si="65"/>
        <v>#NUM!</v>
      </c>
      <c r="CD76" s="60">
        <f ca="1">AVERAGE(OFFSET($CC$3,0,0,'Données projet'!$E$12+1,1))-AVERAGE(OFFSET($H$3,0,0,'Données projet'!$E$12+1,1))</f>
        <v>104.00159056395933</v>
      </c>
      <c r="CE76" s="60">
        <f t="shared" si="94"/>
        <v>115.86489547584461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114.18408669356731</v>
      </c>
      <c r="CL76" s="23">
        <f>EXP(-LN(2)/25)*CL75+(1-EXP(-LN(2)/25))/(LN(2)/25)*Calculateur!CG76*Calculateur!CI76*VLOOKUP('Données projet'!$B$12,Paramètres!$A$1:$I$88,3,0)*0.475*44/12</f>
        <v>23.065441672839427</v>
      </c>
      <c r="CM76" s="23">
        <f>EXP(-LN(2)/2)*CM75+(1-EXP(-LN(2)/2))/(LN(2)/2)*CG76*CJ76*VLOOKUP('Données projet'!$B$12,Paramètres!$A$1:$I$88,3,0)*0.475*44/12</f>
        <v>6.7875623285523039</v>
      </c>
      <c r="CN76" s="24">
        <f t="shared" si="66"/>
        <v>144.03709069495903</v>
      </c>
      <c r="CO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projet'!$B$13,Paramètres!$A$1:$I$88,3,0)*VLOOKUP('Données projet'!$B$13,Paramètres!$A$1:$I$88,5,0)</f>
        <v>#N/A</v>
      </c>
      <c r="CV76" s="14" t="e">
        <f t="shared" si="95"/>
        <v>#N/A</v>
      </c>
      <c r="CW76" s="22" t="e">
        <f t="shared" si="67"/>
        <v>#N/A</v>
      </c>
      <c r="CX76" s="60" t="e">
        <f t="shared" si="68"/>
        <v>#N/A</v>
      </c>
      <c r="CY76" s="60" t="e">
        <f ca="1">AVERAGE(OFFSET($CX$3,0,0,'Données projet'!$E$13+1,1))-AVERAGE(OFFSET($H$3,0,0,'Données projet'!$E$13+1,1))</f>
        <v>#N/A</v>
      </c>
      <c r="CZ76" s="60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projet'!$B$13,Paramètres!$A$1:$I$88,3,0)*0.475*44/12</f>
        <v>#N/A</v>
      </c>
      <c r="DG76" s="23" t="e">
        <f>EXP(-LN(2)/25)*DG75+(1-EXP(-LN(2)/25))/(LN(2)/25)*Calculateur!DB76*Calculateur!DD76*VLOOKUP('Données projet'!$B$13,Paramètres!$A$1:$I$88,3,0)*0.475*44/12</f>
        <v>#N/A</v>
      </c>
      <c r="DH76" s="23" t="e">
        <f>EXP(-LN(2)/2)*DH75+(1-EXP(-LN(2)/2))/(LN(2)/2)*DB76*DE76*VLOOKUP('Données projet'!$B$13,Paramètres!$A$1:$I$88,3,0)*0.475*44/12</f>
        <v>#N/A</v>
      </c>
      <c r="DI76" s="24" t="e">
        <f t="shared" si="69"/>
        <v>#N/A</v>
      </c>
      <c r="DJ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0" t="e">
        <f t="shared" si="71"/>
        <v>#N/A</v>
      </c>
      <c r="DT76" s="60" t="e">
        <f ca="1">AVERAGE(OFFSET($DS$3,0,0,'Données projet'!$E$14+1,1))-AVERAGE(OFFSET($H$3,0,0,'Données projet'!$E$14+1,1))</f>
        <v>#N/A</v>
      </c>
      <c r="DU76" s="60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4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65.800800000000081</v>
      </c>
      <c r="D77" s="12">
        <f t="shared" si="86"/>
        <v>18.626923459774314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4.5474735088646412E-13</v>
      </c>
      <c r="O77" s="14">
        <f>N77*VLOOKUP('Données projet'!$B$9,Paramètres!$A$1:$I$88,3,0)*VLOOKUP('Données projet'!$B$9,Paramètres!$A$1:$I$88,5,0)</f>
        <v>2.7193891583010558E-13</v>
      </c>
      <c r="P77" s="14">
        <f t="shared" si="87"/>
        <v>3.6362267729089988E-12</v>
      </c>
      <c r="Q77" s="22">
        <f t="shared" si="54"/>
        <v>6.8067219078872727E-12</v>
      </c>
      <c r="R77" s="60">
        <f t="shared" si="55"/>
        <v>293.33333333334014</v>
      </c>
      <c r="S77" s="60">
        <f ca="1">AVERAGE(OFFSET($R$3,0,0,'Données projet'!$E$9+1,1))-AVERAGE(OFFSET($H$3,0,0,'Données projet'!$E$9+1,1))</f>
        <v>181.84907943028196</v>
      </c>
      <c r="T77" s="60">
        <f t="shared" si="88"/>
        <v>199.66849909069458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98.601933563688519</v>
      </c>
      <c r="AA77" s="23">
        <f>EXP(-LN(2)/25)*AA76+(1-EXP(-LN(2)/25))/(LN(2)/25)*Calculateur!V77*Calculateur!X77*VLOOKUP('Données projet'!$B$9,Paramètres!$A$1:$I$88,3,0)*0.475*44/12</f>
        <v>20.615367411989048</v>
      </c>
      <c r="AB77" s="23">
        <f>EXP(-LN(2)/2)*AB76+(1-EXP(-LN(2)/2))/(LN(2)/2)*V77*Y77*VLOOKUP('Données projet'!$B$9,Paramètres!$A$1:$I$88,3,0)*0.475*44/12</f>
        <v>0.18572749817500689</v>
      </c>
      <c r="AC77" s="24">
        <f t="shared" si="57"/>
        <v>119.40302847385259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projet'!$B$10,Paramètres!$A$1:$I$88,3,0)*VLOOKUP('Données projet'!$B$10,Paramètres!$A$1:$I$88,5,0)</f>
        <v>0</v>
      </c>
      <c r="AK77" s="14" t="e">
        <f t="shared" si="89"/>
        <v>#NUM!</v>
      </c>
      <c r="AL77" s="22" t="e">
        <f t="shared" si="58"/>
        <v>#NUM!</v>
      </c>
      <c r="AM77" s="60" t="e">
        <f t="shared" si="59"/>
        <v>#NUM!</v>
      </c>
      <c r="AN77" s="60">
        <f ca="1">AVERAGE(OFFSET($AM$3,0,0,'Données projet'!$E$10+1,1))-AVERAGE(OFFSET($H$3,0,0,'Données projet'!$E$10+1,1))</f>
        <v>55.581964048431473</v>
      </c>
      <c r="AO77" s="60">
        <f t="shared" si="90"/>
        <v>91.067506141193803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18.445690600879132</v>
      </c>
      <c r="AV77" s="23">
        <f>EXP(-LN(2)/25)*AV76+(1-EXP(-LN(2)/25))/(LN(2)/25)*Calculateur!AQ77*Calculateur!AS77*VLOOKUP('Données projet'!$B$10,Paramètres!$A$1:$I$88,3,0)*0.475*44/12</f>
        <v>0</v>
      </c>
      <c r="AW77" s="23">
        <f>EXP(-LN(2)/2)*AW76+(1-EXP(-LN(2)/2))/(LN(2)/2)*AQ77*AT77*VLOOKUP('Données projet'!$B$10,Paramètres!$A$1:$I$88,3,0)*0.475*44/12</f>
        <v>0</v>
      </c>
      <c r="AX77" s="23">
        <f t="shared" si="60"/>
        <v>18.445690600879132</v>
      </c>
      <c r="AY77" s="7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4.5555555555555554</v>
      </c>
      <c r="BD77" s="13">
        <f>IF('Données projet'!$A$88&gt;35,BD76+BC77-BL76,IF(A77&lt;'Données projet'!$A$88,$BA$205^A77,IF(A77='Données projet'!$A$88,'Données projet'!$B$88,BD76+BC77-BL76)))</f>
        <v>127.11111111111124</v>
      </c>
      <c r="BE77" s="14">
        <f>BD77*VLOOKUP('Données projet'!$B$11,Paramètres!$A$1:$I$88,3,0)*VLOOKUP('Données projet'!$B$11,Paramètres!$A$1:$I$88,5,0)</f>
        <v>128.89066666666679</v>
      </c>
      <c r="BF77" s="14">
        <f t="shared" si="91"/>
        <v>33.739897257847211</v>
      </c>
      <c r="BG77" s="22">
        <f t="shared" si="61"/>
        <v>283.24823216852855</v>
      </c>
      <c r="BH77" s="60">
        <f t="shared" si="62"/>
        <v>576.58156550186186</v>
      </c>
      <c r="BI77" s="60">
        <f ca="1">AVERAGE(OFFSET($BH$3,0,0,'Données projet'!$E$11+1,1))-AVERAGE(OFFSET($H$3,0,0,'Données projet'!$E$11+1,1))</f>
        <v>178.29366134936788</v>
      </c>
      <c r="BJ77" s="60">
        <f t="shared" si="92"/>
        <v>85.818195717787148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5.91837965897387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5.91837965897387</v>
      </c>
      <c r="BT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>
        <f>BY77*VLOOKUP('Données projet'!$B$12,Paramètres!$A$1:$I$88,3,0)*VLOOKUP('Données projet'!$B$12,Paramètres!$A$1:$I$88,5,0)</f>
        <v>0</v>
      </c>
      <c r="CA77" s="14" t="e">
        <f t="shared" si="93"/>
        <v>#NUM!</v>
      </c>
      <c r="CB77" s="22" t="e">
        <f t="shared" si="64"/>
        <v>#NUM!</v>
      </c>
      <c r="CC77" s="60" t="e">
        <f t="shared" si="65"/>
        <v>#NUM!</v>
      </c>
      <c r="CD77" s="60">
        <f ca="1">AVERAGE(OFFSET($CC$3,0,0,'Données projet'!$E$12+1,1))-AVERAGE(OFFSET($H$3,0,0,'Données projet'!$E$12+1,1))</f>
        <v>104.00159056395933</v>
      </c>
      <c r="CE77" s="60">
        <f t="shared" si="94"/>
        <v>115.86489547584461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111.94500639892243</v>
      </c>
      <c r="CL77" s="23">
        <f>EXP(-LN(2)/25)*CL76+(1-EXP(-LN(2)/25))/(LN(2)/25)*Calculateur!CG77*Calculateur!CI77*VLOOKUP('Données projet'!$B$12,Paramètres!$A$1:$I$88,3,0)*0.475*44/12</f>
        <v>22.43471595733677</v>
      </c>
      <c r="CM77" s="23">
        <f>EXP(-LN(2)/2)*CM76+(1-EXP(-LN(2)/2))/(LN(2)/2)*CG77*CJ77*VLOOKUP('Données projet'!$B$12,Paramètres!$A$1:$I$88,3,0)*0.475*44/12</f>
        <v>4.7995313502456876</v>
      </c>
      <c r="CN77" s="24">
        <f t="shared" si="66"/>
        <v>139.17925370650491</v>
      </c>
      <c r="CO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projet'!$B$13,Paramètres!$A$1:$I$88,3,0)*VLOOKUP('Données projet'!$B$13,Paramètres!$A$1:$I$88,5,0)</f>
        <v>#N/A</v>
      </c>
      <c r="CV77" s="14" t="e">
        <f t="shared" si="95"/>
        <v>#N/A</v>
      </c>
      <c r="CW77" s="22" t="e">
        <f t="shared" si="67"/>
        <v>#N/A</v>
      </c>
      <c r="CX77" s="60" t="e">
        <f t="shared" si="68"/>
        <v>#N/A</v>
      </c>
      <c r="CY77" s="60" t="e">
        <f ca="1">AVERAGE(OFFSET($CX$3,0,0,'Données projet'!$E$13+1,1))-AVERAGE(OFFSET($H$3,0,0,'Données projet'!$E$13+1,1))</f>
        <v>#N/A</v>
      </c>
      <c r="CZ77" s="60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projet'!$B$13,Paramètres!$A$1:$I$88,3,0)*0.475*44/12</f>
        <v>#N/A</v>
      </c>
      <c r="DG77" s="23" t="e">
        <f>EXP(-LN(2)/25)*DG76+(1-EXP(-LN(2)/25))/(LN(2)/25)*Calculateur!DB77*Calculateur!DD77*VLOOKUP('Données projet'!$B$13,Paramètres!$A$1:$I$88,3,0)*0.475*44/12</f>
        <v>#N/A</v>
      </c>
      <c r="DH77" s="23" t="e">
        <f>EXP(-LN(2)/2)*DH76+(1-EXP(-LN(2)/2))/(LN(2)/2)*DB77*DE77*VLOOKUP('Données projet'!$B$13,Paramètres!$A$1:$I$88,3,0)*0.475*44/12</f>
        <v>#N/A</v>
      </c>
      <c r="DI77" s="24" t="e">
        <f t="shared" si="69"/>
        <v>#N/A</v>
      </c>
      <c r="DJ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0" t="e">
        <f t="shared" si="71"/>
        <v>#N/A</v>
      </c>
      <c r="DT77" s="60" t="e">
        <f ca="1">AVERAGE(OFFSET($DS$3,0,0,'Données projet'!$E$14+1,1))-AVERAGE(OFFSET($H$3,0,0,'Données projet'!$E$14+1,1))</f>
        <v>#N/A</v>
      </c>
      <c r="DU77" s="60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4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66.690000000000083</v>
      </c>
      <c r="D78" s="12">
        <f t="shared" si="86"/>
        <v>18.849164941118655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4.5474735088646412E-13</v>
      </c>
      <c r="O78" s="14">
        <f>N78*VLOOKUP('Données projet'!$B$9,Paramètres!$A$1:$I$88,3,0)*VLOOKUP('Données projet'!$B$9,Paramètres!$A$1:$I$88,5,0)</f>
        <v>2.7193891583010558E-13</v>
      </c>
      <c r="P78" s="14">
        <f t="shared" si="87"/>
        <v>3.6362267729089988E-12</v>
      </c>
      <c r="Q78" s="22">
        <f t="shared" si="54"/>
        <v>6.8067219078872727E-12</v>
      </c>
      <c r="R78" s="60">
        <f t="shared" si="55"/>
        <v>293.33333333334014</v>
      </c>
      <c r="S78" s="60">
        <f ca="1">AVERAGE(OFFSET($R$3,0,0,'Données projet'!$E$9+1,1))-AVERAGE(OFFSET($H$3,0,0,'Données projet'!$E$9+1,1))</f>
        <v>181.84907943028196</v>
      </c>
      <c r="T78" s="60">
        <f t="shared" si="88"/>
        <v>199.66849909069458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96.668409787745603</v>
      </c>
      <c r="AA78" s="23">
        <f>EXP(-LN(2)/25)*AA77+(1-EXP(-LN(2)/25))/(LN(2)/25)*Calculateur!V78*Calculateur!X78*VLOOKUP('Données projet'!$B$9,Paramètres!$A$1:$I$88,3,0)*0.475*44/12</f>
        <v>20.051639105993154</v>
      </c>
      <c r="AB78" s="23">
        <f>EXP(-LN(2)/2)*AB77+(1-EXP(-LN(2)/2))/(LN(2)/2)*V78*Y78*VLOOKUP('Données projet'!$B$9,Paramètres!$A$1:$I$88,3,0)*0.475*44/12</f>
        <v>0.1313291734123595</v>
      </c>
      <c r="AC78" s="24">
        <f t="shared" si="57"/>
        <v>116.8513780671511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projet'!$B$10,Paramètres!$A$1:$I$88,3,0)*VLOOKUP('Données projet'!$B$10,Paramètres!$A$1:$I$88,5,0)</f>
        <v>0</v>
      </c>
      <c r="AK78" s="14" t="e">
        <f t="shared" si="89"/>
        <v>#NUM!</v>
      </c>
      <c r="AL78" s="22" t="e">
        <f t="shared" si="58"/>
        <v>#NUM!</v>
      </c>
      <c r="AM78" s="60" t="e">
        <f t="shared" si="59"/>
        <v>#NUM!</v>
      </c>
      <c r="AN78" s="60">
        <f ca="1">AVERAGE(OFFSET($AM$3,0,0,'Données projet'!$E$10+1,1))-AVERAGE(OFFSET($H$3,0,0,'Données projet'!$E$10+1,1))</f>
        <v>55.581964048431473</v>
      </c>
      <c r="AO78" s="60">
        <f t="shared" si="90"/>
        <v>91.067506141193803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18.083981858956239</v>
      </c>
      <c r="AV78" s="23">
        <f>EXP(-LN(2)/25)*AV77+(1-EXP(-LN(2)/25))/(LN(2)/25)*Calculateur!AQ78*Calculateur!AS78*VLOOKUP('Données projet'!$B$10,Paramètres!$A$1:$I$88,3,0)*0.475*44/12</f>
        <v>0</v>
      </c>
      <c r="AW78" s="23">
        <f>EXP(-LN(2)/2)*AW77+(1-EXP(-LN(2)/2))/(LN(2)/2)*AQ78*AT78*VLOOKUP('Données projet'!$B$10,Paramètres!$A$1:$I$88,3,0)*0.475*44/12</f>
        <v>0</v>
      </c>
      <c r="AX78" s="23">
        <f t="shared" si="60"/>
        <v>18.083981858956239</v>
      </c>
      <c r="AY78" s="7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4.5555555555555554</v>
      </c>
      <c r="BD78" s="13">
        <f>IF('Données projet'!$A$88&gt;35,BD77+BC78-BL77,IF(A78&lt;'Données projet'!$A$88,$BA$205^A78,IF(A78='Données projet'!$A$88,'Données projet'!$B$88,BD77+BC78-BL77)))</f>
        <v>131.6666666666668</v>
      </c>
      <c r="BE78" s="14">
        <f>BD78*VLOOKUP('Données projet'!$B$11,Paramètres!$A$1:$I$88,3,0)*VLOOKUP('Données projet'!$B$11,Paramètres!$A$1:$I$88,5,0)</f>
        <v>133.51000000000016</v>
      </c>
      <c r="BF78" s="14">
        <f t="shared" si="91"/>
        <v>34.806155405476382</v>
      </c>
      <c r="BG78" s="22">
        <f t="shared" si="61"/>
        <v>293.15063733120496</v>
      </c>
      <c r="BH78" s="60">
        <f t="shared" si="62"/>
        <v>586.48397066453822</v>
      </c>
      <c r="BI78" s="60">
        <f ca="1">AVERAGE(OFFSET($BH$3,0,0,'Données projet'!$E$11+1,1))-AVERAGE(OFFSET($H$3,0,0,'Données projet'!$E$11+1,1))</f>
        <v>178.29366134936788</v>
      </c>
      <c r="BJ78" s="60">
        <f t="shared" si="92"/>
        <v>85.818195717787148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5.8023238437165405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5.8023238437165405</v>
      </c>
      <c r="BT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>
        <f>BY78*VLOOKUP('Données projet'!$B$12,Paramètres!$A$1:$I$88,3,0)*VLOOKUP('Données projet'!$B$12,Paramètres!$A$1:$I$88,5,0)</f>
        <v>0</v>
      </c>
      <c r="CA78" s="14" t="e">
        <f t="shared" si="93"/>
        <v>#NUM!</v>
      </c>
      <c r="CB78" s="22" t="e">
        <f t="shared" si="64"/>
        <v>#NUM!</v>
      </c>
      <c r="CC78" s="60" t="e">
        <f t="shared" si="65"/>
        <v>#NUM!</v>
      </c>
      <c r="CD78" s="60">
        <f ca="1">AVERAGE(OFFSET($CC$3,0,0,'Données projet'!$E$12+1,1))-AVERAGE(OFFSET($H$3,0,0,'Données projet'!$E$12+1,1))</f>
        <v>104.00159056395933</v>
      </c>
      <c r="CE78" s="60">
        <f t="shared" si="94"/>
        <v>115.86489547584461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109.7498331031514</v>
      </c>
      <c r="CL78" s="23">
        <f>EXP(-LN(2)/25)*CL77+(1-EXP(-LN(2)/25))/(LN(2)/25)*Calculateur!CG78*Calculateur!CI78*VLOOKUP('Données projet'!$B$12,Paramètres!$A$1:$I$88,3,0)*0.475*44/12</f>
        <v>21.82123746969296</v>
      </c>
      <c r="CM78" s="23">
        <f>EXP(-LN(2)/2)*CM77+(1-EXP(-LN(2)/2))/(LN(2)/2)*CG78*CJ78*VLOOKUP('Données projet'!$B$12,Paramètres!$A$1:$I$88,3,0)*0.475*44/12</f>
        <v>3.3937811642761524</v>
      </c>
      <c r="CN78" s="24">
        <f t="shared" si="66"/>
        <v>134.96485173712051</v>
      </c>
      <c r="CO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projet'!$B$13,Paramètres!$A$1:$I$88,3,0)*VLOOKUP('Données projet'!$B$13,Paramètres!$A$1:$I$88,5,0)</f>
        <v>#N/A</v>
      </c>
      <c r="CV78" s="14" t="e">
        <f t="shared" si="95"/>
        <v>#N/A</v>
      </c>
      <c r="CW78" s="22" t="e">
        <f t="shared" si="67"/>
        <v>#N/A</v>
      </c>
      <c r="CX78" s="60" t="e">
        <f t="shared" si="68"/>
        <v>#N/A</v>
      </c>
      <c r="CY78" s="60" t="e">
        <f ca="1">AVERAGE(OFFSET($CX$3,0,0,'Données projet'!$E$13+1,1))-AVERAGE(OFFSET($H$3,0,0,'Données projet'!$E$13+1,1))</f>
        <v>#N/A</v>
      </c>
      <c r="CZ78" s="60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projet'!$B$13,Paramètres!$A$1:$I$88,3,0)*0.475*44/12</f>
        <v>#N/A</v>
      </c>
      <c r="DG78" s="23" t="e">
        <f>EXP(-LN(2)/25)*DG77+(1-EXP(-LN(2)/25))/(LN(2)/25)*Calculateur!DB78*Calculateur!DD78*VLOOKUP('Données projet'!$B$13,Paramètres!$A$1:$I$88,3,0)*0.475*44/12</f>
        <v>#N/A</v>
      </c>
      <c r="DH78" s="23" t="e">
        <f>EXP(-LN(2)/2)*DH77+(1-EXP(-LN(2)/2))/(LN(2)/2)*DB78*DE78*VLOOKUP('Données projet'!$B$13,Paramètres!$A$1:$I$88,3,0)*0.475*44/12</f>
        <v>#N/A</v>
      </c>
      <c r="DI78" s="24" t="e">
        <f t="shared" si="69"/>
        <v>#N/A</v>
      </c>
      <c r="DJ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0" t="e">
        <f t="shared" si="71"/>
        <v>#N/A</v>
      </c>
      <c r="DT78" s="60" t="e">
        <f ca="1">AVERAGE(OFFSET($DS$3,0,0,'Données projet'!$E$14+1,1))-AVERAGE(OFFSET($H$3,0,0,'Données projet'!$E$14+1,1))</f>
        <v>#N/A</v>
      </c>
      <c r="DU78" s="60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4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67.579200000000085</v>
      </c>
      <c r="D79" s="12">
        <f t="shared" si="86"/>
        <v>19.071061760403854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4.5474735088646412E-13</v>
      </c>
      <c r="O79" s="14">
        <f>N79*VLOOKUP('Données projet'!$B$9,Paramètres!$A$1:$I$88,3,0)*VLOOKUP('Données projet'!$B$9,Paramètres!$A$1:$I$88,5,0)</f>
        <v>2.7193891583010558E-13</v>
      </c>
      <c r="P79" s="14">
        <f t="shared" si="87"/>
        <v>3.6362267729089988E-12</v>
      </c>
      <c r="Q79" s="22">
        <f t="shared" si="54"/>
        <v>6.8067219078872727E-12</v>
      </c>
      <c r="R79" s="60">
        <f t="shared" si="55"/>
        <v>293.33333333334014</v>
      </c>
      <c r="S79" s="60">
        <f ca="1">AVERAGE(OFFSET($R$3,0,0,'Données projet'!$E$9+1,1))-AVERAGE(OFFSET($H$3,0,0,'Données projet'!$E$9+1,1))</f>
        <v>181.84907943028196</v>
      </c>
      <c r="T79" s="60">
        <f t="shared" si="88"/>
        <v>199.66849909069458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94.772801233715882</v>
      </c>
      <c r="AA79" s="23">
        <f>EXP(-LN(2)/25)*AA78+(1-EXP(-LN(2)/25))/(LN(2)/25)*Calculateur!V79*Calculateur!X79*VLOOKUP('Données projet'!$B$9,Paramètres!$A$1:$I$88,3,0)*0.475*44/12</f>
        <v>19.503325980169897</v>
      </c>
      <c r="AB79" s="23">
        <f>EXP(-LN(2)/2)*AB78+(1-EXP(-LN(2)/2))/(LN(2)/2)*V79*Y79*VLOOKUP('Données projet'!$B$9,Paramètres!$A$1:$I$88,3,0)*0.475*44/12</f>
        <v>9.2863749087503444E-2</v>
      </c>
      <c r="AC79" s="24">
        <f t="shared" si="57"/>
        <v>114.36899096297329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projet'!$B$10,Paramètres!$A$1:$I$88,3,0)*VLOOKUP('Données projet'!$B$10,Paramètres!$A$1:$I$88,5,0)</f>
        <v>0</v>
      </c>
      <c r="AK79" s="14" t="e">
        <f t="shared" si="89"/>
        <v>#NUM!</v>
      </c>
      <c r="AL79" s="22" t="e">
        <f t="shared" si="58"/>
        <v>#NUM!</v>
      </c>
      <c r="AM79" s="60" t="e">
        <f t="shared" si="59"/>
        <v>#NUM!</v>
      </c>
      <c r="AN79" s="60">
        <f ca="1">AVERAGE(OFFSET($AM$3,0,0,'Données projet'!$E$10+1,1))-AVERAGE(OFFSET($H$3,0,0,'Données projet'!$E$10+1,1))</f>
        <v>55.581964048431473</v>
      </c>
      <c r="AO79" s="60">
        <f t="shared" si="90"/>
        <v>91.067506141193803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17.729366004841907</v>
      </c>
      <c r="AV79" s="23">
        <f>EXP(-LN(2)/25)*AV78+(1-EXP(-LN(2)/25))/(LN(2)/25)*Calculateur!AQ79*Calculateur!AS79*VLOOKUP('Données projet'!$B$10,Paramètres!$A$1:$I$88,3,0)*0.475*44/12</f>
        <v>0</v>
      </c>
      <c r="AW79" s="23">
        <f>EXP(-LN(2)/2)*AW78+(1-EXP(-LN(2)/2))/(LN(2)/2)*AQ79*AT79*VLOOKUP('Données projet'!$B$10,Paramètres!$A$1:$I$88,3,0)*0.475*44/12</f>
        <v>0</v>
      </c>
      <c r="AX79" s="23">
        <f t="shared" si="60"/>
        <v>17.729366004841907</v>
      </c>
      <c r="AY79" s="7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4.5555555555555554</v>
      </c>
      <c r="BD79" s="13">
        <f>IF('Données projet'!$A$88&gt;35,BD78+BC79-BL78,IF(A79&lt;'Données projet'!$A$88,$BA$205^A79,IF(A79='Données projet'!$A$88,'Données projet'!$B$88,BD78+BC79-BL78)))</f>
        <v>136.22222222222234</v>
      </c>
      <c r="BE79" s="14">
        <f>BD79*VLOOKUP('Données projet'!$B$11,Paramètres!$A$1:$I$88,3,0)*VLOOKUP('Données projet'!$B$11,Paramètres!$A$1:$I$88,5,0)</f>
        <v>138.12933333333345</v>
      </c>
      <c r="BF79" s="14">
        <f t="shared" si="91"/>
        <v>35.868127099173357</v>
      </c>
      <c r="BG79" s="22">
        <f t="shared" si="61"/>
        <v>303.04557691994938</v>
      </c>
      <c r="BH79" s="60">
        <f t="shared" si="62"/>
        <v>596.3789102532827</v>
      </c>
      <c r="BI79" s="60">
        <f ca="1">AVERAGE(OFFSET($BH$3,0,0,'Données projet'!$E$11+1,1))-AVERAGE(OFFSET($H$3,0,0,'Données projet'!$E$11+1,1))</f>
        <v>178.29366134936788</v>
      </c>
      <c r="BJ79" s="60">
        <f t="shared" si="92"/>
        <v>85.818195717787148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5.6885438122093497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5.6885438122093497</v>
      </c>
      <c r="BT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>
        <f>BY79*VLOOKUP('Données projet'!$B$12,Paramètres!$A$1:$I$88,3,0)*VLOOKUP('Données projet'!$B$12,Paramètres!$A$1:$I$88,5,0)</f>
        <v>0</v>
      </c>
      <c r="CA79" s="14" t="e">
        <f t="shared" si="93"/>
        <v>#NUM!</v>
      </c>
      <c r="CB79" s="22" t="e">
        <f t="shared" si="64"/>
        <v>#NUM!</v>
      </c>
      <c r="CC79" s="60" t="e">
        <f t="shared" si="65"/>
        <v>#NUM!</v>
      </c>
      <c r="CD79" s="60">
        <f ca="1">AVERAGE(OFFSET($CC$3,0,0,'Données projet'!$E$12+1,1))-AVERAGE(OFFSET($H$3,0,0,'Données projet'!$E$12+1,1))</f>
        <v>104.00159056395933</v>
      </c>
      <c r="CE79" s="60">
        <f t="shared" si="94"/>
        <v>115.86489547584461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107.59770581678694</v>
      </c>
      <c r="CL79" s="23">
        <f>EXP(-LN(2)/25)*CL78+(1-EXP(-LN(2)/25))/(LN(2)/25)*Calculateur!CG79*Calculateur!CI79*VLOOKUP('Données projet'!$B$12,Paramètres!$A$1:$I$88,3,0)*0.475*44/12</f>
        <v>21.224534583555201</v>
      </c>
      <c r="CM79" s="23">
        <f>EXP(-LN(2)/2)*CM78+(1-EXP(-LN(2)/2))/(LN(2)/2)*CG79*CJ79*VLOOKUP('Données projet'!$B$12,Paramètres!$A$1:$I$88,3,0)*0.475*44/12</f>
        <v>2.3997656751228438</v>
      </c>
      <c r="CN79" s="24">
        <f t="shared" si="66"/>
        <v>131.22200607546498</v>
      </c>
      <c r="CO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projet'!$B$13,Paramètres!$A$1:$I$88,3,0)*VLOOKUP('Données projet'!$B$13,Paramètres!$A$1:$I$88,5,0)</f>
        <v>#N/A</v>
      </c>
      <c r="CV79" s="14" t="e">
        <f t="shared" si="95"/>
        <v>#N/A</v>
      </c>
      <c r="CW79" s="22" t="e">
        <f t="shared" si="67"/>
        <v>#N/A</v>
      </c>
      <c r="CX79" s="60" t="e">
        <f t="shared" si="68"/>
        <v>#N/A</v>
      </c>
      <c r="CY79" s="60" t="e">
        <f ca="1">AVERAGE(OFFSET($CX$3,0,0,'Données projet'!$E$13+1,1))-AVERAGE(OFFSET($H$3,0,0,'Données projet'!$E$13+1,1))</f>
        <v>#N/A</v>
      </c>
      <c r="CZ79" s="60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projet'!$B$13,Paramètres!$A$1:$I$88,3,0)*0.475*44/12</f>
        <v>#N/A</v>
      </c>
      <c r="DG79" s="23" t="e">
        <f>EXP(-LN(2)/25)*DG78+(1-EXP(-LN(2)/25))/(LN(2)/25)*Calculateur!DB79*Calculateur!DD79*VLOOKUP('Données projet'!$B$13,Paramètres!$A$1:$I$88,3,0)*0.475*44/12</f>
        <v>#N/A</v>
      </c>
      <c r="DH79" s="23" t="e">
        <f>EXP(-LN(2)/2)*DH78+(1-EXP(-LN(2)/2))/(LN(2)/2)*DB79*DE79*VLOOKUP('Données projet'!$B$13,Paramètres!$A$1:$I$88,3,0)*0.475*44/12</f>
        <v>#N/A</v>
      </c>
      <c r="DI79" s="24" t="e">
        <f t="shared" si="69"/>
        <v>#N/A</v>
      </c>
      <c r="DJ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0" t="e">
        <f t="shared" si="71"/>
        <v>#N/A</v>
      </c>
      <c r="DT79" s="60" t="e">
        <f ca="1">AVERAGE(OFFSET($DS$3,0,0,'Données projet'!$E$14+1,1))-AVERAGE(OFFSET($H$3,0,0,'Données projet'!$E$14+1,1))</f>
        <v>#N/A</v>
      </c>
      <c r="DU79" s="60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4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68.468400000000088</v>
      </c>
      <c r="D80" s="12">
        <f t="shared" si="86"/>
        <v>19.292618976952753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4.5474735088646412E-13</v>
      </c>
      <c r="O80" s="14">
        <f>N80*VLOOKUP('Données projet'!$B$9,Paramètres!$A$1:$I$88,3,0)*VLOOKUP('Données projet'!$B$9,Paramètres!$A$1:$I$88,5,0)</f>
        <v>2.7193891583010558E-13</v>
      </c>
      <c r="P80" s="14">
        <f t="shared" si="87"/>
        <v>3.6362267729089988E-12</v>
      </c>
      <c r="Q80" s="22">
        <f t="shared" si="54"/>
        <v>6.8067219078872727E-12</v>
      </c>
      <c r="R80" s="60">
        <f t="shared" si="55"/>
        <v>293.33333333334014</v>
      </c>
      <c r="S80" s="60">
        <f ca="1">AVERAGE(OFFSET($R$3,0,0,'Données projet'!$E$9+1,1))-AVERAGE(OFFSET($H$3,0,0,'Données projet'!$E$9+1,1))</f>
        <v>181.84907943028196</v>
      </c>
      <c r="T80" s="60">
        <f t="shared" si="88"/>
        <v>199.66849909069458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92.91436440722363</v>
      </c>
      <c r="AA80" s="23">
        <f>EXP(-LN(2)/25)*AA79+(1-EXP(-LN(2)/25))/(LN(2)/25)*Calculateur!V80*Calculateur!X80*VLOOKUP('Données projet'!$B$9,Paramètres!$A$1:$I$88,3,0)*0.475*44/12</f>
        <v>18.970006505606815</v>
      </c>
      <c r="AB80" s="23">
        <f>EXP(-LN(2)/2)*AB79+(1-EXP(-LN(2)/2))/(LN(2)/2)*V80*Y80*VLOOKUP('Données projet'!$B$9,Paramètres!$A$1:$I$88,3,0)*0.475*44/12</f>
        <v>6.5664586706179751E-2</v>
      </c>
      <c r="AC80" s="24">
        <f t="shared" si="57"/>
        <v>111.95003549953663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projet'!$B$10,Paramètres!$A$1:$I$88,3,0)*VLOOKUP('Données projet'!$B$10,Paramètres!$A$1:$I$88,5,0)</f>
        <v>0</v>
      </c>
      <c r="AK80" s="14" t="e">
        <f t="shared" si="89"/>
        <v>#NUM!</v>
      </c>
      <c r="AL80" s="22" t="e">
        <f t="shared" si="58"/>
        <v>#NUM!</v>
      </c>
      <c r="AM80" s="60" t="e">
        <f t="shared" si="59"/>
        <v>#NUM!</v>
      </c>
      <c r="AN80" s="60">
        <f ca="1">AVERAGE(OFFSET($AM$3,0,0,'Données projet'!$E$10+1,1))-AVERAGE(OFFSET($H$3,0,0,'Données projet'!$E$10+1,1))</f>
        <v>55.581964048431473</v>
      </c>
      <c r="AO80" s="60">
        <f t="shared" si="90"/>
        <v>91.067506141193803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17.38170395133244</v>
      </c>
      <c r="AV80" s="23">
        <f>EXP(-LN(2)/25)*AV79+(1-EXP(-LN(2)/25))/(LN(2)/25)*Calculateur!AQ80*Calculateur!AS80*VLOOKUP('Données projet'!$B$10,Paramètres!$A$1:$I$88,3,0)*0.475*44/12</f>
        <v>0</v>
      </c>
      <c r="AW80" s="23">
        <f>EXP(-LN(2)/2)*AW79+(1-EXP(-LN(2)/2))/(LN(2)/2)*AQ80*AT80*VLOOKUP('Données projet'!$B$10,Paramètres!$A$1:$I$88,3,0)*0.475*44/12</f>
        <v>0</v>
      </c>
      <c r="AX80" s="23">
        <f t="shared" si="60"/>
        <v>17.38170395133244</v>
      </c>
      <c r="AY80" s="7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4.5555555555555554</v>
      </c>
      <c r="BD80" s="13">
        <f>IF('Données projet'!$A$88&gt;35,BD79+BC80-BL79,IF(A80&lt;'Données projet'!$A$88,$BA$205^A80,IF(A80='Données projet'!$A$88,'Données projet'!$B$88,BD79+BC80-BL79)))</f>
        <v>140.77777777777789</v>
      </c>
      <c r="BE80" s="14">
        <f>BD80*VLOOKUP('Données projet'!$B$11,Paramètres!$A$1:$I$88,3,0)*VLOOKUP('Données projet'!$B$11,Paramètres!$A$1:$I$88,5,0)</f>
        <v>142.74866666666679</v>
      </c>
      <c r="BF80" s="14">
        <f t="shared" si="91"/>
        <v>36.925972122034267</v>
      </c>
      <c r="BG80" s="22">
        <f t="shared" si="61"/>
        <v>312.93332922365431</v>
      </c>
      <c r="BH80" s="60">
        <f t="shared" si="62"/>
        <v>606.26666255698763</v>
      </c>
      <c r="BI80" s="60">
        <f ca="1">AVERAGE(OFFSET($BH$3,0,0,'Données projet'!$E$11+1,1))-AVERAGE(OFFSET($H$3,0,0,'Données projet'!$E$11+1,1))</f>
        <v>178.29366134936788</v>
      </c>
      <c r="BJ80" s="60">
        <f t="shared" si="92"/>
        <v>85.818195717787148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5.5769949377210484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5.5769949377210484</v>
      </c>
      <c r="BT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>
        <f>BY80*VLOOKUP('Données projet'!$B$12,Paramètres!$A$1:$I$88,3,0)*VLOOKUP('Données projet'!$B$12,Paramètres!$A$1:$I$88,5,0)</f>
        <v>0</v>
      </c>
      <c r="CA80" s="14" t="e">
        <f t="shared" si="93"/>
        <v>#NUM!</v>
      </c>
      <c r="CB80" s="22" t="e">
        <f t="shared" si="64"/>
        <v>#NUM!</v>
      </c>
      <c r="CC80" s="60" t="e">
        <f t="shared" si="65"/>
        <v>#NUM!</v>
      </c>
      <c r="CD80" s="60">
        <f ca="1">AVERAGE(OFFSET($CC$3,0,0,'Données projet'!$E$12+1,1))-AVERAGE(OFFSET($H$3,0,0,'Données projet'!$E$12+1,1))</f>
        <v>104.00159056395933</v>
      </c>
      <c r="CE80" s="60">
        <f t="shared" si="94"/>
        <v>115.86489547584461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105.48778043384006</v>
      </c>
      <c r="CL80" s="23">
        <f>EXP(-LN(2)/25)*CL79+(1-EXP(-LN(2)/25))/(LN(2)/25)*Calculateur!CG80*Calculateur!CI80*VLOOKUP('Données projet'!$B$12,Paramètres!$A$1:$I$88,3,0)*0.475*44/12</f>
        <v>20.644148569218121</v>
      </c>
      <c r="CM80" s="23">
        <f>EXP(-LN(2)/2)*CM79+(1-EXP(-LN(2)/2))/(LN(2)/2)*CG80*CJ80*VLOOKUP('Données projet'!$B$12,Paramètres!$A$1:$I$88,3,0)*0.475*44/12</f>
        <v>1.6968905821380762</v>
      </c>
      <c r="CN80" s="24">
        <f t="shared" si="66"/>
        <v>127.82881958519626</v>
      </c>
      <c r="CO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projet'!$B$13,Paramètres!$A$1:$I$88,3,0)*VLOOKUP('Données projet'!$B$13,Paramètres!$A$1:$I$88,5,0)</f>
        <v>#N/A</v>
      </c>
      <c r="CV80" s="14" t="e">
        <f t="shared" si="95"/>
        <v>#N/A</v>
      </c>
      <c r="CW80" s="22" t="e">
        <f t="shared" si="67"/>
        <v>#N/A</v>
      </c>
      <c r="CX80" s="60" t="e">
        <f t="shared" si="68"/>
        <v>#N/A</v>
      </c>
      <c r="CY80" s="60" t="e">
        <f ca="1">AVERAGE(OFFSET($CX$3,0,0,'Données projet'!$E$13+1,1))-AVERAGE(OFFSET($H$3,0,0,'Données projet'!$E$13+1,1))</f>
        <v>#N/A</v>
      </c>
      <c r="CZ80" s="60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projet'!$B$13,Paramètres!$A$1:$I$88,3,0)*0.475*44/12</f>
        <v>#N/A</v>
      </c>
      <c r="DG80" s="23" t="e">
        <f>EXP(-LN(2)/25)*DG79+(1-EXP(-LN(2)/25))/(LN(2)/25)*Calculateur!DB80*Calculateur!DD80*VLOOKUP('Données projet'!$B$13,Paramètres!$A$1:$I$88,3,0)*0.475*44/12</f>
        <v>#N/A</v>
      </c>
      <c r="DH80" s="23" t="e">
        <f>EXP(-LN(2)/2)*DH79+(1-EXP(-LN(2)/2))/(LN(2)/2)*DB80*DE80*VLOOKUP('Données projet'!$B$13,Paramètres!$A$1:$I$88,3,0)*0.475*44/12</f>
        <v>#N/A</v>
      </c>
      <c r="DI80" s="24" t="e">
        <f t="shared" si="69"/>
        <v>#N/A</v>
      </c>
      <c r="DJ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0" t="e">
        <f t="shared" si="71"/>
        <v>#N/A</v>
      </c>
      <c r="DT80" s="60" t="e">
        <f ca="1">AVERAGE(OFFSET($DS$3,0,0,'Données projet'!$E$14+1,1))-AVERAGE(OFFSET($H$3,0,0,'Données projet'!$E$14+1,1))</f>
        <v>#N/A</v>
      </c>
      <c r="DU80" s="60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4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69.35760000000009</v>
      </c>
      <c r="D81" s="12">
        <f t="shared" si="86"/>
        <v>19.51384151112245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4.5474735088646412E-13</v>
      </c>
      <c r="O81" s="14">
        <f>N81*VLOOKUP('Données projet'!$B$9,Paramètres!$A$1:$I$88,3,0)*VLOOKUP('Données projet'!$B$9,Paramètres!$A$1:$I$88,5,0)</f>
        <v>2.7193891583010558E-13</v>
      </c>
      <c r="P81" s="14">
        <f t="shared" si="87"/>
        <v>3.6362267729089988E-12</v>
      </c>
      <c r="Q81" s="22">
        <f t="shared" si="54"/>
        <v>6.8067219078872727E-12</v>
      </c>
      <c r="R81" s="60">
        <f t="shared" si="55"/>
        <v>293.33333333334014</v>
      </c>
      <c r="S81" s="60">
        <f ca="1">AVERAGE(OFFSET($R$3,0,0,'Données projet'!$E$9+1,1))-AVERAGE(OFFSET($H$3,0,0,'Données projet'!$E$9+1,1))</f>
        <v>181.84907943028196</v>
      </c>
      <c r="T81" s="60">
        <f t="shared" si="88"/>
        <v>199.66849909069458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91.092370393364348</v>
      </c>
      <c r="AA81" s="23">
        <f>EXP(-LN(2)/25)*AA80+(1-EXP(-LN(2)/25))/(LN(2)/25)*Calculateur!V81*Calculateur!X81*VLOOKUP('Données projet'!$B$9,Paramètres!$A$1:$I$88,3,0)*0.475*44/12</f>
        <v>18.451270680121709</v>
      </c>
      <c r="AB81" s="23">
        <f>EXP(-LN(2)/2)*AB80+(1-EXP(-LN(2)/2))/(LN(2)/2)*V81*Y81*VLOOKUP('Données projet'!$B$9,Paramètres!$A$1:$I$88,3,0)*0.475*44/12</f>
        <v>4.6431874543751722E-2</v>
      </c>
      <c r="AC81" s="24">
        <f t="shared" si="57"/>
        <v>109.59007294802981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projet'!$B$10,Paramètres!$A$1:$I$88,3,0)*VLOOKUP('Données projet'!$B$10,Paramètres!$A$1:$I$88,5,0)</f>
        <v>0</v>
      </c>
      <c r="AK81" s="14" t="e">
        <f t="shared" si="89"/>
        <v>#NUM!</v>
      </c>
      <c r="AL81" s="22" t="e">
        <f t="shared" si="58"/>
        <v>#NUM!</v>
      </c>
      <c r="AM81" s="60" t="e">
        <f t="shared" si="59"/>
        <v>#NUM!</v>
      </c>
      <c r="AN81" s="60">
        <f ca="1">AVERAGE(OFFSET($AM$3,0,0,'Données projet'!$E$10+1,1))-AVERAGE(OFFSET($H$3,0,0,'Données projet'!$E$10+1,1))</f>
        <v>55.581964048431473</v>
      </c>
      <c r="AO81" s="60">
        <f t="shared" si="90"/>
        <v>91.067506141193803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17.040859338639383</v>
      </c>
      <c r="AV81" s="23">
        <f>EXP(-LN(2)/25)*AV80+(1-EXP(-LN(2)/25))/(LN(2)/25)*Calculateur!AQ81*Calculateur!AS81*VLOOKUP('Données projet'!$B$10,Paramètres!$A$1:$I$88,3,0)*0.475*44/12</f>
        <v>0</v>
      </c>
      <c r="AW81" s="23">
        <f>EXP(-LN(2)/2)*AW80+(1-EXP(-LN(2)/2))/(LN(2)/2)*AQ81*AT81*VLOOKUP('Données projet'!$B$10,Paramètres!$A$1:$I$88,3,0)*0.475*44/12</f>
        <v>0</v>
      </c>
      <c r="AX81" s="23">
        <f t="shared" si="60"/>
        <v>17.040859338639383</v>
      </c>
      <c r="AY81" s="7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4.5555555555555554</v>
      </c>
      <c r="BD81" s="13">
        <f>IF('Données projet'!$A$88&gt;35,BD80+BC81-BL80,IF(A81&lt;'Données projet'!$A$88,$BA$205^A81,IF(A81='Données projet'!$A$88,'Données projet'!$B$88,BD80+BC81-BL80)))</f>
        <v>145.33333333333343</v>
      </c>
      <c r="BE81" s="14">
        <f>BD81*VLOOKUP('Données projet'!$B$11,Paramètres!$A$1:$I$88,3,0)*VLOOKUP('Données projet'!$B$11,Paramètres!$A$1:$I$88,5,0)</f>
        <v>147.36800000000011</v>
      </c>
      <c r="BF81" s="14">
        <f t="shared" si="91"/>
        <v>37.979839328959663</v>
      </c>
      <c r="BG81" s="22">
        <f t="shared" si="61"/>
        <v>322.81415349793821</v>
      </c>
      <c r="BH81" s="60">
        <f t="shared" si="62"/>
        <v>616.14748683127152</v>
      </c>
      <c r="BI81" s="60">
        <f ca="1">AVERAGE(OFFSET($BH$3,0,0,'Données projet'!$E$11+1,1))-AVERAGE(OFFSET($H$3,0,0,'Données projet'!$E$11+1,1))</f>
        <v>178.29366134936788</v>
      </c>
      <c r="BJ81" s="60">
        <f t="shared" si="92"/>
        <v>85.818195717787148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5.4676334686233679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5.4676334686233679</v>
      </c>
      <c r="BT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>
        <f>BY81*VLOOKUP('Données projet'!$B$12,Paramètres!$A$1:$I$88,3,0)*VLOOKUP('Données projet'!$B$12,Paramètres!$A$1:$I$88,5,0)</f>
        <v>0</v>
      </c>
      <c r="CA81" s="14" t="e">
        <f t="shared" si="93"/>
        <v>#NUM!</v>
      </c>
      <c r="CB81" s="22" t="e">
        <f t="shared" si="64"/>
        <v>#NUM!</v>
      </c>
      <c r="CC81" s="60" t="e">
        <f t="shared" si="65"/>
        <v>#NUM!</v>
      </c>
      <c r="CD81" s="60">
        <f ca="1">AVERAGE(OFFSET($CC$3,0,0,'Données projet'!$E$12+1,1))-AVERAGE(OFFSET($H$3,0,0,'Données projet'!$E$12+1,1))</f>
        <v>104.00159056395933</v>
      </c>
      <c r="CE81" s="60">
        <f t="shared" si="94"/>
        <v>115.86489547584461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103.41922940072536</v>
      </c>
      <c r="CL81" s="23">
        <f>EXP(-LN(2)/25)*CL80+(1-EXP(-LN(2)/25))/(LN(2)/25)*Calculateur!CG81*Calculateur!CI81*VLOOKUP('Données projet'!$B$12,Paramètres!$A$1:$I$88,3,0)*0.475*44/12</f>
        <v>20.079633240964259</v>
      </c>
      <c r="CM81" s="23">
        <f>EXP(-LN(2)/2)*CM80+(1-EXP(-LN(2)/2))/(LN(2)/2)*CG81*CJ81*VLOOKUP('Données projet'!$B$12,Paramètres!$A$1:$I$88,3,0)*0.475*44/12</f>
        <v>1.1998828375614219</v>
      </c>
      <c r="CN81" s="24">
        <f t="shared" si="66"/>
        <v>124.69874547925103</v>
      </c>
      <c r="CO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projet'!$B$13,Paramètres!$A$1:$I$88,3,0)*VLOOKUP('Données projet'!$B$13,Paramètres!$A$1:$I$88,5,0)</f>
        <v>#N/A</v>
      </c>
      <c r="CV81" s="14" t="e">
        <f t="shared" si="95"/>
        <v>#N/A</v>
      </c>
      <c r="CW81" s="22" t="e">
        <f t="shared" si="67"/>
        <v>#N/A</v>
      </c>
      <c r="CX81" s="60" t="e">
        <f t="shared" si="68"/>
        <v>#N/A</v>
      </c>
      <c r="CY81" s="60" t="e">
        <f ca="1">AVERAGE(OFFSET($CX$3,0,0,'Données projet'!$E$13+1,1))-AVERAGE(OFFSET($H$3,0,0,'Données projet'!$E$13+1,1))</f>
        <v>#N/A</v>
      </c>
      <c r="CZ81" s="60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projet'!$B$13,Paramètres!$A$1:$I$88,3,0)*0.475*44/12</f>
        <v>#N/A</v>
      </c>
      <c r="DG81" s="23" t="e">
        <f>EXP(-LN(2)/25)*DG80+(1-EXP(-LN(2)/25))/(LN(2)/25)*Calculateur!DB81*Calculateur!DD81*VLOOKUP('Données projet'!$B$13,Paramètres!$A$1:$I$88,3,0)*0.475*44/12</f>
        <v>#N/A</v>
      </c>
      <c r="DH81" s="23" t="e">
        <f>EXP(-LN(2)/2)*DH80+(1-EXP(-LN(2)/2))/(LN(2)/2)*DB81*DE81*VLOOKUP('Données projet'!$B$13,Paramètres!$A$1:$I$88,3,0)*0.475*44/12</f>
        <v>#N/A</v>
      </c>
      <c r="DI81" s="24" t="e">
        <f t="shared" si="69"/>
        <v>#N/A</v>
      </c>
      <c r="DJ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0" t="e">
        <f t="shared" si="71"/>
        <v>#N/A</v>
      </c>
      <c r="DT81" s="60" t="e">
        <f ca="1">AVERAGE(OFFSET($DS$3,0,0,'Données projet'!$E$14+1,1))-AVERAGE(OFFSET($H$3,0,0,'Données projet'!$E$14+1,1))</f>
        <v>#N/A</v>
      </c>
      <c r="DU81" s="60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4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70.246800000000093</v>
      </c>
      <c r="D82" s="12">
        <f t="shared" si="86"/>
        <v>19.734734149853086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4.5474735088646412E-13</v>
      </c>
      <c r="O82" s="14">
        <f>N82*VLOOKUP('Données projet'!$B$9,Paramètres!$A$1:$I$88,3,0)*VLOOKUP('Données projet'!$B$9,Paramètres!$A$1:$I$88,5,0)</f>
        <v>2.7193891583010558E-13</v>
      </c>
      <c r="P82" s="14">
        <f t="shared" si="87"/>
        <v>3.6362267729089988E-12</v>
      </c>
      <c r="Q82" s="22">
        <f t="shared" si="54"/>
        <v>6.8067219078872727E-12</v>
      </c>
      <c r="R82" s="60">
        <f t="shared" si="55"/>
        <v>293.33333333334014</v>
      </c>
      <c r="S82" s="60">
        <f ca="1">AVERAGE(OFFSET($R$3,0,0,'Données projet'!$E$9+1,1))-AVERAGE(OFFSET($H$3,0,0,'Données projet'!$E$9+1,1))</f>
        <v>181.84907943028196</v>
      </c>
      <c r="T82" s="60">
        <f t="shared" si="88"/>
        <v>199.66849909069458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89.306104570810234</v>
      </c>
      <c r="AA82" s="23">
        <f>EXP(-LN(2)/25)*AA81+(1-EXP(-LN(2)/25))/(LN(2)/25)*Calculateur!V82*Calculateur!X82*VLOOKUP('Données projet'!$B$9,Paramètres!$A$1:$I$88,3,0)*0.475*44/12</f>
        <v>17.946719713063626</v>
      </c>
      <c r="AB82" s="23">
        <f>EXP(-LN(2)/2)*AB81+(1-EXP(-LN(2)/2))/(LN(2)/2)*V82*Y82*VLOOKUP('Données projet'!$B$9,Paramètres!$A$1:$I$88,3,0)*0.475*44/12</f>
        <v>3.2832293353089875E-2</v>
      </c>
      <c r="AC82" s="24">
        <f t="shared" si="57"/>
        <v>107.28565657722696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projet'!$B$10,Paramètres!$A$1:$I$88,3,0)*VLOOKUP('Données projet'!$B$10,Paramètres!$A$1:$I$88,5,0)</f>
        <v>0</v>
      </c>
      <c r="AK82" s="14" t="e">
        <f t="shared" si="89"/>
        <v>#NUM!</v>
      </c>
      <c r="AL82" s="22" t="e">
        <f t="shared" si="58"/>
        <v>#NUM!</v>
      </c>
      <c r="AM82" s="60" t="e">
        <f t="shared" si="59"/>
        <v>#NUM!</v>
      </c>
      <c r="AN82" s="60">
        <f ca="1">AVERAGE(OFFSET($AM$3,0,0,'Données projet'!$E$10+1,1))-AVERAGE(OFFSET($H$3,0,0,'Données projet'!$E$10+1,1))</f>
        <v>55.581964048431473</v>
      </c>
      <c r="AO82" s="60">
        <f t="shared" si="90"/>
        <v>91.067506141193803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16.70669848090655</v>
      </c>
      <c r="AV82" s="23">
        <f>EXP(-LN(2)/25)*AV81+(1-EXP(-LN(2)/25))/(LN(2)/25)*Calculateur!AQ82*Calculateur!AS82*VLOOKUP('Données projet'!$B$10,Paramètres!$A$1:$I$88,3,0)*0.475*44/12</f>
        <v>0</v>
      </c>
      <c r="AW82" s="23">
        <f>EXP(-LN(2)/2)*AW81+(1-EXP(-LN(2)/2))/(LN(2)/2)*AQ82*AT82*VLOOKUP('Données projet'!$B$10,Paramètres!$A$1:$I$88,3,0)*0.475*44/12</f>
        <v>0</v>
      </c>
      <c r="AX82" s="23">
        <f t="shared" si="60"/>
        <v>16.70669848090655</v>
      </c>
      <c r="AY82" s="7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4.5555555555555554</v>
      </c>
      <c r="BD82" s="13">
        <f>IF('Données projet'!$A$88&gt;35,BD81+BC82-BL81,IF(A82&lt;'Données projet'!$A$88,$BA$205^A82,IF(A82='Données projet'!$A$88,'Données projet'!$B$88,BD81+BC82-BL81)))</f>
        <v>149.88888888888897</v>
      </c>
      <c r="BE82" s="14">
        <f>BD82*VLOOKUP('Données projet'!$B$11,Paramètres!$A$1:$I$88,3,0)*VLOOKUP('Données projet'!$B$11,Paramètres!$A$1:$I$88,5,0)</f>
        <v>151.98733333333342</v>
      </c>
      <c r="BF82" s="14">
        <f t="shared" si="91"/>
        <v>39.029867712944771</v>
      </c>
      <c r="BG82" s="22">
        <f t="shared" si="61"/>
        <v>332.68829182226784</v>
      </c>
      <c r="BH82" s="60">
        <f t="shared" si="62"/>
        <v>626.02162515560121</v>
      </c>
      <c r="BI82" s="60">
        <f ca="1">AVERAGE(OFFSET($BH$3,0,0,'Données projet'!$E$11+1,1))-AVERAGE(OFFSET($H$3,0,0,'Données projet'!$E$11+1,1))</f>
        <v>178.29366134936788</v>
      </c>
      <c r="BJ82" s="60">
        <f t="shared" si="92"/>
        <v>85.818195717787148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5.3604165112307829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5.3604165112307829</v>
      </c>
      <c r="BT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>
        <f>BY82*VLOOKUP('Données projet'!$B$12,Paramètres!$A$1:$I$88,3,0)*VLOOKUP('Données projet'!$B$12,Paramètres!$A$1:$I$88,5,0)</f>
        <v>0</v>
      </c>
      <c r="CA82" s="14" t="e">
        <f t="shared" si="93"/>
        <v>#NUM!</v>
      </c>
      <c r="CB82" s="22" t="e">
        <f t="shared" si="64"/>
        <v>#NUM!</v>
      </c>
      <c r="CC82" s="60" t="e">
        <f t="shared" si="65"/>
        <v>#NUM!</v>
      </c>
      <c r="CD82" s="60">
        <f ca="1">AVERAGE(OFFSET($CC$3,0,0,'Données projet'!$E$12+1,1))-AVERAGE(OFFSET($H$3,0,0,'Données projet'!$E$12+1,1))</f>
        <v>104.00159056395933</v>
      </c>
      <c r="CE82" s="60">
        <f t="shared" si="94"/>
        <v>115.86489547584461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101.39124139167848</v>
      </c>
      <c r="CL82" s="23">
        <f>EXP(-LN(2)/25)*CL81+(1-EXP(-LN(2)/25))/(LN(2)/25)*Calculateur!CG82*Calculateur!CI82*VLOOKUP('Données projet'!$B$12,Paramètres!$A$1:$I$88,3,0)*0.475*44/12</f>
        <v>19.530554614048071</v>
      </c>
      <c r="CM82" s="23">
        <f>EXP(-LN(2)/2)*CM81+(1-EXP(-LN(2)/2))/(LN(2)/2)*CG82*CJ82*VLOOKUP('Données projet'!$B$12,Paramètres!$A$1:$I$88,3,0)*0.475*44/12</f>
        <v>0.8484452910690381</v>
      </c>
      <c r="CN82" s="24">
        <f t="shared" si="66"/>
        <v>121.77024129679559</v>
      </c>
      <c r="CO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projet'!$B$13,Paramètres!$A$1:$I$88,3,0)*VLOOKUP('Données projet'!$B$13,Paramètres!$A$1:$I$88,5,0)</f>
        <v>#N/A</v>
      </c>
      <c r="CV82" s="14" t="e">
        <f t="shared" si="95"/>
        <v>#N/A</v>
      </c>
      <c r="CW82" s="22" t="e">
        <f t="shared" si="67"/>
        <v>#N/A</v>
      </c>
      <c r="CX82" s="60" t="e">
        <f t="shared" si="68"/>
        <v>#N/A</v>
      </c>
      <c r="CY82" s="60" t="e">
        <f ca="1">AVERAGE(OFFSET($CX$3,0,0,'Données projet'!$E$13+1,1))-AVERAGE(OFFSET($H$3,0,0,'Données projet'!$E$13+1,1))</f>
        <v>#N/A</v>
      </c>
      <c r="CZ82" s="60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projet'!$B$13,Paramètres!$A$1:$I$88,3,0)*0.475*44/12</f>
        <v>#N/A</v>
      </c>
      <c r="DG82" s="23" t="e">
        <f>EXP(-LN(2)/25)*DG81+(1-EXP(-LN(2)/25))/(LN(2)/25)*Calculateur!DB82*Calculateur!DD82*VLOOKUP('Données projet'!$B$13,Paramètres!$A$1:$I$88,3,0)*0.475*44/12</f>
        <v>#N/A</v>
      </c>
      <c r="DH82" s="23" t="e">
        <f>EXP(-LN(2)/2)*DH81+(1-EXP(-LN(2)/2))/(LN(2)/2)*DB82*DE82*VLOOKUP('Données projet'!$B$13,Paramètres!$A$1:$I$88,3,0)*0.475*44/12</f>
        <v>#N/A</v>
      </c>
      <c r="DI82" s="24" t="e">
        <f t="shared" si="69"/>
        <v>#N/A</v>
      </c>
      <c r="DJ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0" t="e">
        <f t="shared" si="71"/>
        <v>#N/A</v>
      </c>
      <c r="DT82" s="60" t="e">
        <f ca="1">AVERAGE(OFFSET($DS$3,0,0,'Données projet'!$E$14+1,1))-AVERAGE(OFFSET($H$3,0,0,'Données projet'!$E$14+1,1))</f>
        <v>#N/A</v>
      </c>
      <c r="DU82" s="60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4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71.136000000000095</v>
      </c>
      <c r="D83" s="12">
        <f t="shared" si="86"/>
        <v>19.955301551927505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4.5474735088646412E-13</v>
      </c>
      <c r="O83" s="14">
        <f>N83*VLOOKUP('Données projet'!$B$9,Paramètres!$A$1:$I$88,3,0)*VLOOKUP('Données projet'!$B$9,Paramètres!$A$1:$I$88,5,0)</f>
        <v>2.7193891583010558E-13</v>
      </c>
      <c r="P83" s="14">
        <f t="shared" si="87"/>
        <v>3.6362267729089988E-12</v>
      </c>
      <c r="Q83" s="22">
        <f t="shared" si="54"/>
        <v>6.8067219078872727E-12</v>
      </c>
      <c r="R83" s="60">
        <f t="shared" si="55"/>
        <v>293.33333333334014</v>
      </c>
      <c r="S83" s="60">
        <f ca="1">AVERAGE(OFFSET($R$3,0,0,'Données projet'!$E$9+1,1))-AVERAGE(OFFSET($H$3,0,0,'Données projet'!$E$9+1,1))</f>
        <v>181.84907943028196</v>
      </c>
      <c r="T83" s="60">
        <f t="shared" si="88"/>
        <v>199.66849909069458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87.554866331521836</v>
      </c>
      <c r="AA83" s="23">
        <f>EXP(-LN(2)/25)*AA82+(1-EXP(-LN(2)/25))/(LN(2)/25)*Calculateur!V83*Calculateur!X83*VLOOKUP('Données projet'!$B$9,Paramètres!$A$1:$I$88,3,0)*0.475*44/12</f>
        <v>17.45596571873293</v>
      </c>
      <c r="AB83" s="23">
        <f>EXP(-LN(2)/2)*AB82+(1-EXP(-LN(2)/2))/(LN(2)/2)*V83*Y83*VLOOKUP('Données projet'!$B$9,Paramètres!$A$1:$I$88,3,0)*0.475*44/12</f>
        <v>2.3215937271875861E-2</v>
      </c>
      <c r="AC83" s="24">
        <f t="shared" si="57"/>
        <v>105.03404798752663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projet'!$B$10,Paramètres!$A$1:$I$88,3,0)*VLOOKUP('Données projet'!$B$10,Paramètres!$A$1:$I$88,5,0)</f>
        <v>0</v>
      </c>
      <c r="AK83" s="14" t="e">
        <f t="shared" si="89"/>
        <v>#NUM!</v>
      </c>
      <c r="AL83" s="22" t="e">
        <f t="shared" si="58"/>
        <v>#NUM!</v>
      </c>
      <c r="AM83" s="60" t="e">
        <f t="shared" si="59"/>
        <v>#NUM!</v>
      </c>
      <c r="AN83" s="60">
        <f ca="1">AVERAGE(OFFSET($AM$3,0,0,'Données projet'!$E$10+1,1))-AVERAGE(OFFSET($H$3,0,0,'Données projet'!$E$10+1,1))</f>
        <v>55.581964048431473</v>
      </c>
      <c r="AO83" s="60">
        <f t="shared" si="90"/>
        <v>91.067506141193803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16.379090313775858</v>
      </c>
      <c r="AV83" s="23">
        <f>EXP(-LN(2)/25)*AV82+(1-EXP(-LN(2)/25))/(LN(2)/25)*Calculateur!AQ83*Calculateur!AS83*VLOOKUP('Données projet'!$B$10,Paramètres!$A$1:$I$88,3,0)*0.475*44/12</f>
        <v>0</v>
      </c>
      <c r="AW83" s="23">
        <f>EXP(-LN(2)/2)*AW82+(1-EXP(-LN(2)/2))/(LN(2)/2)*AQ83*AT83*VLOOKUP('Données projet'!$B$10,Paramètres!$A$1:$I$88,3,0)*0.475*44/12</f>
        <v>0</v>
      </c>
      <c r="AX83" s="23">
        <f t="shared" si="60"/>
        <v>16.379090313775858</v>
      </c>
      <c r="AY83" s="7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4.5555555555555554</v>
      </c>
      <c r="BD83" s="13">
        <f>IF('Données projet'!$A$88&gt;35,BD82+BC83-BL82,IF(A83&lt;'Données projet'!$A$88,$BA$205^A83,IF(A83='Données projet'!$A$88,'Données projet'!$B$88,BD82+BC83-BL82)))</f>
        <v>154.44444444444451</v>
      </c>
      <c r="BE83" s="14">
        <f>BD83*VLOOKUP('Données projet'!$B$11,Paramètres!$A$1:$I$88,3,0)*VLOOKUP('Données projet'!$B$11,Paramètres!$A$1:$I$88,5,0)</f>
        <v>156.60666666666677</v>
      </c>
      <c r="BF83" s="14">
        <f t="shared" si="91"/>
        <v>40.076187338098009</v>
      </c>
      <c r="BG83" s="22">
        <f t="shared" si="61"/>
        <v>342.55597072496533</v>
      </c>
      <c r="BH83" s="60">
        <f t="shared" si="62"/>
        <v>635.88930405829865</v>
      </c>
      <c r="BI83" s="60">
        <f ca="1">AVERAGE(OFFSET($BH$3,0,0,'Données projet'!$E$11+1,1))-AVERAGE(OFFSET($H$3,0,0,'Données projet'!$E$11+1,1))</f>
        <v>178.29366134936788</v>
      </c>
      <c r="BJ83" s="60">
        <f t="shared" si="92"/>
        <v>85.818195717787148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5.25530201297678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5.25530201297678</v>
      </c>
      <c r="BT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>
        <f>BY83*VLOOKUP('Données projet'!$B$12,Paramètres!$A$1:$I$88,3,0)*VLOOKUP('Données projet'!$B$12,Paramètres!$A$1:$I$88,5,0)</f>
        <v>0</v>
      </c>
      <c r="CA83" s="14" t="e">
        <f t="shared" si="93"/>
        <v>#NUM!</v>
      </c>
      <c r="CB83" s="22" t="e">
        <f t="shared" si="64"/>
        <v>#NUM!</v>
      </c>
      <c r="CC83" s="60" t="e">
        <f t="shared" si="65"/>
        <v>#NUM!</v>
      </c>
      <c r="CD83" s="60">
        <f ca="1">AVERAGE(OFFSET($CC$3,0,0,'Données projet'!$E$12+1,1))-AVERAGE(OFFSET($H$3,0,0,'Données projet'!$E$12+1,1))</f>
        <v>104.00159056395933</v>
      </c>
      <c r="CE83" s="60">
        <f t="shared" si="94"/>
        <v>115.86489547584461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99.403020990538465</v>
      </c>
      <c r="CL83" s="23">
        <f>EXP(-LN(2)/25)*CL82+(1-EXP(-LN(2)/25))/(LN(2)/25)*Calculateur!CG83*Calculateur!CI83*VLOOKUP('Données projet'!$B$12,Paramètres!$A$1:$I$88,3,0)*0.475*44/12</f>
        <v>18.996490571059699</v>
      </c>
      <c r="CM83" s="23">
        <f>EXP(-LN(2)/2)*CM82+(1-EXP(-LN(2)/2))/(LN(2)/2)*CG83*CJ83*VLOOKUP('Données projet'!$B$12,Paramètres!$A$1:$I$88,3,0)*0.475*44/12</f>
        <v>0.59994141878071094</v>
      </c>
      <c r="CN83" s="24">
        <f t="shared" si="66"/>
        <v>118.99945298037888</v>
      </c>
      <c r="CO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projet'!$B$13,Paramètres!$A$1:$I$88,3,0)*VLOOKUP('Données projet'!$B$13,Paramètres!$A$1:$I$88,5,0)</f>
        <v>#N/A</v>
      </c>
      <c r="CV83" s="14" t="e">
        <f t="shared" si="95"/>
        <v>#N/A</v>
      </c>
      <c r="CW83" s="22" t="e">
        <f t="shared" si="67"/>
        <v>#N/A</v>
      </c>
      <c r="CX83" s="60" t="e">
        <f t="shared" si="68"/>
        <v>#N/A</v>
      </c>
      <c r="CY83" s="60" t="e">
        <f ca="1">AVERAGE(OFFSET($CX$3,0,0,'Données projet'!$E$13+1,1))-AVERAGE(OFFSET($H$3,0,0,'Données projet'!$E$13+1,1))</f>
        <v>#N/A</v>
      </c>
      <c r="CZ83" s="60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projet'!$B$13,Paramètres!$A$1:$I$88,3,0)*0.475*44/12</f>
        <v>#N/A</v>
      </c>
      <c r="DG83" s="23" t="e">
        <f>EXP(-LN(2)/25)*DG82+(1-EXP(-LN(2)/25))/(LN(2)/25)*Calculateur!DB83*Calculateur!DD83*VLOOKUP('Données projet'!$B$13,Paramètres!$A$1:$I$88,3,0)*0.475*44/12</f>
        <v>#N/A</v>
      </c>
      <c r="DH83" s="23" t="e">
        <f>EXP(-LN(2)/2)*DH82+(1-EXP(-LN(2)/2))/(LN(2)/2)*DB83*DE83*VLOOKUP('Données projet'!$B$13,Paramètres!$A$1:$I$88,3,0)*0.475*44/12</f>
        <v>#N/A</v>
      </c>
      <c r="DI83" s="24" t="e">
        <f t="shared" si="69"/>
        <v>#N/A</v>
      </c>
      <c r="DJ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0" t="e">
        <f t="shared" si="71"/>
        <v>#N/A</v>
      </c>
      <c r="DT83" s="60" t="e">
        <f ca="1">AVERAGE(OFFSET($DS$3,0,0,'Données projet'!$E$14+1,1))-AVERAGE(OFFSET($H$3,0,0,'Données projet'!$E$14+1,1))</f>
        <v>#N/A</v>
      </c>
      <c r="DU83" s="60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4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72.025200000000098</v>
      </c>
      <c r="D84" s="12">
        <f t="shared" si="86"/>
        <v>20.175548252960489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4.5474735088646412E-13</v>
      </c>
      <c r="O84" s="14">
        <f>N84*VLOOKUP('Données projet'!$B$9,Paramètres!$A$1:$I$88,3,0)*VLOOKUP('Données projet'!$B$9,Paramètres!$A$1:$I$88,5,0)</f>
        <v>2.7193891583010558E-13</v>
      </c>
      <c r="P84" s="14">
        <f t="shared" si="87"/>
        <v>3.6362267729089988E-12</v>
      </c>
      <c r="Q84" s="22">
        <f t="shared" si="54"/>
        <v>6.8067219078872727E-12</v>
      </c>
      <c r="R84" s="60">
        <f t="shared" si="55"/>
        <v>293.33333333334014</v>
      </c>
      <c r="S84" s="60">
        <f ca="1">AVERAGE(OFFSET($R$3,0,0,'Données projet'!$E$9+1,1))-AVERAGE(OFFSET($H$3,0,0,'Données projet'!$E$9+1,1))</f>
        <v>181.84907943028196</v>
      </c>
      <c r="T84" s="60">
        <f t="shared" si="88"/>
        <v>199.66849909069458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85.837968805956024</v>
      </c>
      <c r="AA84" s="23">
        <f>EXP(-LN(2)/25)*AA83+(1-EXP(-LN(2)/25))/(LN(2)/25)*Calculateur!V84*Calculateur!X84*VLOOKUP('Données projet'!$B$9,Paramètres!$A$1:$I$88,3,0)*0.475*44/12</f>
        <v>16.978631418184836</v>
      </c>
      <c r="AB84" s="23">
        <f>EXP(-LN(2)/2)*AB83+(1-EXP(-LN(2)/2))/(LN(2)/2)*V84*Y84*VLOOKUP('Données projet'!$B$9,Paramètres!$A$1:$I$88,3,0)*0.475*44/12</f>
        <v>1.6416146676544938E-2</v>
      </c>
      <c r="AC84" s="24">
        <f t="shared" si="57"/>
        <v>102.8330163708174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projet'!$B$10,Paramètres!$A$1:$I$88,3,0)*VLOOKUP('Données projet'!$B$10,Paramètres!$A$1:$I$88,5,0)</f>
        <v>0</v>
      </c>
      <c r="AK84" s="14" t="e">
        <f t="shared" si="89"/>
        <v>#NUM!</v>
      </c>
      <c r="AL84" s="22" t="e">
        <f t="shared" si="58"/>
        <v>#NUM!</v>
      </c>
      <c r="AM84" s="60" t="e">
        <f t="shared" si="59"/>
        <v>#NUM!</v>
      </c>
      <c r="AN84" s="60">
        <f ca="1">AVERAGE(OFFSET($AM$3,0,0,'Données projet'!$E$10+1,1))-AVERAGE(OFFSET($H$3,0,0,'Données projet'!$E$10+1,1))</f>
        <v>55.581964048431473</v>
      </c>
      <c r="AO84" s="60">
        <f t="shared" si="90"/>
        <v>91.067506141193803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16.057906342981347</v>
      </c>
      <c r="AV84" s="23">
        <f>EXP(-LN(2)/25)*AV83+(1-EXP(-LN(2)/25))/(LN(2)/25)*Calculateur!AQ84*Calculateur!AS84*VLOOKUP('Données projet'!$B$10,Paramètres!$A$1:$I$88,3,0)*0.475*44/12</f>
        <v>0</v>
      </c>
      <c r="AW84" s="23">
        <f>EXP(-LN(2)/2)*AW83+(1-EXP(-LN(2)/2))/(LN(2)/2)*AQ84*AT84*VLOOKUP('Données projet'!$B$10,Paramètres!$A$1:$I$88,3,0)*0.475*44/12</f>
        <v>0</v>
      </c>
      <c r="AX84" s="23">
        <f t="shared" si="60"/>
        <v>16.057906342981347</v>
      </c>
      <c r="AY84" s="7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>
        <f>VLOOKUP(A84,'Données projet'!$A$87:$I$107,2,0)</f>
        <v>159</v>
      </c>
      <c r="BB84" s="13">
        <f>VLOOKUP(A84,'Données projet'!$A$87:$I$107,9,0)</f>
        <v>4.5555555555555554</v>
      </c>
      <c r="BC84" s="13">
        <f t="array" ref="BC84">INDEX(BB:BB,MIN(IF(ISNUMBER(BB84:BB280),ROW(BB84:BB280),"")))</f>
        <v>4.5555555555555554</v>
      </c>
      <c r="BD84" s="13">
        <f>IF('Données projet'!$A$88&gt;35,BD83+BC84-BL83,IF(A84&lt;'Données projet'!$A$88,$BA$205^A84,IF(A84='Données projet'!$A$88,'Données projet'!$B$88,BD83+BC84-BL83)))</f>
        <v>159.00000000000006</v>
      </c>
      <c r="BE84" s="14">
        <f>BD84*VLOOKUP('Données projet'!$B$11,Paramètres!$A$1:$I$88,3,0)*VLOOKUP('Données projet'!$B$11,Paramètres!$A$1:$I$88,5,0)</f>
        <v>161.22600000000006</v>
      </c>
      <c r="BF84" s="14">
        <f t="shared" si="91"/>
        <v>41.118920159482563</v>
      </c>
      <c r="BG84" s="22">
        <f t="shared" si="61"/>
        <v>352.41740261109891</v>
      </c>
      <c r="BH84" s="60">
        <f t="shared" si="62"/>
        <v>645.75073594443222</v>
      </c>
      <c r="BI84" s="60">
        <f ca="1">AVERAGE(OFFSET($BH$3,0,0,'Données projet'!$E$11+1,1))-AVERAGE(OFFSET($H$3,0,0,'Données projet'!$E$11+1,1))</f>
        <v>178.29366134936788</v>
      </c>
      <c r="BJ84" s="60">
        <f t="shared" si="92"/>
        <v>85.818195717787148</v>
      </c>
      <c r="BK84" s="16">
        <f>IF(ISNA(VLOOKUP(A84,'Données projet'!$A$87:$I$107,3,0)),0,VLOOKUP(A84,'Données projet'!$A$87:$I$107,3,0))</f>
        <v>4</v>
      </c>
      <c r="BL84" s="16">
        <f>IF(ISNA(VLOOKUP(A84,'Données projet'!$A$87:$I$107,4,0)),0,VLOOKUP(A84,'Données projet'!$A$87:$I$107,4,0))</f>
        <v>27</v>
      </c>
      <c r="BM84" s="17">
        <f>IF(ISNA(VLOOKUP(A84,'Données projet'!$A$87:$I$107,5,0)),0%,VLOOKUP(A84,'Données projet'!$A$87:$I$107,5,0)*VLOOKUP('Données projet'!$B$11,Paramètres!$A$1:$I$88,7,0))</f>
        <v>0.129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9.0565070244800747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9.0565070244800747</v>
      </c>
      <c r="BT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>
        <f>BY84*VLOOKUP('Données projet'!$B$12,Paramètres!$A$1:$I$88,3,0)*VLOOKUP('Données projet'!$B$12,Paramètres!$A$1:$I$88,5,0)</f>
        <v>0</v>
      </c>
      <c r="CA84" s="14" t="e">
        <f t="shared" si="93"/>
        <v>#NUM!</v>
      </c>
      <c r="CB84" s="22" t="e">
        <f t="shared" si="64"/>
        <v>#NUM!</v>
      </c>
      <c r="CC84" s="60" t="e">
        <f t="shared" si="65"/>
        <v>#NUM!</v>
      </c>
      <c r="CD84" s="60">
        <f ca="1">AVERAGE(OFFSET($CC$3,0,0,'Données projet'!$E$12+1,1))-AVERAGE(OFFSET($H$3,0,0,'Données projet'!$E$12+1,1))</f>
        <v>104.00159056395933</v>
      </c>
      <c r="CE84" s="60">
        <f t="shared" si="94"/>
        <v>115.86489547584461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97.453788378770113</v>
      </c>
      <c r="CL84" s="23">
        <f>EXP(-LN(2)/25)*CL83+(1-EXP(-LN(2)/25))/(LN(2)/25)*Calculateur!CG84*Calculateur!CI84*VLOOKUP('Données projet'!$B$12,Paramètres!$A$1:$I$88,3,0)*0.475*44/12</f>
        <v>18.477030537412048</v>
      </c>
      <c r="CM84" s="23">
        <f>EXP(-LN(2)/2)*CM83+(1-EXP(-LN(2)/2))/(LN(2)/2)*CG84*CJ84*VLOOKUP('Données projet'!$B$12,Paramètres!$A$1:$I$88,3,0)*0.475*44/12</f>
        <v>0.42422264553451905</v>
      </c>
      <c r="CN84" s="24">
        <f t="shared" si="66"/>
        <v>116.35504156171667</v>
      </c>
      <c r="CO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projet'!$B$13,Paramètres!$A$1:$I$88,3,0)*VLOOKUP('Données projet'!$B$13,Paramètres!$A$1:$I$88,5,0)</f>
        <v>#N/A</v>
      </c>
      <c r="CV84" s="14" t="e">
        <f t="shared" si="95"/>
        <v>#N/A</v>
      </c>
      <c r="CW84" s="22" t="e">
        <f t="shared" si="67"/>
        <v>#N/A</v>
      </c>
      <c r="CX84" s="60" t="e">
        <f t="shared" si="68"/>
        <v>#N/A</v>
      </c>
      <c r="CY84" s="60" t="e">
        <f ca="1">AVERAGE(OFFSET($CX$3,0,0,'Données projet'!$E$13+1,1))-AVERAGE(OFFSET($H$3,0,0,'Données projet'!$E$13+1,1))</f>
        <v>#N/A</v>
      </c>
      <c r="CZ84" s="60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projet'!$B$13,Paramètres!$A$1:$I$88,3,0)*0.475*44/12</f>
        <v>#N/A</v>
      </c>
      <c r="DG84" s="23" t="e">
        <f>EXP(-LN(2)/25)*DG83+(1-EXP(-LN(2)/25))/(LN(2)/25)*Calculateur!DB84*Calculateur!DD84*VLOOKUP('Données projet'!$B$13,Paramètres!$A$1:$I$88,3,0)*0.475*44/12</f>
        <v>#N/A</v>
      </c>
      <c r="DH84" s="23" t="e">
        <f>EXP(-LN(2)/2)*DH83+(1-EXP(-LN(2)/2))/(LN(2)/2)*DB84*DE84*VLOOKUP('Données projet'!$B$13,Paramètres!$A$1:$I$88,3,0)*0.475*44/12</f>
        <v>#N/A</v>
      </c>
      <c r="DI84" s="24" t="e">
        <f t="shared" si="69"/>
        <v>#N/A</v>
      </c>
      <c r="DJ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0" t="e">
        <f t="shared" si="71"/>
        <v>#N/A</v>
      </c>
      <c r="DT84" s="60" t="e">
        <f ca="1">AVERAGE(OFFSET($DS$3,0,0,'Données projet'!$E$14+1,1))-AVERAGE(OFFSET($H$3,0,0,'Données projet'!$E$14+1,1))</f>
        <v>#N/A</v>
      </c>
      <c r="DU84" s="60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4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72.9144000000001</v>
      </c>
      <c r="D85" s="12">
        <f t="shared" si="86"/>
        <v>20.395478670134686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4.5474735088646412E-13</v>
      </c>
      <c r="O85" s="14">
        <f>N85*VLOOKUP('Données projet'!$B$9,Paramètres!$A$1:$I$88,3,0)*VLOOKUP('Données projet'!$B$9,Paramètres!$A$1:$I$88,5,0)</f>
        <v>2.7193891583010558E-13</v>
      </c>
      <c r="P85" s="14">
        <f t="shared" si="87"/>
        <v>3.6362267729089988E-12</v>
      </c>
      <c r="Q85" s="22">
        <f t="shared" si="54"/>
        <v>6.8067219078872727E-12</v>
      </c>
      <c r="R85" s="60">
        <f t="shared" si="55"/>
        <v>293.33333333334014</v>
      </c>
      <c r="S85" s="60">
        <f ca="1">AVERAGE(OFFSET($R$3,0,0,'Données projet'!$E$9+1,1))-AVERAGE(OFFSET($H$3,0,0,'Données projet'!$E$9+1,1))</f>
        <v>181.84907943028196</v>
      </c>
      <c r="T85" s="60">
        <f t="shared" si="88"/>
        <v>199.66849909069458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84.154738593662472</v>
      </c>
      <c r="AA85" s="23">
        <f>EXP(-LN(2)/25)*AA84+(1-EXP(-LN(2)/25))/(LN(2)/25)*Calculateur!V85*Calculateur!X85*VLOOKUP('Données projet'!$B$9,Paramètres!$A$1:$I$88,3,0)*0.475*44/12</f>
        <v>16.514349849187152</v>
      </c>
      <c r="AB85" s="23">
        <f>EXP(-LN(2)/2)*AB84+(1-EXP(-LN(2)/2))/(LN(2)/2)*V85*Y85*VLOOKUP('Données projet'!$B$9,Paramètres!$A$1:$I$88,3,0)*0.475*44/12</f>
        <v>1.1607968635937931E-2</v>
      </c>
      <c r="AC85" s="24">
        <f t="shared" si="57"/>
        <v>100.68069641148557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projet'!$B$10,Paramètres!$A$1:$I$88,3,0)*VLOOKUP('Données projet'!$B$10,Paramètres!$A$1:$I$88,5,0)</f>
        <v>0</v>
      </c>
      <c r="AK85" s="14" t="e">
        <f t="shared" si="89"/>
        <v>#NUM!</v>
      </c>
      <c r="AL85" s="22" t="e">
        <f t="shared" si="58"/>
        <v>#NUM!</v>
      </c>
      <c r="AM85" s="60" t="e">
        <f t="shared" si="59"/>
        <v>#NUM!</v>
      </c>
      <c r="AN85" s="60">
        <f ca="1">AVERAGE(OFFSET($AM$3,0,0,'Données projet'!$E$10+1,1))-AVERAGE(OFFSET($H$3,0,0,'Données projet'!$E$10+1,1))</f>
        <v>55.581964048431473</v>
      </c>
      <c r="AO85" s="60">
        <f t="shared" si="90"/>
        <v>91.067506141193803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15.74302059395124</v>
      </c>
      <c r="AV85" s="23">
        <f>EXP(-LN(2)/25)*AV84+(1-EXP(-LN(2)/25))/(LN(2)/25)*Calculateur!AQ85*Calculateur!AS85*VLOOKUP('Données projet'!$B$10,Paramètres!$A$1:$I$88,3,0)*0.475*44/12</f>
        <v>0</v>
      </c>
      <c r="AW85" s="23">
        <f>EXP(-LN(2)/2)*AW84+(1-EXP(-LN(2)/2))/(LN(2)/2)*AQ85*AT85*VLOOKUP('Données projet'!$B$10,Paramètres!$A$1:$I$88,3,0)*0.475*44/12</f>
        <v>0</v>
      </c>
      <c r="AX85" s="23">
        <f t="shared" si="60"/>
        <v>15.74302059395124</v>
      </c>
      <c r="AY85" s="7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4.4444444444444446</v>
      </c>
      <c r="BD85" s="13">
        <f>IF('Données projet'!$A$88&gt;35,BD84+BC85-BL84,IF(A85&lt;'Données projet'!$A$88,$BA$205^A85,IF(A85='Données projet'!$A$88,'Données projet'!$B$88,BD84+BC85-BL84)))</f>
        <v>136.44444444444451</v>
      </c>
      <c r="BE85" s="14">
        <f>BD85*VLOOKUP('Données projet'!$B$11,Paramètres!$A$1:$I$88,3,0)*VLOOKUP('Données projet'!$B$11,Paramètres!$A$1:$I$88,5,0)</f>
        <v>138.35466666666676</v>
      </c>
      <c r="BF85" s="14">
        <f t="shared" si="91"/>
        <v>35.919823787423205</v>
      </c>
      <c r="BG85" s="22">
        <f t="shared" si="61"/>
        <v>303.52807087420672</v>
      </c>
      <c r="BH85" s="60">
        <f t="shared" si="62"/>
        <v>596.86140420754009</v>
      </c>
      <c r="BI85" s="60">
        <f ca="1">AVERAGE(OFFSET($BH$3,0,0,'Données projet'!$E$11+1,1))-AVERAGE(OFFSET($H$3,0,0,'Données projet'!$E$11+1,1))</f>
        <v>178.29366134936788</v>
      </c>
      <c r="BJ85" s="60">
        <f t="shared" si="92"/>
        <v>85.818195717787148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8.878914445653864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8.878914445653864</v>
      </c>
      <c r="BT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>
        <f>BY85*VLOOKUP('Données projet'!$B$12,Paramètres!$A$1:$I$88,3,0)*VLOOKUP('Données projet'!$B$12,Paramètres!$A$1:$I$88,5,0)</f>
        <v>0</v>
      </c>
      <c r="CA85" s="14" t="e">
        <f t="shared" si="93"/>
        <v>#NUM!</v>
      </c>
      <c r="CB85" s="22" t="e">
        <f t="shared" si="64"/>
        <v>#NUM!</v>
      </c>
      <c r="CC85" s="60" t="e">
        <f t="shared" si="65"/>
        <v>#NUM!</v>
      </c>
      <c r="CD85" s="60">
        <f ca="1">AVERAGE(OFFSET($CC$3,0,0,'Données projet'!$E$12+1,1))-AVERAGE(OFFSET($H$3,0,0,'Données projet'!$E$12+1,1))</f>
        <v>104.00159056395933</v>
      </c>
      <c r="CE85" s="60">
        <f t="shared" si="94"/>
        <v>115.86489547584461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95.542779029604034</v>
      </c>
      <c r="CL85" s="23">
        <f>EXP(-LN(2)/25)*CL84+(1-EXP(-LN(2)/25))/(LN(2)/25)*Calculateur!CG85*Calculateur!CI85*VLOOKUP('Données projet'!$B$12,Paramètres!$A$1:$I$88,3,0)*0.475*44/12</f>
        <v>17.971775165701711</v>
      </c>
      <c r="CM85" s="23">
        <f>EXP(-LN(2)/2)*CM84+(1-EXP(-LN(2)/2))/(LN(2)/2)*CG85*CJ85*VLOOKUP('Données projet'!$B$12,Paramètres!$A$1:$I$88,3,0)*0.475*44/12</f>
        <v>0.29997070939035547</v>
      </c>
      <c r="CN85" s="24">
        <f t="shared" si="66"/>
        <v>113.8145249046961</v>
      </c>
      <c r="CO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projet'!$B$13,Paramètres!$A$1:$I$88,3,0)*VLOOKUP('Données projet'!$B$13,Paramètres!$A$1:$I$88,5,0)</f>
        <v>#N/A</v>
      </c>
      <c r="CV85" s="14" t="e">
        <f t="shared" si="95"/>
        <v>#N/A</v>
      </c>
      <c r="CW85" s="22" t="e">
        <f t="shared" si="67"/>
        <v>#N/A</v>
      </c>
      <c r="CX85" s="60" t="e">
        <f t="shared" si="68"/>
        <v>#N/A</v>
      </c>
      <c r="CY85" s="60" t="e">
        <f ca="1">AVERAGE(OFFSET($CX$3,0,0,'Données projet'!$E$13+1,1))-AVERAGE(OFFSET($H$3,0,0,'Données projet'!$E$13+1,1))</f>
        <v>#N/A</v>
      </c>
      <c r="CZ85" s="60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projet'!$B$13,Paramètres!$A$1:$I$88,3,0)*0.475*44/12</f>
        <v>#N/A</v>
      </c>
      <c r="DG85" s="23" t="e">
        <f>EXP(-LN(2)/25)*DG84+(1-EXP(-LN(2)/25))/(LN(2)/25)*Calculateur!DB85*Calculateur!DD85*VLOOKUP('Données projet'!$B$13,Paramètres!$A$1:$I$88,3,0)*0.475*44/12</f>
        <v>#N/A</v>
      </c>
      <c r="DH85" s="23" t="e">
        <f>EXP(-LN(2)/2)*DH84+(1-EXP(-LN(2)/2))/(LN(2)/2)*DB85*DE85*VLOOKUP('Données projet'!$B$13,Paramètres!$A$1:$I$88,3,0)*0.475*44/12</f>
        <v>#N/A</v>
      </c>
      <c r="DI85" s="24" t="e">
        <f t="shared" si="69"/>
        <v>#N/A</v>
      </c>
      <c r="DJ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0" t="e">
        <f t="shared" si="71"/>
        <v>#N/A</v>
      </c>
      <c r="DT85" s="60" t="e">
        <f ca="1">AVERAGE(OFFSET($DS$3,0,0,'Données projet'!$E$14+1,1))-AVERAGE(OFFSET($H$3,0,0,'Données projet'!$E$14+1,1))</f>
        <v>#N/A</v>
      </c>
      <c r="DU85" s="60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4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73.803600000000102</v>
      </c>
      <c r="D86" s="12">
        <f t="shared" si="86"/>
        <v>20.615097106698798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4.5474735088646412E-13</v>
      </c>
      <c r="O86" s="14">
        <f>N86*VLOOKUP('Données projet'!$B$9,Paramètres!$A$1:$I$88,3,0)*VLOOKUP('Données projet'!$B$9,Paramètres!$A$1:$I$88,5,0)</f>
        <v>2.7193891583010558E-13</v>
      </c>
      <c r="P86" s="14">
        <f t="shared" si="87"/>
        <v>3.6362267729089988E-12</v>
      </c>
      <c r="Q86" s="22">
        <f t="shared" si="54"/>
        <v>6.8067219078872727E-12</v>
      </c>
      <c r="R86" s="60">
        <f t="shared" si="55"/>
        <v>293.33333333334014</v>
      </c>
      <c r="S86" s="60">
        <f ca="1">AVERAGE(OFFSET($R$3,0,0,'Données projet'!$E$9+1,1))-AVERAGE(OFFSET($H$3,0,0,'Données projet'!$E$9+1,1))</f>
        <v>181.84907943028196</v>
      </c>
      <c r="T86" s="60">
        <f t="shared" si="88"/>
        <v>199.66849909069458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82.504515499162949</v>
      </c>
      <c r="AA86" s="23">
        <f>EXP(-LN(2)/25)*AA85+(1-EXP(-LN(2)/25))/(LN(2)/25)*Calculateur!V86*Calculateur!X86*VLOOKUP('Données projet'!$B$9,Paramètres!$A$1:$I$88,3,0)*0.475*44/12</f>
        <v>16.062764084109215</v>
      </c>
      <c r="AB86" s="23">
        <f>EXP(-LN(2)/2)*AB85+(1-EXP(-LN(2)/2))/(LN(2)/2)*V86*Y86*VLOOKUP('Données projet'!$B$9,Paramètres!$A$1:$I$88,3,0)*0.475*44/12</f>
        <v>8.2080733382724688E-3</v>
      </c>
      <c r="AC86" s="24">
        <f t="shared" si="57"/>
        <v>98.575487656610434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projet'!$B$10,Paramètres!$A$1:$I$88,3,0)*VLOOKUP('Données projet'!$B$10,Paramètres!$A$1:$I$88,5,0)</f>
        <v>0</v>
      </c>
      <c r="AK86" s="14" t="e">
        <f t="shared" si="89"/>
        <v>#NUM!</v>
      </c>
      <c r="AL86" s="22" t="e">
        <f t="shared" si="58"/>
        <v>#NUM!</v>
      </c>
      <c r="AM86" s="60" t="e">
        <f t="shared" si="59"/>
        <v>#NUM!</v>
      </c>
      <c r="AN86" s="60">
        <f ca="1">AVERAGE(OFFSET($AM$3,0,0,'Données projet'!$E$10+1,1))-AVERAGE(OFFSET($H$3,0,0,'Données projet'!$E$10+1,1))</f>
        <v>55.581964048431473</v>
      </c>
      <c r="AO86" s="60">
        <f t="shared" si="90"/>
        <v>91.067506141193803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15.434309562398271</v>
      </c>
      <c r="AV86" s="23">
        <f>EXP(-LN(2)/25)*AV85+(1-EXP(-LN(2)/25))/(LN(2)/25)*Calculateur!AQ86*Calculateur!AS86*VLOOKUP('Données projet'!$B$10,Paramètres!$A$1:$I$88,3,0)*0.475*44/12</f>
        <v>0</v>
      </c>
      <c r="AW86" s="23">
        <f>EXP(-LN(2)/2)*AW85+(1-EXP(-LN(2)/2))/(LN(2)/2)*AQ86*AT86*VLOOKUP('Données projet'!$B$10,Paramètres!$A$1:$I$88,3,0)*0.475*44/12</f>
        <v>0</v>
      </c>
      <c r="AX86" s="23">
        <f t="shared" si="60"/>
        <v>15.434309562398271</v>
      </c>
      <c r="AY86" s="7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4.4444444444444446</v>
      </c>
      <c r="BD86" s="13">
        <f>IF('Données projet'!$A$88&gt;35,BD85+BC86-BL85,IF(A86&lt;'Données projet'!$A$88,$BA$205^A86,IF(A86='Données projet'!$A$88,'Données projet'!$B$88,BD85+BC86-BL85)))</f>
        <v>140.88888888888897</v>
      </c>
      <c r="BE86" s="14">
        <f>BD86*VLOOKUP('Données projet'!$B$11,Paramètres!$A$1:$I$88,3,0)*VLOOKUP('Données projet'!$B$11,Paramètres!$A$1:$I$88,5,0)</f>
        <v>142.86133333333345</v>
      </c>
      <c r="BF86" s="14">
        <f t="shared" si="91"/>
        <v>36.951722943376375</v>
      </c>
      <c r="BG86" s="22">
        <f t="shared" si="61"/>
        <v>313.17440634860293</v>
      </c>
      <c r="BH86" s="60">
        <f t="shared" si="62"/>
        <v>606.5077396819363</v>
      </c>
      <c r="BI86" s="60">
        <f ca="1">AVERAGE(OFFSET($BH$3,0,0,'Données projet'!$E$11+1,1))-AVERAGE(OFFSET($H$3,0,0,'Données projet'!$E$11+1,1))</f>
        <v>178.29366134936788</v>
      </c>
      <c r="BJ86" s="60">
        <f t="shared" si="92"/>
        <v>85.818195717787148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8.7048043489776568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8.7048043489776568</v>
      </c>
      <c r="BT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>
        <f>BY86*VLOOKUP('Données projet'!$B$12,Paramètres!$A$1:$I$88,3,0)*VLOOKUP('Données projet'!$B$12,Paramètres!$A$1:$I$88,5,0)</f>
        <v>0</v>
      </c>
      <c r="CA86" s="14" t="e">
        <f t="shared" si="93"/>
        <v>#NUM!</v>
      </c>
      <c r="CB86" s="22" t="e">
        <f t="shared" si="64"/>
        <v>#NUM!</v>
      </c>
      <c r="CC86" s="60" t="e">
        <f t="shared" si="65"/>
        <v>#NUM!</v>
      </c>
      <c r="CD86" s="60">
        <f ca="1">AVERAGE(OFFSET($CC$3,0,0,'Données projet'!$E$12+1,1))-AVERAGE(OFFSET($H$3,0,0,'Données projet'!$E$12+1,1))</f>
        <v>104.00159056395933</v>
      </c>
      <c r="CE86" s="60">
        <f t="shared" si="94"/>
        <v>115.86489547584461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93.669243408174495</v>
      </c>
      <c r="CL86" s="23">
        <f>EXP(-LN(2)/25)*CL85+(1-EXP(-LN(2)/25))/(LN(2)/25)*Calculateur!CG86*Calculateur!CI86*VLOOKUP('Données projet'!$B$12,Paramètres!$A$1:$I$88,3,0)*0.475*44/12</f>
        <v>17.480336028701018</v>
      </c>
      <c r="CM86" s="23">
        <f>EXP(-LN(2)/2)*CM85+(1-EXP(-LN(2)/2))/(LN(2)/2)*CG86*CJ86*VLOOKUP('Données projet'!$B$12,Paramètres!$A$1:$I$88,3,0)*0.475*44/12</f>
        <v>0.21211132276725952</v>
      </c>
      <c r="CN86" s="24">
        <f t="shared" si="66"/>
        <v>111.36169075964277</v>
      </c>
      <c r="CO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projet'!$B$13,Paramètres!$A$1:$I$88,3,0)*VLOOKUP('Données projet'!$B$13,Paramètres!$A$1:$I$88,5,0)</f>
        <v>#N/A</v>
      </c>
      <c r="CV86" s="14" t="e">
        <f t="shared" si="95"/>
        <v>#N/A</v>
      </c>
      <c r="CW86" s="22" t="e">
        <f t="shared" si="67"/>
        <v>#N/A</v>
      </c>
      <c r="CX86" s="60" t="e">
        <f t="shared" si="68"/>
        <v>#N/A</v>
      </c>
      <c r="CY86" s="60" t="e">
        <f ca="1">AVERAGE(OFFSET($CX$3,0,0,'Données projet'!$E$13+1,1))-AVERAGE(OFFSET($H$3,0,0,'Données projet'!$E$13+1,1))</f>
        <v>#N/A</v>
      </c>
      <c r="CZ86" s="60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projet'!$B$13,Paramètres!$A$1:$I$88,3,0)*0.475*44/12</f>
        <v>#N/A</v>
      </c>
      <c r="DG86" s="23" t="e">
        <f>EXP(-LN(2)/25)*DG85+(1-EXP(-LN(2)/25))/(LN(2)/25)*Calculateur!DB86*Calculateur!DD86*VLOOKUP('Données projet'!$B$13,Paramètres!$A$1:$I$88,3,0)*0.475*44/12</f>
        <v>#N/A</v>
      </c>
      <c r="DH86" s="23" t="e">
        <f>EXP(-LN(2)/2)*DH85+(1-EXP(-LN(2)/2))/(LN(2)/2)*DB86*DE86*VLOOKUP('Données projet'!$B$13,Paramètres!$A$1:$I$88,3,0)*0.475*44/12</f>
        <v>#N/A</v>
      </c>
      <c r="DI86" s="24" t="e">
        <f t="shared" si="69"/>
        <v>#N/A</v>
      </c>
      <c r="DJ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0" t="e">
        <f t="shared" si="71"/>
        <v>#N/A</v>
      </c>
      <c r="DT86" s="60" t="e">
        <f ca="1">AVERAGE(OFFSET($DS$3,0,0,'Données projet'!$E$14+1,1))-AVERAGE(OFFSET($H$3,0,0,'Données projet'!$E$14+1,1))</f>
        <v>#N/A</v>
      </c>
      <c r="DU86" s="60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4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74.692800000000105</v>
      </c>
      <c r="D87" s="12">
        <f t="shared" si="86"/>
        <v>20.834407756242857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4.5474735088646412E-13</v>
      </c>
      <c r="O87" s="14">
        <f>N87*VLOOKUP('Données projet'!$B$9,Paramètres!$A$1:$I$88,3,0)*VLOOKUP('Données projet'!$B$9,Paramètres!$A$1:$I$88,5,0)</f>
        <v>2.7193891583010558E-13</v>
      </c>
      <c r="P87" s="14">
        <f t="shared" si="87"/>
        <v>3.6362267729089988E-12</v>
      </c>
      <c r="Q87" s="22">
        <f t="shared" si="54"/>
        <v>6.8067219078872727E-12</v>
      </c>
      <c r="R87" s="60">
        <f t="shared" si="55"/>
        <v>293.33333333334014</v>
      </c>
      <c r="S87" s="60">
        <f ca="1">AVERAGE(OFFSET($R$3,0,0,'Données projet'!$E$9+1,1))-AVERAGE(OFFSET($H$3,0,0,'Données projet'!$E$9+1,1))</f>
        <v>181.84907943028196</v>
      </c>
      <c r="T87" s="60">
        <f t="shared" si="88"/>
        <v>199.66849909069458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80.886652273009858</v>
      </c>
      <c r="AA87" s="23">
        <f>EXP(-LN(2)/25)*AA86+(1-EXP(-LN(2)/25))/(LN(2)/25)*Calculateur!V87*Calculateur!X87*VLOOKUP('Données projet'!$B$9,Paramètres!$A$1:$I$88,3,0)*0.475*44/12</f>
        <v>15.623526955525197</v>
      </c>
      <c r="AB87" s="23">
        <f>EXP(-LN(2)/2)*AB86+(1-EXP(-LN(2)/2))/(LN(2)/2)*V87*Y87*VLOOKUP('Données projet'!$B$9,Paramètres!$A$1:$I$88,3,0)*0.475*44/12</f>
        <v>5.8039843179689653E-3</v>
      </c>
      <c r="AC87" s="24">
        <f t="shared" si="57"/>
        <v>96.515983212853016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projet'!$B$10,Paramètres!$A$1:$I$88,3,0)*VLOOKUP('Données projet'!$B$10,Paramètres!$A$1:$I$88,5,0)</f>
        <v>0</v>
      </c>
      <c r="AK87" s="14" t="e">
        <f t="shared" si="89"/>
        <v>#NUM!</v>
      </c>
      <c r="AL87" s="22" t="e">
        <f t="shared" si="58"/>
        <v>#NUM!</v>
      </c>
      <c r="AM87" s="60" t="e">
        <f t="shared" si="59"/>
        <v>#NUM!</v>
      </c>
      <c r="AN87" s="60">
        <f ca="1">AVERAGE(OFFSET($AM$3,0,0,'Données projet'!$E$10+1,1))-AVERAGE(OFFSET($H$3,0,0,'Données projet'!$E$10+1,1))</f>
        <v>55.581964048431473</v>
      </c>
      <c r="AO87" s="60">
        <f t="shared" si="90"/>
        <v>91.067506141193803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15.131652165878918</v>
      </c>
      <c r="AV87" s="23">
        <f>EXP(-LN(2)/25)*AV86+(1-EXP(-LN(2)/25))/(LN(2)/25)*Calculateur!AQ87*Calculateur!AS87*VLOOKUP('Données projet'!$B$10,Paramètres!$A$1:$I$88,3,0)*0.475*44/12</f>
        <v>0</v>
      </c>
      <c r="AW87" s="23">
        <f>EXP(-LN(2)/2)*AW86+(1-EXP(-LN(2)/2))/(LN(2)/2)*AQ87*AT87*VLOOKUP('Données projet'!$B$10,Paramètres!$A$1:$I$88,3,0)*0.475*44/12</f>
        <v>0</v>
      </c>
      <c r="AX87" s="23">
        <f t="shared" si="60"/>
        <v>15.131652165878918</v>
      </c>
      <c r="AY87" s="7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4.4444444444444446</v>
      </c>
      <c r="BD87" s="13">
        <f>IF('Données projet'!$A$88&gt;35,BD86+BC87-BL86,IF(A87&lt;'Données projet'!$A$88,$BA$205^A87,IF(A87='Données projet'!$A$88,'Données projet'!$B$88,BD86+BC87-BL86)))</f>
        <v>145.33333333333343</v>
      </c>
      <c r="BE87" s="14">
        <f>BD87*VLOOKUP('Données projet'!$B$11,Paramètres!$A$1:$I$88,3,0)*VLOOKUP('Données projet'!$B$11,Paramètres!$A$1:$I$88,5,0)</f>
        <v>147.36800000000011</v>
      </c>
      <c r="BF87" s="14">
        <f t="shared" si="91"/>
        <v>37.979839328959663</v>
      </c>
      <c r="BG87" s="22">
        <f t="shared" si="61"/>
        <v>322.81415349793821</v>
      </c>
      <c r="BH87" s="60">
        <f t="shared" si="62"/>
        <v>616.14748683127152</v>
      </c>
      <c r="BI87" s="60">
        <f ca="1">AVERAGE(OFFSET($BH$3,0,0,'Données projet'!$E$11+1,1))-AVERAGE(OFFSET($H$3,0,0,'Données projet'!$E$11+1,1))</f>
        <v>178.29366134936788</v>
      </c>
      <c r="BJ87" s="60">
        <f t="shared" si="92"/>
        <v>85.818195717787148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8.534108445100598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8.534108445100598</v>
      </c>
      <c r="BT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>
        <f>BY87*VLOOKUP('Données projet'!$B$12,Paramètres!$A$1:$I$88,3,0)*VLOOKUP('Données projet'!$B$12,Paramètres!$A$1:$I$88,5,0)</f>
        <v>0</v>
      </c>
      <c r="CA87" s="14" t="e">
        <f t="shared" si="93"/>
        <v>#NUM!</v>
      </c>
      <c r="CB87" s="22" t="e">
        <f t="shared" si="64"/>
        <v>#NUM!</v>
      </c>
      <c r="CC87" s="60" t="e">
        <f t="shared" si="65"/>
        <v>#NUM!</v>
      </c>
      <c r="CD87" s="60">
        <f ca="1">AVERAGE(OFFSET($CC$3,0,0,'Données projet'!$E$12+1,1))-AVERAGE(OFFSET($H$3,0,0,'Données projet'!$E$12+1,1))</f>
        <v>104.00159056395933</v>
      </c>
      <c r="CE87" s="60">
        <f t="shared" si="94"/>
        <v>115.86489547584461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91.832446677537291</v>
      </c>
      <c r="CL87" s="23">
        <f>EXP(-LN(2)/25)*CL86+(1-EXP(-LN(2)/25))/(LN(2)/25)*Calculateur!CG87*Calculateur!CI87*VLOOKUP('Données projet'!$B$12,Paramètres!$A$1:$I$88,3,0)*0.475*44/12</f>
        <v>17.002335320745267</v>
      </c>
      <c r="CM87" s="23">
        <f>EXP(-LN(2)/2)*CM86+(1-EXP(-LN(2)/2))/(LN(2)/2)*CG87*CJ87*VLOOKUP('Données projet'!$B$12,Paramètres!$A$1:$I$88,3,0)*0.475*44/12</f>
        <v>0.14998535469517774</v>
      </c>
      <c r="CN87" s="24">
        <f t="shared" si="66"/>
        <v>108.98476735297773</v>
      </c>
      <c r="CO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projet'!$B$13,Paramètres!$A$1:$I$88,3,0)*VLOOKUP('Données projet'!$B$13,Paramètres!$A$1:$I$88,5,0)</f>
        <v>#N/A</v>
      </c>
      <c r="CV87" s="14" t="e">
        <f t="shared" si="95"/>
        <v>#N/A</v>
      </c>
      <c r="CW87" s="22" t="e">
        <f t="shared" si="67"/>
        <v>#N/A</v>
      </c>
      <c r="CX87" s="60" t="e">
        <f t="shared" si="68"/>
        <v>#N/A</v>
      </c>
      <c r="CY87" s="60" t="e">
        <f ca="1">AVERAGE(OFFSET($CX$3,0,0,'Données projet'!$E$13+1,1))-AVERAGE(OFFSET($H$3,0,0,'Données projet'!$E$13+1,1))</f>
        <v>#N/A</v>
      </c>
      <c r="CZ87" s="60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projet'!$B$13,Paramètres!$A$1:$I$88,3,0)*0.475*44/12</f>
        <v>#N/A</v>
      </c>
      <c r="DG87" s="23" t="e">
        <f>EXP(-LN(2)/25)*DG86+(1-EXP(-LN(2)/25))/(LN(2)/25)*Calculateur!DB87*Calculateur!DD87*VLOOKUP('Données projet'!$B$13,Paramètres!$A$1:$I$88,3,0)*0.475*44/12</f>
        <v>#N/A</v>
      </c>
      <c r="DH87" s="23" t="e">
        <f>EXP(-LN(2)/2)*DH86+(1-EXP(-LN(2)/2))/(LN(2)/2)*DB87*DE87*VLOOKUP('Données projet'!$B$13,Paramètres!$A$1:$I$88,3,0)*0.475*44/12</f>
        <v>#N/A</v>
      </c>
      <c r="DI87" s="24" t="e">
        <f t="shared" si="69"/>
        <v>#N/A</v>
      </c>
      <c r="DJ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0" t="e">
        <f t="shared" si="71"/>
        <v>#N/A</v>
      </c>
      <c r="DT87" s="60" t="e">
        <f ca="1">AVERAGE(OFFSET($DS$3,0,0,'Données projet'!$E$14+1,1))-AVERAGE(OFFSET($H$3,0,0,'Données projet'!$E$14+1,1))</f>
        <v>#N/A</v>
      </c>
      <c r="DU87" s="60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4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75.582000000000107</v>
      </c>
      <c r="D88" s="12">
        <f t="shared" si="86"/>
        <v>21.053414706764155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4.5474735088646412E-13</v>
      </c>
      <c r="O88" s="14">
        <f>N88*VLOOKUP('Données projet'!$B$9,Paramètres!$A$1:$I$88,3,0)*VLOOKUP('Données projet'!$B$9,Paramètres!$A$1:$I$88,5,0)</f>
        <v>2.7193891583010558E-13</v>
      </c>
      <c r="P88" s="14">
        <f t="shared" si="87"/>
        <v>3.6362267729089988E-12</v>
      </c>
      <c r="Q88" s="22">
        <f t="shared" si="54"/>
        <v>6.8067219078872727E-12</v>
      </c>
      <c r="R88" s="60">
        <f t="shared" si="55"/>
        <v>293.33333333334014</v>
      </c>
      <c r="S88" s="60">
        <f ca="1">AVERAGE(OFFSET($R$3,0,0,'Données projet'!$E$9+1,1))-AVERAGE(OFFSET($H$3,0,0,'Données projet'!$E$9+1,1))</f>
        <v>181.84907943028196</v>
      </c>
      <c r="T88" s="60">
        <f t="shared" si="88"/>
        <v>199.66849909069458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79.300514357922495</v>
      </c>
      <c r="AA88" s="23">
        <f>EXP(-LN(2)/25)*AA87+(1-EXP(-LN(2)/25))/(LN(2)/25)*Calculateur!V88*Calculateur!X88*VLOOKUP('Données projet'!$B$9,Paramètres!$A$1:$I$88,3,0)*0.475*44/12</f>
        <v>15.196300789320786</v>
      </c>
      <c r="AB88" s="23">
        <f>EXP(-LN(2)/2)*AB87+(1-EXP(-LN(2)/2))/(LN(2)/2)*V88*Y88*VLOOKUP('Données projet'!$B$9,Paramètres!$A$1:$I$88,3,0)*0.475*44/12</f>
        <v>4.1040366691362344E-3</v>
      </c>
      <c r="AC88" s="24">
        <f t="shared" si="57"/>
        <v>94.500919183912416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projet'!$B$10,Paramètres!$A$1:$I$88,3,0)*VLOOKUP('Données projet'!$B$10,Paramètres!$A$1:$I$88,5,0)</f>
        <v>0</v>
      </c>
      <c r="AK88" s="14" t="e">
        <f t="shared" si="89"/>
        <v>#NUM!</v>
      </c>
      <c r="AL88" s="22" t="e">
        <f t="shared" si="58"/>
        <v>#NUM!</v>
      </c>
      <c r="AM88" s="60" t="e">
        <f t="shared" si="59"/>
        <v>#NUM!</v>
      </c>
      <c r="AN88" s="60">
        <f ca="1">AVERAGE(OFFSET($AM$3,0,0,'Données projet'!$E$10+1,1))-AVERAGE(OFFSET($H$3,0,0,'Données projet'!$E$10+1,1))</f>
        <v>55.581964048431473</v>
      </c>
      <c r="AO88" s="60">
        <f t="shared" si="90"/>
        <v>91.067506141193803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14.834929696302527</v>
      </c>
      <c r="AV88" s="23">
        <f>EXP(-LN(2)/25)*AV87+(1-EXP(-LN(2)/25))/(LN(2)/25)*Calculateur!AQ88*Calculateur!AS88*VLOOKUP('Données projet'!$B$10,Paramètres!$A$1:$I$88,3,0)*0.475*44/12</f>
        <v>0</v>
      </c>
      <c r="AW88" s="23">
        <f>EXP(-LN(2)/2)*AW87+(1-EXP(-LN(2)/2))/(LN(2)/2)*AQ88*AT88*VLOOKUP('Données projet'!$B$10,Paramètres!$A$1:$I$88,3,0)*0.475*44/12</f>
        <v>0</v>
      </c>
      <c r="AX88" s="23">
        <f t="shared" si="60"/>
        <v>14.834929696302527</v>
      </c>
      <c r="AY88" s="7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4.4444444444444446</v>
      </c>
      <c r="BD88" s="13">
        <f>IF('Données projet'!$A$88&gt;35,BD87+BC88-BL87,IF(A88&lt;'Données projet'!$A$88,$BA$205^A88,IF(A88='Données projet'!$A$88,'Données projet'!$B$88,BD87+BC88-BL87)))</f>
        <v>149.77777777777789</v>
      </c>
      <c r="BE88" s="14">
        <f>BD88*VLOOKUP('Données projet'!$B$11,Paramètres!$A$1:$I$88,3,0)*VLOOKUP('Données projet'!$B$11,Paramètres!$A$1:$I$88,5,0)</f>
        <v>151.87466666666677</v>
      </c>
      <c r="BF88" s="14">
        <f t="shared" si="91"/>
        <v>39.004301901686254</v>
      </c>
      <c r="BG88" s="22">
        <f t="shared" si="61"/>
        <v>332.44753692321484</v>
      </c>
      <c r="BH88" s="60">
        <f t="shared" si="62"/>
        <v>625.78087025654816</v>
      </c>
      <c r="BI88" s="60">
        <f ca="1">AVERAGE(OFFSET($BH$3,0,0,'Données projet'!$E$11+1,1))-AVERAGE(OFFSET($H$3,0,0,'Données projet'!$E$11+1,1))</f>
        <v>178.29366134936788</v>
      </c>
      <c r="BJ88" s="60">
        <f t="shared" si="92"/>
        <v>85.818195717787148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8.3667597837843477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8.3667597837843477</v>
      </c>
      <c r="BT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>
        <f>BY88*VLOOKUP('Données projet'!$B$12,Paramètres!$A$1:$I$88,3,0)*VLOOKUP('Données projet'!$B$12,Paramètres!$A$1:$I$88,5,0)</f>
        <v>0</v>
      </c>
      <c r="CA88" s="14" t="e">
        <f t="shared" si="93"/>
        <v>#NUM!</v>
      </c>
      <c r="CB88" s="22" t="e">
        <f t="shared" si="64"/>
        <v>#NUM!</v>
      </c>
      <c r="CC88" s="60" t="e">
        <f t="shared" si="65"/>
        <v>#NUM!</v>
      </c>
      <c r="CD88" s="60">
        <f ca="1">AVERAGE(OFFSET($CC$3,0,0,'Données projet'!$E$12+1,1))-AVERAGE(OFFSET($H$3,0,0,'Données projet'!$E$12+1,1))</f>
        <v>104.00159056395933</v>
      </c>
      <c r="CE88" s="60">
        <f t="shared" si="94"/>
        <v>115.86489547584461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90.031668410452511</v>
      </c>
      <c r="CL88" s="23">
        <f>EXP(-LN(2)/25)*CL87+(1-EXP(-LN(2)/25))/(LN(2)/25)*Calculateur!CG88*Calculateur!CI88*VLOOKUP('Données projet'!$B$12,Paramètres!$A$1:$I$88,3,0)*0.475*44/12</f>
        <v>16.537405567285532</v>
      </c>
      <c r="CM88" s="23">
        <f>EXP(-LN(2)/2)*CM87+(1-EXP(-LN(2)/2))/(LN(2)/2)*CG88*CJ88*VLOOKUP('Données projet'!$B$12,Paramètres!$A$1:$I$88,3,0)*0.475*44/12</f>
        <v>0.10605566138362976</v>
      </c>
      <c r="CN88" s="24">
        <f t="shared" si="66"/>
        <v>106.67512963912168</v>
      </c>
      <c r="CO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projet'!$B$13,Paramètres!$A$1:$I$88,3,0)*VLOOKUP('Données projet'!$B$13,Paramètres!$A$1:$I$88,5,0)</f>
        <v>#N/A</v>
      </c>
      <c r="CV88" s="14" t="e">
        <f t="shared" si="95"/>
        <v>#N/A</v>
      </c>
      <c r="CW88" s="22" t="e">
        <f t="shared" si="67"/>
        <v>#N/A</v>
      </c>
      <c r="CX88" s="60" t="e">
        <f t="shared" si="68"/>
        <v>#N/A</v>
      </c>
      <c r="CY88" s="60" t="e">
        <f ca="1">AVERAGE(OFFSET($CX$3,0,0,'Données projet'!$E$13+1,1))-AVERAGE(OFFSET($H$3,0,0,'Données projet'!$E$13+1,1))</f>
        <v>#N/A</v>
      </c>
      <c r="CZ88" s="60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projet'!$B$13,Paramètres!$A$1:$I$88,3,0)*0.475*44/12</f>
        <v>#N/A</v>
      </c>
      <c r="DG88" s="23" t="e">
        <f>EXP(-LN(2)/25)*DG87+(1-EXP(-LN(2)/25))/(LN(2)/25)*Calculateur!DB88*Calculateur!DD88*VLOOKUP('Données projet'!$B$13,Paramètres!$A$1:$I$88,3,0)*0.475*44/12</f>
        <v>#N/A</v>
      </c>
      <c r="DH88" s="23" t="e">
        <f>EXP(-LN(2)/2)*DH87+(1-EXP(-LN(2)/2))/(LN(2)/2)*DB88*DE88*VLOOKUP('Données projet'!$B$13,Paramètres!$A$1:$I$88,3,0)*0.475*44/12</f>
        <v>#N/A</v>
      </c>
      <c r="DI88" s="24" t="e">
        <f t="shared" si="69"/>
        <v>#N/A</v>
      </c>
      <c r="DJ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0" t="e">
        <f t="shared" si="71"/>
        <v>#N/A</v>
      </c>
      <c r="DT88" s="60" t="e">
        <f ca="1">AVERAGE(OFFSET($DS$3,0,0,'Données projet'!$E$14+1,1))-AVERAGE(OFFSET($H$3,0,0,'Données projet'!$E$14+1,1))</f>
        <v>#N/A</v>
      </c>
      <c r="DU88" s="60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4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76.47120000000011</v>
      </c>
      <c r="D89" s="12">
        <f t="shared" si="86"/>
        <v>21.272121944536373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4.5474735088646412E-13</v>
      </c>
      <c r="O89" s="14">
        <f>N89*VLOOKUP('Données projet'!$B$9,Paramètres!$A$1:$I$88,3,0)*VLOOKUP('Données projet'!$B$9,Paramètres!$A$1:$I$88,5,0)</f>
        <v>2.7193891583010558E-13</v>
      </c>
      <c r="P89" s="14">
        <f t="shared" si="87"/>
        <v>3.6362267729089988E-12</v>
      </c>
      <c r="Q89" s="22">
        <f t="shared" si="54"/>
        <v>6.8067219078872727E-12</v>
      </c>
      <c r="R89" s="60">
        <f t="shared" si="55"/>
        <v>293.33333333334014</v>
      </c>
      <c r="S89" s="60">
        <f ca="1">AVERAGE(OFFSET($R$3,0,0,'Données projet'!$E$9+1,1))-AVERAGE(OFFSET($H$3,0,0,'Données projet'!$E$9+1,1))</f>
        <v>181.84907943028196</v>
      </c>
      <c r="T89" s="60">
        <f t="shared" si="88"/>
        <v>199.66849909069458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77.74547963990139</v>
      </c>
      <c r="AA89" s="23">
        <f>EXP(-LN(2)/25)*AA88+(1-EXP(-LN(2)/25))/(LN(2)/25)*Calculateur!V89*Calculateur!X89*VLOOKUP('Données projet'!$B$9,Paramètres!$A$1:$I$88,3,0)*0.475*44/12</f>
        <v>14.780757145098082</v>
      </c>
      <c r="AB89" s="23">
        <f>EXP(-LN(2)/2)*AB88+(1-EXP(-LN(2)/2))/(LN(2)/2)*V89*Y89*VLOOKUP('Données projet'!$B$9,Paramètres!$A$1:$I$88,3,0)*0.475*44/12</f>
        <v>2.9019921589844826E-3</v>
      </c>
      <c r="AC89" s="24">
        <f t="shared" si="57"/>
        <v>92.529138777158451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projet'!$B$10,Paramètres!$A$1:$I$88,3,0)*VLOOKUP('Données projet'!$B$10,Paramètres!$A$1:$I$88,5,0)</f>
        <v>0</v>
      </c>
      <c r="AK89" s="14" t="e">
        <f t="shared" si="89"/>
        <v>#NUM!</v>
      </c>
      <c r="AL89" s="22" t="e">
        <f t="shared" si="58"/>
        <v>#NUM!</v>
      </c>
      <c r="AM89" s="60" t="e">
        <f t="shared" si="59"/>
        <v>#NUM!</v>
      </c>
      <c r="AN89" s="60">
        <f ca="1">AVERAGE(OFFSET($AM$3,0,0,'Données projet'!$E$10+1,1))-AVERAGE(OFFSET($H$3,0,0,'Données projet'!$E$10+1,1))</f>
        <v>55.581964048431473</v>
      </c>
      <c r="AO89" s="60">
        <f t="shared" si="90"/>
        <v>91.067506141193803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14.544025773371693</v>
      </c>
      <c r="AV89" s="23">
        <f>EXP(-LN(2)/25)*AV88+(1-EXP(-LN(2)/25))/(LN(2)/25)*Calculateur!AQ89*Calculateur!AS89*VLOOKUP('Données projet'!$B$10,Paramètres!$A$1:$I$88,3,0)*0.475*44/12</f>
        <v>0</v>
      </c>
      <c r="AW89" s="23">
        <f>EXP(-LN(2)/2)*AW88+(1-EXP(-LN(2)/2))/(LN(2)/2)*AQ89*AT89*VLOOKUP('Données projet'!$B$10,Paramètres!$A$1:$I$88,3,0)*0.475*44/12</f>
        <v>0</v>
      </c>
      <c r="AX89" s="23">
        <f t="shared" si="60"/>
        <v>14.544025773371693</v>
      </c>
      <c r="AY89" s="7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4.4444444444444446</v>
      </c>
      <c r="BD89" s="13">
        <f>IF('Données projet'!$A$88&gt;35,BD88+BC89-BL88,IF(A89&lt;'Données projet'!$A$88,$BA$205^A89,IF(A89='Données projet'!$A$88,'Données projet'!$B$88,BD88+BC89-BL88)))</f>
        <v>154.22222222222234</v>
      </c>
      <c r="BE89" s="14">
        <f>BD89*VLOOKUP('Données projet'!$B$11,Paramètres!$A$1:$I$88,3,0)*VLOOKUP('Données projet'!$B$11,Paramètres!$A$1:$I$88,5,0)</f>
        <v>156.38133333333346</v>
      </c>
      <c r="BF89" s="14">
        <f t="shared" si="91"/>
        <v>40.025231530759186</v>
      </c>
      <c r="BG89" s="22">
        <f t="shared" si="61"/>
        <v>342.07476713829465</v>
      </c>
      <c r="BH89" s="60">
        <f t="shared" si="62"/>
        <v>635.4081004716279</v>
      </c>
      <c r="BI89" s="60">
        <f ca="1">AVERAGE(OFFSET($BH$3,0,0,'Données projet'!$E$11+1,1))-AVERAGE(OFFSET($H$3,0,0,'Données projet'!$E$11+1,1))</f>
        <v>178.29366134936788</v>
      </c>
      <c r="BJ89" s="60">
        <f t="shared" si="92"/>
        <v>85.818195717787148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8.2026927276439032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8.2026927276439032</v>
      </c>
      <c r="BT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>
        <f>BY89*VLOOKUP('Données projet'!$B$12,Paramètres!$A$1:$I$88,3,0)*VLOOKUP('Données projet'!$B$12,Paramètres!$A$1:$I$88,5,0)</f>
        <v>0</v>
      </c>
      <c r="CA89" s="14" t="e">
        <f t="shared" si="93"/>
        <v>#NUM!</v>
      </c>
      <c r="CB89" s="22" t="e">
        <f t="shared" si="64"/>
        <v>#NUM!</v>
      </c>
      <c r="CC89" s="60" t="e">
        <f t="shared" si="65"/>
        <v>#NUM!</v>
      </c>
      <c r="CD89" s="60">
        <f ca="1">AVERAGE(OFFSET($CC$3,0,0,'Données projet'!$E$12+1,1))-AVERAGE(OFFSET($H$3,0,0,'Données projet'!$E$12+1,1))</f>
        <v>104.00159056395933</v>
      </c>
      <c r="CE89" s="60">
        <f t="shared" si="94"/>
        <v>115.86489547584461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88.266202306818968</v>
      </c>
      <c r="CL89" s="23">
        <f>EXP(-LN(2)/25)*CL88+(1-EXP(-LN(2)/25))/(LN(2)/25)*Calculateur!CG89*Calculateur!CI89*VLOOKUP('Données projet'!$B$12,Paramètres!$A$1:$I$88,3,0)*0.475*44/12</f>
        <v>16.085189342383746</v>
      </c>
      <c r="CM89" s="23">
        <f>EXP(-LN(2)/2)*CM88+(1-EXP(-LN(2)/2))/(LN(2)/2)*CG89*CJ89*VLOOKUP('Données projet'!$B$12,Paramètres!$A$1:$I$88,3,0)*0.475*44/12</f>
        <v>7.4992677347588868E-2</v>
      </c>
      <c r="CN89" s="24">
        <f t="shared" si="66"/>
        <v>104.42638432655031</v>
      </c>
      <c r="CO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projet'!$B$13,Paramètres!$A$1:$I$88,3,0)*VLOOKUP('Données projet'!$B$13,Paramètres!$A$1:$I$88,5,0)</f>
        <v>#N/A</v>
      </c>
      <c r="CV89" s="14" t="e">
        <f t="shared" si="95"/>
        <v>#N/A</v>
      </c>
      <c r="CW89" s="22" t="e">
        <f t="shared" si="67"/>
        <v>#N/A</v>
      </c>
      <c r="CX89" s="60" t="e">
        <f t="shared" si="68"/>
        <v>#N/A</v>
      </c>
      <c r="CY89" s="60" t="e">
        <f ca="1">AVERAGE(OFFSET($CX$3,0,0,'Données projet'!$E$13+1,1))-AVERAGE(OFFSET($H$3,0,0,'Données projet'!$E$13+1,1))</f>
        <v>#N/A</v>
      </c>
      <c r="CZ89" s="60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projet'!$B$13,Paramètres!$A$1:$I$88,3,0)*0.475*44/12</f>
        <v>#N/A</v>
      </c>
      <c r="DG89" s="23" t="e">
        <f>EXP(-LN(2)/25)*DG88+(1-EXP(-LN(2)/25))/(LN(2)/25)*Calculateur!DB89*Calculateur!DD89*VLOOKUP('Données projet'!$B$13,Paramètres!$A$1:$I$88,3,0)*0.475*44/12</f>
        <v>#N/A</v>
      </c>
      <c r="DH89" s="23" t="e">
        <f>EXP(-LN(2)/2)*DH88+(1-EXP(-LN(2)/2))/(LN(2)/2)*DB89*DE89*VLOOKUP('Données projet'!$B$13,Paramètres!$A$1:$I$88,3,0)*0.475*44/12</f>
        <v>#N/A</v>
      </c>
      <c r="DI89" s="24" t="e">
        <f t="shared" si="69"/>
        <v>#N/A</v>
      </c>
      <c r="DJ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0" t="e">
        <f t="shared" si="71"/>
        <v>#N/A</v>
      </c>
      <c r="DT89" s="60" t="e">
        <f ca="1">AVERAGE(OFFSET($DS$3,0,0,'Données projet'!$E$14+1,1))-AVERAGE(OFFSET($H$3,0,0,'Données projet'!$E$14+1,1))</f>
        <v>#N/A</v>
      </c>
      <c r="DU89" s="60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4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77.360400000000112</v>
      </c>
      <c r="D90" s="12">
        <f t="shared" si="86"/>
        <v>21.490533357793517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4.5474735088646412E-13</v>
      </c>
      <c r="O90" s="14">
        <f>N90*VLOOKUP('Données projet'!$B$9,Paramètres!$A$1:$I$88,3,0)*VLOOKUP('Données projet'!$B$9,Paramètres!$A$1:$I$88,5,0)</f>
        <v>2.7193891583010558E-13</v>
      </c>
      <c r="P90" s="14">
        <f t="shared" si="87"/>
        <v>3.6362267729089988E-12</v>
      </c>
      <c r="Q90" s="22">
        <f t="shared" si="54"/>
        <v>6.8067219078872727E-12</v>
      </c>
      <c r="R90" s="60">
        <f t="shared" si="55"/>
        <v>293.33333333334014</v>
      </c>
      <c r="S90" s="60">
        <f ca="1">AVERAGE(OFFSET($R$3,0,0,'Données projet'!$E$9+1,1))-AVERAGE(OFFSET($H$3,0,0,'Données projet'!$E$9+1,1))</f>
        <v>181.84907943028196</v>
      </c>
      <c r="T90" s="60">
        <f t="shared" si="88"/>
        <v>199.66849909069458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76.22093820422316</v>
      </c>
      <c r="AA90" s="23">
        <f>EXP(-LN(2)/25)*AA89+(1-EXP(-LN(2)/25))/(LN(2)/25)*Calculateur!V90*Calculateur!X90*VLOOKUP('Données projet'!$B$9,Paramètres!$A$1:$I$88,3,0)*0.475*44/12</f>
        <v>14.376576563679139</v>
      </c>
      <c r="AB90" s="23">
        <f>EXP(-LN(2)/2)*AB89+(1-EXP(-LN(2)/2))/(LN(2)/2)*V90*Y90*VLOOKUP('Données projet'!$B$9,Paramètres!$A$1:$I$88,3,0)*0.475*44/12</f>
        <v>2.0520183345681172E-3</v>
      </c>
      <c r="AC90" s="24">
        <f t="shared" si="57"/>
        <v>90.599566786236863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projet'!$B$10,Paramètres!$A$1:$I$88,3,0)*VLOOKUP('Données projet'!$B$10,Paramètres!$A$1:$I$88,5,0)</f>
        <v>0</v>
      </c>
      <c r="AK90" s="14" t="e">
        <f t="shared" si="89"/>
        <v>#NUM!</v>
      </c>
      <c r="AL90" s="22" t="e">
        <f t="shared" si="58"/>
        <v>#NUM!</v>
      </c>
      <c r="AM90" s="60" t="e">
        <f t="shared" si="59"/>
        <v>#NUM!</v>
      </c>
      <c r="AN90" s="60">
        <f ca="1">AVERAGE(OFFSET($AM$3,0,0,'Données projet'!$E$10+1,1))-AVERAGE(OFFSET($H$3,0,0,'Données projet'!$E$10+1,1))</f>
        <v>55.581964048431473</v>
      </c>
      <c r="AO90" s="60">
        <f t="shared" si="90"/>
        <v>91.067506141193803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14.258826298935659</v>
      </c>
      <c r="AV90" s="23">
        <f>EXP(-LN(2)/25)*AV89+(1-EXP(-LN(2)/25))/(LN(2)/25)*Calculateur!AQ90*Calculateur!AS90*VLOOKUP('Données projet'!$B$10,Paramètres!$A$1:$I$88,3,0)*0.475*44/12</f>
        <v>0</v>
      </c>
      <c r="AW90" s="23">
        <f>EXP(-LN(2)/2)*AW89+(1-EXP(-LN(2)/2))/(LN(2)/2)*AQ90*AT90*VLOOKUP('Données projet'!$B$10,Paramètres!$A$1:$I$88,3,0)*0.475*44/12</f>
        <v>0</v>
      </c>
      <c r="AX90" s="23">
        <f t="shared" si="60"/>
        <v>14.258826298935659</v>
      </c>
      <c r="AY90" s="7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4.4444444444444446</v>
      </c>
      <c r="BD90" s="13">
        <f>IF('Données projet'!$A$88&gt;35,BD89+BC90-BL89,IF(A90&lt;'Données projet'!$A$88,$BA$205^A90,IF(A90='Données projet'!$A$88,'Données projet'!$B$88,BD89+BC90-BL89)))</f>
        <v>158.6666666666668</v>
      </c>
      <c r="BE90" s="14">
        <f>BD90*VLOOKUP('Données projet'!$B$11,Paramètres!$A$1:$I$88,3,0)*VLOOKUP('Données projet'!$B$11,Paramètres!$A$1:$I$88,5,0)</f>
        <v>160.88800000000015</v>
      </c>
      <c r="BF90" s="14">
        <f t="shared" si="91"/>
        <v>41.04274172267138</v>
      </c>
      <c r="BG90" s="22">
        <f t="shared" si="61"/>
        <v>351.69604183365294</v>
      </c>
      <c r="BH90" s="60">
        <f t="shared" si="62"/>
        <v>645.02937516698626</v>
      </c>
      <c r="BI90" s="60">
        <f ca="1">AVERAGE(OFFSET($BH$3,0,0,'Données projet'!$E$11+1,1))-AVERAGE(OFFSET($H$3,0,0,'Données projet'!$E$11+1,1))</f>
        <v>178.29366134936788</v>
      </c>
      <c r="BJ90" s="60">
        <f t="shared" si="92"/>
        <v>85.818195717787148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8.0418429264033495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8.0418429264033495</v>
      </c>
      <c r="BT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>
        <f>BY90*VLOOKUP('Données projet'!$B$12,Paramètres!$A$1:$I$88,3,0)*VLOOKUP('Données projet'!$B$12,Paramètres!$A$1:$I$88,5,0)</f>
        <v>0</v>
      </c>
      <c r="CA90" s="14" t="e">
        <f t="shared" si="93"/>
        <v>#NUM!</v>
      </c>
      <c r="CB90" s="22" t="e">
        <f t="shared" si="64"/>
        <v>#NUM!</v>
      </c>
      <c r="CC90" s="60" t="e">
        <f t="shared" si="65"/>
        <v>#NUM!</v>
      </c>
      <c r="CD90" s="60">
        <f ca="1">AVERAGE(OFFSET($CC$3,0,0,'Données projet'!$E$12+1,1))-AVERAGE(OFFSET($H$3,0,0,'Données projet'!$E$12+1,1))</f>
        <v>104.00159056395933</v>
      </c>
      <c r="CE90" s="60">
        <f t="shared" si="94"/>
        <v>115.86489547584461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86.535355916649692</v>
      </c>
      <c r="CL90" s="23">
        <f>EXP(-LN(2)/25)*CL89+(1-EXP(-LN(2)/25))/(LN(2)/25)*Calculateur!CG90*Calculateur!CI90*VLOOKUP('Données projet'!$B$12,Paramètres!$A$1:$I$88,3,0)*0.475*44/12</f>
        <v>15.645338993932919</v>
      </c>
      <c r="CM90" s="23">
        <f>EXP(-LN(2)/2)*CM89+(1-EXP(-LN(2)/2))/(LN(2)/2)*CG90*CJ90*VLOOKUP('Données projet'!$B$12,Paramètres!$A$1:$I$88,3,0)*0.475*44/12</f>
        <v>5.3027830691814881E-2</v>
      </c>
      <c r="CN90" s="24">
        <f t="shared" si="66"/>
        <v>102.23372274127443</v>
      </c>
      <c r="CO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projet'!$B$13,Paramètres!$A$1:$I$88,3,0)*VLOOKUP('Données projet'!$B$13,Paramètres!$A$1:$I$88,5,0)</f>
        <v>#N/A</v>
      </c>
      <c r="CV90" s="14" t="e">
        <f t="shared" si="95"/>
        <v>#N/A</v>
      </c>
      <c r="CW90" s="22" t="e">
        <f t="shared" si="67"/>
        <v>#N/A</v>
      </c>
      <c r="CX90" s="60" t="e">
        <f t="shared" si="68"/>
        <v>#N/A</v>
      </c>
      <c r="CY90" s="60" t="e">
        <f ca="1">AVERAGE(OFFSET($CX$3,0,0,'Données projet'!$E$13+1,1))-AVERAGE(OFFSET($H$3,0,0,'Données projet'!$E$13+1,1))</f>
        <v>#N/A</v>
      </c>
      <c r="CZ90" s="60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projet'!$B$13,Paramètres!$A$1:$I$88,3,0)*0.475*44/12</f>
        <v>#N/A</v>
      </c>
      <c r="DG90" s="23" t="e">
        <f>EXP(-LN(2)/25)*DG89+(1-EXP(-LN(2)/25))/(LN(2)/25)*Calculateur!DB90*Calculateur!DD90*VLOOKUP('Données projet'!$B$13,Paramètres!$A$1:$I$88,3,0)*0.475*44/12</f>
        <v>#N/A</v>
      </c>
      <c r="DH90" s="23" t="e">
        <f>EXP(-LN(2)/2)*DH89+(1-EXP(-LN(2)/2))/(LN(2)/2)*DB90*DE90*VLOOKUP('Données projet'!$B$13,Paramètres!$A$1:$I$88,3,0)*0.475*44/12</f>
        <v>#N/A</v>
      </c>
      <c r="DI90" s="24" t="e">
        <f t="shared" si="69"/>
        <v>#N/A</v>
      </c>
      <c r="DJ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0" t="e">
        <f t="shared" si="71"/>
        <v>#N/A</v>
      </c>
      <c r="DT90" s="60" t="e">
        <f ca="1">AVERAGE(OFFSET($DS$3,0,0,'Données projet'!$E$14+1,1))-AVERAGE(OFFSET($H$3,0,0,'Données projet'!$E$14+1,1))</f>
        <v>#N/A</v>
      </c>
      <c r="DU90" s="60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4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78.249600000000115</v>
      </c>
      <c r="D91" s="12">
        <f t="shared" si="86"/>
        <v>21.70865274023982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4.5474735088646412E-13</v>
      </c>
      <c r="O91" s="14">
        <f>N91*VLOOKUP('Données projet'!$B$9,Paramètres!$A$1:$I$88,3,0)*VLOOKUP('Données projet'!$B$9,Paramètres!$A$1:$I$88,5,0)</f>
        <v>2.7193891583010558E-13</v>
      </c>
      <c r="P91" s="14">
        <f t="shared" si="87"/>
        <v>3.6362267729089988E-12</v>
      </c>
      <c r="Q91" s="22">
        <f t="shared" si="54"/>
        <v>6.8067219078872727E-12</v>
      </c>
      <c r="R91" s="60">
        <f t="shared" si="55"/>
        <v>293.33333333334014</v>
      </c>
      <c r="S91" s="60">
        <f ca="1">AVERAGE(OFFSET($R$3,0,0,'Données projet'!$E$9+1,1))-AVERAGE(OFFSET($H$3,0,0,'Données projet'!$E$9+1,1))</f>
        <v>181.84907943028196</v>
      </c>
      <c r="T91" s="60">
        <f t="shared" si="88"/>
        <v>199.66849909069458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74.726292096220121</v>
      </c>
      <c r="AA91" s="23">
        <f>EXP(-LN(2)/25)*AA90+(1-EXP(-LN(2)/25))/(LN(2)/25)*Calculateur!V91*Calculateur!X91*VLOOKUP('Données projet'!$B$9,Paramètres!$A$1:$I$88,3,0)*0.475*44/12</f>
        <v>13.983448321514029</v>
      </c>
      <c r="AB91" s="23">
        <f>EXP(-LN(2)/2)*AB90+(1-EXP(-LN(2)/2))/(LN(2)/2)*V91*Y91*VLOOKUP('Données projet'!$B$9,Paramètres!$A$1:$I$88,3,0)*0.475*44/12</f>
        <v>1.4509960794922413E-3</v>
      </c>
      <c r="AC91" s="24">
        <f t="shared" si="57"/>
        <v>88.711191413813651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projet'!$B$10,Paramètres!$A$1:$I$88,3,0)*VLOOKUP('Données projet'!$B$10,Paramètres!$A$1:$I$88,5,0)</f>
        <v>0</v>
      </c>
      <c r="AK91" s="14" t="e">
        <f t="shared" si="89"/>
        <v>#NUM!</v>
      </c>
      <c r="AL91" s="22" t="e">
        <f t="shared" si="58"/>
        <v>#NUM!</v>
      </c>
      <c r="AM91" s="60" t="e">
        <f t="shared" si="59"/>
        <v>#NUM!</v>
      </c>
      <c r="AN91" s="60">
        <f ca="1">AVERAGE(OFFSET($AM$3,0,0,'Données projet'!$E$10+1,1))-AVERAGE(OFFSET($H$3,0,0,'Données projet'!$E$10+1,1))</f>
        <v>55.581964048431473</v>
      </c>
      <c r="AO91" s="60">
        <f t="shared" si="90"/>
        <v>91.067506141193803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13.979219412238814</v>
      </c>
      <c r="AV91" s="23">
        <f>EXP(-LN(2)/25)*AV90+(1-EXP(-LN(2)/25))/(LN(2)/25)*Calculateur!AQ91*Calculateur!AS91*VLOOKUP('Données projet'!$B$10,Paramètres!$A$1:$I$88,3,0)*0.475*44/12</f>
        <v>0</v>
      </c>
      <c r="AW91" s="23">
        <f>EXP(-LN(2)/2)*AW90+(1-EXP(-LN(2)/2))/(LN(2)/2)*AQ91*AT91*VLOOKUP('Données projet'!$B$10,Paramètres!$A$1:$I$88,3,0)*0.475*44/12</f>
        <v>0</v>
      </c>
      <c r="AX91" s="23">
        <f t="shared" si="60"/>
        <v>13.979219412238814</v>
      </c>
      <c r="AY91" s="7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4.4444444444444446</v>
      </c>
      <c r="BD91" s="13">
        <f>IF('Données projet'!$A$88&gt;35,BD90+BC91-BL90,IF(A91&lt;'Données projet'!$A$88,$BA$205^A91,IF(A91='Données projet'!$A$88,'Données projet'!$B$88,BD90+BC91-BL90)))</f>
        <v>163.11111111111126</v>
      </c>
      <c r="BE91" s="14">
        <f>BD91*VLOOKUP('Données projet'!$B$11,Paramètres!$A$1:$I$88,3,0)*VLOOKUP('Données projet'!$B$11,Paramètres!$A$1:$I$88,5,0)</f>
        <v>165.39466666666684</v>
      </c>
      <c r="BF91" s="14">
        <f t="shared" si="91"/>
        <v>42.056939263220535</v>
      </c>
      <c r="BG91" s="22">
        <f t="shared" si="61"/>
        <v>361.31154699455379</v>
      </c>
      <c r="BH91" s="60">
        <f t="shared" si="62"/>
        <v>654.64488032788711</v>
      </c>
      <c r="BI91" s="60">
        <f ca="1">AVERAGE(OFFSET($BH$3,0,0,'Données projet'!$E$11+1,1))-AVERAGE(OFFSET($H$3,0,0,'Données projet'!$E$11+1,1))</f>
        <v>178.29366134936788</v>
      </c>
      <c r="BJ91" s="60">
        <f t="shared" si="92"/>
        <v>85.818195717787148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7.8841472916564328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7.8841472916564328</v>
      </c>
      <c r="BT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>
        <f>BY91*VLOOKUP('Données projet'!$B$12,Paramètres!$A$1:$I$88,3,0)*VLOOKUP('Données projet'!$B$12,Paramètres!$A$1:$I$88,5,0)</f>
        <v>0</v>
      </c>
      <c r="CA91" s="14" t="e">
        <f t="shared" si="93"/>
        <v>#NUM!</v>
      </c>
      <c r="CB91" s="22" t="e">
        <f t="shared" si="64"/>
        <v>#NUM!</v>
      </c>
      <c r="CC91" s="60" t="e">
        <f t="shared" si="65"/>
        <v>#NUM!</v>
      </c>
      <c r="CD91" s="60">
        <f ca="1">AVERAGE(OFFSET($CC$3,0,0,'Données projet'!$E$12+1,1))-AVERAGE(OFFSET($H$3,0,0,'Données projet'!$E$12+1,1))</f>
        <v>104.00159056395933</v>
      </c>
      <c r="CE91" s="60">
        <f t="shared" si="94"/>
        <v>115.86489547584461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84.83845036847957</v>
      </c>
      <c r="CL91" s="23">
        <f>EXP(-LN(2)/25)*CL90+(1-EXP(-LN(2)/25))/(LN(2)/25)*Calculateur!CG91*Calculateur!CI91*VLOOKUP('Données projet'!$B$12,Paramètres!$A$1:$I$88,3,0)*0.475*44/12</f>
        <v>15.217516376391204</v>
      </c>
      <c r="CM91" s="23">
        <f>EXP(-LN(2)/2)*CM90+(1-EXP(-LN(2)/2))/(LN(2)/2)*CG91*CJ91*VLOOKUP('Données projet'!$B$12,Paramètres!$A$1:$I$88,3,0)*0.475*44/12</f>
        <v>3.7496338673794434E-2</v>
      </c>
      <c r="CN91" s="24">
        <f t="shared" si="66"/>
        <v>100.09346308354456</v>
      </c>
      <c r="CO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projet'!$B$13,Paramètres!$A$1:$I$88,3,0)*VLOOKUP('Données projet'!$B$13,Paramètres!$A$1:$I$88,5,0)</f>
        <v>#N/A</v>
      </c>
      <c r="CV91" s="14" t="e">
        <f t="shared" si="95"/>
        <v>#N/A</v>
      </c>
      <c r="CW91" s="22" t="e">
        <f t="shared" si="67"/>
        <v>#N/A</v>
      </c>
      <c r="CX91" s="60" t="e">
        <f t="shared" si="68"/>
        <v>#N/A</v>
      </c>
      <c r="CY91" s="60" t="e">
        <f ca="1">AVERAGE(OFFSET($CX$3,0,0,'Données projet'!$E$13+1,1))-AVERAGE(OFFSET($H$3,0,0,'Données projet'!$E$13+1,1))</f>
        <v>#N/A</v>
      </c>
      <c r="CZ91" s="60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projet'!$B$13,Paramètres!$A$1:$I$88,3,0)*0.475*44/12</f>
        <v>#N/A</v>
      </c>
      <c r="DG91" s="23" t="e">
        <f>EXP(-LN(2)/25)*DG90+(1-EXP(-LN(2)/25))/(LN(2)/25)*Calculateur!DB91*Calculateur!DD91*VLOOKUP('Données projet'!$B$13,Paramètres!$A$1:$I$88,3,0)*0.475*44/12</f>
        <v>#N/A</v>
      </c>
      <c r="DH91" s="23" t="e">
        <f>EXP(-LN(2)/2)*DH90+(1-EXP(-LN(2)/2))/(LN(2)/2)*DB91*DE91*VLOOKUP('Données projet'!$B$13,Paramètres!$A$1:$I$88,3,0)*0.475*44/12</f>
        <v>#N/A</v>
      </c>
      <c r="DI91" s="24" t="e">
        <f t="shared" si="69"/>
        <v>#N/A</v>
      </c>
      <c r="DJ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0" t="e">
        <f t="shared" si="71"/>
        <v>#N/A</v>
      </c>
      <c r="DT91" s="60" t="e">
        <f ca="1">AVERAGE(OFFSET($DS$3,0,0,'Données projet'!$E$14+1,1))-AVERAGE(OFFSET($H$3,0,0,'Données projet'!$E$14+1,1))</f>
        <v>#N/A</v>
      </c>
      <c r="DU91" s="60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4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79.138800000000117</v>
      </c>
      <c r="D92" s="12">
        <f t="shared" si="86"/>
        <v>21.926483794395363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4.5474735088646412E-13</v>
      </c>
      <c r="O92" s="14">
        <f>N92*VLOOKUP('Données projet'!$B$9,Paramètres!$A$1:$I$88,3,0)*VLOOKUP('Données projet'!$B$9,Paramètres!$A$1:$I$88,5,0)</f>
        <v>2.7193891583010558E-13</v>
      </c>
      <c r="P92" s="14">
        <f t="shared" si="87"/>
        <v>3.6362267729089988E-12</v>
      </c>
      <c r="Q92" s="22">
        <f t="shared" si="54"/>
        <v>6.8067219078872727E-12</v>
      </c>
      <c r="R92" s="60">
        <f t="shared" si="55"/>
        <v>293.33333333334014</v>
      </c>
      <c r="S92" s="60">
        <f ca="1">AVERAGE(OFFSET($R$3,0,0,'Données projet'!$E$9+1,1))-AVERAGE(OFFSET($H$3,0,0,'Données projet'!$E$9+1,1))</f>
        <v>181.84907943028196</v>
      </c>
      <c r="T92" s="60">
        <f t="shared" si="88"/>
        <v>199.66849909069458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73.260955086750911</v>
      </c>
      <c r="AA92" s="23">
        <f>EXP(-LN(2)/25)*AA91+(1-EXP(-LN(2)/25))/(LN(2)/25)*Calculateur!V92*Calculateur!X92*VLOOKUP('Données projet'!$B$9,Paramètres!$A$1:$I$88,3,0)*0.475*44/12</f>
        <v>13.60107019180464</v>
      </c>
      <c r="AB92" s="23">
        <f>EXP(-LN(2)/2)*AB91+(1-EXP(-LN(2)/2))/(LN(2)/2)*V92*Y92*VLOOKUP('Données projet'!$B$9,Paramètres!$A$1:$I$88,3,0)*0.475*44/12</f>
        <v>1.0260091672840586E-3</v>
      </c>
      <c r="AC92" s="24">
        <f t="shared" si="57"/>
        <v>86.86305128772284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projet'!$B$10,Paramètres!$A$1:$I$88,3,0)*VLOOKUP('Données projet'!$B$10,Paramètres!$A$1:$I$88,5,0)</f>
        <v>0</v>
      </c>
      <c r="AK92" s="14" t="e">
        <f t="shared" si="89"/>
        <v>#NUM!</v>
      </c>
      <c r="AL92" s="22" t="e">
        <f t="shared" si="58"/>
        <v>#NUM!</v>
      </c>
      <c r="AM92" s="60" t="e">
        <f t="shared" si="59"/>
        <v>#NUM!</v>
      </c>
      <c r="AN92" s="60">
        <f ca="1">AVERAGE(OFFSET($AM$3,0,0,'Données projet'!$E$10+1,1))-AVERAGE(OFFSET($H$3,0,0,'Données projet'!$E$10+1,1))</f>
        <v>55.581964048431473</v>
      </c>
      <c r="AO92" s="60">
        <f t="shared" si="90"/>
        <v>91.067506141193803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13.705095446046732</v>
      </c>
      <c r="AV92" s="23">
        <f>EXP(-LN(2)/25)*AV91+(1-EXP(-LN(2)/25))/(LN(2)/25)*Calculateur!AQ92*Calculateur!AS92*VLOOKUP('Données projet'!$B$10,Paramètres!$A$1:$I$88,3,0)*0.475*44/12</f>
        <v>0</v>
      </c>
      <c r="AW92" s="23">
        <f>EXP(-LN(2)/2)*AW91+(1-EXP(-LN(2)/2))/(LN(2)/2)*AQ92*AT92*VLOOKUP('Données projet'!$B$10,Paramètres!$A$1:$I$88,3,0)*0.475*44/12</f>
        <v>0</v>
      </c>
      <c r="AX92" s="23">
        <f t="shared" si="60"/>
        <v>13.705095446046732</v>
      </c>
      <c r="AY92" s="7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4.4444444444444446</v>
      </c>
      <c r="BD92" s="13">
        <f>IF('Données projet'!$A$88&gt;35,BD91+BC92-BL91,IF(A92&lt;'Données projet'!$A$88,$BA$205^A92,IF(A92='Données projet'!$A$88,'Données projet'!$B$88,BD91+BC92-BL91)))</f>
        <v>167.55555555555571</v>
      </c>
      <c r="BE92" s="14">
        <f>BD92*VLOOKUP('Données projet'!$B$11,Paramètres!$A$1:$I$88,3,0)*VLOOKUP('Données projet'!$B$11,Paramètres!$A$1:$I$88,5,0)</f>
        <v>169.9013333333335</v>
      </c>
      <c r="BF92" s="14">
        <f t="shared" si="91"/>
        <v>43.067924787581937</v>
      </c>
      <c r="BG92" s="22">
        <f t="shared" si="61"/>
        <v>370.92145789392771</v>
      </c>
      <c r="BH92" s="60">
        <f t="shared" si="62"/>
        <v>664.25479122726097</v>
      </c>
      <c r="BI92" s="60">
        <f ca="1">AVERAGE(OFFSET($BH$3,0,0,'Données projet'!$E$11+1,1))-AVERAGE(OFFSET($H$3,0,0,'Données projet'!$E$11+1,1))</f>
        <v>178.29366134936788</v>
      </c>
      <c r="BJ92" s="60">
        <f t="shared" si="92"/>
        <v>85.818195717787148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7.7295439721220633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7.7295439721220633</v>
      </c>
      <c r="BT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>
        <f>BY92*VLOOKUP('Données projet'!$B$12,Paramètres!$A$1:$I$88,3,0)*VLOOKUP('Données projet'!$B$12,Paramètres!$A$1:$I$88,5,0)</f>
        <v>0</v>
      </c>
      <c r="CA92" s="14" t="e">
        <f t="shared" si="93"/>
        <v>#NUM!</v>
      </c>
      <c r="CB92" s="22" t="e">
        <f t="shared" si="64"/>
        <v>#NUM!</v>
      </c>
      <c r="CC92" s="60" t="e">
        <f t="shared" si="65"/>
        <v>#NUM!</v>
      </c>
      <c r="CD92" s="60">
        <f ca="1">AVERAGE(OFFSET($CC$3,0,0,'Données projet'!$E$12+1,1))-AVERAGE(OFFSET($H$3,0,0,'Données projet'!$E$12+1,1))</f>
        <v>104.00159056395933</v>
      </c>
      <c r="CE92" s="60">
        <f t="shared" si="94"/>
        <v>115.86489547584461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83.174820103098881</v>
      </c>
      <c r="CL92" s="23">
        <f>EXP(-LN(2)/25)*CL91+(1-EXP(-LN(2)/25))/(LN(2)/25)*Calculateur!CG92*Calculateur!CI92*VLOOKUP('Données projet'!$B$12,Paramètres!$A$1:$I$88,3,0)*0.475*44/12</f>
        <v>14.801392590824381</v>
      </c>
      <c r="CM92" s="23">
        <f>EXP(-LN(2)/2)*CM91+(1-EXP(-LN(2)/2))/(LN(2)/2)*CG92*CJ92*VLOOKUP('Données projet'!$B$12,Paramètres!$A$1:$I$88,3,0)*0.475*44/12</f>
        <v>2.6513915345907441E-2</v>
      </c>
      <c r="CN92" s="24">
        <f t="shared" si="66"/>
        <v>98.00272660926916</v>
      </c>
      <c r="CO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projet'!$B$13,Paramètres!$A$1:$I$88,3,0)*VLOOKUP('Données projet'!$B$13,Paramètres!$A$1:$I$88,5,0)</f>
        <v>#N/A</v>
      </c>
      <c r="CV92" s="14" t="e">
        <f t="shared" si="95"/>
        <v>#N/A</v>
      </c>
      <c r="CW92" s="22" t="e">
        <f t="shared" si="67"/>
        <v>#N/A</v>
      </c>
      <c r="CX92" s="60" t="e">
        <f t="shared" si="68"/>
        <v>#N/A</v>
      </c>
      <c r="CY92" s="60" t="e">
        <f ca="1">AVERAGE(OFFSET($CX$3,0,0,'Données projet'!$E$13+1,1))-AVERAGE(OFFSET($H$3,0,0,'Données projet'!$E$13+1,1))</f>
        <v>#N/A</v>
      </c>
      <c r="CZ92" s="60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projet'!$B$13,Paramètres!$A$1:$I$88,3,0)*0.475*44/12</f>
        <v>#N/A</v>
      </c>
      <c r="DG92" s="23" t="e">
        <f>EXP(-LN(2)/25)*DG91+(1-EXP(-LN(2)/25))/(LN(2)/25)*Calculateur!DB92*Calculateur!DD92*VLOOKUP('Données projet'!$B$13,Paramètres!$A$1:$I$88,3,0)*0.475*44/12</f>
        <v>#N/A</v>
      </c>
      <c r="DH92" s="23" t="e">
        <f>EXP(-LN(2)/2)*DH91+(1-EXP(-LN(2)/2))/(LN(2)/2)*DB92*DE92*VLOOKUP('Données projet'!$B$13,Paramètres!$A$1:$I$88,3,0)*0.475*44/12</f>
        <v>#N/A</v>
      </c>
      <c r="DI92" s="24" t="e">
        <f t="shared" si="69"/>
        <v>#N/A</v>
      </c>
      <c r="DJ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0" t="e">
        <f t="shared" si="71"/>
        <v>#N/A</v>
      </c>
      <c r="DT92" s="60" t="e">
        <f ca="1">AVERAGE(OFFSET($DS$3,0,0,'Données projet'!$E$14+1,1))-AVERAGE(OFFSET($H$3,0,0,'Données projet'!$E$14+1,1))</f>
        <v>#N/A</v>
      </c>
      <c r="DU92" s="60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4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80.028000000000119</v>
      </c>
      <c r="D93" s="12">
        <f t="shared" si="86"/>
        <v>22.144030134787187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4.5474735088646412E-13</v>
      </c>
      <c r="O93" s="14">
        <f>N93*VLOOKUP('Données projet'!$B$9,Paramètres!$A$1:$I$88,3,0)*VLOOKUP('Données projet'!$B$9,Paramètres!$A$1:$I$88,5,0)</f>
        <v>2.7193891583010558E-13</v>
      </c>
      <c r="P93" s="14">
        <f t="shared" si="87"/>
        <v>3.6362267729089988E-12</v>
      </c>
      <c r="Q93" s="22">
        <f t="shared" si="54"/>
        <v>6.8067219078872727E-12</v>
      </c>
      <c r="R93" s="60">
        <f t="shared" si="55"/>
        <v>293.33333333334014</v>
      </c>
      <c r="S93" s="60">
        <f ca="1">AVERAGE(OFFSET($R$3,0,0,'Données projet'!$E$9+1,1))-AVERAGE(OFFSET($H$3,0,0,'Données projet'!$E$9+1,1))</f>
        <v>181.84907943028196</v>
      </c>
      <c r="T93" s="60">
        <f t="shared" si="88"/>
        <v>199.66849909069458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71.824352442270069</v>
      </c>
      <c r="AA93" s="23">
        <f>EXP(-LN(2)/25)*AA92+(1-EXP(-LN(2)/25))/(LN(2)/25)*Calculateur!V93*Calculateur!X93*VLOOKUP('Données projet'!$B$9,Paramètres!$A$1:$I$88,3,0)*0.475*44/12</f>
        <v>13.229148212160545</v>
      </c>
      <c r="AB93" s="23">
        <f>EXP(-LN(2)/2)*AB92+(1-EXP(-LN(2)/2))/(LN(2)/2)*V93*Y93*VLOOKUP('Données projet'!$B$9,Paramètres!$A$1:$I$88,3,0)*0.475*44/12</f>
        <v>7.2549803974612066E-4</v>
      </c>
      <c r="AC93" s="24">
        <f t="shared" si="57"/>
        <v>85.054226152470363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projet'!$B$10,Paramètres!$A$1:$I$88,3,0)*VLOOKUP('Données projet'!$B$10,Paramètres!$A$1:$I$88,5,0)</f>
        <v>0</v>
      </c>
      <c r="AK93" s="14" t="e">
        <f t="shared" si="89"/>
        <v>#NUM!</v>
      </c>
      <c r="AL93" s="22" t="e">
        <f t="shared" si="58"/>
        <v>#NUM!</v>
      </c>
      <c r="AM93" s="60" t="e">
        <f t="shared" si="59"/>
        <v>#NUM!</v>
      </c>
      <c r="AN93" s="60">
        <f ca="1">AVERAGE(OFFSET($AM$3,0,0,'Données projet'!$E$10+1,1))-AVERAGE(OFFSET($H$3,0,0,'Données projet'!$E$10+1,1))</f>
        <v>55.581964048431473</v>
      </c>
      <c r="AO93" s="60">
        <f t="shared" si="90"/>
        <v>91.067506141193803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13.436346883632567</v>
      </c>
      <c r="AV93" s="23">
        <f>EXP(-LN(2)/25)*AV92+(1-EXP(-LN(2)/25))/(LN(2)/25)*Calculateur!AQ93*Calculateur!AS93*VLOOKUP('Données projet'!$B$10,Paramètres!$A$1:$I$88,3,0)*0.475*44/12</f>
        <v>0</v>
      </c>
      <c r="AW93" s="23">
        <f>EXP(-LN(2)/2)*AW92+(1-EXP(-LN(2)/2))/(LN(2)/2)*AQ93*AT93*VLOOKUP('Données projet'!$B$10,Paramètres!$A$1:$I$88,3,0)*0.475*44/12</f>
        <v>0</v>
      </c>
      <c r="AX93" s="23">
        <f t="shared" si="60"/>
        <v>13.436346883632567</v>
      </c>
      <c r="AY93" s="7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172</v>
      </c>
      <c r="BB93" s="13">
        <f>VLOOKUP(A93,'Données projet'!$A$87:$I$107,9,0)</f>
        <v>4.4444444444444446</v>
      </c>
      <c r="BC93" s="13">
        <f t="array" ref="BC93">INDEX(BB:BB,MIN(IF(ISNUMBER(BB93:BB289),ROW(BB93:BB289),"")))</f>
        <v>4.4444444444444446</v>
      </c>
      <c r="BD93" s="13">
        <f>IF('Données projet'!$A$88&gt;35,BD92+BC93-BL92,IF(A93&lt;'Données projet'!$A$88,$BA$205^A93,IF(A93='Données projet'!$A$88,'Données projet'!$B$88,BD92+BC93-BL92)))</f>
        <v>172.00000000000017</v>
      </c>
      <c r="BE93" s="14">
        <f>BD93*VLOOKUP('Données projet'!$B$11,Paramètres!$A$1:$I$88,3,0)*VLOOKUP('Données projet'!$B$11,Paramètres!$A$1:$I$88,5,0)</f>
        <v>174.40800000000019</v>
      </c>
      <c r="BF93" s="14">
        <f t="shared" si="91"/>
        <v>44.075793288194866</v>
      </c>
      <c r="BG93" s="22">
        <f t="shared" si="61"/>
        <v>380.5259399769397</v>
      </c>
      <c r="BH93" s="60">
        <f t="shared" si="62"/>
        <v>673.85927331027301</v>
      </c>
      <c r="BI93" s="60">
        <f ca="1">AVERAGE(OFFSET($BH$3,0,0,'Données projet'!$E$11+1,1))-AVERAGE(OFFSET($H$3,0,0,'Données projet'!$E$11+1,1))</f>
        <v>178.29366134936788</v>
      </c>
      <c r="BJ93" s="60">
        <f t="shared" si="92"/>
        <v>85.818195717787148</v>
      </c>
      <c r="BK93" s="16">
        <f>IF(ISNA(VLOOKUP(A93,'Données projet'!$A$87:$I$107,3,0)),0,VLOOKUP(A93,'Données projet'!$A$87:$I$107,3,0))</f>
        <v>5</v>
      </c>
      <c r="BL93" s="16">
        <f>IF(ISNA(VLOOKUP(A93,'Données projet'!$A$87:$I$107,4,0)),0,VLOOKUP(A93,'Données projet'!$A$87:$I$107,4,0))</f>
        <v>26</v>
      </c>
      <c r="BM93" s="17">
        <f>IF(ISNA(VLOOKUP(A93,'Données projet'!$A$87:$I$107,5,0)),0%,VLOOKUP(A93,'Données projet'!$A$87:$I$107,5,0)*VLOOKUP('Données projet'!$B$11,Paramètres!$A$1:$I$88,7,0))</f>
        <v>0.129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11.337628449479913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11.337628449479913</v>
      </c>
      <c r="BT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>
        <f>BY93*VLOOKUP('Données projet'!$B$12,Paramètres!$A$1:$I$88,3,0)*VLOOKUP('Données projet'!$B$12,Paramètres!$A$1:$I$88,5,0)</f>
        <v>0</v>
      </c>
      <c r="CA93" s="14" t="e">
        <f t="shared" si="93"/>
        <v>#NUM!</v>
      </c>
      <c r="CB93" s="22" t="e">
        <f t="shared" si="64"/>
        <v>#NUM!</v>
      </c>
      <c r="CC93" s="60" t="e">
        <f t="shared" si="65"/>
        <v>#NUM!</v>
      </c>
      <c r="CD93" s="60">
        <f ca="1">AVERAGE(OFFSET($CC$3,0,0,'Données projet'!$E$12+1,1))-AVERAGE(OFFSET($H$3,0,0,'Données projet'!$E$12+1,1))</f>
        <v>104.00159056395933</v>
      </c>
      <c r="CE93" s="60">
        <f t="shared" si="94"/>
        <v>115.86489547584461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81.543812612508049</v>
      </c>
      <c r="CL93" s="23">
        <f>EXP(-LN(2)/25)*CL92+(1-EXP(-LN(2)/25))/(LN(2)/25)*Calculateur!CG93*Calculateur!CI93*VLOOKUP('Données projet'!$B$12,Paramètres!$A$1:$I$88,3,0)*0.475*44/12</f>
        <v>14.396647732056881</v>
      </c>
      <c r="CM93" s="23">
        <f>EXP(-LN(2)/2)*CM92+(1-EXP(-LN(2)/2))/(LN(2)/2)*CG93*CJ93*VLOOKUP('Données projet'!$B$12,Paramètres!$A$1:$I$88,3,0)*0.475*44/12</f>
        <v>1.8748169336897217E-2</v>
      </c>
      <c r="CN93" s="24">
        <f t="shared" si="66"/>
        <v>95.959208513901828</v>
      </c>
      <c r="CO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projet'!$B$13,Paramètres!$A$1:$I$88,3,0)*VLOOKUP('Données projet'!$B$13,Paramètres!$A$1:$I$88,5,0)</f>
        <v>#N/A</v>
      </c>
      <c r="CV93" s="14" t="e">
        <f t="shared" si="95"/>
        <v>#N/A</v>
      </c>
      <c r="CW93" s="22" t="e">
        <f t="shared" si="67"/>
        <v>#N/A</v>
      </c>
      <c r="CX93" s="60" t="e">
        <f t="shared" si="68"/>
        <v>#N/A</v>
      </c>
      <c r="CY93" s="60" t="e">
        <f ca="1">AVERAGE(OFFSET($CX$3,0,0,'Données projet'!$E$13+1,1))-AVERAGE(OFFSET($H$3,0,0,'Données projet'!$E$13+1,1))</f>
        <v>#N/A</v>
      </c>
      <c r="CZ93" s="60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projet'!$B$13,Paramètres!$A$1:$I$88,3,0)*0.475*44/12</f>
        <v>#N/A</v>
      </c>
      <c r="DG93" s="23" t="e">
        <f>EXP(-LN(2)/25)*DG92+(1-EXP(-LN(2)/25))/(LN(2)/25)*Calculateur!DB93*Calculateur!DD93*VLOOKUP('Données projet'!$B$13,Paramètres!$A$1:$I$88,3,0)*0.475*44/12</f>
        <v>#N/A</v>
      </c>
      <c r="DH93" s="23" t="e">
        <f>EXP(-LN(2)/2)*DH92+(1-EXP(-LN(2)/2))/(LN(2)/2)*DB93*DE93*VLOOKUP('Données projet'!$B$13,Paramètres!$A$1:$I$88,3,0)*0.475*44/12</f>
        <v>#N/A</v>
      </c>
      <c r="DI93" s="24" t="e">
        <f t="shared" si="69"/>
        <v>#N/A</v>
      </c>
      <c r="DJ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0" t="e">
        <f t="shared" si="71"/>
        <v>#N/A</v>
      </c>
      <c r="DT93" s="60" t="e">
        <f ca="1">AVERAGE(OFFSET($DS$3,0,0,'Données projet'!$E$14+1,1))-AVERAGE(OFFSET($H$3,0,0,'Données projet'!$E$14+1,1))</f>
        <v>#N/A</v>
      </c>
      <c r="DU93" s="60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4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80.917200000000122</v>
      </c>
      <c r="D94" s="12">
        <f t="shared" si="86"/>
        <v>22.361295290994477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4.5474735088646412E-13</v>
      </c>
      <c r="O94" s="14">
        <f>N94*VLOOKUP('Données projet'!$B$9,Paramètres!$A$1:$I$88,3,0)*VLOOKUP('Données projet'!$B$9,Paramètres!$A$1:$I$88,5,0)</f>
        <v>2.7193891583010558E-13</v>
      </c>
      <c r="P94" s="14">
        <f t="shared" si="87"/>
        <v>3.6362267729089988E-12</v>
      </c>
      <c r="Q94" s="22">
        <f t="shared" si="54"/>
        <v>6.8067219078872727E-12</v>
      </c>
      <c r="R94" s="60">
        <f t="shared" si="55"/>
        <v>293.33333333334014</v>
      </c>
      <c r="S94" s="60">
        <f ca="1">AVERAGE(OFFSET($R$3,0,0,'Données projet'!$E$9+1,1))-AVERAGE(OFFSET($H$3,0,0,'Données projet'!$E$9+1,1))</f>
        <v>181.84907943028196</v>
      </c>
      <c r="T94" s="60">
        <f t="shared" si="88"/>
        <v>199.66849909069458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70.415920699406414</v>
      </c>
      <c r="AA94" s="23">
        <f>EXP(-LN(2)/25)*AA93+(1-EXP(-LN(2)/25))/(LN(2)/25)*Calculateur!V94*Calculateur!X94*VLOOKUP('Données projet'!$B$9,Paramètres!$A$1:$I$88,3,0)*0.475*44/12</f>
        <v>12.867396458608347</v>
      </c>
      <c r="AB94" s="23">
        <f>EXP(-LN(2)/2)*AB93+(1-EXP(-LN(2)/2))/(LN(2)/2)*V94*Y94*VLOOKUP('Données projet'!$B$9,Paramètres!$A$1:$I$88,3,0)*0.475*44/12</f>
        <v>5.130045836420293E-4</v>
      </c>
      <c r="AC94" s="24">
        <f t="shared" si="57"/>
        <v>83.283830162598406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projet'!$B$10,Paramètres!$A$1:$I$88,3,0)*VLOOKUP('Données projet'!$B$10,Paramètres!$A$1:$I$88,5,0)</f>
        <v>0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55.581964048431473</v>
      </c>
      <c r="AO94" s="60">
        <f t="shared" si="90"/>
        <v>91.067506141193803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13.172868316606905</v>
      </c>
      <c r="AV94" s="23">
        <f>EXP(-LN(2)/25)*AV93+(1-EXP(-LN(2)/25))/(LN(2)/25)*Calculateur!AQ94*Calculateur!AS94*VLOOKUP('Données projet'!$B$10,Paramètres!$A$1:$I$88,3,0)*0.475*44/12</f>
        <v>0</v>
      </c>
      <c r="AW94" s="23">
        <f>EXP(-LN(2)/2)*AW93+(1-EXP(-LN(2)/2))/(LN(2)/2)*AQ94*AT94*VLOOKUP('Données projet'!$B$10,Paramètres!$A$1:$I$88,3,0)*0.475*44/12</f>
        <v>0</v>
      </c>
      <c r="AX94" s="23">
        <f t="shared" si="60"/>
        <v>13.172868316606905</v>
      </c>
      <c r="AY94" s="7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4.333333333333333</v>
      </c>
      <c r="BD94" s="13">
        <f>IF('Données projet'!$A$88&gt;35,BD93+BC94-BL93,IF(A94&lt;'Données projet'!$A$88,$BA$205^A94,IF(A94='Données projet'!$A$88,'Données projet'!$B$88,BD93+BC94-BL93)))</f>
        <v>150.33333333333351</v>
      </c>
      <c r="BE94" s="14">
        <f>BD94*VLOOKUP('Données projet'!$B$11,Paramètres!$A$1:$I$88,3,0)*VLOOKUP('Données projet'!$B$11,Paramètres!$A$1:$I$88,5,0)</f>
        <v>152.43800000000019</v>
      </c>
      <c r="BF94" s="14">
        <f t="shared" si="91"/>
        <v>39.132108917404096</v>
      </c>
      <c r="BG94" s="22">
        <f t="shared" si="61"/>
        <v>333.65127303114576</v>
      </c>
      <c r="BH94" s="60">
        <f t="shared" si="62"/>
        <v>626.98460636447908</v>
      </c>
      <c r="BI94" s="60">
        <f ca="1">AVERAGE(OFFSET($BH$3,0,0,'Données projet'!$E$11+1,1))-AVERAGE(OFFSET($H$3,0,0,'Données projet'!$E$11+1,1))</f>
        <v>178.29366134936788</v>
      </c>
      <c r="BJ94" s="60">
        <f t="shared" si="92"/>
        <v>85.818195717787148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11.11530447085614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11.11530447085614</v>
      </c>
      <c r="BT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>
        <f>BY94*VLOOKUP('Données projet'!$B$12,Paramètres!$A$1:$I$88,3,0)*VLOOKUP('Données projet'!$B$12,Paramètres!$A$1:$I$88,5,0)</f>
        <v>0</v>
      </c>
      <c r="CA94" s="14" t="e">
        <f t="shared" si="93"/>
        <v>#NUM!</v>
      </c>
      <c r="CB94" s="22" t="e">
        <f t="shared" si="64"/>
        <v>#NUM!</v>
      </c>
      <c r="CC94" s="60" t="e">
        <f t="shared" si="65"/>
        <v>#NUM!</v>
      </c>
      <c r="CD94" s="60">
        <f ca="1">AVERAGE(OFFSET($CC$3,0,0,'Données projet'!$E$12+1,1))-AVERAGE(OFFSET($H$3,0,0,'Données projet'!$E$12+1,1))</f>
        <v>104.00159056395933</v>
      </c>
      <c r="CE94" s="60">
        <f t="shared" si="94"/>
        <v>115.86489547584461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79.944788183991363</v>
      </c>
      <c r="CL94" s="23">
        <f>EXP(-LN(2)/25)*CL93+(1-EXP(-LN(2)/25))/(LN(2)/25)*Calculateur!CG94*Calculateur!CI94*VLOOKUP('Données projet'!$B$12,Paramètres!$A$1:$I$88,3,0)*0.475*44/12</f>
        <v>14.002970642736985</v>
      </c>
      <c r="CM94" s="23">
        <f>EXP(-LN(2)/2)*CM93+(1-EXP(-LN(2)/2))/(LN(2)/2)*CG94*CJ94*VLOOKUP('Données projet'!$B$12,Paramètres!$A$1:$I$88,3,0)*0.475*44/12</f>
        <v>1.325695767295372E-2</v>
      </c>
      <c r="CN94" s="24">
        <f t="shared" si="66"/>
        <v>93.961015784401297</v>
      </c>
      <c r="CO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projet'!$B$13,Paramètres!$A$1:$I$88,3,0)*VLOOKUP('Données projet'!$B$13,Paramètres!$A$1:$I$88,5,0)</f>
        <v>#N/A</v>
      </c>
      <c r="CV94" s="14" t="e">
        <f t="shared" si="95"/>
        <v>#N/A</v>
      </c>
      <c r="CW94" s="22" t="e">
        <f t="shared" si="67"/>
        <v>#N/A</v>
      </c>
      <c r="CX94" s="60" t="e">
        <f t="shared" si="68"/>
        <v>#N/A</v>
      </c>
      <c r="CY94" s="60" t="e">
        <f ca="1">AVERAGE(OFFSET($CX$3,0,0,'Données projet'!$E$13+1,1))-AVERAGE(OFFSET($H$3,0,0,'Données projet'!$E$13+1,1))</f>
        <v>#N/A</v>
      </c>
      <c r="CZ94" s="60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projet'!$B$13,Paramètres!$A$1:$I$88,3,0)*0.475*44/12</f>
        <v>#N/A</v>
      </c>
      <c r="DG94" s="23" t="e">
        <f>EXP(-LN(2)/25)*DG93+(1-EXP(-LN(2)/25))/(LN(2)/25)*Calculateur!DB94*Calculateur!DD94*VLOOKUP('Données projet'!$B$13,Paramètres!$A$1:$I$88,3,0)*0.475*44/12</f>
        <v>#N/A</v>
      </c>
      <c r="DH94" s="23" t="e">
        <f>EXP(-LN(2)/2)*DH93+(1-EXP(-LN(2)/2))/(LN(2)/2)*DB94*DE94*VLOOKUP('Données projet'!$B$13,Paramètres!$A$1:$I$88,3,0)*0.475*44/12</f>
        <v>#N/A</v>
      </c>
      <c r="DI94" s="24" t="e">
        <f t="shared" si="69"/>
        <v>#N/A</v>
      </c>
      <c r="DJ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0" t="e">
        <f t="shared" si="71"/>
        <v>#N/A</v>
      </c>
      <c r="DT94" s="60" t="e">
        <f ca="1">AVERAGE(OFFSET($DS$3,0,0,'Données projet'!$E$14+1,1))-AVERAGE(OFFSET($H$3,0,0,'Données projet'!$E$14+1,1))</f>
        <v>#N/A</v>
      </c>
      <c r="DU94" s="60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4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81.806400000000124</v>
      </c>
      <c r="D95" s="12">
        <f t="shared" si="86"/>
        <v>22.578282710556053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4.5474735088646412E-13</v>
      </c>
      <c r="O95" s="14">
        <f>N95*VLOOKUP('Données projet'!$B$9,Paramètres!$A$1:$I$88,3,0)*VLOOKUP('Données projet'!$B$9,Paramètres!$A$1:$I$88,5,0)</f>
        <v>2.7193891583010558E-13</v>
      </c>
      <c r="P95" s="14">
        <f t="shared" si="87"/>
        <v>3.6362267729089988E-12</v>
      </c>
      <c r="Q95" s="22">
        <f t="shared" si="54"/>
        <v>6.8067219078872727E-12</v>
      </c>
      <c r="R95" s="60">
        <f t="shared" si="55"/>
        <v>293.33333333334014</v>
      </c>
      <c r="S95" s="60">
        <f ca="1">AVERAGE(OFFSET($R$3,0,0,'Données projet'!$E$9+1,1))-AVERAGE(OFFSET($H$3,0,0,'Données projet'!$E$9+1,1))</f>
        <v>181.84907943028196</v>
      </c>
      <c r="T95" s="60">
        <f t="shared" si="88"/>
        <v>199.66849909069458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69.035107443961778</v>
      </c>
      <c r="AA95" s="23">
        <f>EXP(-LN(2)/25)*AA94+(1-EXP(-LN(2)/25))/(LN(2)/25)*Calculateur!V95*Calculateur!X95*VLOOKUP('Données projet'!$B$9,Paramètres!$A$1:$I$88,3,0)*0.475*44/12</f>
        <v>12.515536825780732</v>
      </c>
      <c r="AB95" s="23">
        <f>EXP(-LN(2)/2)*AB94+(1-EXP(-LN(2)/2))/(LN(2)/2)*V95*Y95*VLOOKUP('Données projet'!$B$9,Paramètres!$A$1:$I$88,3,0)*0.475*44/12</f>
        <v>3.6274901987306033E-4</v>
      </c>
      <c r="AC95" s="24">
        <f t="shared" si="57"/>
        <v>81.551007018762377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projet'!$B$10,Paramètres!$A$1:$I$88,3,0)*VLOOKUP('Données projet'!$B$10,Paramètres!$A$1:$I$88,5,0)</f>
        <v>0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55.581964048431473</v>
      </c>
      <c r="AO95" s="60">
        <f t="shared" si="90"/>
        <v>91.067506141193803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12.914556403574561</v>
      </c>
      <c r="AV95" s="23">
        <f>EXP(-LN(2)/25)*AV94+(1-EXP(-LN(2)/25))/(LN(2)/25)*Calculateur!AQ95*Calculateur!AS95*VLOOKUP('Données projet'!$B$10,Paramètres!$A$1:$I$88,3,0)*0.475*44/12</f>
        <v>0</v>
      </c>
      <c r="AW95" s="23">
        <f>EXP(-LN(2)/2)*AW94+(1-EXP(-LN(2)/2))/(LN(2)/2)*AQ95*AT95*VLOOKUP('Données projet'!$B$10,Paramètres!$A$1:$I$88,3,0)*0.475*44/12</f>
        <v>0</v>
      </c>
      <c r="AX95" s="23">
        <f t="shared" si="60"/>
        <v>12.914556403574561</v>
      </c>
      <c r="AY95" s="7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4.333333333333333</v>
      </c>
      <c r="BD95" s="13">
        <f>IF('Données projet'!$A$88&gt;35,BD94+BC95-BL94,IF(A95&lt;'Données projet'!$A$88,$BA$205^A95,IF(A95='Données projet'!$A$88,'Données projet'!$B$88,BD94+BC95-BL94)))</f>
        <v>154.66666666666686</v>
      </c>
      <c r="BE95" s="14">
        <f>BD95*VLOOKUP('Données projet'!$B$11,Paramètres!$A$1:$I$88,3,0)*VLOOKUP('Données projet'!$B$11,Paramètres!$A$1:$I$88,5,0)</f>
        <v>156.83200000000019</v>
      </c>
      <c r="BF95" s="14">
        <f t="shared" si="91"/>
        <v>40.127134611967058</v>
      </c>
      <c r="BG95" s="22">
        <f t="shared" si="61"/>
        <v>343.03715944917622</v>
      </c>
      <c r="BH95" s="60">
        <f t="shared" si="62"/>
        <v>636.37049278250947</v>
      </c>
      <c r="BI95" s="60">
        <f ca="1">AVERAGE(OFFSET($BH$3,0,0,'Données projet'!$E$11+1,1))-AVERAGE(OFFSET($H$3,0,0,'Données projet'!$E$11+1,1))</f>
        <v>178.29366134936788</v>
      </c>
      <c r="BJ95" s="60">
        <f t="shared" si="92"/>
        <v>85.818195717787148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10.897340129848942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10.897340129848942</v>
      </c>
      <c r="BT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>
        <f>BY95*VLOOKUP('Données projet'!$B$12,Paramètres!$A$1:$I$88,3,0)*VLOOKUP('Données projet'!$B$12,Paramètres!$A$1:$I$88,5,0)</f>
        <v>0</v>
      </c>
      <c r="CA95" s="14" t="e">
        <f t="shared" si="93"/>
        <v>#NUM!</v>
      </c>
      <c r="CB95" s="22" t="e">
        <f t="shared" si="64"/>
        <v>#NUM!</v>
      </c>
      <c r="CC95" s="60" t="e">
        <f t="shared" si="65"/>
        <v>#NUM!</v>
      </c>
      <c r="CD95" s="60">
        <f ca="1">AVERAGE(OFFSET($CC$3,0,0,'Données projet'!$E$12+1,1))-AVERAGE(OFFSET($H$3,0,0,'Données projet'!$E$12+1,1))</f>
        <v>104.00159056395933</v>
      </c>
      <c r="CE95" s="60">
        <f t="shared" si="94"/>
        <v>115.86489547584461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78.377119649209291</v>
      </c>
      <c r="CL95" s="23">
        <f>EXP(-LN(2)/25)*CL94+(1-EXP(-LN(2)/25))/(LN(2)/25)*Calculateur!CG95*Calculateur!CI95*VLOOKUP('Données projet'!$B$12,Paramètres!$A$1:$I$88,3,0)*0.475*44/12</f>
        <v>13.620058674127121</v>
      </c>
      <c r="CM95" s="23">
        <f>EXP(-LN(2)/2)*CM94+(1-EXP(-LN(2)/2))/(LN(2)/2)*CG95*CJ95*VLOOKUP('Données projet'!$B$12,Paramètres!$A$1:$I$88,3,0)*0.475*44/12</f>
        <v>9.3740846684486085E-3</v>
      </c>
      <c r="CN95" s="24">
        <f t="shared" si="66"/>
        <v>92.006552408004865</v>
      </c>
      <c r="CO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projet'!$B$13,Paramètres!$A$1:$I$88,3,0)*VLOOKUP('Données projet'!$B$13,Paramètres!$A$1:$I$88,5,0)</f>
        <v>#N/A</v>
      </c>
      <c r="CV95" s="14" t="e">
        <f t="shared" si="95"/>
        <v>#N/A</v>
      </c>
      <c r="CW95" s="22" t="e">
        <f t="shared" si="67"/>
        <v>#N/A</v>
      </c>
      <c r="CX95" s="60" t="e">
        <f t="shared" si="68"/>
        <v>#N/A</v>
      </c>
      <c r="CY95" s="60" t="e">
        <f ca="1">AVERAGE(OFFSET($CX$3,0,0,'Données projet'!$E$13+1,1))-AVERAGE(OFFSET($H$3,0,0,'Données projet'!$E$13+1,1))</f>
        <v>#N/A</v>
      </c>
      <c r="CZ95" s="60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projet'!$B$13,Paramètres!$A$1:$I$88,3,0)*0.475*44/12</f>
        <v>#N/A</v>
      </c>
      <c r="DG95" s="23" t="e">
        <f>EXP(-LN(2)/25)*DG94+(1-EXP(-LN(2)/25))/(LN(2)/25)*Calculateur!DB95*Calculateur!DD95*VLOOKUP('Données projet'!$B$13,Paramètres!$A$1:$I$88,3,0)*0.475*44/12</f>
        <v>#N/A</v>
      </c>
      <c r="DH95" s="23" t="e">
        <f>EXP(-LN(2)/2)*DH94+(1-EXP(-LN(2)/2))/(LN(2)/2)*DB95*DE95*VLOOKUP('Données projet'!$B$13,Paramètres!$A$1:$I$88,3,0)*0.475*44/12</f>
        <v>#N/A</v>
      </c>
      <c r="DI95" s="24" t="e">
        <f t="shared" si="69"/>
        <v>#N/A</v>
      </c>
      <c r="DJ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0" t="e">
        <f t="shared" si="71"/>
        <v>#N/A</v>
      </c>
      <c r="DT95" s="60" t="e">
        <f ca="1">AVERAGE(OFFSET($DS$3,0,0,'Données projet'!$E$14+1,1))-AVERAGE(OFFSET($H$3,0,0,'Données projet'!$E$14+1,1))</f>
        <v>#N/A</v>
      </c>
      <c r="DU95" s="60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4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82.695600000000127</v>
      </c>
      <c r="D96" s="12">
        <f t="shared" si="86"/>
        <v>22.794995761747877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4.5474735088646412E-13</v>
      </c>
      <c r="O96" s="14">
        <f>N96*VLOOKUP('Données projet'!$B$9,Paramètres!$A$1:$I$88,3,0)*VLOOKUP('Données projet'!$B$9,Paramètres!$A$1:$I$88,5,0)</f>
        <v>2.7193891583010558E-13</v>
      </c>
      <c r="P96" s="14">
        <f t="shared" si="87"/>
        <v>3.6362267729089988E-12</v>
      </c>
      <c r="Q96" s="22">
        <f t="shared" si="54"/>
        <v>6.8067219078872727E-12</v>
      </c>
      <c r="R96" s="60">
        <f t="shared" si="55"/>
        <v>293.33333333334014</v>
      </c>
      <c r="S96" s="60">
        <f ca="1">AVERAGE(OFFSET($R$3,0,0,'Données projet'!$E$9+1,1))-AVERAGE(OFFSET($H$3,0,0,'Données projet'!$E$9+1,1))</f>
        <v>181.84907943028196</v>
      </c>
      <c r="T96" s="60">
        <f t="shared" si="88"/>
        <v>199.66849909069458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67.681371094243488</v>
      </c>
      <c r="AA96" s="23">
        <f>EXP(-LN(2)/25)*AA95+(1-EXP(-LN(2)/25))/(LN(2)/25)*Calculateur!V96*Calculateur!X96*VLOOKUP('Données projet'!$B$9,Paramètres!$A$1:$I$88,3,0)*0.475*44/12</f>
        <v>12.173298813116281</v>
      </c>
      <c r="AB96" s="23">
        <f>EXP(-LN(2)/2)*AB95+(1-EXP(-LN(2)/2))/(LN(2)/2)*V96*Y96*VLOOKUP('Données projet'!$B$9,Paramètres!$A$1:$I$88,3,0)*0.475*44/12</f>
        <v>2.5650229182101465E-4</v>
      </c>
      <c r="AC96" s="24">
        <f t="shared" si="57"/>
        <v>79.854926409651583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projet'!$B$10,Paramètres!$A$1:$I$88,3,0)*VLOOKUP('Données projet'!$B$10,Paramètres!$A$1:$I$88,5,0)</f>
        <v>0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55.581964048431473</v>
      </c>
      <c r="AO96" s="60">
        <f t="shared" si="90"/>
        <v>91.067506141193803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12.661309829602072</v>
      </c>
      <c r="AV96" s="23">
        <f>EXP(-LN(2)/25)*AV95+(1-EXP(-LN(2)/25))/(LN(2)/25)*Calculateur!AQ96*Calculateur!AS96*VLOOKUP('Données projet'!$B$10,Paramètres!$A$1:$I$88,3,0)*0.475*44/12</f>
        <v>0</v>
      </c>
      <c r="AW96" s="23">
        <f>EXP(-LN(2)/2)*AW95+(1-EXP(-LN(2)/2))/(LN(2)/2)*AQ96*AT96*VLOOKUP('Données projet'!$B$10,Paramètres!$A$1:$I$88,3,0)*0.475*44/12</f>
        <v>0</v>
      </c>
      <c r="AX96" s="23">
        <f t="shared" si="60"/>
        <v>12.661309829602072</v>
      </c>
      <c r="AY96" s="7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4.333333333333333</v>
      </c>
      <c r="BD96" s="13">
        <f>IF('Données projet'!$A$88&gt;35,BD95+BC96-BL95,IF(A96&lt;'Données projet'!$A$88,$BA$205^A96,IF(A96='Données projet'!$A$88,'Données projet'!$B$88,BD95+BC96-BL95)))</f>
        <v>159.0000000000002</v>
      </c>
      <c r="BE96" s="14">
        <f>BD96*VLOOKUP('Données projet'!$B$11,Paramètres!$A$1:$I$88,3,0)*VLOOKUP('Données projet'!$B$11,Paramètres!$A$1:$I$88,5,0)</f>
        <v>161.22600000000023</v>
      </c>
      <c r="BF96" s="14">
        <f t="shared" si="91"/>
        <v>41.118920159482563</v>
      </c>
      <c r="BG96" s="22">
        <f t="shared" si="61"/>
        <v>352.41740261109913</v>
      </c>
      <c r="BH96" s="60">
        <f t="shared" si="62"/>
        <v>645.75073594443245</v>
      </c>
      <c r="BI96" s="60">
        <f ca="1">AVERAGE(OFFSET($BH$3,0,0,'Données projet'!$E$11+1,1))-AVERAGE(OFFSET($H$3,0,0,'Données projet'!$E$11+1,1))</f>
        <v>178.29366134936788</v>
      </c>
      <c r="BJ96" s="60">
        <f t="shared" si="92"/>
        <v>85.818195717787148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10.683649936623775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10.683649936623775</v>
      </c>
      <c r="BT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>
        <f>BY96*VLOOKUP('Données projet'!$B$12,Paramètres!$A$1:$I$88,3,0)*VLOOKUP('Données projet'!$B$12,Paramètres!$A$1:$I$88,5,0)</f>
        <v>0</v>
      </c>
      <c r="CA96" s="14" t="e">
        <f t="shared" si="93"/>
        <v>#NUM!</v>
      </c>
      <c r="CB96" s="22" t="e">
        <f t="shared" si="64"/>
        <v>#NUM!</v>
      </c>
      <c r="CC96" s="60" t="e">
        <f t="shared" si="65"/>
        <v>#NUM!</v>
      </c>
      <c r="CD96" s="60">
        <f ca="1">AVERAGE(OFFSET($CC$3,0,0,'Données projet'!$E$12+1,1))-AVERAGE(OFFSET($H$3,0,0,'Données projet'!$E$12+1,1))</f>
        <v>104.00159056395933</v>
      </c>
      <c r="CE96" s="60">
        <f t="shared" si="94"/>
        <v>115.86489547584461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76.840192138210895</v>
      </c>
      <c r="CL96" s="23">
        <f>EXP(-LN(2)/25)*CL95+(1-EXP(-LN(2)/25))/(LN(2)/25)*Calculateur!CG96*Calculateur!CI96*VLOOKUP('Données projet'!$B$12,Paramètres!$A$1:$I$88,3,0)*0.475*44/12</f>
        <v>13.247617453435359</v>
      </c>
      <c r="CM96" s="23">
        <f>EXP(-LN(2)/2)*CM95+(1-EXP(-LN(2)/2))/(LN(2)/2)*CG96*CJ96*VLOOKUP('Données projet'!$B$12,Paramètres!$A$1:$I$88,3,0)*0.475*44/12</f>
        <v>6.6284788364768601E-3</v>
      </c>
      <c r="CN96" s="24">
        <f t="shared" si="66"/>
        <v>90.094438070482724</v>
      </c>
      <c r="CO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projet'!$B$13,Paramètres!$A$1:$I$88,3,0)*VLOOKUP('Données projet'!$B$13,Paramètres!$A$1:$I$88,5,0)</f>
        <v>#N/A</v>
      </c>
      <c r="CV96" s="14" t="e">
        <f t="shared" si="95"/>
        <v>#N/A</v>
      </c>
      <c r="CW96" s="22" t="e">
        <f t="shared" si="67"/>
        <v>#N/A</v>
      </c>
      <c r="CX96" s="60" t="e">
        <f t="shared" si="68"/>
        <v>#N/A</v>
      </c>
      <c r="CY96" s="60" t="e">
        <f ca="1">AVERAGE(OFFSET($CX$3,0,0,'Données projet'!$E$13+1,1))-AVERAGE(OFFSET($H$3,0,0,'Données projet'!$E$13+1,1))</f>
        <v>#N/A</v>
      </c>
      <c r="CZ96" s="60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projet'!$B$13,Paramètres!$A$1:$I$88,3,0)*0.475*44/12</f>
        <v>#N/A</v>
      </c>
      <c r="DG96" s="23" t="e">
        <f>EXP(-LN(2)/25)*DG95+(1-EXP(-LN(2)/25))/(LN(2)/25)*Calculateur!DB96*Calculateur!DD96*VLOOKUP('Données projet'!$B$13,Paramètres!$A$1:$I$88,3,0)*0.475*44/12</f>
        <v>#N/A</v>
      </c>
      <c r="DH96" s="23" t="e">
        <f>EXP(-LN(2)/2)*DH95+(1-EXP(-LN(2)/2))/(LN(2)/2)*DB96*DE96*VLOOKUP('Données projet'!$B$13,Paramètres!$A$1:$I$88,3,0)*0.475*44/12</f>
        <v>#N/A</v>
      </c>
      <c r="DI96" s="24" t="e">
        <f t="shared" si="69"/>
        <v>#N/A</v>
      </c>
      <c r="DJ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0" t="e">
        <f t="shared" si="71"/>
        <v>#N/A</v>
      </c>
      <c r="DT96" s="60" t="e">
        <f ca="1">AVERAGE(OFFSET($DS$3,0,0,'Données projet'!$E$14+1,1))-AVERAGE(OFFSET($H$3,0,0,'Données projet'!$E$14+1,1))</f>
        <v>#N/A</v>
      </c>
      <c r="DU96" s="60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4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83.584800000000129</v>
      </c>
      <c r="D97" s="12">
        <f t="shared" si="86"/>
        <v>23.011437736237649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4.5474735088646412E-13</v>
      </c>
      <c r="O97" s="14">
        <f>N97*VLOOKUP('Données projet'!$B$9,Paramètres!$A$1:$I$88,3,0)*VLOOKUP('Données projet'!$B$9,Paramètres!$A$1:$I$88,5,0)</f>
        <v>2.7193891583010558E-13</v>
      </c>
      <c r="P97" s="14">
        <f t="shared" si="87"/>
        <v>3.6362267729089988E-12</v>
      </c>
      <c r="Q97" s="22">
        <f t="shared" si="54"/>
        <v>6.8067219078872727E-12</v>
      </c>
      <c r="R97" s="60">
        <f t="shared" si="55"/>
        <v>293.33333333334014</v>
      </c>
      <c r="S97" s="60">
        <f ca="1">AVERAGE(OFFSET($R$3,0,0,'Données projet'!$E$9+1,1))-AVERAGE(OFFSET($H$3,0,0,'Données projet'!$E$9+1,1))</f>
        <v>181.84907943028196</v>
      </c>
      <c r="T97" s="60">
        <f t="shared" si="88"/>
        <v>199.66849909069458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66.354180688645528</v>
      </c>
      <c r="AA97" s="23">
        <f>EXP(-LN(2)/25)*AA96+(1-EXP(-LN(2)/25))/(LN(2)/25)*Calculateur!V97*Calculateur!X97*VLOOKUP('Données projet'!$B$9,Paramètres!$A$1:$I$88,3,0)*0.475*44/12</f>
        <v>11.840419316905654</v>
      </c>
      <c r="AB97" s="23">
        <f>EXP(-LN(2)/2)*AB96+(1-EXP(-LN(2)/2))/(LN(2)/2)*V97*Y97*VLOOKUP('Données projet'!$B$9,Paramètres!$A$1:$I$88,3,0)*0.475*44/12</f>
        <v>1.8137450993653016E-4</v>
      </c>
      <c r="AC97" s="24">
        <f t="shared" si="57"/>
        <v>78.194781380061116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projet'!$B$10,Paramètres!$A$1:$I$88,3,0)*VLOOKUP('Données projet'!$B$10,Paramètres!$A$1:$I$88,5,0)</f>
        <v>0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55.581964048431473</v>
      </c>
      <c r="AO97" s="60">
        <f t="shared" si="90"/>
        <v>91.067506141193803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12.413029266480024</v>
      </c>
      <c r="AV97" s="23">
        <f>EXP(-LN(2)/25)*AV96+(1-EXP(-LN(2)/25))/(LN(2)/25)*Calculateur!AQ97*Calculateur!AS97*VLOOKUP('Données projet'!$B$10,Paramètres!$A$1:$I$88,3,0)*0.475*44/12</f>
        <v>0</v>
      </c>
      <c r="AW97" s="23">
        <f>EXP(-LN(2)/2)*AW96+(1-EXP(-LN(2)/2))/(LN(2)/2)*AQ97*AT97*VLOOKUP('Données projet'!$B$10,Paramètres!$A$1:$I$88,3,0)*0.475*44/12</f>
        <v>0</v>
      </c>
      <c r="AX97" s="23">
        <f t="shared" si="60"/>
        <v>12.413029266480024</v>
      </c>
      <c r="AY97" s="7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4.333333333333333</v>
      </c>
      <c r="BD97" s="13">
        <f>IF('Données projet'!$A$88&gt;35,BD96+BC97-BL96,IF(A97&lt;'Données projet'!$A$88,$BA$205^A97,IF(A97='Données projet'!$A$88,'Données projet'!$B$88,BD96+BC97-BL96)))</f>
        <v>163.33333333333354</v>
      </c>
      <c r="BE97" s="14">
        <f>BD97*VLOOKUP('Données projet'!$B$11,Paramètres!$A$1:$I$88,3,0)*VLOOKUP('Données projet'!$B$11,Paramètres!$A$1:$I$88,5,0)</f>
        <v>165.6200000000002</v>
      </c>
      <c r="BF97" s="14">
        <f t="shared" si="91"/>
        <v>42.107564013127686</v>
      </c>
      <c r="BG97" s="22">
        <f t="shared" si="61"/>
        <v>361.79217398953114</v>
      </c>
      <c r="BH97" s="60">
        <f t="shared" si="62"/>
        <v>655.12550732286445</v>
      </c>
      <c r="BI97" s="60">
        <f ca="1">AVERAGE(OFFSET($BH$3,0,0,'Données projet'!$E$11+1,1))-AVERAGE(OFFSET($H$3,0,0,'Données projet'!$E$11+1,1))</f>
        <v>178.29366134936788</v>
      </c>
      <c r="BJ97" s="60">
        <f t="shared" si="92"/>
        <v>85.818195717787148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10.474150077749604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10.474150077749604</v>
      </c>
      <c r="BT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>
        <f>BY97*VLOOKUP('Données projet'!$B$12,Paramètres!$A$1:$I$88,3,0)*VLOOKUP('Données projet'!$B$12,Paramètres!$A$1:$I$88,5,0)</f>
        <v>0</v>
      </c>
      <c r="CA97" s="14" t="e">
        <f t="shared" si="93"/>
        <v>#NUM!</v>
      </c>
      <c r="CB97" s="22" t="e">
        <f t="shared" si="64"/>
        <v>#NUM!</v>
      </c>
      <c r="CC97" s="60" t="e">
        <f t="shared" si="65"/>
        <v>#NUM!</v>
      </c>
      <c r="CD97" s="60">
        <f ca="1">AVERAGE(OFFSET($CC$3,0,0,'Données projet'!$E$12+1,1))-AVERAGE(OFFSET($H$3,0,0,'Données projet'!$E$12+1,1))</f>
        <v>104.00159056395933</v>
      </c>
      <c r="CE97" s="60">
        <f t="shared" si="94"/>
        <v>115.86489547584461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75.333402838269961</v>
      </c>
      <c r="CL97" s="23">
        <f>EXP(-LN(2)/25)*CL96+(1-EXP(-LN(2)/25))/(LN(2)/25)*Calculateur!CG97*Calculateur!CI97*VLOOKUP('Données projet'!$B$12,Paramètres!$A$1:$I$88,3,0)*0.475*44/12</f>
        <v>12.885360657509244</v>
      </c>
      <c r="CM97" s="23">
        <f>EXP(-LN(2)/2)*CM96+(1-EXP(-LN(2)/2))/(LN(2)/2)*CG97*CJ97*VLOOKUP('Données projet'!$B$12,Paramètres!$A$1:$I$88,3,0)*0.475*44/12</f>
        <v>4.6870423342243043E-3</v>
      </c>
      <c r="CN97" s="24">
        <f t="shared" si="66"/>
        <v>88.223450538113426</v>
      </c>
      <c r="CO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projet'!$B$13,Paramètres!$A$1:$I$88,3,0)*VLOOKUP('Données projet'!$B$13,Paramètres!$A$1:$I$88,5,0)</f>
        <v>#N/A</v>
      </c>
      <c r="CV97" s="14" t="e">
        <f t="shared" si="95"/>
        <v>#N/A</v>
      </c>
      <c r="CW97" s="22" t="e">
        <f t="shared" si="67"/>
        <v>#N/A</v>
      </c>
      <c r="CX97" s="60" t="e">
        <f t="shared" si="68"/>
        <v>#N/A</v>
      </c>
      <c r="CY97" s="60" t="e">
        <f ca="1">AVERAGE(OFFSET($CX$3,0,0,'Données projet'!$E$13+1,1))-AVERAGE(OFFSET($H$3,0,0,'Données projet'!$E$13+1,1))</f>
        <v>#N/A</v>
      </c>
      <c r="CZ97" s="60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projet'!$B$13,Paramètres!$A$1:$I$88,3,0)*0.475*44/12</f>
        <v>#N/A</v>
      </c>
      <c r="DG97" s="23" t="e">
        <f>EXP(-LN(2)/25)*DG96+(1-EXP(-LN(2)/25))/(LN(2)/25)*Calculateur!DB97*Calculateur!DD97*VLOOKUP('Données projet'!$B$13,Paramètres!$A$1:$I$88,3,0)*0.475*44/12</f>
        <v>#N/A</v>
      </c>
      <c r="DH97" s="23" t="e">
        <f>EXP(-LN(2)/2)*DH96+(1-EXP(-LN(2)/2))/(LN(2)/2)*DB97*DE97*VLOOKUP('Données projet'!$B$13,Paramètres!$A$1:$I$88,3,0)*0.475*44/12</f>
        <v>#N/A</v>
      </c>
      <c r="DI97" s="24" t="e">
        <f t="shared" si="69"/>
        <v>#N/A</v>
      </c>
      <c r="DJ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0" t="e">
        <f t="shared" si="71"/>
        <v>#N/A</v>
      </c>
      <c r="DT97" s="60" t="e">
        <f ca="1">AVERAGE(OFFSET($DS$3,0,0,'Données projet'!$E$14+1,1))-AVERAGE(OFFSET($H$3,0,0,'Données projet'!$E$14+1,1))</f>
        <v>#N/A</v>
      </c>
      <c r="DU97" s="60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4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84.474000000000132</v>
      </c>
      <c r="D98" s="12">
        <f t="shared" si="86"/>
        <v>23.227611851623202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4.5474735088646412E-13</v>
      </c>
      <c r="O98" s="14">
        <f>N98*VLOOKUP('Données projet'!$B$9,Paramètres!$A$1:$I$88,3,0)*VLOOKUP('Données projet'!$B$9,Paramètres!$A$1:$I$88,5,0)</f>
        <v>2.7193891583010558E-13</v>
      </c>
      <c r="P98" s="14">
        <f t="shared" si="87"/>
        <v>3.6362267729089988E-12</v>
      </c>
      <c r="Q98" s="22">
        <f t="shared" si="54"/>
        <v>6.8067219078872727E-12</v>
      </c>
      <c r="R98" s="60">
        <f t="shared" si="55"/>
        <v>293.33333333334014</v>
      </c>
      <c r="S98" s="60">
        <f ca="1">AVERAGE(OFFSET($R$3,0,0,'Données projet'!$E$9+1,1))-AVERAGE(OFFSET($H$3,0,0,'Données projet'!$E$9+1,1))</f>
        <v>181.84907943028196</v>
      </c>
      <c r="T98" s="60">
        <f t="shared" si="88"/>
        <v>199.66849909069458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65.053015677395123</v>
      </c>
      <c r="AA98" s="23">
        <f>EXP(-LN(2)/25)*AA97+(1-EXP(-LN(2)/25))/(LN(2)/25)*Calculateur!V98*Calculateur!X98*VLOOKUP('Données projet'!$B$9,Paramètres!$A$1:$I$88,3,0)*0.475*44/12</f>
        <v>11.516642428024278</v>
      </c>
      <c r="AB98" s="23">
        <f>EXP(-LN(2)/2)*AB97+(1-EXP(-LN(2)/2))/(LN(2)/2)*V98*Y98*VLOOKUP('Données projet'!$B$9,Paramètres!$A$1:$I$88,3,0)*0.475*44/12</f>
        <v>1.2825114591050733E-4</v>
      </c>
      <c r="AC98" s="24">
        <f t="shared" si="57"/>
        <v>76.569786356565317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projet'!$B$10,Paramètres!$A$1:$I$88,3,0)*VLOOKUP('Données projet'!$B$10,Paramètres!$A$1:$I$88,5,0)</f>
        <v>0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55.581964048431473</v>
      </c>
      <c r="AO98" s="60">
        <f t="shared" si="90"/>
        <v>91.067506141193803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12.169617333764609</v>
      </c>
      <c r="AV98" s="23">
        <f>EXP(-LN(2)/25)*AV97+(1-EXP(-LN(2)/25))/(LN(2)/25)*Calculateur!AQ98*Calculateur!AS98*VLOOKUP('Données projet'!$B$10,Paramètres!$A$1:$I$88,3,0)*0.475*44/12</f>
        <v>0</v>
      </c>
      <c r="AW98" s="23">
        <f>EXP(-LN(2)/2)*AW97+(1-EXP(-LN(2)/2))/(LN(2)/2)*AQ98*AT98*VLOOKUP('Données projet'!$B$10,Paramètres!$A$1:$I$88,3,0)*0.475*44/12</f>
        <v>0</v>
      </c>
      <c r="AX98" s="23">
        <f t="shared" si="60"/>
        <v>12.169617333764609</v>
      </c>
      <c r="AY98" s="7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4.333333333333333</v>
      </c>
      <c r="BD98" s="13">
        <f>IF('Données projet'!$A$88&gt;35,BD97+BC98-BL97,IF(A98&lt;'Données projet'!$A$88,$BA$205^A98,IF(A98='Données projet'!$A$88,'Données projet'!$B$88,BD97+BC98-BL97)))</f>
        <v>167.66666666666688</v>
      </c>
      <c r="BE98" s="14">
        <f>BD98*VLOOKUP('Données projet'!$B$11,Paramètres!$A$1:$I$88,3,0)*VLOOKUP('Données projet'!$B$11,Paramètres!$A$1:$I$88,5,0)</f>
        <v>170.01400000000024</v>
      </c>
      <c r="BF98" s="14">
        <f t="shared" si="91"/>
        <v>43.093159104565139</v>
      </c>
      <c r="BG98" s="22">
        <f t="shared" si="61"/>
        <v>371.16163544045133</v>
      </c>
      <c r="BH98" s="60">
        <f t="shared" si="62"/>
        <v>664.49496877378465</v>
      </c>
      <c r="BI98" s="60">
        <f ca="1">AVERAGE(OFFSET($BH$3,0,0,'Données projet'!$E$11+1,1))-AVERAGE(OFFSET($H$3,0,0,'Données projet'!$E$11+1,1))</f>
        <v>178.29366134936788</v>
      </c>
      <c r="BJ98" s="60">
        <f t="shared" si="92"/>
        <v>85.818195717787148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10.268758383325659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10.268758383325659</v>
      </c>
      <c r="BT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>
        <f>BY98*VLOOKUP('Données projet'!$B$12,Paramètres!$A$1:$I$88,3,0)*VLOOKUP('Données projet'!$B$12,Paramètres!$A$1:$I$88,5,0)</f>
        <v>0</v>
      </c>
      <c r="CA98" s="14" t="e">
        <f t="shared" si="93"/>
        <v>#NUM!</v>
      </c>
      <c r="CB98" s="22" t="e">
        <f t="shared" si="64"/>
        <v>#NUM!</v>
      </c>
      <c r="CC98" s="60" t="e">
        <f t="shared" si="65"/>
        <v>#NUM!</v>
      </c>
      <c r="CD98" s="60">
        <f ca="1">AVERAGE(OFFSET($CC$3,0,0,'Données projet'!$E$12+1,1))-AVERAGE(OFFSET($H$3,0,0,'Données projet'!$E$12+1,1))</f>
        <v>104.00159056395933</v>
      </c>
      <c r="CE98" s="60">
        <f t="shared" si="94"/>
        <v>115.86489547584461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73.856160757450141</v>
      </c>
      <c r="CL98" s="23">
        <f>EXP(-LN(2)/25)*CL97+(1-EXP(-LN(2)/25))/(LN(2)/25)*Calculateur!CG98*Calculateur!CI98*VLOOKUP('Données projet'!$B$12,Paramètres!$A$1:$I$88,3,0)*0.475*44/12</f>
        <v>12.533009792717987</v>
      </c>
      <c r="CM98" s="23">
        <f>EXP(-LN(2)/2)*CM97+(1-EXP(-LN(2)/2))/(LN(2)/2)*CG98*CJ98*VLOOKUP('Données projet'!$B$12,Paramètres!$A$1:$I$88,3,0)*0.475*44/12</f>
        <v>3.3142394182384301E-3</v>
      </c>
      <c r="CN98" s="24">
        <f t="shared" si="66"/>
        <v>86.392484789586376</v>
      </c>
      <c r="CO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projet'!$B$13,Paramètres!$A$1:$I$88,3,0)*VLOOKUP('Données projet'!$B$13,Paramètres!$A$1:$I$88,5,0)</f>
        <v>#N/A</v>
      </c>
      <c r="CV98" s="14" t="e">
        <f t="shared" si="95"/>
        <v>#N/A</v>
      </c>
      <c r="CW98" s="22" t="e">
        <f t="shared" si="67"/>
        <v>#N/A</v>
      </c>
      <c r="CX98" s="60" t="e">
        <f t="shared" si="68"/>
        <v>#N/A</v>
      </c>
      <c r="CY98" s="60" t="e">
        <f ca="1">AVERAGE(OFFSET($CX$3,0,0,'Données projet'!$E$13+1,1))-AVERAGE(OFFSET($H$3,0,0,'Données projet'!$E$13+1,1))</f>
        <v>#N/A</v>
      </c>
      <c r="CZ98" s="60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projet'!$B$13,Paramètres!$A$1:$I$88,3,0)*0.475*44/12</f>
        <v>#N/A</v>
      </c>
      <c r="DG98" s="23" t="e">
        <f>EXP(-LN(2)/25)*DG97+(1-EXP(-LN(2)/25))/(LN(2)/25)*Calculateur!DB98*Calculateur!DD98*VLOOKUP('Données projet'!$B$13,Paramètres!$A$1:$I$88,3,0)*0.475*44/12</f>
        <v>#N/A</v>
      </c>
      <c r="DH98" s="23" t="e">
        <f>EXP(-LN(2)/2)*DH97+(1-EXP(-LN(2)/2))/(LN(2)/2)*DB98*DE98*VLOOKUP('Données projet'!$B$13,Paramètres!$A$1:$I$88,3,0)*0.475*44/12</f>
        <v>#N/A</v>
      </c>
      <c r="DI98" s="24" t="e">
        <f t="shared" si="69"/>
        <v>#N/A</v>
      </c>
      <c r="DJ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0" t="e">
        <f t="shared" si="71"/>
        <v>#N/A</v>
      </c>
      <c r="DT98" s="60" t="e">
        <f ca="1">AVERAGE(OFFSET($DS$3,0,0,'Données projet'!$E$14+1,1))-AVERAGE(OFFSET($H$3,0,0,'Données projet'!$E$14+1,1))</f>
        <v>#N/A</v>
      </c>
      <c r="DU98" s="60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4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85.363200000000134</v>
      </c>
      <c r="D99" s="12">
        <f t="shared" si="86"/>
        <v>23.443521253861071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4.5474735088646412E-13</v>
      </c>
      <c r="O99" s="14">
        <f>N99*VLOOKUP('Données projet'!$B$9,Paramètres!$A$1:$I$88,3,0)*VLOOKUP('Données projet'!$B$9,Paramètres!$A$1:$I$88,5,0)</f>
        <v>2.7193891583010558E-13</v>
      </c>
      <c r="P99" s="14">
        <f t="shared" si="87"/>
        <v>3.6362267729089988E-12</v>
      </c>
      <c r="Q99" s="22">
        <f t="shared" ref="Q99:Q130" si="107">(O99+P99)*0.475*44/12</f>
        <v>6.8067219078872727E-12</v>
      </c>
      <c r="R99" s="60">
        <f t="shared" si="55"/>
        <v>293.33333333334014</v>
      </c>
      <c r="S99" s="60">
        <f ca="1">AVERAGE(OFFSET($R$3,0,0,'Données projet'!$E$9+1,1))-AVERAGE(OFFSET($H$3,0,0,'Données projet'!$E$9+1,1))</f>
        <v>181.84907943028196</v>
      </c>
      <c r="T99" s="60">
        <f t="shared" si="88"/>
        <v>199.66849909069458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63.777365718383052</v>
      </c>
      <c r="AA99" s="23">
        <f>EXP(-LN(2)/25)*AA98+(1-EXP(-LN(2)/25))/(LN(2)/25)*Calculateur!V99*Calculateur!X99*VLOOKUP('Données projet'!$B$9,Paramètres!$A$1:$I$88,3,0)*0.475*44/12</f>
        <v>11.20171923519605</v>
      </c>
      <c r="AB99" s="23">
        <f>EXP(-LN(2)/2)*AB98+(1-EXP(-LN(2)/2))/(LN(2)/2)*V99*Y99*VLOOKUP('Données projet'!$B$9,Paramètres!$A$1:$I$88,3,0)*0.475*44/12</f>
        <v>9.0687254968265082E-5</v>
      </c>
      <c r="AC99" s="24">
        <f t="shared" si="57"/>
        <v>74.979175640834072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projet'!$B$10,Paramètres!$A$1:$I$88,3,0)*VLOOKUP('Données projet'!$B$10,Paramètres!$A$1:$I$88,5,0)</f>
        <v>0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55.581964048431473</v>
      </c>
      <c r="AO99" s="60">
        <f t="shared" si="90"/>
        <v>91.067506141193803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11.930978560583124</v>
      </c>
      <c r="AV99" s="23">
        <f>EXP(-LN(2)/25)*AV98+(1-EXP(-LN(2)/25))/(LN(2)/25)*Calculateur!AQ99*Calculateur!AS99*VLOOKUP('Données projet'!$B$10,Paramètres!$A$1:$I$88,3,0)*0.475*44/12</f>
        <v>0</v>
      </c>
      <c r="AW99" s="23">
        <f>EXP(-LN(2)/2)*AW98+(1-EXP(-LN(2)/2))/(LN(2)/2)*AQ99*AT99*VLOOKUP('Données projet'!$B$10,Paramètres!$A$1:$I$88,3,0)*0.475*44/12</f>
        <v>0</v>
      </c>
      <c r="AX99" s="23">
        <f t="shared" si="60"/>
        <v>11.930978560583124</v>
      </c>
      <c r="AY99" s="7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4.333333333333333</v>
      </c>
      <c r="BD99" s="13">
        <f>IF('Données projet'!$A$88&gt;35,BD98+BC99-BL98,IF(A99&lt;'Données projet'!$A$88,$BA$205^A99,IF(A99='Données projet'!$A$88,'Données projet'!$B$88,BD98+BC99-BL98)))</f>
        <v>172.00000000000023</v>
      </c>
      <c r="BE99" s="14">
        <f>BD99*VLOOKUP('Données projet'!$B$11,Paramètres!$A$1:$I$88,3,0)*VLOOKUP('Données projet'!$B$11,Paramètres!$A$1:$I$88,5,0)</f>
        <v>174.40800000000024</v>
      </c>
      <c r="BF99" s="14">
        <f t="shared" si="91"/>
        <v>44.075793288194866</v>
      </c>
      <c r="BG99" s="22">
        <f t="shared" si="61"/>
        <v>380.52593997693975</v>
      </c>
      <c r="BH99" s="60">
        <f t="shared" si="62"/>
        <v>673.85927331027301</v>
      </c>
      <c r="BI99" s="60">
        <f ca="1">AVERAGE(OFFSET($BH$3,0,0,'Données projet'!$E$11+1,1))-AVERAGE(OFFSET($H$3,0,0,'Données projet'!$E$11+1,1))</f>
        <v>178.29366134936788</v>
      </c>
      <c r="BJ99" s="60">
        <f t="shared" si="92"/>
        <v>85.818195717787148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10.067394294752805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10.067394294752805</v>
      </c>
      <c r="BT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>
        <f>BY99*VLOOKUP('Données projet'!$B$12,Paramètres!$A$1:$I$88,3,0)*VLOOKUP('Données projet'!$B$12,Paramètres!$A$1:$I$88,5,0)</f>
        <v>0</v>
      </c>
      <c r="CA99" s="14" t="e">
        <f t="shared" si="93"/>
        <v>#NUM!</v>
      </c>
      <c r="CB99" s="22" t="e">
        <f t="shared" si="64"/>
        <v>#NUM!</v>
      </c>
      <c r="CC99" s="60" t="e">
        <f t="shared" si="65"/>
        <v>#NUM!</v>
      </c>
      <c r="CD99" s="60">
        <f ca="1">AVERAGE(OFFSET($CC$3,0,0,'Données projet'!$E$12+1,1))-AVERAGE(OFFSET($H$3,0,0,'Données projet'!$E$12+1,1))</f>
        <v>104.00159056395933</v>
      </c>
      <c r="CE99" s="60">
        <f t="shared" si="94"/>
        <v>115.86489547584461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72.407886492806497</v>
      </c>
      <c r="CL99" s="23">
        <f>EXP(-LN(2)/25)*CL98+(1-EXP(-LN(2)/25))/(LN(2)/25)*Calculateur!CG99*Calculateur!CI99*VLOOKUP('Données projet'!$B$12,Paramètres!$A$1:$I$88,3,0)*0.475*44/12</f>
        <v>12.190293980853774</v>
      </c>
      <c r="CM99" s="23">
        <f>EXP(-LN(2)/2)*CM98+(1-EXP(-LN(2)/2))/(LN(2)/2)*CG99*CJ99*VLOOKUP('Données projet'!$B$12,Paramètres!$A$1:$I$88,3,0)*0.475*44/12</f>
        <v>2.3435211671121521E-3</v>
      </c>
      <c r="CN99" s="24">
        <f t="shared" si="66"/>
        <v>84.600523994827384</v>
      </c>
      <c r="CO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projet'!$B$13,Paramètres!$A$1:$I$88,3,0)*VLOOKUP('Données projet'!$B$13,Paramètres!$A$1:$I$88,5,0)</f>
        <v>#N/A</v>
      </c>
      <c r="CV99" s="14" t="e">
        <f t="shared" si="95"/>
        <v>#N/A</v>
      </c>
      <c r="CW99" s="22" t="e">
        <f t="shared" si="67"/>
        <v>#N/A</v>
      </c>
      <c r="CX99" s="60" t="e">
        <f t="shared" si="68"/>
        <v>#N/A</v>
      </c>
      <c r="CY99" s="60" t="e">
        <f ca="1">AVERAGE(OFFSET($CX$3,0,0,'Données projet'!$E$13+1,1))-AVERAGE(OFFSET($H$3,0,0,'Données projet'!$E$13+1,1))</f>
        <v>#N/A</v>
      </c>
      <c r="CZ99" s="60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projet'!$B$13,Paramètres!$A$1:$I$88,3,0)*0.475*44/12</f>
        <v>#N/A</v>
      </c>
      <c r="DG99" s="23" t="e">
        <f>EXP(-LN(2)/25)*DG98+(1-EXP(-LN(2)/25))/(LN(2)/25)*Calculateur!DB99*Calculateur!DD99*VLOOKUP('Données projet'!$B$13,Paramètres!$A$1:$I$88,3,0)*0.475*44/12</f>
        <v>#N/A</v>
      </c>
      <c r="DH99" s="23" t="e">
        <f>EXP(-LN(2)/2)*DH98+(1-EXP(-LN(2)/2))/(LN(2)/2)*DB99*DE99*VLOOKUP('Données projet'!$B$13,Paramètres!$A$1:$I$88,3,0)*0.475*44/12</f>
        <v>#N/A</v>
      </c>
      <c r="DI99" s="24" t="e">
        <f t="shared" si="69"/>
        <v>#N/A</v>
      </c>
      <c r="DJ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0" t="e">
        <f t="shared" si="71"/>
        <v>#N/A</v>
      </c>
      <c r="DT99" s="60" t="e">
        <f ca="1">AVERAGE(OFFSET($DS$3,0,0,'Données projet'!$E$14+1,1))-AVERAGE(OFFSET($H$3,0,0,'Données projet'!$E$14+1,1))</f>
        <v>#N/A</v>
      </c>
      <c r="DU99" s="60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4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86.252400000000137</v>
      </c>
      <c r="D100" s="12">
        <f t="shared" si="86"/>
        <v>23.659169019590845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4.5474735088646412E-13</v>
      </c>
      <c r="O100" s="14">
        <f>N100*VLOOKUP('Données projet'!$B$9,Paramètres!$A$1:$I$88,3,0)*VLOOKUP('Données projet'!$B$9,Paramètres!$A$1:$I$88,5,0)</f>
        <v>2.7193891583010558E-13</v>
      </c>
      <c r="P100" s="14">
        <f t="shared" si="87"/>
        <v>3.6362267729089988E-12</v>
      </c>
      <c r="Q100" s="22">
        <f t="shared" si="107"/>
        <v>6.8067219078872727E-12</v>
      </c>
      <c r="R100" s="60">
        <f t="shared" si="55"/>
        <v>293.33333333334014</v>
      </c>
      <c r="S100" s="60">
        <f ca="1">AVERAGE(OFFSET($R$3,0,0,'Données projet'!$E$9+1,1))-AVERAGE(OFFSET($H$3,0,0,'Données projet'!$E$9+1,1))</f>
        <v>181.84907943028196</v>
      </c>
      <c r="T100" s="60">
        <f t="shared" si="88"/>
        <v>199.66849909069458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62.526730476997557</v>
      </c>
      <c r="AA100" s="23">
        <f>EXP(-LN(2)/25)*AA99+(1-EXP(-LN(2)/25))/(LN(2)/25)*Calculateur!V100*Calculateur!X100*VLOOKUP('Données projet'!$B$9,Paramètres!$A$1:$I$88,3,0)*0.475*44/12</f>
        <v>10.8954076336368</v>
      </c>
      <c r="AB100" s="23">
        <f>EXP(-LN(2)/2)*AB99+(1-EXP(-LN(2)/2))/(LN(2)/2)*V100*Y100*VLOOKUP('Données projet'!$B$9,Paramètres!$A$1:$I$88,3,0)*0.475*44/12</f>
        <v>6.4125572955253663E-5</v>
      </c>
      <c r="AC100" s="24">
        <f t="shared" si="57"/>
        <v>73.422202236207326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projet'!$B$10,Paramètres!$A$1:$I$88,3,0)*VLOOKUP('Données projet'!$B$10,Paramètres!$A$1:$I$88,5,0)</f>
        <v>0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55.581964048431473</v>
      </c>
      <c r="AO100" s="60">
        <f t="shared" si="90"/>
        <v>91.067506141193803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11.69701934818845</v>
      </c>
      <c r="AV100" s="23">
        <f>EXP(-LN(2)/25)*AV99+(1-EXP(-LN(2)/25))/(LN(2)/25)*Calculateur!AQ100*Calculateur!AS100*VLOOKUP('Données projet'!$B$10,Paramètres!$A$1:$I$88,3,0)*0.475*44/12</f>
        <v>0</v>
      </c>
      <c r="AW100" s="23">
        <f>EXP(-LN(2)/2)*AW99+(1-EXP(-LN(2)/2))/(LN(2)/2)*AQ100*AT100*VLOOKUP('Données projet'!$B$10,Paramètres!$A$1:$I$88,3,0)*0.475*44/12</f>
        <v>0</v>
      </c>
      <c r="AX100" s="23">
        <f t="shared" si="60"/>
        <v>11.69701934818845</v>
      </c>
      <c r="AY100" s="7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4.333333333333333</v>
      </c>
      <c r="BD100" s="13">
        <f>IF('Données projet'!$A$88&gt;35,BD99+BC100-BL99,IF(A100&lt;'Données projet'!$A$88,$BA$205^A100,IF(A100='Données projet'!$A$88,'Données projet'!$B$88,BD99+BC100-BL99)))</f>
        <v>176.33333333333357</v>
      </c>
      <c r="BE100" s="14">
        <f>BD100*VLOOKUP('Données projet'!$B$11,Paramètres!$A$1:$I$88,3,0)*VLOOKUP('Données projet'!$B$11,Paramètres!$A$1:$I$88,5,0)</f>
        <v>178.80200000000025</v>
      </c>
      <c r="BF100" s="14">
        <f t="shared" si="91"/>
        <v>45.055549739375941</v>
      </c>
      <c r="BG100" s="22">
        <f t="shared" si="61"/>
        <v>389.88523246274684</v>
      </c>
      <c r="BH100" s="60">
        <f t="shared" si="62"/>
        <v>683.21856579608016</v>
      </c>
      <c r="BI100" s="60">
        <f ca="1">AVERAGE(OFFSET($BH$3,0,0,'Données projet'!$E$11+1,1))-AVERAGE(OFFSET($H$3,0,0,'Données projet'!$E$11+1,1))</f>
        <v>178.29366134936788</v>
      </c>
      <c r="BJ100" s="60">
        <f t="shared" si="92"/>
        <v>85.818195717787148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9.8699788331368978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9.8699788331368978</v>
      </c>
      <c r="BT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>
        <f>BY100*VLOOKUP('Données projet'!$B$12,Paramètres!$A$1:$I$88,3,0)*VLOOKUP('Données projet'!$B$12,Paramètres!$A$1:$I$88,5,0)</f>
        <v>0</v>
      </c>
      <c r="CA100" s="14" t="e">
        <f t="shared" si="93"/>
        <v>#NUM!</v>
      </c>
      <c r="CB100" s="22" t="e">
        <f t="shared" si="64"/>
        <v>#NUM!</v>
      </c>
      <c r="CC100" s="60" t="e">
        <f t="shared" si="65"/>
        <v>#NUM!</v>
      </c>
      <c r="CD100" s="60">
        <f ca="1">AVERAGE(OFFSET($CC$3,0,0,'Données projet'!$E$12+1,1))-AVERAGE(OFFSET($H$3,0,0,'Données projet'!$E$12+1,1))</f>
        <v>104.00159056395933</v>
      </c>
      <c r="CE100" s="60">
        <f t="shared" si="94"/>
        <v>115.86489547584461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70.98801200313244</v>
      </c>
      <c r="CL100" s="23">
        <f>EXP(-LN(2)/25)*CL99+(1-EXP(-LN(2)/25))/(LN(2)/25)*Calculateur!CG100*Calculateur!CI100*VLOOKUP('Données projet'!$B$12,Paramètres!$A$1:$I$88,3,0)*0.475*44/12</f>
        <v>11.856949750887628</v>
      </c>
      <c r="CM100" s="23">
        <f>EXP(-LN(2)/2)*CM99+(1-EXP(-LN(2)/2))/(LN(2)/2)*CG100*CJ100*VLOOKUP('Données projet'!$B$12,Paramètres!$A$1:$I$88,3,0)*0.475*44/12</f>
        <v>1.657119709119215E-3</v>
      </c>
      <c r="CN100" s="24">
        <f t="shared" si="66"/>
        <v>82.846618873729184</v>
      </c>
      <c r="CO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projet'!$B$13,Paramètres!$A$1:$I$88,3,0)*VLOOKUP('Données projet'!$B$13,Paramètres!$A$1:$I$88,5,0)</f>
        <v>#N/A</v>
      </c>
      <c r="CV100" s="14" t="e">
        <f t="shared" si="95"/>
        <v>#N/A</v>
      </c>
      <c r="CW100" s="22" t="e">
        <f t="shared" si="67"/>
        <v>#N/A</v>
      </c>
      <c r="CX100" s="60" t="e">
        <f t="shared" si="68"/>
        <v>#N/A</v>
      </c>
      <c r="CY100" s="60" t="e">
        <f ca="1">AVERAGE(OFFSET($CX$3,0,0,'Données projet'!$E$13+1,1))-AVERAGE(OFFSET($H$3,0,0,'Données projet'!$E$13+1,1))</f>
        <v>#N/A</v>
      </c>
      <c r="CZ100" s="60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projet'!$B$13,Paramètres!$A$1:$I$88,3,0)*0.475*44/12</f>
        <v>#N/A</v>
      </c>
      <c r="DG100" s="23" t="e">
        <f>EXP(-LN(2)/25)*DG99+(1-EXP(-LN(2)/25))/(LN(2)/25)*Calculateur!DB100*Calculateur!DD100*VLOOKUP('Données projet'!$B$13,Paramètres!$A$1:$I$88,3,0)*0.475*44/12</f>
        <v>#N/A</v>
      </c>
      <c r="DH100" s="23" t="e">
        <f>EXP(-LN(2)/2)*DH99+(1-EXP(-LN(2)/2))/(LN(2)/2)*DB100*DE100*VLOOKUP('Données projet'!$B$13,Paramètres!$A$1:$I$88,3,0)*0.475*44/12</f>
        <v>#N/A</v>
      </c>
      <c r="DI100" s="24" t="e">
        <f t="shared" si="69"/>
        <v>#N/A</v>
      </c>
      <c r="DJ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0" t="e">
        <f t="shared" si="71"/>
        <v>#N/A</v>
      </c>
      <c r="DT100" s="60" t="e">
        <f ca="1">AVERAGE(OFFSET($DS$3,0,0,'Données projet'!$E$14+1,1))-AVERAGE(OFFSET($H$3,0,0,'Données projet'!$E$14+1,1))</f>
        <v>#N/A</v>
      </c>
      <c r="DU100" s="60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4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87.141600000000139</v>
      </c>
      <c r="D101" s="12">
        <f t="shared" si="86"/>
        <v>23.874558158360987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4.5474735088646412E-13</v>
      </c>
      <c r="O101" s="14">
        <f>N101*VLOOKUP('Données projet'!$B$9,Paramètres!$A$1:$I$88,3,0)*VLOOKUP('Données projet'!$B$9,Paramètres!$A$1:$I$88,5,0)</f>
        <v>2.7193891583010558E-13</v>
      </c>
      <c r="P101" s="14">
        <f t="shared" si="87"/>
        <v>3.6362267729089988E-12</v>
      </c>
      <c r="Q101" s="22">
        <f t="shared" si="107"/>
        <v>6.8067219078872727E-12</v>
      </c>
      <c r="R101" s="60">
        <f t="shared" si="55"/>
        <v>293.33333333334014</v>
      </c>
      <c r="S101" s="60">
        <f ca="1">AVERAGE(OFFSET($R$3,0,0,'Données projet'!$E$9+1,1))-AVERAGE(OFFSET($H$3,0,0,'Données projet'!$E$9+1,1))</f>
        <v>181.84907943028196</v>
      </c>
      <c r="T101" s="60">
        <f t="shared" si="88"/>
        <v>199.66849909069458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61.300619429883454</v>
      </c>
      <c r="AA101" s="23">
        <f>EXP(-LN(2)/25)*AA100+(1-EXP(-LN(2)/25))/(LN(2)/25)*Calculateur!V101*Calculateur!X101*VLOOKUP('Données projet'!$B$9,Paramètres!$A$1:$I$88,3,0)*0.475*44/12</f>
        <v>10.597472138930417</v>
      </c>
      <c r="AB101" s="23">
        <f>EXP(-LN(2)/2)*AB100+(1-EXP(-LN(2)/2))/(LN(2)/2)*V101*Y101*VLOOKUP('Données projet'!$B$9,Paramètres!$A$1:$I$88,3,0)*0.475*44/12</f>
        <v>4.5343627484132541E-5</v>
      </c>
      <c r="AC101" s="24">
        <f t="shared" si="57"/>
        <v>71.898136912441359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projet'!$B$10,Paramètres!$A$1:$I$88,3,0)*VLOOKUP('Données projet'!$B$10,Paramètres!$A$1:$I$88,5,0)</f>
        <v>0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55.581964048431473</v>
      </c>
      <c r="AO101" s="60">
        <f t="shared" si="90"/>
        <v>91.067506141193803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11.467647933247806</v>
      </c>
      <c r="AV101" s="23">
        <f>EXP(-LN(2)/25)*AV100+(1-EXP(-LN(2)/25))/(LN(2)/25)*Calculateur!AQ101*Calculateur!AS101*VLOOKUP('Données projet'!$B$10,Paramètres!$A$1:$I$88,3,0)*0.475*44/12</f>
        <v>0</v>
      </c>
      <c r="AW101" s="23">
        <f>EXP(-LN(2)/2)*AW100+(1-EXP(-LN(2)/2))/(LN(2)/2)*AQ101*AT101*VLOOKUP('Données projet'!$B$10,Paramètres!$A$1:$I$88,3,0)*0.475*44/12</f>
        <v>0</v>
      </c>
      <c r="AX101" s="23">
        <f t="shared" si="60"/>
        <v>11.467647933247806</v>
      </c>
      <c r="AY101" s="7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4.333333333333333</v>
      </c>
      <c r="BD101" s="13">
        <f>IF('Données projet'!$A$88&gt;35,BD100+BC101-BL100,IF(A101&lt;'Données projet'!$A$88,$BA$205^A101,IF(A101='Données projet'!$A$88,'Données projet'!$B$88,BD100+BC101-BL100)))</f>
        <v>180.66666666666691</v>
      </c>
      <c r="BE101" s="14">
        <f>BD101*VLOOKUP('Données projet'!$B$11,Paramètres!$A$1:$I$88,3,0)*VLOOKUP('Données projet'!$B$11,Paramètres!$A$1:$I$88,5,0)</f>
        <v>183.19600000000025</v>
      </c>
      <c r="BF101" s="14">
        <f t="shared" si="91"/>
        <v>46.03250731240194</v>
      </c>
      <c r="BG101" s="22">
        <f t="shared" si="61"/>
        <v>399.23965023576716</v>
      </c>
      <c r="BH101" s="60">
        <f t="shared" si="62"/>
        <v>692.57298356910042</v>
      </c>
      <c r="BI101" s="60">
        <f ca="1">AVERAGE(OFFSET($BH$3,0,0,'Données projet'!$E$11+1,1))-AVERAGE(OFFSET($H$3,0,0,'Données projet'!$E$11+1,1))</f>
        <v>178.29366134936788</v>
      </c>
      <c r="BJ101" s="60">
        <f t="shared" si="92"/>
        <v>85.818195717787148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9.6764345683117359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9.6764345683117359</v>
      </c>
      <c r="BT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>
        <f>BY101*VLOOKUP('Données projet'!$B$12,Paramètres!$A$1:$I$88,3,0)*VLOOKUP('Données projet'!$B$12,Paramètres!$A$1:$I$88,5,0)</f>
        <v>0</v>
      </c>
      <c r="CA101" s="14" t="e">
        <f t="shared" si="93"/>
        <v>#NUM!</v>
      </c>
      <c r="CB101" s="22" t="e">
        <f t="shared" si="64"/>
        <v>#NUM!</v>
      </c>
      <c r="CC101" s="60" t="e">
        <f t="shared" si="65"/>
        <v>#NUM!</v>
      </c>
      <c r="CD101" s="60">
        <f ca="1">AVERAGE(OFFSET($CC$3,0,0,'Données projet'!$E$12+1,1))-AVERAGE(OFFSET($H$3,0,0,'Données projet'!$E$12+1,1))</f>
        <v>104.00159056395933</v>
      </c>
      <c r="CE101" s="60">
        <f t="shared" si="94"/>
        <v>115.86489547584461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69.595980386162978</v>
      </c>
      <c r="CL101" s="23">
        <f>EXP(-LN(2)/25)*CL100+(1-EXP(-LN(2)/25))/(LN(2)/25)*Calculateur!CG101*Calculateur!CI101*VLOOKUP('Données projet'!$B$12,Paramètres!$A$1:$I$88,3,0)*0.475*44/12</f>
        <v>11.532720836419717</v>
      </c>
      <c r="CM101" s="23">
        <f>EXP(-LN(2)/2)*CM100+(1-EXP(-LN(2)/2))/(LN(2)/2)*CG101*CJ101*VLOOKUP('Données projet'!$B$12,Paramètres!$A$1:$I$88,3,0)*0.475*44/12</f>
        <v>1.1717605835560761E-3</v>
      </c>
      <c r="CN101" s="24">
        <f t="shared" si="66"/>
        <v>81.129872983166251</v>
      </c>
      <c r="CO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projet'!$B$13,Paramètres!$A$1:$I$88,3,0)*VLOOKUP('Données projet'!$B$13,Paramètres!$A$1:$I$88,5,0)</f>
        <v>#N/A</v>
      </c>
      <c r="CV101" s="14" t="e">
        <f t="shared" si="95"/>
        <v>#N/A</v>
      </c>
      <c r="CW101" s="22" t="e">
        <f t="shared" si="67"/>
        <v>#N/A</v>
      </c>
      <c r="CX101" s="60" t="e">
        <f t="shared" si="68"/>
        <v>#N/A</v>
      </c>
      <c r="CY101" s="60" t="e">
        <f ca="1">AVERAGE(OFFSET($CX$3,0,0,'Données projet'!$E$13+1,1))-AVERAGE(OFFSET($H$3,0,0,'Données projet'!$E$13+1,1))</f>
        <v>#N/A</v>
      </c>
      <c r="CZ101" s="60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projet'!$B$13,Paramètres!$A$1:$I$88,3,0)*0.475*44/12</f>
        <v>#N/A</v>
      </c>
      <c r="DG101" s="23" t="e">
        <f>EXP(-LN(2)/25)*DG100+(1-EXP(-LN(2)/25))/(LN(2)/25)*Calculateur!DB101*Calculateur!DD101*VLOOKUP('Données projet'!$B$13,Paramètres!$A$1:$I$88,3,0)*0.475*44/12</f>
        <v>#N/A</v>
      </c>
      <c r="DH101" s="23" t="e">
        <f>EXP(-LN(2)/2)*DH100+(1-EXP(-LN(2)/2))/(LN(2)/2)*DB101*DE101*VLOOKUP('Données projet'!$B$13,Paramètres!$A$1:$I$88,3,0)*0.475*44/12</f>
        <v>#N/A</v>
      </c>
      <c r="DI101" s="24" t="e">
        <f t="shared" si="69"/>
        <v>#N/A</v>
      </c>
      <c r="DJ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0" t="e">
        <f t="shared" si="71"/>
        <v>#N/A</v>
      </c>
      <c r="DT101" s="60" t="e">
        <f ca="1">AVERAGE(OFFSET($DS$3,0,0,'Données projet'!$E$14+1,1))-AVERAGE(OFFSET($H$3,0,0,'Données projet'!$E$14+1,1))</f>
        <v>#N/A</v>
      </c>
      <c r="DU101" s="60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4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88.030800000000141</v>
      </c>
      <c r="D102" s="12">
        <f t="shared" si="86"/>
        <v>24.089691614761293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4.5474735088646412E-13</v>
      </c>
      <c r="O102" s="14">
        <f>N102*VLOOKUP('Données projet'!$B$9,Paramètres!$A$1:$I$88,3,0)*VLOOKUP('Données projet'!$B$9,Paramètres!$A$1:$I$88,5,0)</f>
        <v>2.7193891583010558E-13</v>
      </c>
      <c r="P102" s="14">
        <f t="shared" si="87"/>
        <v>3.6362267729089988E-12</v>
      </c>
      <c r="Q102" s="22">
        <f t="shared" si="107"/>
        <v>6.8067219078872727E-12</v>
      </c>
      <c r="R102" s="60">
        <f t="shared" si="55"/>
        <v>293.33333333334014</v>
      </c>
      <c r="S102" s="60">
        <f ca="1">AVERAGE(OFFSET($R$3,0,0,'Données projet'!$E$9+1,1))-AVERAGE(OFFSET($H$3,0,0,'Données projet'!$E$9+1,1))</f>
        <v>181.84907943028196</v>
      </c>
      <c r="T102" s="60">
        <f t="shared" si="88"/>
        <v>199.66849909069458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60.09855167254937</v>
      </c>
      <c r="AA102" s="23">
        <f>EXP(-LN(2)/25)*AA101+(1-EXP(-LN(2)/25))/(LN(2)/25)*Calculateur!V102*Calculateur!X102*VLOOKUP('Données projet'!$B$9,Paramètres!$A$1:$I$88,3,0)*0.475*44/12</f>
        <v>10.307683705994526</v>
      </c>
      <c r="AB102" s="23">
        <f>EXP(-LN(2)/2)*AB101+(1-EXP(-LN(2)/2))/(LN(2)/2)*V102*Y102*VLOOKUP('Données projet'!$B$9,Paramètres!$A$1:$I$88,3,0)*0.475*44/12</f>
        <v>3.2062786477626831E-5</v>
      </c>
      <c r="AC102" s="24">
        <f t="shared" si="57"/>
        <v>70.406267441330371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projet'!$B$10,Paramètres!$A$1:$I$88,3,0)*VLOOKUP('Données projet'!$B$10,Paramètres!$A$1:$I$88,5,0)</f>
        <v>0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55.581964048431473</v>
      </c>
      <c r="AO102" s="60">
        <f t="shared" si="90"/>
        <v>91.067506141193803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11.242774351851399</v>
      </c>
      <c r="AV102" s="23">
        <f>EXP(-LN(2)/25)*AV101+(1-EXP(-LN(2)/25))/(LN(2)/25)*Calculateur!AQ102*Calculateur!AS102*VLOOKUP('Données projet'!$B$10,Paramètres!$A$1:$I$88,3,0)*0.475*44/12</f>
        <v>0</v>
      </c>
      <c r="AW102" s="23">
        <f>EXP(-LN(2)/2)*AW101+(1-EXP(-LN(2)/2))/(LN(2)/2)*AQ102*AT102*VLOOKUP('Données projet'!$B$10,Paramètres!$A$1:$I$88,3,0)*0.475*44/12</f>
        <v>0</v>
      </c>
      <c r="AX102" s="23">
        <f t="shared" si="60"/>
        <v>11.242774351851399</v>
      </c>
      <c r="AY102" s="7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>
        <f>VLOOKUP(A102,'Données projet'!$A$87:$I$107,2,0)</f>
        <v>185</v>
      </c>
      <c r="BB102" s="13">
        <f>VLOOKUP(A102,'Données projet'!$A$87:$I$107,9,0)</f>
        <v>4.333333333333333</v>
      </c>
      <c r="BC102" s="13">
        <f t="array" ref="BC102">INDEX(BB:BB,MIN(IF(ISNUMBER(BB102:BB298),ROW(BB102:BB298),"")))</f>
        <v>4.333333333333333</v>
      </c>
      <c r="BD102" s="13">
        <f>IF('Données projet'!$A$88&gt;35,BD101+BC102-BL101,IF(A102&lt;'Données projet'!$A$88,$BA$205^A102,IF(A102='Données projet'!$A$88,'Données projet'!$B$88,BD101+BC102-BL101)))</f>
        <v>185.00000000000026</v>
      </c>
      <c r="BE102" s="14">
        <f>BD102*VLOOKUP('Données projet'!$B$11,Paramètres!$A$1:$I$88,3,0)*VLOOKUP('Données projet'!$B$11,Paramètres!$A$1:$I$88,5,0)</f>
        <v>187.59000000000026</v>
      </c>
      <c r="BF102" s="14">
        <f t="shared" si="91"/>
        <v>47.006740863164055</v>
      </c>
      <c r="BG102" s="22">
        <f t="shared" si="61"/>
        <v>408.5893236700112</v>
      </c>
      <c r="BH102" s="60">
        <f t="shared" si="62"/>
        <v>701.92265700334451</v>
      </c>
      <c r="BI102" s="60">
        <f ca="1">AVERAGE(OFFSET($BH$3,0,0,'Données projet'!$E$11+1,1))-AVERAGE(OFFSET($H$3,0,0,'Données projet'!$E$11+1,1))</f>
        <v>178.29366134936788</v>
      </c>
      <c r="BJ102" s="60">
        <f t="shared" si="92"/>
        <v>85.818195717787148</v>
      </c>
      <c r="BK102" s="16">
        <f>IF(ISNA(VLOOKUP(A102,'Données projet'!$A$87:$I$107,3,0)),0,VLOOKUP(A102,'Données projet'!$A$87:$I$107,3,0))</f>
        <v>6</v>
      </c>
      <c r="BL102" s="16">
        <f>IF(ISNA(VLOOKUP(A102,'Données projet'!$A$87:$I$107,4,0)),0,VLOOKUP(A102,'Données projet'!$A$87:$I$107,4,0))</f>
        <v>26</v>
      </c>
      <c r="BM102" s="17">
        <f>IF(ISNA(VLOOKUP(A102,'Données projet'!$A$87:$I$107,5,0)),0%,VLOOKUP(A102,'Données projet'!$A$87:$I$107,5,0)*VLOOKUP('Données projet'!$B$11,Paramètres!$A$1:$I$88,7,0))</f>
        <v>0.17200000000000001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14.499560415262604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14.499560415262604</v>
      </c>
      <c r="BT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>
        <f>BY102*VLOOKUP('Données projet'!$B$12,Paramètres!$A$1:$I$88,3,0)*VLOOKUP('Données projet'!$B$12,Paramètres!$A$1:$I$88,5,0)</f>
        <v>0</v>
      </c>
      <c r="CA102" s="14" t="e">
        <f t="shared" si="93"/>
        <v>#NUM!</v>
      </c>
      <c r="CB102" s="22" t="e">
        <f t="shared" si="64"/>
        <v>#NUM!</v>
      </c>
      <c r="CC102" s="60" t="e">
        <f t="shared" si="65"/>
        <v>#NUM!</v>
      </c>
      <c r="CD102" s="60">
        <f ca="1">AVERAGE(OFFSET($CC$3,0,0,'Données projet'!$E$12+1,1))-AVERAGE(OFFSET($H$3,0,0,'Données projet'!$E$12+1,1))</f>
        <v>104.00159056395933</v>
      </c>
      <c r="CE102" s="60">
        <f t="shared" si="94"/>
        <v>115.86489547584461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68.231245660146826</v>
      </c>
      <c r="CL102" s="23">
        <f>EXP(-LN(2)/25)*CL101+(1-EXP(-LN(2)/25))/(LN(2)/25)*Calculateur!CG102*Calculateur!CI102*VLOOKUP('Données projet'!$B$12,Paramètres!$A$1:$I$88,3,0)*0.475*44/12</f>
        <v>11.217357978668389</v>
      </c>
      <c r="CM102" s="23">
        <f>EXP(-LN(2)/2)*CM101+(1-EXP(-LN(2)/2))/(LN(2)/2)*CG102*CJ102*VLOOKUP('Données projet'!$B$12,Paramètres!$A$1:$I$88,3,0)*0.475*44/12</f>
        <v>8.2855985455960752E-4</v>
      </c>
      <c r="CN102" s="24">
        <f t="shared" si="66"/>
        <v>79.449432198669768</v>
      </c>
      <c r="CO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projet'!$B$13,Paramètres!$A$1:$I$88,3,0)*VLOOKUP('Données projet'!$B$13,Paramètres!$A$1:$I$88,5,0)</f>
        <v>#N/A</v>
      </c>
      <c r="CV102" s="14" t="e">
        <f t="shared" si="95"/>
        <v>#N/A</v>
      </c>
      <c r="CW102" s="22" t="e">
        <f t="shared" si="67"/>
        <v>#N/A</v>
      </c>
      <c r="CX102" s="60" t="e">
        <f t="shared" si="68"/>
        <v>#N/A</v>
      </c>
      <c r="CY102" s="60" t="e">
        <f ca="1">AVERAGE(OFFSET($CX$3,0,0,'Données projet'!$E$13+1,1))-AVERAGE(OFFSET($H$3,0,0,'Données projet'!$E$13+1,1))</f>
        <v>#N/A</v>
      </c>
      <c r="CZ102" s="60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projet'!$B$13,Paramètres!$A$1:$I$88,3,0)*0.475*44/12</f>
        <v>#N/A</v>
      </c>
      <c r="DG102" s="23" t="e">
        <f>EXP(-LN(2)/25)*DG101+(1-EXP(-LN(2)/25))/(LN(2)/25)*Calculateur!DB102*Calculateur!DD102*VLOOKUP('Données projet'!$B$13,Paramètres!$A$1:$I$88,3,0)*0.475*44/12</f>
        <v>#N/A</v>
      </c>
      <c r="DH102" s="23" t="e">
        <f>EXP(-LN(2)/2)*DH101+(1-EXP(-LN(2)/2))/(LN(2)/2)*DB102*DE102*VLOOKUP('Données projet'!$B$13,Paramètres!$A$1:$I$88,3,0)*0.475*44/12</f>
        <v>#N/A</v>
      </c>
      <c r="DI102" s="24" t="e">
        <f t="shared" si="69"/>
        <v>#N/A</v>
      </c>
      <c r="DJ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0" t="e">
        <f t="shared" si="71"/>
        <v>#N/A</v>
      </c>
      <c r="DT102" s="60" t="e">
        <f ca="1">AVERAGE(OFFSET($DS$3,0,0,'Données projet'!$E$14+1,1))-AVERAGE(OFFSET($H$3,0,0,'Données projet'!$E$14+1,1))</f>
        <v>#N/A</v>
      </c>
      <c r="DU102" s="60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4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88.920000000000144</v>
      </c>
      <c r="D103" s="12">
        <f t="shared" si="86"/>
        <v>24.304572270466512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4.5474735088646412E-13</v>
      </c>
      <c r="O103" s="14">
        <f>N103*VLOOKUP('Données projet'!$B$9,Paramètres!$A$1:$I$88,3,0)*VLOOKUP('Données projet'!$B$9,Paramètres!$A$1:$I$88,5,0)</f>
        <v>2.7193891583010558E-13</v>
      </c>
      <c r="P103" s="14">
        <f t="shared" si="87"/>
        <v>3.6362267729089988E-12</v>
      </c>
      <c r="Q103" s="22">
        <f t="shared" si="107"/>
        <v>6.8067219078872727E-12</v>
      </c>
      <c r="R103" s="60">
        <f t="shared" si="55"/>
        <v>293.33333333334014</v>
      </c>
      <c r="S103" s="60">
        <f ca="1">AVERAGE(OFFSET($R$3,0,0,'Données projet'!$E$9+1,1))-AVERAGE(OFFSET($H$3,0,0,'Données projet'!$E$9+1,1))</f>
        <v>181.84907943028196</v>
      </c>
      <c r="T103" s="60">
        <f t="shared" si="88"/>
        <v>199.66849909069458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58.92005573074767</v>
      </c>
      <c r="AA103" s="23">
        <f>EXP(-LN(2)/25)*AA102+(1-EXP(-LN(2)/25))/(LN(2)/25)*Calculateur!V103*Calculateur!X103*VLOOKUP('Données projet'!$B$9,Paramètres!$A$1:$I$88,3,0)*0.475*44/12</f>
        <v>10.025819552996579</v>
      </c>
      <c r="AB103" s="23">
        <f>EXP(-LN(2)/2)*AB102+(1-EXP(-LN(2)/2))/(LN(2)/2)*V103*Y103*VLOOKUP('Données projet'!$B$9,Paramètres!$A$1:$I$88,3,0)*0.475*44/12</f>
        <v>2.2671813742066271E-5</v>
      </c>
      <c r="AC103" s="24">
        <f t="shared" si="57"/>
        <v>68.945897955557982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projet'!$B$10,Paramètres!$A$1:$I$88,3,0)*VLOOKUP('Données projet'!$B$10,Paramètres!$A$1:$I$88,5,0)</f>
        <v>0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55.581964048431473</v>
      </c>
      <c r="AO103" s="60">
        <f t="shared" si="90"/>
        <v>91.067506141193803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11.022310404226834</v>
      </c>
      <c r="AV103" s="23">
        <f>EXP(-LN(2)/25)*AV102+(1-EXP(-LN(2)/25))/(LN(2)/25)*Calculateur!AQ103*Calculateur!AS103*VLOOKUP('Données projet'!$B$10,Paramètres!$A$1:$I$88,3,0)*0.475*44/12</f>
        <v>0</v>
      </c>
      <c r="AW103" s="23">
        <f>EXP(-LN(2)/2)*AW102+(1-EXP(-LN(2)/2))/(LN(2)/2)*AQ103*AT103*VLOOKUP('Données projet'!$B$10,Paramètres!$A$1:$I$88,3,0)*0.475*44/12</f>
        <v>0</v>
      </c>
      <c r="AX103" s="23">
        <f t="shared" si="60"/>
        <v>11.022310404226834</v>
      </c>
      <c r="AY103" s="7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4.4444444444444446</v>
      </c>
      <c r="BD103" s="13">
        <f>IF('Données projet'!$A$88&gt;35,BD102+BC103-BL102,IF(A103&lt;'Données projet'!$A$88,$BA$205^A103,IF(A103='Données projet'!$A$88,'Données projet'!$B$88,BD102+BC103-BL102)))</f>
        <v>163.44444444444471</v>
      </c>
      <c r="BE103" s="14">
        <f>BD103*VLOOKUP('Données projet'!$B$11,Paramètres!$A$1:$I$88,3,0)*VLOOKUP('Données projet'!$B$11,Paramètres!$A$1:$I$88,5,0)</f>
        <v>165.73266666666694</v>
      </c>
      <c r="BF103" s="14">
        <f t="shared" si="91"/>
        <v>42.13287338106732</v>
      </c>
      <c r="BG103" s="22">
        <f t="shared" si="61"/>
        <v>362.03248224980388</v>
      </c>
      <c r="BH103" s="60">
        <f t="shared" si="62"/>
        <v>655.36581558313719</v>
      </c>
      <c r="BI103" s="60">
        <f ca="1">AVERAGE(OFFSET($BH$3,0,0,'Données projet'!$E$11+1,1))-AVERAGE(OFFSET($H$3,0,0,'Données projet'!$E$11+1,1))</f>
        <v>178.29366134936788</v>
      </c>
      <c r="BJ103" s="60">
        <f t="shared" si="92"/>
        <v>85.818195717787148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14.215232879377899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14.215232879377899</v>
      </c>
      <c r="BT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>
        <f>BY103*VLOOKUP('Données projet'!$B$12,Paramètres!$A$1:$I$88,3,0)*VLOOKUP('Données projet'!$B$12,Paramètres!$A$1:$I$88,5,0)</f>
        <v>0</v>
      </c>
      <c r="CA103" s="14" t="e">
        <f t="shared" si="93"/>
        <v>#NUM!</v>
      </c>
      <c r="CB103" s="22" t="e">
        <f t="shared" si="64"/>
        <v>#NUM!</v>
      </c>
      <c r="CC103" s="60" t="e">
        <f t="shared" si="65"/>
        <v>#NUM!</v>
      </c>
      <c r="CD103" s="60">
        <f ca="1">AVERAGE(OFFSET($CC$3,0,0,'Données projet'!$E$12+1,1))-AVERAGE(OFFSET($H$3,0,0,'Données projet'!$E$12+1,1))</f>
        <v>104.00159056395933</v>
      </c>
      <c r="CE103" s="60">
        <f t="shared" si="94"/>
        <v>115.86489547584461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66.893272549701862</v>
      </c>
      <c r="CL103" s="23">
        <f>EXP(-LN(2)/25)*CL102+(1-EXP(-LN(2)/25))/(LN(2)/25)*Calculateur!CG103*Calculateur!CI103*VLOOKUP('Données projet'!$B$12,Paramètres!$A$1:$I$88,3,0)*0.475*44/12</f>
        <v>10.910618734846484</v>
      </c>
      <c r="CM103" s="23">
        <f>EXP(-LN(2)/2)*CM102+(1-EXP(-LN(2)/2))/(LN(2)/2)*CG103*CJ103*VLOOKUP('Données projet'!$B$12,Paramètres!$A$1:$I$88,3,0)*0.475*44/12</f>
        <v>5.8588029177803803E-4</v>
      </c>
      <c r="CN103" s="24">
        <f t="shared" si="66"/>
        <v>77.804477164840122</v>
      </c>
      <c r="CO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projet'!$B$13,Paramètres!$A$1:$I$88,3,0)*VLOOKUP('Données projet'!$B$13,Paramètres!$A$1:$I$88,5,0)</f>
        <v>#N/A</v>
      </c>
      <c r="CV103" s="14" t="e">
        <f t="shared" si="95"/>
        <v>#N/A</v>
      </c>
      <c r="CW103" s="22" t="e">
        <f t="shared" si="67"/>
        <v>#N/A</v>
      </c>
      <c r="CX103" s="60" t="e">
        <f t="shared" si="68"/>
        <v>#N/A</v>
      </c>
      <c r="CY103" s="60" t="e">
        <f ca="1">AVERAGE(OFFSET($CX$3,0,0,'Données projet'!$E$13+1,1))-AVERAGE(OFFSET($H$3,0,0,'Données projet'!$E$13+1,1))</f>
        <v>#N/A</v>
      </c>
      <c r="CZ103" s="60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projet'!$B$13,Paramètres!$A$1:$I$88,3,0)*0.475*44/12</f>
        <v>#N/A</v>
      </c>
      <c r="DG103" s="23" t="e">
        <f>EXP(-LN(2)/25)*DG102+(1-EXP(-LN(2)/25))/(LN(2)/25)*Calculateur!DB103*Calculateur!DD103*VLOOKUP('Données projet'!$B$13,Paramètres!$A$1:$I$88,3,0)*0.475*44/12</f>
        <v>#N/A</v>
      </c>
      <c r="DH103" s="23" t="e">
        <f>EXP(-LN(2)/2)*DH102+(1-EXP(-LN(2)/2))/(LN(2)/2)*DB103*DE103*VLOOKUP('Données projet'!$B$13,Paramètres!$A$1:$I$88,3,0)*0.475*44/12</f>
        <v>#N/A</v>
      </c>
      <c r="DI103" s="24" t="e">
        <f t="shared" si="69"/>
        <v>#N/A</v>
      </c>
      <c r="DJ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0" t="e">
        <f t="shared" si="71"/>
        <v>#N/A</v>
      </c>
      <c r="DT103" s="60" t="e">
        <f ca="1">AVERAGE(OFFSET($DS$3,0,0,'Données projet'!$E$14+1,1))-AVERAGE(OFFSET($H$3,0,0,'Données projet'!$E$14+1,1))</f>
        <v>#N/A</v>
      </c>
      <c r="DU103" s="60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4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89.809200000000146</v>
      </c>
      <c r="D104" s="12">
        <f t="shared" si="86"/>
        <v>24.519202946196138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4.5474735088646412E-13</v>
      </c>
      <c r="O104" s="14">
        <f>N104*VLOOKUP('Données projet'!$B$9,Paramètres!$A$1:$I$88,3,0)*VLOOKUP('Données projet'!$B$9,Paramètres!$A$1:$I$88,5,0)</f>
        <v>2.7193891583010558E-13</v>
      </c>
      <c r="P104" s="14">
        <f t="shared" si="87"/>
        <v>3.6362267729089988E-12</v>
      </c>
      <c r="Q104" s="22">
        <f t="shared" si="107"/>
        <v>6.8067219078872727E-12</v>
      </c>
      <c r="R104" s="60">
        <f t="shared" si="55"/>
        <v>293.33333333334014</v>
      </c>
      <c r="S104" s="60">
        <f ca="1">AVERAGE(OFFSET($R$3,0,0,'Données projet'!$E$9+1,1))-AVERAGE(OFFSET($H$3,0,0,'Données projet'!$E$9+1,1))</f>
        <v>181.84907943028196</v>
      </c>
      <c r="T104" s="60">
        <f t="shared" si="88"/>
        <v>199.66849909069458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57.764669375553154</v>
      </c>
      <c r="AA104" s="23">
        <f>EXP(-LN(2)/25)*AA103+(1-EXP(-LN(2)/25))/(LN(2)/25)*Calculateur!V104*Calculateur!X104*VLOOKUP('Données projet'!$B$9,Paramètres!$A$1:$I$88,3,0)*0.475*44/12</f>
        <v>9.7516629900849505</v>
      </c>
      <c r="AB104" s="23">
        <f>EXP(-LN(2)/2)*AB103+(1-EXP(-LN(2)/2))/(LN(2)/2)*V104*Y104*VLOOKUP('Données projet'!$B$9,Paramètres!$A$1:$I$88,3,0)*0.475*44/12</f>
        <v>1.6031393238813416E-5</v>
      </c>
      <c r="AC104" s="24">
        <f t="shared" si="57"/>
        <v>67.516348397031351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projet'!$B$10,Paramètres!$A$1:$I$88,3,0)*VLOOKUP('Données projet'!$B$10,Paramètres!$A$1:$I$88,5,0)</f>
        <v>0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55.581964048431473</v>
      </c>
      <c r="AO104" s="60">
        <f t="shared" si="90"/>
        <v>91.067506141193803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10.806169620145457</v>
      </c>
      <c r="AV104" s="23">
        <f>EXP(-LN(2)/25)*AV103+(1-EXP(-LN(2)/25))/(LN(2)/25)*Calculateur!AQ104*Calculateur!AS104*VLOOKUP('Données projet'!$B$10,Paramètres!$A$1:$I$88,3,0)*0.475*44/12</f>
        <v>0</v>
      </c>
      <c r="AW104" s="23">
        <f>EXP(-LN(2)/2)*AW103+(1-EXP(-LN(2)/2))/(LN(2)/2)*AQ104*AT104*VLOOKUP('Données projet'!$B$10,Paramètres!$A$1:$I$88,3,0)*0.475*44/12</f>
        <v>0</v>
      </c>
      <c r="AX104" s="23">
        <f t="shared" si="60"/>
        <v>10.806169620145457</v>
      </c>
      <c r="AY104" s="7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4.4444444444444446</v>
      </c>
      <c r="BD104" s="13">
        <f>IF('Données projet'!$A$88&gt;35,BD103+BC104-BL103,IF(A104&lt;'Données projet'!$A$88,$BA$205^A104,IF(A104='Données projet'!$A$88,'Données projet'!$B$88,BD103+BC104-BL103)))</f>
        <v>167.88888888888917</v>
      </c>
      <c r="BE104" s="14">
        <f>BD104*VLOOKUP('Données projet'!$B$11,Paramètres!$A$1:$I$88,3,0)*VLOOKUP('Données projet'!$B$11,Paramètres!$A$1:$I$88,5,0)</f>
        <v>170.23933333333363</v>
      </c>
      <c r="BF104" s="14">
        <f t="shared" si="91"/>
        <v>43.143621900683478</v>
      </c>
      <c r="BG104" s="22">
        <f t="shared" si="61"/>
        <v>371.64198036591318</v>
      </c>
      <c r="BH104" s="60">
        <f t="shared" si="62"/>
        <v>664.9753136992465</v>
      </c>
      <c r="BI104" s="60">
        <f ca="1">AVERAGE(OFFSET($BH$3,0,0,'Données projet'!$E$11+1,1))-AVERAGE(OFFSET($H$3,0,0,'Données projet'!$E$11+1,1))</f>
        <v>178.29366134936788</v>
      </c>
      <c r="BJ104" s="60">
        <f t="shared" si="92"/>
        <v>85.818195717787148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13.93648083304922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13.93648083304922</v>
      </c>
      <c r="BT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projet'!$B$12,Paramètres!$A$1:$I$88,3,0)*VLOOKUP('Données projet'!$B$12,Paramètres!$A$1:$I$88,5,0)</f>
        <v>0</v>
      </c>
      <c r="CA104" s="14" t="e">
        <f t="shared" si="93"/>
        <v>#NUM!</v>
      </c>
      <c r="CB104" s="22" t="e">
        <f t="shared" si="64"/>
        <v>#NUM!</v>
      </c>
      <c r="CC104" s="60" t="e">
        <f t="shared" si="65"/>
        <v>#NUM!</v>
      </c>
      <c r="CD104" s="60">
        <f ca="1">AVERAGE(OFFSET($CC$3,0,0,'Données projet'!$E$12+1,1))-AVERAGE(OFFSET($H$3,0,0,'Données projet'!$E$12+1,1))</f>
        <v>104.00159056395933</v>
      </c>
      <c r="CE104" s="60">
        <f t="shared" si="94"/>
        <v>115.86489547584461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65.581536275869709</v>
      </c>
      <c r="CL104" s="23">
        <f>EXP(-LN(2)/25)*CL103+(1-EXP(-LN(2)/25))/(LN(2)/25)*Calculateur!CG104*Calculateur!CI104*VLOOKUP('Données projet'!$B$12,Paramètres!$A$1:$I$88,3,0)*0.475*44/12</f>
        <v>10.612267291777604</v>
      </c>
      <c r="CM104" s="23">
        <f>EXP(-LN(2)/2)*CM103+(1-EXP(-LN(2)/2))/(LN(2)/2)*CG104*CJ104*VLOOKUP('Données projet'!$B$12,Paramètres!$A$1:$I$88,3,0)*0.475*44/12</f>
        <v>4.1427992727980376E-4</v>
      </c>
      <c r="CN104" s="24">
        <f t="shared" si="66"/>
        <v>76.194217847574592</v>
      </c>
      <c r="CO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projet'!$B$13,Paramètres!$A$1:$I$88,3,0)*VLOOKUP('Données projet'!$B$13,Paramètres!$A$1:$I$88,5,0)</f>
        <v>#N/A</v>
      </c>
      <c r="CV104" s="14" t="e">
        <f t="shared" si="95"/>
        <v>#N/A</v>
      </c>
      <c r="CW104" s="22" t="e">
        <f t="shared" si="67"/>
        <v>#N/A</v>
      </c>
      <c r="CX104" s="60" t="e">
        <f t="shared" si="68"/>
        <v>#N/A</v>
      </c>
      <c r="CY104" s="60" t="e">
        <f ca="1">AVERAGE(OFFSET($CX$3,0,0,'Données projet'!$E$13+1,1))-AVERAGE(OFFSET($H$3,0,0,'Données projet'!$E$13+1,1))</f>
        <v>#N/A</v>
      </c>
      <c r="CZ104" s="60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projet'!$B$13,Paramètres!$A$1:$I$88,3,0)*0.475*44/12</f>
        <v>#N/A</v>
      </c>
      <c r="DG104" s="23" t="e">
        <f>EXP(-LN(2)/25)*DG103+(1-EXP(-LN(2)/25))/(LN(2)/25)*Calculateur!DB104*Calculateur!DD104*VLOOKUP('Données projet'!$B$13,Paramètres!$A$1:$I$88,3,0)*0.475*44/12</f>
        <v>#N/A</v>
      </c>
      <c r="DH104" s="23" t="e">
        <f>EXP(-LN(2)/2)*DH103+(1-EXP(-LN(2)/2))/(LN(2)/2)*DB104*DE104*VLOOKUP('Données projet'!$B$13,Paramètres!$A$1:$I$88,3,0)*0.475*44/12</f>
        <v>#N/A</v>
      </c>
      <c r="DI104" s="24" t="e">
        <f t="shared" si="69"/>
        <v>#N/A</v>
      </c>
      <c r="DJ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0" t="e">
        <f t="shared" si="71"/>
        <v>#N/A</v>
      </c>
      <c r="DT104" s="60" t="e">
        <f ca="1">AVERAGE(OFFSET($DS$3,0,0,'Données projet'!$E$14+1,1))-AVERAGE(OFFSET($H$3,0,0,'Données projet'!$E$14+1,1))</f>
        <v>#N/A</v>
      </c>
      <c r="DU104" s="60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4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90.698400000000149</v>
      </c>
      <c r="D105" s="12">
        <f t="shared" si="86"/>
        <v>24.733586403594217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4.5474735088646412E-13</v>
      </c>
      <c r="O105" s="14">
        <f>N105*VLOOKUP('Données projet'!$B$9,Paramètres!$A$1:$I$88,3,0)*VLOOKUP('Données projet'!$B$9,Paramètres!$A$1:$I$88,5,0)</f>
        <v>2.7193891583010558E-13</v>
      </c>
      <c r="P105" s="14">
        <f t="shared" si="87"/>
        <v>3.6362267729089988E-12</v>
      </c>
      <c r="Q105" s="22">
        <f t="shared" si="107"/>
        <v>6.8067219078872727E-12</v>
      </c>
      <c r="R105" s="60">
        <f t="shared" si="55"/>
        <v>293.33333333334014</v>
      </c>
      <c r="S105" s="60">
        <f ca="1">AVERAGE(OFFSET($R$3,0,0,'Données projet'!$E$9+1,1))-AVERAGE(OFFSET($H$3,0,0,'Données projet'!$E$9+1,1))</f>
        <v>181.84907943028196</v>
      </c>
      <c r="T105" s="60">
        <f t="shared" si="88"/>
        <v>199.66849909069458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56.63193944206791</v>
      </c>
      <c r="AA105" s="23">
        <f>EXP(-LN(2)/25)*AA104+(1-EXP(-LN(2)/25))/(LN(2)/25)*Calculateur!V105*Calculateur!X105*VLOOKUP('Données projet'!$B$9,Paramètres!$A$1:$I$88,3,0)*0.475*44/12</f>
        <v>9.4850032528034092</v>
      </c>
      <c r="AB105" s="23">
        <f>EXP(-LN(2)/2)*AB104+(1-EXP(-LN(2)/2))/(LN(2)/2)*V105*Y105*VLOOKUP('Données projet'!$B$9,Paramètres!$A$1:$I$88,3,0)*0.475*44/12</f>
        <v>1.1335906871033135E-5</v>
      </c>
      <c r="AC105" s="24">
        <f t="shared" si="57"/>
        <v>66.116954030778189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projet'!$B$10,Paramètres!$A$1:$I$88,3,0)*VLOOKUP('Données projet'!$B$10,Paramètres!$A$1:$I$88,5,0)</f>
        <v>0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55.581964048431473</v>
      </c>
      <c r="AO105" s="60">
        <f t="shared" si="90"/>
        <v>91.067506141193803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10.594267225007055</v>
      </c>
      <c r="AV105" s="23">
        <f>EXP(-LN(2)/25)*AV104+(1-EXP(-LN(2)/25))/(LN(2)/25)*Calculateur!AQ105*Calculateur!AS105*VLOOKUP('Données projet'!$B$10,Paramètres!$A$1:$I$88,3,0)*0.475*44/12</f>
        <v>0</v>
      </c>
      <c r="AW105" s="23">
        <f>EXP(-LN(2)/2)*AW104+(1-EXP(-LN(2)/2))/(LN(2)/2)*AQ105*AT105*VLOOKUP('Données projet'!$B$10,Paramètres!$A$1:$I$88,3,0)*0.475*44/12</f>
        <v>0</v>
      </c>
      <c r="AX105" s="23">
        <f t="shared" si="60"/>
        <v>10.594267225007055</v>
      </c>
      <c r="AY105" s="7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4.4444444444444446</v>
      </c>
      <c r="BD105" s="13">
        <f>IF('Données projet'!$A$88&gt;35,BD104+BC105-BL104,IF(A105&lt;'Données projet'!$A$88,$BA$205^A105,IF(A105='Données projet'!$A$88,'Données projet'!$B$88,BD104+BC105-BL104)))</f>
        <v>172.33333333333363</v>
      </c>
      <c r="BE105" s="14">
        <f>BD105*VLOOKUP('Données projet'!$B$11,Paramètres!$A$1:$I$88,3,0)*VLOOKUP('Données projet'!$B$11,Paramètres!$A$1:$I$88,5,0)</f>
        <v>174.74600000000032</v>
      </c>
      <c r="BF105" s="14">
        <f t="shared" si="91"/>
        <v>44.151260306486733</v>
      </c>
      <c r="BG105" s="22">
        <f t="shared" si="61"/>
        <v>381.24606170046491</v>
      </c>
      <c r="BH105" s="60">
        <f t="shared" si="62"/>
        <v>674.57939503379816</v>
      </c>
      <c r="BI105" s="60">
        <f ca="1">AVERAGE(OFFSET($BH$3,0,0,'Données projet'!$E$11+1,1))-AVERAGE(OFFSET($H$3,0,0,'Données projet'!$E$11+1,1))</f>
        <v>178.29366134936788</v>
      </c>
      <c r="BJ105" s="60">
        <f t="shared" si="92"/>
        <v>85.818195717787148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13.663194944327087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13.663194944327087</v>
      </c>
      <c r="BT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projet'!$B$12,Paramètres!$A$1:$I$88,3,0)*VLOOKUP('Données projet'!$B$12,Paramètres!$A$1:$I$88,5,0)</f>
        <v>0</v>
      </c>
      <c r="CA105" s="14" t="e">
        <f t="shared" si="93"/>
        <v>#NUM!</v>
      </c>
      <c r="CB105" s="22" t="e">
        <f t="shared" si="64"/>
        <v>#NUM!</v>
      </c>
      <c r="CC105" s="60" t="e">
        <f t="shared" si="65"/>
        <v>#NUM!</v>
      </c>
      <c r="CD105" s="60">
        <f ca="1">AVERAGE(OFFSET($CC$3,0,0,'Données projet'!$E$12+1,1))-AVERAGE(OFFSET($H$3,0,0,'Données projet'!$E$12+1,1))</f>
        <v>104.00159056395933</v>
      </c>
      <c r="CE105" s="60">
        <f t="shared" si="94"/>
        <v>115.86489547584461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64.295522350287285</v>
      </c>
      <c r="CL105" s="23">
        <f>EXP(-LN(2)/25)*CL104+(1-EXP(-LN(2)/25))/(LN(2)/25)*Calculateur!CG105*Calculateur!CI105*VLOOKUP('Données projet'!$B$12,Paramètres!$A$1:$I$88,3,0)*0.475*44/12</f>
        <v>10.322074284609064</v>
      </c>
      <c r="CM105" s="23">
        <f>EXP(-LN(2)/2)*CM104+(1-EXP(-LN(2)/2))/(LN(2)/2)*CG105*CJ105*VLOOKUP('Données projet'!$B$12,Paramètres!$A$1:$I$88,3,0)*0.475*44/12</f>
        <v>2.9294014588901902E-4</v>
      </c>
      <c r="CN105" s="24">
        <f t="shared" si="66"/>
        <v>74.617889575042227</v>
      </c>
      <c r="CO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projet'!$B$13,Paramètres!$A$1:$I$88,3,0)*VLOOKUP('Données projet'!$B$13,Paramètres!$A$1:$I$88,5,0)</f>
        <v>#N/A</v>
      </c>
      <c r="CV105" s="14" t="e">
        <f t="shared" si="95"/>
        <v>#N/A</v>
      </c>
      <c r="CW105" s="22" t="e">
        <f t="shared" si="67"/>
        <v>#N/A</v>
      </c>
      <c r="CX105" s="60" t="e">
        <f t="shared" si="68"/>
        <v>#N/A</v>
      </c>
      <c r="CY105" s="60" t="e">
        <f ca="1">AVERAGE(OFFSET($CX$3,0,0,'Données projet'!$E$13+1,1))-AVERAGE(OFFSET($H$3,0,0,'Données projet'!$E$13+1,1))</f>
        <v>#N/A</v>
      </c>
      <c r="CZ105" s="60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projet'!$B$13,Paramètres!$A$1:$I$88,3,0)*0.475*44/12</f>
        <v>#N/A</v>
      </c>
      <c r="DG105" s="23" t="e">
        <f>EXP(-LN(2)/25)*DG104+(1-EXP(-LN(2)/25))/(LN(2)/25)*Calculateur!DB105*Calculateur!DD105*VLOOKUP('Données projet'!$B$13,Paramètres!$A$1:$I$88,3,0)*0.475*44/12</f>
        <v>#N/A</v>
      </c>
      <c r="DH105" s="23" t="e">
        <f>EXP(-LN(2)/2)*DH104+(1-EXP(-LN(2)/2))/(LN(2)/2)*DB105*DE105*VLOOKUP('Données projet'!$B$13,Paramètres!$A$1:$I$88,3,0)*0.475*44/12</f>
        <v>#N/A</v>
      </c>
      <c r="DI105" s="24" t="e">
        <f t="shared" si="69"/>
        <v>#N/A</v>
      </c>
      <c r="DJ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0" t="e">
        <f t="shared" si="71"/>
        <v>#N/A</v>
      </c>
      <c r="DT105" s="60" t="e">
        <f ca="1">AVERAGE(OFFSET($DS$3,0,0,'Données projet'!$E$14+1,1))-AVERAGE(OFFSET($H$3,0,0,'Données projet'!$E$14+1,1))</f>
        <v>#N/A</v>
      </c>
      <c r="DU105" s="60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4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91.587600000000151</v>
      </c>
      <c r="D106" s="12">
        <f t="shared" si="86"/>
        <v>24.947725347033305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4.5474735088646412E-13</v>
      </c>
      <c r="O106" s="14">
        <f>N106*VLOOKUP('Données projet'!$B$9,Paramètres!$A$1:$I$88,3,0)*VLOOKUP('Données projet'!$B$9,Paramètres!$A$1:$I$88,5,0)</f>
        <v>2.7193891583010558E-13</v>
      </c>
      <c r="P106" s="14">
        <f t="shared" si="87"/>
        <v>3.6362267729089988E-12</v>
      </c>
      <c r="Q106" s="22">
        <f t="shared" si="107"/>
        <v>6.8067219078872727E-12</v>
      </c>
      <c r="R106" s="60">
        <f t="shared" si="55"/>
        <v>293.33333333334014</v>
      </c>
      <c r="S106" s="60">
        <f ca="1">AVERAGE(OFFSET($R$3,0,0,'Données projet'!$E$9+1,1))-AVERAGE(OFFSET($H$3,0,0,'Données projet'!$E$9+1,1))</f>
        <v>181.84907943028196</v>
      </c>
      <c r="T106" s="60">
        <f t="shared" si="88"/>
        <v>199.66849909069458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55.521421651681273</v>
      </c>
      <c r="AA106" s="23">
        <f>EXP(-LN(2)/25)*AA105+(1-EXP(-LN(2)/25))/(LN(2)/25)*Calculateur!V106*Calculateur!X106*VLOOKUP('Données projet'!$B$9,Paramètres!$A$1:$I$88,3,0)*0.475*44/12</f>
        <v>9.2256353400608564</v>
      </c>
      <c r="AB106" s="23">
        <f>EXP(-LN(2)/2)*AB105+(1-EXP(-LN(2)/2))/(LN(2)/2)*V106*Y106*VLOOKUP('Données projet'!$B$9,Paramètres!$A$1:$I$88,3,0)*0.475*44/12</f>
        <v>8.0156966194067078E-6</v>
      </c>
      <c r="AC106" s="24">
        <f t="shared" si="57"/>
        <v>64.747065007438749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projet'!$B$10,Paramètres!$A$1:$I$88,3,0)*VLOOKUP('Données projet'!$B$10,Paramètres!$A$1:$I$88,5,0)</f>
        <v>0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55.581964048431473</v>
      </c>
      <c r="AO106" s="60">
        <f t="shared" si="90"/>
        <v>91.067506141193803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10.386520106589618</v>
      </c>
      <c r="AV106" s="23">
        <f>EXP(-LN(2)/25)*AV105+(1-EXP(-LN(2)/25))/(LN(2)/25)*Calculateur!AQ106*Calculateur!AS106*VLOOKUP('Données projet'!$B$10,Paramètres!$A$1:$I$88,3,0)*0.475*44/12</f>
        <v>0</v>
      </c>
      <c r="AW106" s="23">
        <f>EXP(-LN(2)/2)*AW105+(1-EXP(-LN(2)/2))/(LN(2)/2)*AQ106*AT106*VLOOKUP('Données projet'!$B$10,Paramètres!$A$1:$I$88,3,0)*0.475*44/12</f>
        <v>0</v>
      </c>
      <c r="AX106" s="23">
        <f t="shared" si="60"/>
        <v>10.386520106589618</v>
      </c>
      <c r="AY106" s="7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4.4444444444444446</v>
      </c>
      <c r="BD106" s="13">
        <f>IF('Données projet'!$A$88&gt;35,BD105+BC106-BL105,IF(A106&lt;'Données projet'!$A$88,$BA$205^A106,IF(A106='Données projet'!$A$88,'Données projet'!$B$88,BD105+BC106-BL105)))</f>
        <v>176.77777777777808</v>
      </c>
      <c r="BE106" s="14">
        <f>BD106*VLOOKUP('Données projet'!$B$11,Paramètres!$A$1:$I$88,3,0)*VLOOKUP('Données projet'!$B$11,Paramètres!$A$1:$I$88,5,0)</f>
        <v>179.25266666666701</v>
      </c>
      <c r="BF106" s="14">
        <f t="shared" si="91"/>
        <v>45.155878029880483</v>
      </c>
      <c r="BG106" s="22">
        <f t="shared" si="61"/>
        <v>390.84488201315349</v>
      </c>
      <c r="BH106" s="60">
        <f t="shared" si="62"/>
        <v>684.17821534648681</v>
      </c>
      <c r="BI106" s="60">
        <f ca="1">AVERAGE(OFFSET($BH$3,0,0,'Données projet'!$E$11+1,1))-AVERAGE(OFFSET($H$3,0,0,'Données projet'!$E$11+1,1))</f>
        <v>178.29366134936788</v>
      </c>
      <c r="BJ106" s="60">
        <f t="shared" si="92"/>
        <v>85.818195717787148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13.395268025194861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13.395268025194861</v>
      </c>
      <c r="BT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projet'!$B$12,Paramètres!$A$1:$I$88,3,0)*VLOOKUP('Données projet'!$B$12,Paramètres!$A$1:$I$88,5,0)</f>
        <v>0</v>
      </c>
      <c r="CA106" s="14" t="e">
        <f t="shared" si="93"/>
        <v>#NUM!</v>
      </c>
      <c r="CB106" s="22" t="e">
        <f t="shared" si="64"/>
        <v>#NUM!</v>
      </c>
      <c r="CC106" s="60" t="e">
        <f t="shared" si="65"/>
        <v>#NUM!</v>
      </c>
      <c r="CD106" s="60">
        <f ca="1">AVERAGE(OFFSET($CC$3,0,0,'Données projet'!$E$12+1,1))-AVERAGE(OFFSET($H$3,0,0,'Données projet'!$E$12+1,1))</f>
        <v>104.00159056395933</v>
      </c>
      <c r="CE106" s="60">
        <f t="shared" si="94"/>
        <v>115.86489547584461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63.034726373394491</v>
      </c>
      <c r="CL106" s="23">
        <f>EXP(-LN(2)/25)*CL105+(1-EXP(-LN(2)/25))/(LN(2)/25)*Calculateur!CG106*Calculateur!CI106*VLOOKUP('Données projet'!$B$12,Paramètres!$A$1:$I$88,3,0)*0.475*44/12</f>
        <v>10.039816620482133</v>
      </c>
      <c r="CM106" s="23">
        <f>EXP(-LN(2)/2)*CM105+(1-EXP(-LN(2)/2))/(LN(2)/2)*CG106*CJ106*VLOOKUP('Données projet'!$B$12,Paramètres!$A$1:$I$88,3,0)*0.475*44/12</f>
        <v>2.0713996363990188E-4</v>
      </c>
      <c r="CN106" s="24">
        <f t="shared" si="66"/>
        <v>73.074750133840254</v>
      </c>
      <c r="CO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projet'!$B$13,Paramètres!$A$1:$I$88,3,0)*VLOOKUP('Données projet'!$B$13,Paramètres!$A$1:$I$88,5,0)</f>
        <v>#N/A</v>
      </c>
      <c r="CV106" s="14" t="e">
        <f t="shared" si="95"/>
        <v>#N/A</v>
      </c>
      <c r="CW106" s="22" t="e">
        <f t="shared" si="67"/>
        <v>#N/A</v>
      </c>
      <c r="CX106" s="60" t="e">
        <f t="shared" si="68"/>
        <v>#N/A</v>
      </c>
      <c r="CY106" s="60" t="e">
        <f ca="1">AVERAGE(OFFSET($CX$3,0,0,'Données projet'!$E$13+1,1))-AVERAGE(OFFSET($H$3,0,0,'Données projet'!$E$13+1,1))</f>
        <v>#N/A</v>
      </c>
      <c r="CZ106" s="60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projet'!$B$13,Paramètres!$A$1:$I$88,3,0)*0.475*44/12</f>
        <v>#N/A</v>
      </c>
      <c r="DG106" s="23" t="e">
        <f>EXP(-LN(2)/25)*DG105+(1-EXP(-LN(2)/25))/(LN(2)/25)*Calculateur!DB106*Calculateur!DD106*VLOOKUP('Données projet'!$B$13,Paramètres!$A$1:$I$88,3,0)*0.475*44/12</f>
        <v>#N/A</v>
      </c>
      <c r="DH106" s="23" t="e">
        <f>EXP(-LN(2)/2)*DH105+(1-EXP(-LN(2)/2))/(LN(2)/2)*DB106*DE106*VLOOKUP('Données projet'!$B$13,Paramètres!$A$1:$I$88,3,0)*0.475*44/12</f>
        <v>#N/A</v>
      </c>
      <c r="DI106" s="24" t="e">
        <f t="shared" si="69"/>
        <v>#N/A</v>
      </c>
      <c r="DJ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0" t="e">
        <f t="shared" si="71"/>
        <v>#N/A</v>
      </c>
      <c r="DT106" s="60" t="e">
        <f ca="1">AVERAGE(OFFSET($DS$3,0,0,'Données projet'!$E$14+1,1))-AVERAGE(OFFSET($H$3,0,0,'Données projet'!$E$14+1,1))</f>
        <v>#N/A</v>
      </c>
      <c r="DU106" s="60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4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92.476800000000154</v>
      </c>
      <c r="D107" s="12">
        <f t="shared" si="86"/>
        <v>25.161622425346469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4.5474735088646412E-13</v>
      </c>
      <c r="O107" s="14">
        <f>N107*VLOOKUP('Données projet'!$B$9,Paramètres!$A$1:$I$88,3,0)*VLOOKUP('Données projet'!$B$9,Paramètres!$A$1:$I$88,5,0)</f>
        <v>2.7193891583010558E-13</v>
      </c>
      <c r="P107" s="14">
        <f t="shared" si="87"/>
        <v>3.6362267729089988E-12</v>
      </c>
      <c r="Q107" s="22">
        <f t="shared" si="107"/>
        <v>6.8067219078872727E-12</v>
      </c>
      <c r="R107" s="60">
        <f t="shared" si="55"/>
        <v>293.33333333334014</v>
      </c>
      <c r="S107" s="60">
        <f ca="1">AVERAGE(OFFSET($R$3,0,0,'Données projet'!$E$9+1,1))-AVERAGE(OFFSET($H$3,0,0,'Données projet'!$E$9+1,1))</f>
        <v>181.84907943028196</v>
      </c>
      <c r="T107" s="60">
        <f t="shared" si="88"/>
        <v>199.66849909069458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54.432680437815144</v>
      </c>
      <c r="AA107" s="23">
        <f>EXP(-LN(2)/25)*AA106+(1-EXP(-LN(2)/25))/(LN(2)/25)*Calculateur!V107*Calculateur!X107*VLOOKUP('Données projet'!$B$9,Paramètres!$A$1:$I$88,3,0)*0.475*44/12</f>
        <v>8.9733598565318147</v>
      </c>
      <c r="AB107" s="23">
        <f>EXP(-LN(2)/2)*AB106+(1-EXP(-LN(2)/2))/(LN(2)/2)*V107*Y107*VLOOKUP('Données projet'!$B$9,Paramètres!$A$1:$I$88,3,0)*0.475*44/12</f>
        <v>5.6679534355165676E-6</v>
      </c>
      <c r="AC107" s="24">
        <f t="shared" si="57"/>
        <v>63.406045962300396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projet'!$B$10,Paramètres!$A$1:$I$88,3,0)*VLOOKUP('Données projet'!$B$10,Paramètres!$A$1:$I$88,5,0)</f>
        <v>0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55.581964048431473</v>
      </c>
      <c r="AO107" s="60">
        <f t="shared" si="90"/>
        <v>91.067506141193803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10.182846782451117</v>
      </c>
      <c r="AV107" s="23">
        <f>EXP(-LN(2)/25)*AV106+(1-EXP(-LN(2)/25))/(LN(2)/25)*Calculateur!AQ107*Calculateur!AS107*VLOOKUP('Données projet'!$B$10,Paramètres!$A$1:$I$88,3,0)*0.475*44/12</f>
        <v>0</v>
      </c>
      <c r="AW107" s="23">
        <f>EXP(-LN(2)/2)*AW106+(1-EXP(-LN(2)/2))/(LN(2)/2)*AQ107*AT107*VLOOKUP('Données projet'!$B$10,Paramètres!$A$1:$I$88,3,0)*0.475*44/12</f>
        <v>0</v>
      </c>
      <c r="AX107" s="23">
        <f t="shared" si="60"/>
        <v>10.182846782451117</v>
      </c>
      <c r="AY107" s="7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4.4444444444444446</v>
      </c>
      <c r="BD107" s="13">
        <f>IF('Données projet'!$A$88&gt;35,BD106+BC107-BL106,IF(A107&lt;'Données projet'!$A$88,$BA$205^A107,IF(A107='Données projet'!$A$88,'Données projet'!$B$88,BD106+BC107-BL106)))</f>
        <v>181.22222222222254</v>
      </c>
      <c r="BE107" s="14">
        <f>BD107*VLOOKUP('Données projet'!$B$11,Paramètres!$A$1:$I$88,3,0)*VLOOKUP('Données projet'!$B$11,Paramètres!$A$1:$I$88,5,0)</f>
        <v>183.75933333333367</v>
      </c>
      <c r="BF107" s="14">
        <f t="shared" si="91"/>
        <v>46.157559749131771</v>
      </c>
      <c r="BG107" s="22">
        <f t="shared" si="61"/>
        <v>400.43858878529392</v>
      </c>
      <c r="BH107" s="60">
        <f t="shared" si="62"/>
        <v>693.77192211862723</v>
      </c>
      <c r="BI107" s="60">
        <f ca="1">AVERAGE(OFFSET($BH$3,0,0,'Données projet'!$E$11+1,1))-AVERAGE(OFFSET($H$3,0,0,'Données projet'!$E$11+1,1))</f>
        <v>178.29366134936788</v>
      </c>
      <c r="BJ107" s="60">
        <f t="shared" si="92"/>
        <v>85.818195717787148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13.132594989527535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13.132594989527535</v>
      </c>
      <c r="BT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projet'!$B$12,Paramètres!$A$1:$I$88,3,0)*VLOOKUP('Données projet'!$B$12,Paramètres!$A$1:$I$88,5,0)</f>
        <v>0</v>
      </c>
      <c r="CA107" s="14" t="e">
        <f t="shared" si="93"/>
        <v>#NUM!</v>
      </c>
      <c r="CB107" s="22" t="e">
        <f t="shared" si="64"/>
        <v>#NUM!</v>
      </c>
      <c r="CC107" s="60" t="e">
        <f t="shared" si="65"/>
        <v>#NUM!</v>
      </c>
      <c r="CD107" s="60">
        <f ca="1">AVERAGE(OFFSET($CC$3,0,0,'Données projet'!$E$12+1,1))-AVERAGE(OFFSET($H$3,0,0,'Données projet'!$E$12+1,1))</f>
        <v>104.00159056395933</v>
      </c>
      <c r="CE107" s="60">
        <f t="shared" si="94"/>
        <v>115.86489547584461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61.798653836598952</v>
      </c>
      <c r="CL107" s="23">
        <f>EXP(-LN(2)/25)*CL106+(1-EXP(-LN(2)/25))/(LN(2)/25)*Calculateur!CG107*Calculateur!CI107*VLOOKUP('Données projet'!$B$12,Paramètres!$A$1:$I$88,3,0)*0.475*44/12</f>
        <v>9.7652773070240393</v>
      </c>
      <c r="CM107" s="23">
        <f>EXP(-LN(2)/2)*CM106+(1-EXP(-LN(2)/2))/(LN(2)/2)*CG107*CJ107*VLOOKUP('Données projet'!$B$12,Paramètres!$A$1:$I$88,3,0)*0.475*44/12</f>
        <v>1.4647007294450951E-4</v>
      </c>
      <c r="CN107" s="24">
        <f t="shared" si="66"/>
        <v>71.564077613695943</v>
      </c>
      <c r="CO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projet'!$B$13,Paramètres!$A$1:$I$88,3,0)*VLOOKUP('Données projet'!$B$13,Paramètres!$A$1:$I$88,5,0)</f>
        <v>#N/A</v>
      </c>
      <c r="CV107" s="14" t="e">
        <f t="shared" si="95"/>
        <v>#N/A</v>
      </c>
      <c r="CW107" s="22" t="e">
        <f t="shared" si="67"/>
        <v>#N/A</v>
      </c>
      <c r="CX107" s="60" t="e">
        <f t="shared" si="68"/>
        <v>#N/A</v>
      </c>
      <c r="CY107" s="60" t="e">
        <f ca="1">AVERAGE(OFFSET($CX$3,0,0,'Données projet'!$E$13+1,1))-AVERAGE(OFFSET($H$3,0,0,'Données projet'!$E$13+1,1))</f>
        <v>#N/A</v>
      </c>
      <c r="CZ107" s="60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projet'!$B$13,Paramètres!$A$1:$I$88,3,0)*0.475*44/12</f>
        <v>#N/A</v>
      </c>
      <c r="DG107" s="23" t="e">
        <f>EXP(-LN(2)/25)*DG106+(1-EXP(-LN(2)/25))/(LN(2)/25)*Calculateur!DB107*Calculateur!DD107*VLOOKUP('Données projet'!$B$13,Paramètres!$A$1:$I$88,3,0)*0.475*44/12</f>
        <v>#N/A</v>
      </c>
      <c r="DH107" s="23" t="e">
        <f>EXP(-LN(2)/2)*DH106+(1-EXP(-LN(2)/2))/(LN(2)/2)*DB107*DE107*VLOOKUP('Données projet'!$B$13,Paramètres!$A$1:$I$88,3,0)*0.475*44/12</f>
        <v>#N/A</v>
      </c>
      <c r="DI107" s="24" t="e">
        <f t="shared" si="69"/>
        <v>#N/A</v>
      </c>
      <c r="DJ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0" t="e">
        <f t="shared" si="71"/>
        <v>#N/A</v>
      </c>
      <c r="DT107" s="60" t="e">
        <f ca="1">AVERAGE(OFFSET($DS$3,0,0,'Données projet'!$E$14+1,1))-AVERAGE(OFFSET($H$3,0,0,'Données projet'!$E$14+1,1))</f>
        <v>#N/A</v>
      </c>
      <c r="DU107" s="60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4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93.366000000000156</v>
      </c>
      <c r="D108" s="12">
        <f t="shared" si="86"/>
        <v>25.375280233490724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4.5474735088646412E-13</v>
      </c>
      <c r="O108" s="14">
        <f>N108*VLOOKUP('Données projet'!$B$9,Paramètres!$A$1:$I$88,3,0)*VLOOKUP('Données projet'!$B$9,Paramètres!$A$1:$I$88,5,0)</f>
        <v>2.7193891583010558E-13</v>
      </c>
      <c r="P108" s="14">
        <f t="shared" si="87"/>
        <v>3.6362267729089988E-12</v>
      </c>
      <c r="Q108" s="22">
        <f t="shared" si="107"/>
        <v>6.8067219078872727E-12</v>
      </c>
      <c r="R108" s="60">
        <f t="shared" si="55"/>
        <v>293.33333333334014</v>
      </c>
      <c r="S108" s="60">
        <f ca="1">AVERAGE(OFFSET($R$3,0,0,'Données projet'!$E$9+1,1))-AVERAGE(OFFSET($H$3,0,0,'Données projet'!$E$9+1,1))</f>
        <v>181.84907943028196</v>
      </c>
      <c r="T108" s="60">
        <f t="shared" si="88"/>
        <v>199.66849909069458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53.365288775086363</v>
      </c>
      <c r="AA108" s="23">
        <f>EXP(-LN(2)/25)*AA107+(1-EXP(-LN(2)/25))/(LN(2)/25)*Calculateur!V108*Calculateur!X108*VLOOKUP('Données projet'!$B$9,Paramètres!$A$1:$I$88,3,0)*0.475*44/12</f>
        <v>8.7279828593664668</v>
      </c>
      <c r="AB108" s="23">
        <f>EXP(-LN(2)/2)*AB107+(1-EXP(-LN(2)/2))/(LN(2)/2)*V108*Y108*VLOOKUP('Données projet'!$B$9,Paramètres!$A$1:$I$88,3,0)*0.475*44/12</f>
        <v>4.0078483097033539E-6</v>
      </c>
      <c r="AC108" s="24">
        <f t="shared" si="57"/>
        <v>62.093275642301144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projet'!$B$10,Paramètres!$A$1:$I$88,3,0)*VLOOKUP('Données projet'!$B$10,Paramètres!$A$1:$I$88,5,0)</f>
        <v>0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55.581964048431473</v>
      </c>
      <c r="AO108" s="60">
        <f t="shared" si="90"/>
        <v>91.067506141193803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9.9831673679705109</v>
      </c>
      <c r="AV108" s="23">
        <f>EXP(-LN(2)/25)*AV107+(1-EXP(-LN(2)/25))/(LN(2)/25)*Calculateur!AQ108*Calculateur!AS108*VLOOKUP('Données projet'!$B$10,Paramètres!$A$1:$I$88,3,0)*0.475*44/12</f>
        <v>0</v>
      </c>
      <c r="AW108" s="23">
        <f>EXP(-LN(2)/2)*AW107+(1-EXP(-LN(2)/2))/(LN(2)/2)*AQ108*AT108*VLOOKUP('Données projet'!$B$10,Paramètres!$A$1:$I$88,3,0)*0.475*44/12</f>
        <v>0</v>
      </c>
      <c r="AX108" s="23">
        <f t="shared" si="60"/>
        <v>9.9831673679705109</v>
      </c>
      <c r="AY108" s="7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4.4444444444444446</v>
      </c>
      <c r="BD108" s="13">
        <f>IF('Données projet'!$A$88&gt;35,BD107+BC108-BL107,IF(A108&lt;'Données projet'!$A$88,$BA$205^A108,IF(A108='Données projet'!$A$88,'Données projet'!$B$88,BD107+BC108-BL107)))</f>
        <v>185.666666666667</v>
      </c>
      <c r="BE108" s="14">
        <f>BD108*VLOOKUP('Données projet'!$B$11,Paramètres!$A$1:$I$88,3,0)*VLOOKUP('Données projet'!$B$11,Paramètres!$A$1:$I$88,5,0)</f>
        <v>188.26600000000033</v>
      </c>
      <c r="BF108" s="14">
        <f t="shared" si="91"/>
        <v>47.156385752278403</v>
      </c>
      <c r="BG108" s="22">
        <f t="shared" si="61"/>
        <v>410.02732185188546</v>
      </c>
      <c r="BH108" s="60">
        <f t="shared" si="62"/>
        <v>703.36065518521877</v>
      </c>
      <c r="BI108" s="60">
        <f ca="1">AVERAGE(OFFSET($BH$3,0,0,'Données projet'!$E$11+1,1))-AVERAGE(OFFSET($H$3,0,0,'Données projet'!$E$11+1,1))</f>
        <v>178.29366134936788</v>
      </c>
      <c r="BJ108" s="60">
        <f t="shared" si="92"/>
        <v>85.818195717787148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12.875072811874912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12.875072811874912</v>
      </c>
      <c r="BT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projet'!$B$12,Paramètres!$A$1:$I$88,3,0)*VLOOKUP('Données projet'!$B$12,Paramètres!$A$1:$I$88,5,0)</f>
        <v>0</v>
      </c>
      <c r="CA108" s="14" t="e">
        <f t="shared" si="93"/>
        <v>#NUM!</v>
      </c>
      <c r="CB108" s="22" t="e">
        <f t="shared" si="64"/>
        <v>#NUM!</v>
      </c>
      <c r="CC108" s="60" t="e">
        <f t="shared" si="65"/>
        <v>#NUM!</v>
      </c>
      <c r="CD108" s="60">
        <f ca="1">AVERAGE(OFFSET($CC$3,0,0,'Données projet'!$E$12+1,1))-AVERAGE(OFFSET($H$3,0,0,'Données projet'!$E$12+1,1))</f>
        <v>104.00159056395933</v>
      </c>
      <c r="CE108" s="60">
        <f t="shared" si="94"/>
        <v>115.86489547584461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60.586819928320168</v>
      </c>
      <c r="CL108" s="23">
        <f>EXP(-LN(2)/25)*CL107+(1-EXP(-LN(2)/25))/(LN(2)/25)*Calculateur!CG108*Calculateur!CI108*VLOOKUP('Données projet'!$B$12,Paramètres!$A$1:$I$88,3,0)*0.475*44/12</f>
        <v>9.4982452855298529</v>
      </c>
      <c r="CM108" s="23">
        <f>EXP(-LN(2)/2)*CM107+(1-EXP(-LN(2)/2))/(LN(2)/2)*CG108*CJ108*VLOOKUP('Données projet'!$B$12,Paramètres!$A$1:$I$88,3,0)*0.475*44/12</f>
        <v>1.0356998181995094E-4</v>
      </c>
      <c r="CN108" s="24">
        <f t="shared" si="66"/>
        <v>70.085168783831833</v>
      </c>
      <c r="CO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projet'!$B$13,Paramètres!$A$1:$I$88,3,0)*VLOOKUP('Données projet'!$B$13,Paramètres!$A$1:$I$88,5,0)</f>
        <v>#N/A</v>
      </c>
      <c r="CV108" s="14" t="e">
        <f t="shared" si="95"/>
        <v>#N/A</v>
      </c>
      <c r="CW108" s="22" t="e">
        <f t="shared" si="67"/>
        <v>#N/A</v>
      </c>
      <c r="CX108" s="60" t="e">
        <f t="shared" si="68"/>
        <v>#N/A</v>
      </c>
      <c r="CY108" s="60" t="e">
        <f ca="1">AVERAGE(OFFSET($CX$3,0,0,'Données projet'!$E$13+1,1))-AVERAGE(OFFSET($H$3,0,0,'Données projet'!$E$13+1,1))</f>
        <v>#N/A</v>
      </c>
      <c r="CZ108" s="60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projet'!$B$13,Paramètres!$A$1:$I$88,3,0)*0.475*44/12</f>
        <v>#N/A</v>
      </c>
      <c r="DG108" s="23" t="e">
        <f>EXP(-LN(2)/25)*DG107+(1-EXP(-LN(2)/25))/(LN(2)/25)*Calculateur!DB108*Calculateur!DD108*VLOOKUP('Données projet'!$B$13,Paramètres!$A$1:$I$88,3,0)*0.475*44/12</f>
        <v>#N/A</v>
      </c>
      <c r="DH108" s="23" t="e">
        <f>EXP(-LN(2)/2)*DH107+(1-EXP(-LN(2)/2))/(LN(2)/2)*DB108*DE108*VLOOKUP('Données projet'!$B$13,Paramètres!$A$1:$I$88,3,0)*0.475*44/12</f>
        <v>#N/A</v>
      </c>
      <c r="DI108" s="24" t="e">
        <f t="shared" si="69"/>
        <v>#N/A</v>
      </c>
      <c r="DJ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0" t="e">
        <f t="shared" si="71"/>
        <v>#N/A</v>
      </c>
      <c r="DT108" s="60" t="e">
        <f ca="1">AVERAGE(OFFSET($DS$3,0,0,'Données projet'!$E$14+1,1))-AVERAGE(OFFSET($H$3,0,0,'Données projet'!$E$14+1,1))</f>
        <v>#N/A</v>
      </c>
      <c r="DU108" s="60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4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94.255200000000158</v>
      </c>
      <c r="D109" s="12">
        <f t="shared" si="86"/>
        <v>25.588701314145272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4.5474735088646412E-13</v>
      </c>
      <c r="O109" s="14">
        <f>N109*VLOOKUP('Données projet'!$B$9,Paramètres!$A$1:$I$88,3,0)*VLOOKUP('Données projet'!$B$9,Paramètres!$A$1:$I$88,5,0)</f>
        <v>2.7193891583010558E-13</v>
      </c>
      <c r="P109" s="14">
        <f t="shared" si="87"/>
        <v>3.6362267729089988E-12</v>
      </c>
      <c r="Q109" s="22">
        <f t="shared" si="107"/>
        <v>6.8067219078872727E-12</v>
      </c>
      <c r="R109" s="60">
        <f t="shared" si="55"/>
        <v>293.33333333334014</v>
      </c>
      <c r="S109" s="60">
        <f ca="1">AVERAGE(OFFSET($R$3,0,0,'Données projet'!$E$9+1,1))-AVERAGE(OFFSET($H$3,0,0,'Données projet'!$E$9+1,1))</f>
        <v>181.84907943028196</v>
      </c>
      <c r="T109" s="60">
        <f t="shared" si="88"/>
        <v>199.66849909069458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52.318828011819065</v>
      </c>
      <c r="AA109" s="23">
        <f>EXP(-LN(2)/25)*AA108+(1-EXP(-LN(2)/25))/(LN(2)/25)*Calculateur!V109*Calculateur!X109*VLOOKUP('Données projet'!$B$9,Paramètres!$A$1:$I$88,3,0)*0.475*44/12</f>
        <v>8.4893157090924198</v>
      </c>
      <c r="AB109" s="23">
        <f>EXP(-LN(2)/2)*AB108+(1-EXP(-LN(2)/2))/(LN(2)/2)*V109*Y109*VLOOKUP('Données projet'!$B$9,Paramètres!$A$1:$I$88,3,0)*0.475*44/12</f>
        <v>2.8339767177582838E-6</v>
      </c>
      <c r="AC109" s="24">
        <f t="shared" si="57"/>
        <v>60.808146554888204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projet'!$B$10,Paramètres!$A$1:$I$88,3,0)*VLOOKUP('Données projet'!$B$10,Paramètres!$A$1:$I$88,5,0)</f>
        <v>0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55.581964048431473</v>
      </c>
      <c r="AO109" s="60">
        <f t="shared" si="90"/>
        <v>91.067506141193803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9.7874035450154526</v>
      </c>
      <c r="AV109" s="23">
        <f>EXP(-LN(2)/25)*AV108+(1-EXP(-LN(2)/25))/(LN(2)/25)*Calculateur!AQ109*Calculateur!AS109*VLOOKUP('Données projet'!$B$10,Paramètres!$A$1:$I$88,3,0)*0.475*44/12</f>
        <v>0</v>
      </c>
      <c r="AW109" s="23">
        <f>EXP(-LN(2)/2)*AW108+(1-EXP(-LN(2)/2))/(LN(2)/2)*AQ109*AT109*VLOOKUP('Données projet'!$B$10,Paramètres!$A$1:$I$88,3,0)*0.475*44/12</f>
        <v>0</v>
      </c>
      <c r="AX109" s="23">
        <f t="shared" si="60"/>
        <v>9.7874035450154526</v>
      </c>
      <c r="AY109" s="7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4.4444444444444446</v>
      </c>
      <c r="BD109" s="13">
        <f>IF('Données projet'!$A$88&gt;35,BD108+BC109-BL108,IF(A109&lt;'Données projet'!$A$88,$BA$205^A109,IF(A109='Données projet'!$A$88,'Données projet'!$B$88,BD108+BC109-BL108)))</f>
        <v>190.11111111111146</v>
      </c>
      <c r="BE109" s="14">
        <f>BD109*VLOOKUP('Données projet'!$B$11,Paramètres!$A$1:$I$88,3,0)*VLOOKUP('Données projet'!$B$11,Paramètres!$A$1:$I$88,5,0)</f>
        <v>192.77266666666702</v>
      </c>
      <c r="BF109" s="14">
        <f t="shared" si="91"/>
        <v>48.152432264308267</v>
      </c>
      <c r="BG109" s="22">
        <f t="shared" si="61"/>
        <v>419.61121397144865</v>
      </c>
      <c r="BH109" s="60">
        <f t="shared" si="62"/>
        <v>712.94454730478196</v>
      </c>
      <c r="BI109" s="60">
        <f ca="1">AVERAGE(OFFSET($BH$3,0,0,'Données projet'!$E$11+1,1))-AVERAGE(OFFSET($H$3,0,0,'Données projet'!$E$11+1,1))</f>
        <v>178.29366134936788</v>
      </c>
      <c r="BJ109" s="60">
        <f t="shared" si="92"/>
        <v>85.818195717787148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12.622600487053038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12.622600487053038</v>
      </c>
      <c r="BT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projet'!$B$12,Paramètres!$A$1:$I$88,3,0)*VLOOKUP('Données projet'!$B$12,Paramètres!$A$1:$I$88,5,0)</f>
        <v>0</v>
      </c>
      <c r="CA109" s="14" t="e">
        <f t="shared" si="93"/>
        <v>#NUM!</v>
      </c>
      <c r="CB109" s="22" t="e">
        <f t="shared" si="64"/>
        <v>#NUM!</v>
      </c>
      <c r="CC109" s="60" t="e">
        <f t="shared" si="65"/>
        <v>#NUM!</v>
      </c>
      <c r="CD109" s="60">
        <f ca="1">AVERAGE(OFFSET($CC$3,0,0,'Données projet'!$E$12+1,1))-AVERAGE(OFFSET($H$3,0,0,'Données projet'!$E$12+1,1))</f>
        <v>104.00159056395933</v>
      </c>
      <c r="CE109" s="60">
        <f t="shared" si="94"/>
        <v>115.86489547584461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59.398749343837032</v>
      </c>
      <c r="CL109" s="23">
        <f>EXP(-LN(2)/25)*CL108+(1-EXP(-LN(2)/25))/(LN(2)/25)*Calculateur!CG109*Calculateur!CI109*VLOOKUP('Données projet'!$B$12,Paramètres!$A$1:$I$88,3,0)*0.475*44/12</f>
        <v>9.2385152687060277</v>
      </c>
      <c r="CM109" s="23">
        <f>EXP(-LN(2)/2)*CM108+(1-EXP(-LN(2)/2))/(LN(2)/2)*CG109*CJ109*VLOOKUP('Données projet'!$B$12,Paramètres!$A$1:$I$88,3,0)*0.475*44/12</f>
        <v>7.3235036472254754E-5</v>
      </c>
      <c r="CN109" s="24">
        <f t="shared" si="66"/>
        <v>68.637337847579531</v>
      </c>
      <c r="CO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projet'!$B$13,Paramètres!$A$1:$I$88,3,0)*VLOOKUP('Données projet'!$B$13,Paramètres!$A$1:$I$88,5,0)</f>
        <v>#N/A</v>
      </c>
      <c r="CV109" s="14" t="e">
        <f t="shared" si="95"/>
        <v>#N/A</v>
      </c>
      <c r="CW109" s="22" t="e">
        <f t="shared" si="67"/>
        <v>#N/A</v>
      </c>
      <c r="CX109" s="60" t="e">
        <f t="shared" si="68"/>
        <v>#N/A</v>
      </c>
      <c r="CY109" s="60" t="e">
        <f ca="1">AVERAGE(OFFSET($CX$3,0,0,'Données projet'!$E$13+1,1))-AVERAGE(OFFSET($H$3,0,0,'Données projet'!$E$13+1,1))</f>
        <v>#N/A</v>
      </c>
      <c r="CZ109" s="60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projet'!$B$13,Paramètres!$A$1:$I$88,3,0)*0.475*44/12</f>
        <v>#N/A</v>
      </c>
      <c r="DG109" s="23" t="e">
        <f>EXP(-LN(2)/25)*DG108+(1-EXP(-LN(2)/25))/(LN(2)/25)*Calculateur!DB109*Calculateur!DD109*VLOOKUP('Données projet'!$B$13,Paramètres!$A$1:$I$88,3,0)*0.475*44/12</f>
        <v>#N/A</v>
      </c>
      <c r="DH109" s="23" t="e">
        <f>EXP(-LN(2)/2)*DH108+(1-EXP(-LN(2)/2))/(LN(2)/2)*DB109*DE109*VLOOKUP('Données projet'!$B$13,Paramètres!$A$1:$I$88,3,0)*0.475*44/12</f>
        <v>#N/A</v>
      </c>
      <c r="DI109" s="24" t="e">
        <f t="shared" si="69"/>
        <v>#N/A</v>
      </c>
      <c r="DJ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0" t="e">
        <f t="shared" si="71"/>
        <v>#N/A</v>
      </c>
      <c r="DT109" s="60" t="e">
        <f ca="1">AVERAGE(OFFSET($DS$3,0,0,'Données projet'!$E$14+1,1))-AVERAGE(OFFSET($H$3,0,0,'Données projet'!$E$14+1,1))</f>
        <v>#N/A</v>
      </c>
      <c r="DU109" s="60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4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95.144400000000161</v>
      </c>
      <c r="D110" s="12">
        <f t="shared" si="86"/>
        <v>25.801888159247749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4.5474735088646412E-13</v>
      </c>
      <c r="O110" s="14">
        <f>N110*VLOOKUP('Données projet'!$B$9,Paramètres!$A$1:$I$88,3,0)*VLOOKUP('Données projet'!$B$9,Paramètres!$A$1:$I$88,5,0)</f>
        <v>2.7193891583010558E-13</v>
      </c>
      <c r="P110" s="14">
        <f t="shared" si="87"/>
        <v>3.6362267729089988E-12</v>
      </c>
      <c r="Q110" s="22">
        <f t="shared" si="107"/>
        <v>6.8067219078872727E-12</v>
      </c>
      <c r="R110" s="60">
        <f t="shared" si="55"/>
        <v>293.33333333334014</v>
      </c>
      <c r="S110" s="60">
        <f ca="1">AVERAGE(OFFSET($R$3,0,0,'Données projet'!$E$9+1,1))-AVERAGE(OFFSET($H$3,0,0,'Données projet'!$E$9+1,1))</f>
        <v>181.84907943028196</v>
      </c>
      <c r="T110" s="60">
        <f t="shared" si="88"/>
        <v>199.66849909069458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51.292887705841395</v>
      </c>
      <c r="AA110" s="23">
        <f>EXP(-LN(2)/25)*AA109+(1-EXP(-LN(2)/25))/(LN(2)/25)*Calculateur!V110*Calculateur!X110*VLOOKUP('Données projet'!$B$9,Paramètres!$A$1:$I$88,3,0)*0.475*44/12</f>
        <v>8.2571749245935777</v>
      </c>
      <c r="AB110" s="23">
        <f>EXP(-LN(2)/2)*AB109+(1-EXP(-LN(2)/2))/(LN(2)/2)*V110*Y110*VLOOKUP('Données projet'!$B$9,Paramètres!$A$1:$I$88,3,0)*0.475*44/12</f>
        <v>2.003924154851677E-6</v>
      </c>
      <c r="AC110" s="24">
        <f t="shared" si="57"/>
        <v>59.550064634359124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projet'!$B$10,Paramètres!$A$1:$I$88,3,0)*VLOOKUP('Données projet'!$B$10,Paramètres!$A$1:$I$88,5,0)</f>
        <v>0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55.581964048431473</v>
      </c>
      <c r="AO110" s="60">
        <f t="shared" si="90"/>
        <v>91.067506141193803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9.5954785312244013</v>
      </c>
      <c r="AV110" s="23">
        <f>EXP(-LN(2)/25)*AV109+(1-EXP(-LN(2)/25))/(LN(2)/25)*Calculateur!AQ110*Calculateur!AS110*VLOOKUP('Données projet'!$B$10,Paramètres!$A$1:$I$88,3,0)*0.475*44/12</f>
        <v>0</v>
      </c>
      <c r="AW110" s="23">
        <f>EXP(-LN(2)/2)*AW109+(1-EXP(-LN(2)/2))/(LN(2)/2)*AQ110*AT110*VLOOKUP('Données projet'!$B$10,Paramètres!$A$1:$I$88,3,0)*0.475*44/12</f>
        <v>0</v>
      </c>
      <c r="AX110" s="23">
        <f t="shared" si="60"/>
        <v>9.5954785312244013</v>
      </c>
      <c r="AY110" s="7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4.4444444444444446</v>
      </c>
      <c r="BD110" s="13">
        <f>IF('Données projet'!$A$88&gt;35,BD109+BC110-BL109,IF(A110&lt;'Données projet'!$A$88,$BA$205^A110,IF(A110='Données projet'!$A$88,'Données projet'!$B$88,BD109+BC110-BL109)))</f>
        <v>194.55555555555591</v>
      </c>
      <c r="BE110" s="14">
        <f>BD110*VLOOKUP('Données projet'!$B$11,Paramètres!$A$1:$I$88,3,0)*VLOOKUP('Données projet'!$B$11,Paramètres!$A$1:$I$88,5,0)</f>
        <v>197.27933333333371</v>
      </c>
      <c r="BF110" s="14">
        <f t="shared" si="91"/>
        <v>49.145771742881465</v>
      </c>
      <c r="BG110" s="22">
        <f t="shared" si="61"/>
        <v>429.19039134107476</v>
      </c>
      <c r="BH110" s="60">
        <f t="shared" si="62"/>
        <v>722.52372467440807</v>
      </c>
      <c r="BI110" s="60">
        <f ca="1">AVERAGE(OFFSET($BH$3,0,0,'Données projet'!$E$11+1,1))-AVERAGE(OFFSET($H$3,0,0,'Données projet'!$E$11+1,1))</f>
        <v>178.29366134936788</v>
      </c>
      <c r="BJ110" s="60">
        <f t="shared" si="92"/>
        <v>85.818195717787148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12.37507899052801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12.37507899052801</v>
      </c>
      <c r="BT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projet'!$B$12,Paramètres!$A$1:$I$88,3,0)*VLOOKUP('Données projet'!$B$12,Paramètres!$A$1:$I$88,5,0)</f>
        <v>0</v>
      </c>
      <c r="CA110" s="14" t="e">
        <f t="shared" si="93"/>
        <v>#NUM!</v>
      </c>
      <c r="CB110" s="22" t="e">
        <f t="shared" si="64"/>
        <v>#NUM!</v>
      </c>
      <c r="CC110" s="60" t="e">
        <f t="shared" si="65"/>
        <v>#NUM!</v>
      </c>
      <c r="CD110" s="60">
        <f ca="1">AVERAGE(OFFSET($CC$3,0,0,'Données projet'!$E$12+1,1))-AVERAGE(OFFSET($H$3,0,0,'Données projet'!$E$12+1,1))</f>
        <v>104.00159056395933</v>
      </c>
      <c r="CE110" s="60">
        <f t="shared" si="94"/>
        <v>115.86489547584461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58.233976098864105</v>
      </c>
      <c r="CL110" s="23">
        <f>EXP(-LN(2)/25)*CL109+(1-EXP(-LN(2)/25))/(LN(2)/25)*Calculateur!CG110*Calculateur!CI110*VLOOKUP('Données projet'!$B$12,Paramètres!$A$1:$I$88,3,0)*0.475*44/12</f>
        <v>8.9858875828508591</v>
      </c>
      <c r="CM110" s="23">
        <f>EXP(-LN(2)/2)*CM109+(1-EXP(-LN(2)/2))/(LN(2)/2)*CG110*CJ110*VLOOKUP('Données projet'!$B$12,Paramètres!$A$1:$I$88,3,0)*0.475*44/12</f>
        <v>5.178499090997547E-5</v>
      </c>
      <c r="CN110" s="24">
        <f t="shared" si="66"/>
        <v>67.219915466705885</v>
      </c>
      <c r="CO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projet'!$B$13,Paramètres!$A$1:$I$88,3,0)*VLOOKUP('Données projet'!$B$13,Paramètres!$A$1:$I$88,5,0)</f>
        <v>#N/A</v>
      </c>
      <c r="CV110" s="14" t="e">
        <f t="shared" si="95"/>
        <v>#N/A</v>
      </c>
      <c r="CW110" s="22" t="e">
        <f t="shared" si="67"/>
        <v>#N/A</v>
      </c>
      <c r="CX110" s="60" t="e">
        <f t="shared" si="68"/>
        <v>#N/A</v>
      </c>
      <c r="CY110" s="60" t="e">
        <f ca="1">AVERAGE(OFFSET($CX$3,0,0,'Données projet'!$E$13+1,1))-AVERAGE(OFFSET($H$3,0,0,'Données projet'!$E$13+1,1))</f>
        <v>#N/A</v>
      </c>
      <c r="CZ110" s="60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projet'!$B$13,Paramètres!$A$1:$I$88,3,0)*0.475*44/12</f>
        <v>#N/A</v>
      </c>
      <c r="DG110" s="23" t="e">
        <f>EXP(-LN(2)/25)*DG109+(1-EXP(-LN(2)/25))/(LN(2)/25)*Calculateur!DB110*Calculateur!DD110*VLOOKUP('Données projet'!$B$13,Paramètres!$A$1:$I$88,3,0)*0.475*44/12</f>
        <v>#N/A</v>
      </c>
      <c r="DH110" s="23" t="e">
        <f>EXP(-LN(2)/2)*DH109+(1-EXP(-LN(2)/2))/(LN(2)/2)*DB110*DE110*VLOOKUP('Données projet'!$B$13,Paramètres!$A$1:$I$88,3,0)*0.475*44/12</f>
        <v>#N/A</v>
      </c>
      <c r="DI110" s="24" t="e">
        <f t="shared" si="69"/>
        <v>#N/A</v>
      </c>
      <c r="DJ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0" t="e">
        <f t="shared" si="71"/>
        <v>#N/A</v>
      </c>
      <c r="DT110" s="60" t="e">
        <f ca="1">AVERAGE(OFFSET($DS$3,0,0,'Données projet'!$E$14+1,1))-AVERAGE(OFFSET($H$3,0,0,'Données projet'!$E$14+1,1))</f>
        <v>#N/A</v>
      </c>
      <c r="DU110" s="60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4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96.033600000000163</v>
      </c>
      <c r="D111" s="12">
        <f t="shared" si="86"/>
        <v>26.014843211471252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4.5474735088646412E-13</v>
      </c>
      <c r="O111" s="14">
        <f>N111*VLOOKUP('Données projet'!$B$9,Paramètres!$A$1:$I$88,3,0)*VLOOKUP('Données projet'!$B$9,Paramètres!$A$1:$I$88,5,0)</f>
        <v>2.7193891583010558E-13</v>
      </c>
      <c r="P111" s="14">
        <f t="shared" si="87"/>
        <v>3.6362267729089988E-12</v>
      </c>
      <c r="Q111" s="22">
        <f t="shared" si="107"/>
        <v>6.8067219078872727E-12</v>
      </c>
      <c r="R111" s="60">
        <f t="shared" si="55"/>
        <v>293.33333333334014</v>
      </c>
      <c r="S111" s="60">
        <f ca="1">AVERAGE(OFFSET($R$3,0,0,'Données projet'!$E$9+1,1))-AVERAGE(OFFSET($H$3,0,0,'Données projet'!$E$9+1,1))</f>
        <v>181.84907943028196</v>
      </c>
      <c r="T111" s="60">
        <f t="shared" si="88"/>
        <v>199.66849909069458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50.287065463502152</v>
      </c>
      <c r="AA111" s="23">
        <f>EXP(-LN(2)/25)*AA110+(1-EXP(-LN(2)/25))/(LN(2)/25)*Calculateur!V111*Calculateur!X111*VLOOKUP('Données projet'!$B$9,Paramètres!$A$1:$I$88,3,0)*0.475*44/12</f>
        <v>8.0313820420546094</v>
      </c>
      <c r="AB111" s="23">
        <f>EXP(-LN(2)/2)*AB110+(1-EXP(-LN(2)/2))/(LN(2)/2)*V111*Y111*VLOOKUP('Données projet'!$B$9,Paramètres!$A$1:$I$88,3,0)*0.475*44/12</f>
        <v>1.4169883588791419E-6</v>
      </c>
      <c r="AC111" s="24">
        <f t="shared" si="57"/>
        <v>58.318448922545123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projet'!$B$10,Paramètres!$A$1:$I$88,3,0)*VLOOKUP('Données projet'!$B$10,Paramètres!$A$1:$I$88,5,0)</f>
        <v>0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55.581964048431473</v>
      </c>
      <c r="AO111" s="60">
        <f t="shared" si="90"/>
        <v>91.067506141193803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9.407317049891093</v>
      </c>
      <c r="AV111" s="23">
        <f>EXP(-LN(2)/25)*AV110+(1-EXP(-LN(2)/25))/(LN(2)/25)*Calculateur!AQ111*Calculateur!AS111*VLOOKUP('Données projet'!$B$10,Paramètres!$A$1:$I$88,3,0)*0.475*44/12</f>
        <v>0</v>
      </c>
      <c r="AW111" s="23">
        <f>EXP(-LN(2)/2)*AW110+(1-EXP(-LN(2)/2))/(LN(2)/2)*AQ111*AT111*VLOOKUP('Données projet'!$B$10,Paramètres!$A$1:$I$88,3,0)*0.475*44/12</f>
        <v>0</v>
      </c>
      <c r="AX111" s="23">
        <f t="shared" si="60"/>
        <v>9.407317049891093</v>
      </c>
      <c r="AY111" s="7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>
        <f>VLOOKUP(A111,'Données projet'!$A$87:$I$107,2,0)</f>
        <v>199</v>
      </c>
      <c r="BB111" s="13">
        <f>VLOOKUP(A111,'Données projet'!$A$87:$I$107,9,0)</f>
        <v>4.4444444444444446</v>
      </c>
      <c r="BC111" s="13">
        <f t="array" ref="BC111">INDEX(BB:BB,MIN(IF(ISNUMBER(BB111:BB307),ROW(BB111:BB307),"")))</f>
        <v>4.4444444444444446</v>
      </c>
      <c r="BD111" s="13">
        <f>IF('Données projet'!$A$88&gt;35,BD110+BC111-BL110,IF(A111&lt;'Données projet'!$A$88,$BA$205^A111,IF(A111='Données projet'!$A$88,'Données projet'!$B$88,BD110+BC111-BL110)))</f>
        <v>199.00000000000037</v>
      </c>
      <c r="BE111" s="14">
        <f>BD111*VLOOKUP('Données projet'!$B$11,Paramètres!$A$1:$I$88,3,0)*VLOOKUP('Données projet'!$B$11,Paramètres!$A$1:$I$88,5,0)</f>
        <v>201.7860000000004</v>
      </c>
      <c r="BF111" s="14">
        <f t="shared" si="91"/>
        <v>50.136473146268848</v>
      </c>
      <c r="BG111" s="22">
        <f t="shared" si="61"/>
        <v>438.76497406308562</v>
      </c>
      <c r="BH111" s="60">
        <f t="shared" si="62"/>
        <v>732.09830739641893</v>
      </c>
      <c r="BI111" s="60">
        <f ca="1">AVERAGE(OFFSET($BH$3,0,0,'Données projet'!$E$11+1,1))-AVERAGE(OFFSET($H$3,0,0,'Données projet'!$E$11+1,1))</f>
        <v>178.29366134936788</v>
      </c>
      <c r="BJ111" s="60">
        <f t="shared" si="92"/>
        <v>85.818195717787148</v>
      </c>
      <c r="BK111" s="16">
        <f>IF(ISNA(VLOOKUP(A111,'Données projet'!$A$87:$I$107,3,0)),0,VLOOKUP(A111,'Données projet'!$A$87:$I$107,3,0))</f>
        <v>7</v>
      </c>
      <c r="BL111" s="16">
        <f>IF(ISNA(VLOOKUP(A111,'Données projet'!$A$87:$I$107,4,0)),0,VLOOKUP(A111,'Données projet'!$A$87:$I$107,4,0))</f>
        <v>26</v>
      </c>
      <c r="BM111" s="17">
        <f>IF(ISNA(VLOOKUP(A111,'Données projet'!$A$87:$I$107,5,0)),0%,VLOOKUP(A111,'Données projet'!$A$87:$I$107,5,0)*VLOOKUP('Données projet'!$B$11,Paramètres!$A$1:$I$88,7,0))</f>
        <v>0.17200000000000001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17.145286066369785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17.145286066369785</v>
      </c>
      <c r="BT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projet'!$B$12,Paramètres!$A$1:$I$88,3,0)*VLOOKUP('Données projet'!$B$12,Paramètres!$A$1:$I$88,5,0)</f>
        <v>0</v>
      </c>
      <c r="CA111" s="14" t="e">
        <f t="shared" si="93"/>
        <v>#NUM!</v>
      </c>
      <c r="CB111" s="22" t="e">
        <f t="shared" si="64"/>
        <v>#NUM!</v>
      </c>
      <c r="CC111" s="60" t="e">
        <f t="shared" si="65"/>
        <v>#NUM!</v>
      </c>
      <c r="CD111" s="60">
        <f ca="1">AVERAGE(OFFSET($CC$3,0,0,'Données projet'!$E$12+1,1))-AVERAGE(OFFSET($H$3,0,0,'Données projet'!$E$12+1,1))</f>
        <v>104.00159056395933</v>
      </c>
      <c r="CE111" s="60">
        <f t="shared" si="94"/>
        <v>115.86489547584461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57.092043346783569</v>
      </c>
      <c r="CL111" s="23">
        <f>EXP(-LN(2)/25)*CL110+(1-EXP(-LN(2)/25))/(LN(2)/25)*Calculateur!CG111*Calculateur!CI111*VLOOKUP('Données projet'!$B$12,Paramètres!$A$1:$I$88,3,0)*0.475*44/12</f>
        <v>8.7401680143505125</v>
      </c>
      <c r="CM111" s="23">
        <f>EXP(-LN(2)/2)*CM110+(1-EXP(-LN(2)/2))/(LN(2)/2)*CG111*CJ111*VLOOKUP('Données projet'!$B$12,Paramètres!$A$1:$I$88,3,0)*0.475*44/12</f>
        <v>3.6617518236127377E-5</v>
      </c>
      <c r="CN111" s="24">
        <f t="shared" si="66"/>
        <v>65.832247978652319</v>
      </c>
      <c r="CO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projet'!$B$13,Paramètres!$A$1:$I$88,3,0)*VLOOKUP('Données projet'!$B$13,Paramètres!$A$1:$I$88,5,0)</f>
        <v>#N/A</v>
      </c>
      <c r="CV111" s="14" t="e">
        <f t="shared" si="95"/>
        <v>#N/A</v>
      </c>
      <c r="CW111" s="22" t="e">
        <f t="shared" si="67"/>
        <v>#N/A</v>
      </c>
      <c r="CX111" s="60" t="e">
        <f t="shared" si="68"/>
        <v>#N/A</v>
      </c>
      <c r="CY111" s="60" t="e">
        <f ca="1">AVERAGE(OFFSET($CX$3,0,0,'Données projet'!$E$13+1,1))-AVERAGE(OFFSET($H$3,0,0,'Données projet'!$E$13+1,1))</f>
        <v>#N/A</v>
      </c>
      <c r="CZ111" s="60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projet'!$B$13,Paramètres!$A$1:$I$88,3,0)*0.475*44/12</f>
        <v>#N/A</v>
      </c>
      <c r="DG111" s="23" t="e">
        <f>EXP(-LN(2)/25)*DG110+(1-EXP(-LN(2)/25))/(LN(2)/25)*Calculateur!DB111*Calculateur!DD111*VLOOKUP('Données projet'!$B$13,Paramètres!$A$1:$I$88,3,0)*0.475*44/12</f>
        <v>#N/A</v>
      </c>
      <c r="DH111" s="23" t="e">
        <f>EXP(-LN(2)/2)*DH110+(1-EXP(-LN(2)/2))/(LN(2)/2)*DB111*DE111*VLOOKUP('Données projet'!$B$13,Paramètres!$A$1:$I$88,3,0)*0.475*44/12</f>
        <v>#N/A</v>
      </c>
      <c r="DI111" s="24" t="e">
        <f t="shared" si="69"/>
        <v>#N/A</v>
      </c>
      <c r="DJ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0" t="e">
        <f t="shared" si="71"/>
        <v>#N/A</v>
      </c>
      <c r="DT111" s="60" t="e">
        <f ca="1">AVERAGE(OFFSET($DS$3,0,0,'Données projet'!$E$14+1,1))-AVERAGE(OFFSET($H$3,0,0,'Données projet'!$E$14+1,1))</f>
        <v>#N/A</v>
      </c>
      <c r="DU111" s="60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4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96.922800000000166</v>
      </c>
      <c r="D112" s="12">
        <f t="shared" si="86"/>
        <v>26.227568865645399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4.5474735088646412E-13</v>
      </c>
      <c r="O112" s="14">
        <f>N112*VLOOKUP('Données projet'!$B$9,Paramètres!$A$1:$I$88,3,0)*VLOOKUP('Données projet'!$B$9,Paramètres!$A$1:$I$88,5,0)</f>
        <v>2.7193891583010558E-13</v>
      </c>
      <c r="P112" s="14">
        <f t="shared" si="87"/>
        <v>3.6362267729089988E-12</v>
      </c>
      <c r="Q112" s="22">
        <f t="shared" si="107"/>
        <v>6.8067219078872727E-12</v>
      </c>
      <c r="R112" s="60">
        <f t="shared" si="55"/>
        <v>293.33333333334014</v>
      </c>
      <c r="S112" s="60">
        <f ca="1">AVERAGE(OFFSET($R$3,0,0,'Données projet'!$E$9+1,1))-AVERAGE(OFFSET($H$3,0,0,'Données projet'!$E$9+1,1))</f>
        <v>181.84907943028196</v>
      </c>
      <c r="T112" s="60">
        <f t="shared" si="88"/>
        <v>199.66849909069458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49.300966781844188</v>
      </c>
      <c r="AA112" s="23">
        <f>EXP(-LN(2)/25)*AA111+(1-EXP(-LN(2)/25))/(LN(2)/25)*Calculateur!V112*Calculateur!X112*VLOOKUP('Données projet'!$B$9,Paramètres!$A$1:$I$88,3,0)*0.475*44/12</f>
        <v>7.8117634777626002</v>
      </c>
      <c r="AB112" s="23">
        <f>EXP(-LN(2)/2)*AB111+(1-EXP(-LN(2)/2))/(LN(2)/2)*V112*Y112*VLOOKUP('Données projet'!$B$9,Paramètres!$A$1:$I$88,3,0)*0.475*44/12</f>
        <v>1.0019620774258385E-6</v>
      </c>
      <c r="AC112" s="24">
        <f t="shared" si="57"/>
        <v>57.112731261568868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projet'!$B$10,Paramètres!$A$1:$I$88,3,0)*VLOOKUP('Données projet'!$B$10,Paramètres!$A$1:$I$88,5,0)</f>
        <v>0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55.581964048431473</v>
      </c>
      <c r="AO112" s="60">
        <f t="shared" si="90"/>
        <v>91.067506141193803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9.222845300439559</v>
      </c>
      <c r="AV112" s="23">
        <f>EXP(-LN(2)/25)*AV111+(1-EXP(-LN(2)/25))/(LN(2)/25)*Calculateur!AQ112*Calculateur!AS112*VLOOKUP('Données projet'!$B$10,Paramètres!$A$1:$I$88,3,0)*0.475*44/12</f>
        <v>0</v>
      </c>
      <c r="AW112" s="23">
        <f>EXP(-LN(2)/2)*AW111+(1-EXP(-LN(2)/2))/(LN(2)/2)*AQ112*AT112*VLOOKUP('Données projet'!$B$10,Paramètres!$A$1:$I$88,3,0)*0.475*44/12</f>
        <v>0</v>
      </c>
      <c r="AX112" s="23">
        <f t="shared" si="60"/>
        <v>9.222845300439559</v>
      </c>
      <c r="AY112" s="7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</v>
      </c>
      <c r="BD112" s="13">
        <f>IF('Données projet'!$A$88&gt;35,BD111+BC112-BL111,IF(A112&lt;'Données projet'!$A$88,$BA$205^A112,IF(A112='Données projet'!$A$88,'Données projet'!$B$88,BD111+BC112-BL111)))</f>
        <v>177.00000000000037</v>
      </c>
      <c r="BE112" s="14">
        <f>BD112*VLOOKUP('Données projet'!$B$11,Paramètres!$A$1:$I$88,3,0)*VLOOKUP('Données projet'!$B$11,Paramètres!$A$1:$I$88,5,0)</f>
        <v>179.47800000000038</v>
      </c>
      <c r="BF112" s="14">
        <f t="shared" si="91"/>
        <v>45.206031161327552</v>
      </c>
      <c r="BG112" s="22">
        <f t="shared" si="61"/>
        <v>391.32468760597948</v>
      </c>
      <c r="BH112" s="60">
        <f t="shared" si="62"/>
        <v>684.65802093931279</v>
      </c>
      <c r="BI112" s="60">
        <f ca="1">AVERAGE(OFFSET($BH$3,0,0,'Données projet'!$E$11+1,1))-AVERAGE(OFFSET($H$3,0,0,'Données projet'!$E$11+1,1))</f>
        <v>178.29366134936788</v>
      </c>
      <c r="BJ112" s="60">
        <f t="shared" si="92"/>
        <v>85.818195717787148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16.809077464200172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16.809077464200172</v>
      </c>
      <c r="BT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projet'!$B$12,Paramètres!$A$1:$I$88,3,0)*VLOOKUP('Données projet'!$B$12,Paramètres!$A$1:$I$88,5,0)</f>
        <v>0</v>
      </c>
      <c r="CA112" s="14" t="e">
        <f t="shared" si="93"/>
        <v>#NUM!</v>
      </c>
      <c r="CB112" s="22" t="e">
        <f t="shared" si="64"/>
        <v>#NUM!</v>
      </c>
      <c r="CC112" s="60" t="e">
        <f t="shared" si="65"/>
        <v>#NUM!</v>
      </c>
      <c r="CD112" s="60">
        <f ca="1">AVERAGE(OFFSET($CC$3,0,0,'Données projet'!$E$12+1,1))-AVERAGE(OFFSET($H$3,0,0,'Données projet'!$E$12+1,1))</f>
        <v>104.00159056395933</v>
      </c>
      <c r="CE112" s="60">
        <f t="shared" si="94"/>
        <v>115.86489547584461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55.97250319946113</v>
      </c>
      <c r="CL112" s="23">
        <f>EXP(-LN(2)/25)*CL111+(1-EXP(-LN(2)/25))/(LN(2)/25)*Calculateur!CG112*Calculateur!CI112*VLOOKUP('Données projet'!$B$12,Paramètres!$A$1:$I$88,3,0)*0.475*44/12</f>
        <v>8.5011676603726372</v>
      </c>
      <c r="CM112" s="23">
        <f>EXP(-LN(2)/2)*CM111+(1-EXP(-LN(2)/2))/(LN(2)/2)*CG112*CJ112*VLOOKUP('Données projet'!$B$12,Paramètres!$A$1:$I$88,3,0)*0.475*44/12</f>
        <v>2.5892495454987735E-5</v>
      </c>
      <c r="CN112" s="24">
        <f t="shared" si="66"/>
        <v>64.473696752329218</v>
      </c>
      <c r="CO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projet'!$B$13,Paramètres!$A$1:$I$88,3,0)*VLOOKUP('Données projet'!$B$13,Paramètres!$A$1:$I$88,5,0)</f>
        <v>#N/A</v>
      </c>
      <c r="CV112" s="14" t="e">
        <f t="shared" si="95"/>
        <v>#N/A</v>
      </c>
      <c r="CW112" s="22" t="e">
        <f t="shared" si="67"/>
        <v>#N/A</v>
      </c>
      <c r="CX112" s="60" t="e">
        <f t="shared" si="68"/>
        <v>#N/A</v>
      </c>
      <c r="CY112" s="60" t="e">
        <f ca="1">AVERAGE(OFFSET($CX$3,0,0,'Données projet'!$E$13+1,1))-AVERAGE(OFFSET($H$3,0,0,'Données projet'!$E$13+1,1))</f>
        <v>#N/A</v>
      </c>
      <c r="CZ112" s="60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projet'!$B$13,Paramètres!$A$1:$I$88,3,0)*0.475*44/12</f>
        <v>#N/A</v>
      </c>
      <c r="DG112" s="23" t="e">
        <f>EXP(-LN(2)/25)*DG111+(1-EXP(-LN(2)/25))/(LN(2)/25)*Calculateur!DB112*Calculateur!DD112*VLOOKUP('Données projet'!$B$13,Paramètres!$A$1:$I$88,3,0)*0.475*44/12</f>
        <v>#N/A</v>
      </c>
      <c r="DH112" s="23" t="e">
        <f>EXP(-LN(2)/2)*DH111+(1-EXP(-LN(2)/2))/(LN(2)/2)*DB112*DE112*VLOOKUP('Données projet'!$B$13,Paramètres!$A$1:$I$88,3,0)*0.475*44/12</f>
        <v>#N/A</v>
      </c>
      <c r="DI112" s="24" t="e">
        <f t="shared" si="69"/>
        <v>#N/A</v>
      </c>
      <c r="DJ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0" t="e">
        <f t="shared" si="71"/>
        <v>#N/A</v>
      </c>
      <c r="DT112" s="60" t="e">
        <f ca="1">AVERAGE(OFFSET($DS$3,0,0,'Données projet'!$E$14+1,1))-AVERAGE(OFFSET($H$3,0,0,'Données projet'!$E$14+1,1))</f>
        <v>#N/A</v>
      </c>
      <c r="DU112" s="60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4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97.812000000000168</v>
      </c>
      <c r="D113" s="12">
        <f t="shared" si="86"/>
        <v>26.440067470123306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4.5474735088646412E-13</v>
      </c>
      <c r="O113" s="14">
        <f>N113*VLOOKUP('Données projet'!$B$9,Paramètres!$A$1:$I$88,3,0)*VLOOKUP('Données projet'!$B$9,Paramètres!$A$1:$I$88,5,0)</f>
        <v>2.7193891583010558E-13</v>
      </c>
      <c r="P113" s="14">
        <f t="shared" si="87"/>
        <v>3.6362267729089988E-12</v>
      </c>
      <c r="Q113" s="22">
        <f t="shared" si="107"/>
        <v>6.8067219078872727E-12</v>
      </c>
      <c r="R113" s="60">
        <f t="shared" si="55"/>
        <v>293.33333333334014</v>
      </c>
      <c r="S113" s="60">
        <f ca="1">AVERAGE(OFFSET($R$3,0,0,'Données projet'!$E$9+1,1))-AVERAGE(OFFSET($H$3,0,0,'Données projet'!$E$9+1,1))</f>
        <v>181.84907943028196</v>
      </c>
      <c r="T113" s="60">
        <f t="shared" si="88"/>
        <v>199.66849909069458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48.33420489387273</v>
      </c>
      <c r="AA113" s="23">
        <f>EXP(-LN(2)/25)*AA112+(1-EXP(-LN(2)/25))/(LN(2)/25)*Calculateur!V113*Calculateur!X113*VLOOKUP('Données projet'!$B$9,Paramètres!$A$1:$I$88,3,0)*0.475*44/12</f>
        <v>7.5981503946603945</v>
      </c>
      <c r="AB113" s="23">
        <f>EXP(-LN(2)/2)*AB112+(1-EXP(-LN(2)/2))/(LN(2)/2)*V113*Y113*VLOOKUP('Données projet'!$B$9,Paramètres!$A$1:$I$88,3,0)*0.475*44/12</f>
        <v>7.0849417943957096E-7</v>
      </c>
      <c r="AC113" s="24">
        <f t="shared" si="57"/>
        <v>55.932355997027301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projet'!$B$10,Paramètres!$A$1:$I$88,3,0)*VLOOKUP('Données projet'!$B$10,Paramètres!$A$1:$I$88,5,0)</f>
        <v>0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55.581964048431473</v>
      </c>
      <c r="AO113" s="60">
        <f t="shared" si="90"/>
        <v>91.067506141193803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9.0419909294781124</v>
      </c>
      <c r="AV113" s="23">
        <f>EXP(-LN(2)/25)*AV112+(1-EXP(-LN(2)/25))/(LN(2)/25)*Calculateur!AQ113*Calculateur!AS113*VLOOKUP('Données projet'!$B$10,Paramètres!$A$1:$I$88,3,0)*0.475*44/12</f>
        <v>0</v>
      </c>
      <c r="AW113" s="23">
        <f>EXP(-LN(2)/2)*AW112+(1-EXP(-LN(2)/2))/(LN(2)/2)*AQ113*AT113*VLOOKUP('Données projet'!$B$10,Paramètres!$A$1:$I$88,3,0)*0.475*44/12</f>
        <v>0</v>
      </c>
      <c r="AX113" s="23">
        <f t="shared" si="60"/>
        <v>9.0419909294781124</v>
      </c>
      <c r="AY113" s="7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4</v>
      </c>
      <c r="BD113" s="13">
        <f>IF('Données projet'!$A$88&gt;35,BD112+BC113-BL112,IF(A113&lt;'Données projet'!$A$88,$BA$205^A113,IF(A113='Données projet'!$A$88,'Données projet'!$B$88,BD112+BC113-BL112)))</f>
        <v>181.00000000000037</v>
      </c>
      <c r="BE113" s="14">
        <f>BD113*VLOOKUP('Données projet'!$B$11,Paramètres!$A$1:$I$88,3,0)*VLOOKUP('Données projet'!$B$11,Paramètres!$A$1:$I$88,5,0)</f>
        <v>183.53400000000039</v>
      </c>
      <c r="BF113" s="14">
        <f t="shared" si="91"/>
        <v>46.107544136839635</v>
      </c>
      <c r="BG113" s="22">
        <f t="shared" si="61"/>
        <v>399.95902270499636</v>
      </c>
      <c r="BH113" s="60">
        <f t="shared" si="62"/>
        <v>693.29235603832967</v>
      </c>
      <c r="BI113" s="60">
        <f ca="1">AVERAGE(OFFSET($BH$3,0,0,'Données projet'!$E$11+1,1))-AVERAGE(OFFSET($H$3,0,0,'Données projet'!$E$11+1,1))</f>
        <v>178.29366134936788</v>
      </c>
      <c r="BJ113" s="60">
        <f t="shared" si="92"/>
        <v>85.818195717787148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16.479461707652106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16.479461707652106</v>
      </c>
      <c r="BT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projet'!$B$12,Paramètres!$A$1:$I$88,3,0)*VLOOKUP('Données projet'!$B$12,Paramètres!$A$1:$I$88,5,0)</f>
        <v>0</v>
      </c>
      <c r="CA113" s="14" t="e">
        <f t="shared" si="93"/>
        <v>#NUM!</v>
      </c>
      <c r="CB113" s="22" t="e">
        <f t="shared" si="64"/>
        <v>#NUM!</v>
      </c>
      <c r="CC113" s="60" t="e">
        <f t="shared" si="65"/>
        <v>#NUM!</v>
      </c>
      <c r="CD113" s="60">
        <f ca="1">AVERAGE(OFFSET($CC$3,0,0,'Données projet'!$E$12+1,1))-AVERAGE(OFFSET($H$3,0,0,'Données projet'!$E$12+1,1))</f>
        <v>104.00159056395933</v>
      </c>
      <c r="CE113" s="60">
        <f t="shared" si="94"/>
        <v>115.86489547584461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54.874916551575616</v>
      </c>
      <c r="CL113" s="23">
        <f>EXP(-LN(2)/25)*CL112+(1-EXP(-LN(2)/25))/(LN(2)/25)*Calculateur!CG113*Calculateur!CI113*VLOOKUP('Données projet'!$B$12,Paramètres!$A$1:$I$88,3,0)*0.475*44/12</f>
        <v>8.2687027836427696</v>
      </c>
      <c r="CM113" s="23">
        <f>EXP(-LN(2)/2)*CM112+(1-EXP(-LN(2)/2))/(LN(2)/2)*CG113*CJ113*VLOOKUP('Données projet'!$B$12,Paramètres!$A$1:$I$88,3,0)*0.475*44/12</f>
        <v>1.8308759118063688E-5</v>
      </c>
      <c r="CN113" s="24">
        <f t="shared" si="66"/>
        <v>63.143637643977506</v>
      </c>
      <c r="CO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projet'!$B$13,Paramètres!$A$1:$I$88,3,0)*VLOOKUP('Données projet'!$B$13,Paramètres!$A$1:$I$88,5,0)</f>
        <v>#N/A</v>
      </c>
      <c r="CV113" s="14" t="e">
        <f t="shared" si="95"/>
        <v>#N/A</v>
      </c>
      <c r="CW113" s="22" t="e">
        <f t="shared" si="67"/>
        <v>#N/A</v>
      </c>
      <c r="CX113" s="60" t="e">
        <f t="shared" si="68"/>
        <v>#N/A</v>
      </c>
      <c r="CY113" s="60" t="e">
        <f ca="1">AVERAGE(OFFSET($CX$3,0,0,'Données projet'!$E$13+1,1))-AVERAGE(OFFSET($H$3,0,0,'Données projet'!$E$13+1,1))</f>
        <v>#N/A</v>
      </c>
      <c r="CZ113" s="60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projet'!$B$13,Paramètres!$A$1:$I$88,3,0)*0.475*44/12</f>
        <v>#N/A</v>
      </c>
      <c r="DG113" s="23" t="e">
        <f>EXP(-LN(2)/25)*DG112+(1-EXP(-LN(2)/25))/(LN(2)/25)*Calculateur!DB113*Calculateur!DD113*VLOOKUP('Données projet'!$B$13,Paramètres!$A$1:$I$88,3,0)*0.475*44/12</f>
        <v>#N/A</v>
      </c>
      <c r="DH113" s="23" t="e">
        <f>EXP(-LN(2)/2)*DH112+(1-EXP(-LN(2)/2))/(LN(2)/2)*DB113*DE113*VLOOKUP('Données projet'!$B$13,Paramètres!$A$1:$I$88,3,0)*0.475*44/12</f>
        <v>#N/A</v>
      </c>
      <c r="DI113" s="24" t="e">
        <f t="shared" si="69"/>
        <v>#N/A</v>
      </c>
      <c r="DJ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0" t="e">
        <f t="shared" si="71"/>
        <v>#N/A</v>
      </c>
      <c r="DT113" s="60" t="e">
        <f ca="1">AVERAGE(OFFSET($DS$3,0,0,'Données projet'!$E$14+1,1))-AVERAGE(OFFSET($H$3,0,0,'Données projet'!$E$14+1,1))</f>
        <v>#N/A</v>
      </c>
      <c r="DU113" s="60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4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98.701200000000171</v>
      </c>
      <c r="D114" s="12">
        <f t="shared" si="86"/>
        <v>26.65234132809799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4.5474735088646412E-13</v>
      </c>
      <c r="O114" s="14">
        <f>N114*VLOOKUP('Données projet'!$B$9,Paramètres!$A$1:$I$88,3,0)*VLOOKUP('Données projet'!$B$9,Paramètres!$A$1:$I$88,5,0)</f>
        <v>2.7193891583010558E-13</v>
      </c>
      <c r="P114" s="14">
        <f t="shared" si="87"/>
        <v>3.6362267729089988E-12</v>
      </c>
      <c r="Q114" s="22">
        <f t="shared" si="107"/>
        <v>6.8067219078872727E-12</v>
      </c>
      <c r="R114" s="60">
        <f t="shared" si="55"/>
        <v>293.33333333334014</v>
      </c>
      <c r="S114" s="60">
        <f ca="1">AVERAGE(OFFSET($R$3,0,0,'Données projet'!$E$9+1,1))-AVERAGE(OFFSET($H$3,0,0,'Données projet'!$E$9+1,1))</f>
        <v>181.84907943028196</v>
      </c>
      <c r="T114" s="60">
        <f t="shared" si="88"/>
        <v>199.66849909069458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47.38640061685787</v>
      </c>
      <c r="AA114" s="23">
        <f>EXP(-LN(2)/25)*AA113+(1-EXP(-LN(2)/25))/(LN(2)/25)*Calculateur!V114*Calculateur!X114*VLOOKUP('Données projet'!$B$9,Paramètres!$A$1:$I$88,3,0)*0.475*44/12</f>
        <v>7.390378572549043</v>
      </c>
      <c r="AB114" s="23">
        <f>EXP(-LN(2)/2)*AB113+(1-EXP(-LN(2)/2))/(LN(2)/2)*V114*Y114*VLOOKUP('Données projet'!$B$9,Paramètres!$A$1:$I$88,3,0)*0.475*44/12</f>
        <v>5.0098103871291924E-7</v>
      </c>
      <c r="AC114" s="24">
        <f t="shared" si="57"/>
        <v>54.776779690387947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projet'!$B$10,Paramètres!$A$1:$I$88,3,0)*VLOOKUP('Données projet'!$B$10,Paramètres!$A$1:$I$88,5,0)</f>
        <v>0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55.581964048431473</v>
      </c>
      <c r="AO114" s="60">
        <f t="shared" si="90"/>
        <v>91.067506141193803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8.8646830024209464</v>
      </c>
      <c r="AV114" s="23">
        <f>EXP(-LN(2)/25)*AV113+(1-EXP(-LN(2)/25))/(LN(2)/25)*Calculateur!AQ114*Calculateur!AS114*VLOOKUP('Données projet'!$B$10,Paramètres!$A$1:$I$88,3,0)*0.475*44/12</f>
        <v>0</v>
      </c>
      <c r="AW114" s="23">
        <f>EXP(-LN(2)/2)*AW113+(1-EXP(-LN(2)/2))/(LN(2)/2)*AQ114*AT114*VLOOKUP('Données projet'!$B$10,Paramètres!$A$1:$I$88,3,0)*0.475*44/12</f>
        <v>0</v>
      </c>
      <c r="AX114" s="23">
        <f t="shared" si="60"/>
        <v>8.8646830024209464</v>
      </c>
      <c r="AY114" s="7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</v>
      </c>
      <c r="BD114" s="13">
        <f>IF('Données projet'!$A$88&gt;35,BD113+BC114-BL113,IF(A114&lt;'Données projet'!$A$88,$BA$205^A114,IF(A114='Données projet'!$A$88,'Données projet'!$B$88,BD113+BC114-BL113)))</f>
        <v>185.00000000000037</v>
      </c>
      <c r="BE114" s="14">
        <f>BD114*VLOOKUP('Données projet'!$B$11,Paramètres!$A$1:$I$88,3,0)*VLOOKUP('Données projet'!$B$11,Paramètres!$A$1:$I$88,5,0)</f>
        <v>187.59000000000037</v>
      </c>
      <c r="BF114" s="14">
        <f t="shared" si="91"/>
        <v>47.006740863164097</v>
      </c>
      <c r="BG114" s="22">
        <f t="shared" si="61"/>
        <v>408.58932367001148</v>
      </c>
      <c r="BH114" s="60">
        <f t="shared" si="62"/>
        <v>701.92265700334474</v>
      </c>
      <c r="BI114" s="60">
        <f ca="1">AVERAGE(OFFSET($BH$3,0,0,'Données projet'!$E$11+1,1))-AVERAGE(OFFSET($H$3,0,0,'Données projet'!$E$11+1,1))</f>
        <v>178.29366134936788</v>
      </c>
      <c r="BJ114" s="60">
        <f t="shared" si="92"/>
        <v>85.818195717787148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16.156309515044189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16.156309515044189</v>
      </c>
      <c r="BT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projet'!$B$12,Paramètres!$A$1:$I$88,3,0)*VLOOKUP('Données projet'!$B$12,Paramètres!$A$1:$I$88,5,0)</f>
        <v>0</v>
      </c>
      <c r="CA114" s="14" t="e">
        <f t="shared" si="93"/>
        <v>#NUM!</v>
      </c>
      <c r="CB114" s="22" t="e">
        <f t="shared" si="64"/>
        <v>#NUM!</v>
      </c>
      <c r="CC114" s="60" t="e">
        <f t="shared" si="65"/>
        <v>#NUM!</v>
      </c>
      <c r="CD114" s="60">
        <f ca="1">AVERAGE(OFFSET($CC$3,0,0,'Données projet'!$E$12+1,1))-AVERAGE(OFFSET($H$3,0,0,'Données projet'!$E$12+1,1))</f>
        <v>104.00159056395933</v>
      </c>
      <c r="CE114" s="60">
        <f t="shared" si="94"/>
        <v>115.86489547584461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53.798852908393386</v>
      </c>
      <c r="CL114" s="23">
        <f>EXP(-LN(2)/25)*CL113+(1-EXP(-LN(2)/25))/(LN(2)/25)*Calculateur!CG114*Calculateur!CI114*VLOOKUP('Données projet'!$B$12,Paramètres!$A$1:$I$88,3,0)*0.475*44/12</f>
        <v>8.0425946711918765</v>
      </c>
      <c r="CM114" s="23">
        <f>EXP(-LN(2)/2)*CM113+(1-EXP(-LN(2)/2))/(LN(2)/2)*CG114*CJ114*VLOOKUP('Données projet'!$B$12,Paramètres!$A$1:$I$88,3,0)*0.475*44/12</f>
        <v>1.2946247727493867E-5</v>
      </c>
      <c r="CN114" s="24">
        <f t="shared" si="66"/>
        <v>61.841460525832993</v>
      </c>
      <c r="CO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projet'!$B$13,Paramètres!$A$1:$I$88,3,0)*VLOOKUP('Données projet'!$B$13,Paramètres!$A$1:$I$88,5,0)</f>
        <v>#N/A</v>
      </c>
      <c r="CV114" s="14" t="e">
        <f t="shared" si="95"/>
        <v>#N/A</v>
      </c>
      <c r="CW114" s="22" t="e">
        <f t="shared" si="67"/>
        <v>#N/A</v>
      </c>
      <c r="CX114" s="60" t="e">
        <f t="shared" si="68"/>
        <v>#N/A</v>
      </c>
      <c r="CY114" s="60" t="e">
        <f ca="1">AVERAGE(OFFSET($CX$3,0,0,'Données projet'!$E$13+1,1))-AVERAGE(OFFSET($H$3,0,0,'Données projet'!$E$13+1,1))</f>
        <v>#N/A</v>
      </c>
      <c r="CZ114" s="60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projet'!$B$13,Paramètres!$A$1:$I$88,3,0)*0.475*44/12</f>
        <v>#N/A</v>
      </c>
      <c r="DG114" s="23" t="e">
        <f>EXP(-LN(2)/25)*DG113+(1-EXP(-LN(2)/25))/(LN(2)/25)*Calculateur!DB114*Calculateur!DD114*VLOOKUP('Données projet'!$B$13,Paramètres!$A$1:$I$88,3,0)*0.475*44/12</f>
        <v>#N/A</v>
      </c>
      <c r="DH114" s="23" t="e">
        <f>EXP(-LN(2)/2)*DH113+(1-EXP(-LN(2)/2))/(LN(2)/2)*DB114*DE114*VLOOKUP('Données projet'!$B$13,Paramètres!$A$1:$I$88,3,0)*0.475*44/12</f>
        <v>#N/A</v>
      </c>
      <c r="DI114" s="24" t="e">
        <f t="shared" si="69"/>
        <v>#N/A</v>
      </c>
      <c r="DJ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0" t="e">
        <f t="shared" si="71"/>
        <v>#N/A</v>
      </c>
      <c r="DT114" s="60" t="e">
        <f ca="1">AVERAGE(OFFSET($DS$3,0,0,'Données projet'!$E$14+1,1))-AVERAGE(OFFSET($H$3,0,0,'Données projet'!$E$14+1,1))</f>
        <v>#N/A</v>
      </c>
      <c r="DU114" s="60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4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99.590400000000173</v>
      </c>
      <c r="D115" s="12">
        <f t="shared" si="86"/>
        <v>26.864392698869374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4.5474735088646412E-13</v>
      </c>
      <c r="O115" s="14">
        <f>N115*VLOOKUP('Données projet'!$B$9,Paramètres!$A$1:$I$88,3,0)*VLOOKUP('Données projet'!$B$9,Paramètres!$A$1:$I$88,5,0)</f>
        <v>2.7193891583010558E-13</v>
      </c>
      <c r="P115" s="14">
        <f t="shared" si="87"/>
        <v>3.6362267729089988E-12</v>
      </c>
      <c r="Q115" s="22">
        <f t="shared" si="107"/>
        <v>6.8067219078872727E-12</v>
      </c>
      <c r="R115" s="60">
        <f t="shared" si="55"/>
        <v>293.33333333334014</v>
      </c>
      <c r="S115" s="60">
        <f ca="1">AVERAGE(OFFSET($R$3,0,0,'Données projet'!$E$9+1,1))-AVERAGE(OFFSET($H$3,0,0,'Données projet'!$E$9+1,1))</f>
        <v>181.84907943028196</v>
      </c>
      <c r="T115" s="60">
        <f t="shared" si="88"/>
        <v>199.66849909069458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46.457182203611744</v>
      </c>
      <c r="AA115" s="23">
        <f>EXP(-LN(2)/25)*AA114+(1-EXP(-LN(2)/25))/(LN(2)/25)*Calculateur!V115*Calculateur!X115*VLOOKUP('Données projet'!$B$9,Paramètres!$A$1:$I$88,3,0)*0.475*44/12</f>
        <v>7.1882882818395712</v>
      </c>
      <c r="AB115" s="23">
        <f>EXP(-LN(2)/2)*AB114+(1-EXP(-LN(2)/2))/(LN(2)/2)*V115*Y115*VLOOKUP('Données projet'!$B$9,Paramètres!$A$1:$I$88,3,0)*0.475*44/12</f>
        <v>3.5424708971978548E-7</v>
      </c>
      <c r="AC115" s="24">
        <f t="shared" si="57"/>
        <v>53.645470839698405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projet'!$B$10,Paramètres!$A$1:$I$88,3,0)*VLOOKUP('Données projet'!$B$10,Paramètres!$A$1:$I$88,5,0)</f>
        <v>0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55.581964048431473</v>
      </c>
      <c r="AO115" s="60">
        <f t="shared" si="90"/>
        <v>91.067506141193803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8.690851975666213</v>
      </c>
      <c r="AV115" s="23">
        <f>EXP(-LN(2)/25)*AV114+(1-EXP(-LN(2)/25))/(LN(2)/25)*Calculateur!AQ115*Calculateur!AS115*VLOOKUP('Données projet'!$B$10,Paramètres!$A$1:$I$88,3,0)*0.475*44/12</f>
        <v>0</v>
      </c>
      <c r="AW115" s="23">
        <f>EXP(-LN(2)/2)*AW114+(1-EXP(-LN(2)/2))/(LN(2)/2)*AQ115*AT115*VLOOKUP('Données projet'!$B$10,Paramètres!$A$1:$I$88,3,0)*0.475*44/12</f>
        <v>0</v>
      </c>
      <c r="AX115" s="23">
        <f t="shared" si="60"/>
        <v>8.690851975666213</v>
      </c>
      <c r="AY115" s="7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</v>
      </c>
      <c r="BD115" s="13">
        <f>IF('Données projet'!$A$88&gt;35,BD114+BC115-BL114,IF(A115&lt;'Données projet'!$A$88,$BA$205^A115,IF(A115='Données projet'!$A$88,'Données projet'!$B$88,BD114+BC115-BL114)))</f>
        <v>189.00000000000037</v>
      </c>
      <c r="BE115" s="14">
        <f>BD115*VLOOKUP('Données projet'!$B$11,Paramètres!$A$1:$I$88,3,0)*VLOOKUP('Données projet'!$B$11,Paramètres!$A$1:$I$88,5,0)</f>
        <v>191.64600000000038</v>
      </c>
      <c r="BF115" s="14">
        <f t="shared" si="91"/>
        <v>47.90367718929172</v>
      </c>
      <c r="BG115" s="22">
        <f t="shared" si="61"/>
        <v>417.21568777135036</v>
      </c>
      <c r="BH115" s="60">
        <f t="shared" si="62"/>
        <v>710.54902110468367</v>
      </c>
      <c r="BI115" s="60">
        <f ca="1">AVERAGE(OFFSET($BH$3,0,0,'Données projet'!$E$11+1,1))-AVERAGE(OFFSET($H$3,0,0,'Données projet'!$E$11+1,1))</f>
        <v>178.29366134936788</v>
      </c>
      <c r="BJ115" s="60">
        <f t="shared" si="92"/>
        <v>85.818195717787148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15.839494139829938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15.839494139829938</v>
      </c>
      <c r="BT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projet'!$B$12,Paramètres!$A$1:$I$88,3,0)*VLOOKUP('Données projet'!$B$12,Paramètres!$A$1:$I$88,5,0)</f>
        <v>0</v>
      </c>
      <c r="CA115" s="14" t="e">
        <f t="shared" si="93"/>
        <v>#NUM!</v>
      </c>
      <c r="CB115" s="22" t="e">
        <f t="shared" si="64"/>
        <v>#NUM!</v>
      </c>
      <c r="CC115" s="60" t="e">
        <f t="shared" si="65"/>
        <v>#NUM!</v>
      </c>
      <c r="CD115" s="60">
        <f ca="1">AVERAGE(OFFSET($CC$3,0,0,'Données projet'!$E$12+1,1))-AVERAGE(OFFSET($H$3,0,0,'Données projet'!$E$12+1,1))</f>
        <v>104.00159056395933</v>
      </c>
      <c r="CE115" s="60">
        <f t="shared" si="94"/>
        <v>115.86489547584461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52.743890216919944</v>
      </c>
      <c r="CL115" s="23">
        <f>EXP(-LN(2)/25)*CL114+(1-EXP(-LN(2)/25))/(LN(2)/25)*Calculateur!CG115*Calculateur!CI115*VLOOKUP('Données projet'!$B$12,Paramètres!$A$1:$I$88,3,0)*0.475*44/12</f>
        <v>7.8226694969664621</v>
      </c>
      <c r="CM115" s="23">
        <f>EXP(-LN(2)/2)*CM114+(1-EXP(-LN(2)/2))/(LN(2)/2)*CG115*CJ115*VLOOKUP('Données projet'!$B$12,Paramètres!$A$1:$I$88,3,0)*0.475*44/12</f>
        <v>9.1543795590318442E-6</v>
      </c>
      <c r="CN115" s="24">
        <f t="shared" si="66"/>
        <v>60.566568868265968</v>
      </c>
      <c r="CO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projet'!$B$13,Paramètres!$A$1:$I$88,3,0)*VLOOKUP('Données projet'!$B$13,Paramètres!$A$1:$I$88,5,0)</f>
        <v>#N/A</v>
      </c>
      <c r="CV115" s="14" t="e">
        <f t="shared" si="95"/>
        <v>#N/A</v>
      </c>
      <c r="CW115" s="22" t="e">
        <f t="shared" si="67"/>
        <v>#N/A</v>
      </c>
      <c r="CX115" s="60" t="e">
        <f t="shared" si="68"/>
        <v>#N/A</v>
      </c>
      <c r="CY115" s="60" t="e">
        <f ca="1">AVERAGE(OFFSET($CX$3,0,0,'Données projet'!$E$13+1,1))-AVERAGE(OFFSET($H$3,0,0,'Données projet'!$E$13+1,1))</f>
        <v>#N/A</v>
      </c>
      <c r="CZ115" s="60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projet'!$B$13,Paramètres!$A$1:$I$88,3,0)*0.475*44/12</f>
        <v>#N/A</v>
      </c>
      <c r="DG115" s="23" t="e">
        <f>EXP(-LN(2)/25)*DG114+(1-EXP(-LN(2)/25))/(LN(2)/25)*Calculateur!DB115*Calculateur!DD115*VLOOKUP('Données projet'!$B$13,Paramètres!$A$1:$I$88,3,0)*0.475*44/12</f>
        <v>#N/A</v>
      </c>
      <c r="DH115" s="23" t="e">
        <f>EXP(-LN(2)/2)*DH114+(1-EXP(-LN(2)/2))/(LN(2)/2)*DB115*DE115*VLOOKUP('Données projet'!$B$13,Paramètres!$A$1:$I$88,3,0)*0.475*44/12</f>
        <v>#N/A</v>
      </c>
      <c r="DI115" s="24" t="e">
        <f t="shared" si="69"/>
        <v>#N/A</v>
      </c>
      <c r="DJ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0" t="e">
        <f t="shared" si="71"/>
        <v>#N/A</v>
      </c>
      <c r="DT115" s="60" t="e">
        <f ca="1">AVERAGE(OFFSET($DS$3,0,0,'Données projet'!$E$14+1,1))-AVERAGE(OFFSET($H$3,0,0,'Données projet'!$E$14+1,1))</f>
        <v>#N/A</v>
      </c>
      <c r="DU115" s="60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4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100.47960000000018</v>
      </c>
      <c r="D116" s="12">
        <f t="shared" si="86"/>
        <v>27.076223799065254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4.5474735088646412E-13</v>
      </c>
      <c r="O116" s="14">
        <f>N116*VLOOKUP('Données projet'!$B$9,Paramètres!$A$1:$I$88,3,0)*VLOOKUP('Données projet'!$B$9,Paramètres!$A$1:$I$88,5,0)</f>
        <v>2.7193891583010558E-13</v>
      </c>
      <c r="P116" s="14">
        <f t="shared" si="87"/>
        <v>3.6362267729089988E-12</v>
      </c>
      <c r="Q116" s="22">
        <f t="shared" si="107"/>
        <v>6.8067219078872727E-12</v>
      </c>
      <c r="R116" s="60">
        <f t="shared" si="55"/>
        <v>293.33333333334014</v>
      </c>
      <c r="S116" s="60">
        <f ca="1">AVERAGE(OFFSET($R$3,0,0,'Données projet'!$E$9+1,1))-AVERAGE(OFFSET($H$3,0,0,'Données projet'!$E$9+1,1))</f>
        <v>181.84907943028196</v>
      </c>
      <c r="T116" s="60">
        <f t="shared" si="88"/>
        <v>199.66849909069458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45.546185196682103</v>
      </c>
      <c r="AA116" s="23">
        <f>EXP(-LN(2)/25)*AA115+(1-EXP(-LN(2)/25))/(LN(2)/25)*Calculateur!V116*Calculateur!X116*VLOOKUP('Données projet'!$B$9,Paramètres!$A$1:$I$88,3,0)*0.475*44/12</f>
        <v>6.9917241607570162</v>
      </c>
      <c r="AB116" s="23">
        <f>EXP(-LN(2)/2)*AB115+(1-EXP(-LN(2)/2))/(LN(2)/2)*V116*Y116*VLOOKUP('Données projet'!$B$9,Paramètres!$A$1:$I$88,3,0)*0.475*44/12</f>
        <v>2.5049051935645962E-7</v>
      </c>
      <c r="AC116" s="24">
        <f t="shared" si="57"/>
        <v>52.537909607929642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projet'!$B$10,Paramètres!$A$1:$I$88,3,0)*VLOOKUP('Données projet'!$B$10,Paramètres!$A$1:$I$88,5,0)</f>
        <v>0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55.581964048431473</v>
      </c>
      <c r="AO116" s="60">
        <f t="shared" si="90"/>
        <v>91.067506141193803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8.5204296693196842</v>
      </c>
      <c r="AV116" s="23">
        <f>EXP(-LN(2)/25)*AV115+(1-EXP(-LN(2)/25))/(LN(2)/25)*Calculateur!AQ116*Calculateur!AS116*VLOOKUP('Données projet'!$B$10,Paramètres!$A$1:$I$88,3,0)*0.475*44/12</f>
        <v>0</v>
      </c>
      <c r="AW116" s="23">
        <f>EXP(-LN(2)/2)*AW115+(1-EXP(-LN(2)/2))/(LN(2)/2)*AQ116*AT116*VLOOKUP('Données projet'!$B$10,Paramètres!$A$1:$I$88,3,0)*0.475*44/12</f>
        <v>0</v>
      </c>
      <c r="AX116" s="23">
        <f t="shared" si="60"/>
        <v>8.5204296693196842</v>
      </c>
      <c r="AY116" s="7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</v>
      </c>
      <c r="BD116" s="13">
        <f>IF('Données projet'!$A$88&gt;35,BD115+BC116-BL115,IF(A116&lt;'Données projet'!$A$88,$BA$205^A116,IF(A116='Données projet'!$A$88,'Données projet'!$B$88,BD115+BC116-BL115)))</f>
        <v>193.00000000000037</v>
      </c>
      <c r="BE116" s="14">
        <f>BD116*VLOOKUP('Données projet'!$B$11,Paramètres!$A$1:$I$88,3,0)*VLOOKUP('Données projet'!$B$11,Paramètres!$A$1:$I$88,5,0)</f>
        <v>195.7020000000004</v>
      </c>
      <c r="BF116" s="14">
        <f t="shared" si="91"/>
        <v>48.798406465169926</v>
      </c>
      <c r="BG116" s="22">
        <f t="shared" si="61"/>
        <v>425.83820792683832</v>
      </c>
      <c r="BH116" s="60">
        <f t="shared" si="62"/>
        <v>719.17154126017158</v>
      </c>
      <c r="BI116" s="60">
        <f ca="1">AVERAGE(OFFSET($BH$3,0,0,'Données projet'!$E$11+1,1))-AVERAGE(OFFSET($H$3,0,0,'Données projet'!$E$11+1,1))</f>
        <v>178.29366134936788</v>
      </c>
      <c r="BJ116" s="60">
        <f t="shared" si="92"/>
        <v>85.818195717787148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15.528891320885339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15.528891320885339</v>
      </c>
      <c r="BT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projet'!$B$12,Paramètres!$A$1:$I$88,3,0)*VLOOKUP('Données projet'!$B$12,Paramètres!$A$1:$I$88,5,0)</f>
        <v>0</v>
      </c>
      <c r="CA116" s="14" t="e">
        <f t="shared" si="93"/>
        <v>#NUM!</v>
      </c>
      <c r="CB116" s="22" t="e">
        <f t="shared" si="64"/>
        <v>#NUM!</v>
      </c>
      <c r="CC116" s="60" t="e">
        <f t="shared" si="65"/>
        <v>#NUM!</v>
      </c>
      <c r="CD116" s="60">
        <f ca="1">AVERAGE(OFFSET($CC$3,0,0,'Données projet'!$E$12+1,1))-AVERAGE(OFFSET($H$3,0,0,'Données projet'!$E$12+1,1))</f>
        <v>104.00159056395933</v>
      </c>
      <c r="CE116" s="60">
        <f t="shared" si="94"/>
        <v>115.86489547584461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51.709614700362593</v>
      </c>
      <c r="CL116" s="23">
        <f>EXP(-LN(2)/25)*CL115+(1-EXP(-LN(2)/25))/(LN(2)/25)*Calculateur!CG116*Calculateur!CI116*VLOOKUP('Données projet'!$B$12,Paramètres!$A$1:$I$88,3,0)*0.475*44/12</f>
        <v>7.6087581881956039</v>
      </c>
      <c r="CM116" s="23">
        <f>EXP(-LN(2)/2)*CM115+(1-EXP(-LN(2)/2))/(LN(2)/2)*CG116*CJ116*VLOOKUP('Données projet'!$B$12,Paramètres!$A$1:$I$88,3,0)*0.475*44/12</f>
        <v>6.4731238637469337E-6</v>
      </c>
      <c r="CN116" s="24">
        <f t="shared" si="66"/>
        <v>59.318379361682055</v>
      </c>
      <c r="CO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projet'!$B$13,Paramètres!$A$1:$I$88,3,0)*VLOOKUP('Données projet'!$B$13,Paramètres!$A$1:$I$88,5,0)</f>
        <v>#N/A</v>
      </c>
      <c r="CV116" s="14" t="e">
        <f t="shared" si="95"/>
        <v>#N/A</v>
      </c>
      <c r="CW116" s="22" t="e">
        <f t="shared" si="67"/>
        <v>#N/A</v>
      </c>
      <c r="CX116" s="60" t="e">
        <f t="shared" si="68"/>
        <v>#N/A</v>
      </c>
      <c r="CY116" s="60" t="e">
        <f ca="1">AVERAGE(OFFSET($CX$3,0,0,'Données projet'!$E$13+1,1))-AVERAGE(OFFSET($H$3,0,0,'Données projet'!$E$13+1,1))</f>
        <v>#N/A</v>
      </c>
      <c r="CZ116" s="60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projet'!$B$13,Paramètres!$A$1:$I$88,3,0)*0.475*44/12</f>
        <v>#N/A</v>
      </c>
      <c r="DG116" s="23" t="e">
        <f>EXP(-LN(2)/25)*DG115+(1-EXP(-LN(2)/25))/(LN(2)/25)*Calculateur!DB116*Calculateur!DD116*VLOOKUP('Données projet'!$B$13,Paramètres!$A$1:$I$88,3,0)*0.475*44/12</f>
        <v>#N/A</v>
      </c>
      <c r="DH116" s="23" t="e">
        <f>EXP(-LN(2)/2)*DH115+(1-EXP(-LN(2)/2))/(LN(2)/2)*DB116*DE116*VLOOKUP('Données projet'!$B$13,Paramètres!$A$1:$I$88,3,0)*0.475*44/12</f>
        <v>#N/A</v>
      </c>
      <c r="DI116" s="24" t="e">
        <f t="shared" si="69"/>
        <v>#N/A</v>
      </c>
      <c r="DJ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0" t="e">
        <f t="shared" si="71"/>
        <v>#N/A</v>
      </c>
      <c r="DT116" s="60" t="e">
        <f ca="1">AVERAGE(OFFSET($DS$3,0,0,'Données projet'!$E$14+1,1))-AVERAGE(OFFSET($H$3,0,0,'Données projet'!$E$14+1,1))</f>
        <v>#N/A</v>
      </c>
      <c r="DU116" s="60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4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101.36880000000018</v>
      </c>
      <c r="D117" s="12">
        <f t="shared" si="86"/>
        <v>27.287836803817498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4.5474735088646412E-13</v>
      </c>
      <c r="O117" s="14">
        <f>N117*VLOOKUP('Données projet'!$B$9,Paramètres!$A$1:$I$88,3,0)*VLOOKUP('Données projet'!$B$9,Paramètres!$A$1:$I$88,5,0)</f>
        <v>2.7193891583010558E-13</v>
      </c>
      <c r="P117" s="14">
        <f t="shared" si="87"/>
        <v>3.6362267729089988E-12</v>
      </c>
      <c r="Q117" s="22">
        <f t="shared" si="107"/>
        <v>6.8067219078872727E-12</v>
      </c>
      <c r="R117" s="60">
        <f t="shared" si="55"/>
        <v>293.33333333334014</v>
      </c>
      <c r="S117" s="60">
        <f ca="1">AVERAGE(OFFSET($R$3,0,0,'Données projet'!$E$9+1,1))-AVERAGE(OFFSET($H$3,0,0,'Données projet'!$E$9+1,1))</f>
        <v>181.84907943028196</v>
      </c>
      <c r="T117" s="60">
        <f t="shared" si="88"/>
        <v>199.66849909069458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44.653052285405046</v>
      </c>
      <c r="AA117" s="23">
        <f>EXP(-LN(2)/25)*AA116+(1-EXP(-LN(2)/25))/(LN(2)/25)*Calculateur!V117*Calculateur!X117*VLOOKUP('Données projet'!$B$9,Paramètres!$A$1:$I$88,3,0)*0.475*44/12</f>
        <v>6.8005350959023216</v>
      </c>
      <c r="AB117" s="23">
        <f>EXP(-LN(2)/2)*AB116+(1-EXP(-LN(2)/2))/(LN(2)/2)*V117*Y117*VLOOKUP('Données projet'!$B$9,Paramètres!$A$1:$I$88,3,0)*0.475*44/12</f>
        <v>1.7712354485989274E-7</v>
      </c>
      <c r="AC117" s="24">
        <f t="shared" si="57"/>
        <v>51.453587558430911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projet'!$B$10,Paramètres!$A$1:$I$88,3,0)*VLOOKUP('Données projet'!$B$10,Paramètres!$A$1:$I$88,5,0)</f>
        <v>0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55.581964048431473</v>
      </c>
      <c r="AO117" s="60">
        <f t="shared" si="90"/>
        <v>91.067506141193803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8.3533492404532677</v>
      </c>
      <c r="AV117" s="23">
        <f>EXP(-LN(2)/25)*AV116+(1-EXP(-LN(2)/25))/(LN(2)/25)*Calculateur!AQ117*Calculateur!AS117*VLOOKUP('Données projet'!$B$10,Paramètres!$A$1:$I$88,3,0)*0.475*44/12</f>
        <v>0</v>
      </c>
      <c r="AW117" s="23">
        <f>EXP(-LN(2)/2)*AW116+(1-EXP(-LN(2)/2))/(LN(2)/2)*AQ117*AT117*VLOOKUP('Données projet'!$B$10,Paramètres!$A$1:$I$88,3,0)*0.475*44/12</f>
        <v>0</v>
      </c>
      <c r="AX117" s="23">
        <f t="shared" si="60"/>
        <v>8.3533492404532677</v>
      </c>
      <c r="AY117" s="7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</v>
      </c>
      <c r="BD117" s="13">
        <f>IF('Données projet'!$A$88&gt;35,BD116+BC117-BL116,IF(A117&lt;'Données projet'!$A$88,$BA$205^A117,IF(A117='Données projet'!$A$88,'Données projet'!$B$88,BD116+BC117-BL116)))</f>
        <v>197.00000000000037</v>
      </c>
      <c r="BE117" s="14">
        <f>BD117*VLOOKUP('Données projet'!$B$11,Paramètres!$A$1:$I$88,3,0)*VLOOKUP('Données projet'!$B$11,Paramètres!$A$1:$I$88,5,0)</f>
        <v>199.75800000000038</v>
      </c>
      <c r="BF117" s="14">
        <f t="shared" si="91"/>
        <v>49.690979702964057</v>
      </c>
      <c r="BG117" s="22">
        <f t="shared" si="61"/>
        <v>434.45697298266305</v>
      </c>
      <c r="BH117" s="60">
        <f t="shared" si="62"/>
        <v>727.7903063159963</v>
      </c>
      <c r="BI117" s="60">
        <f ca="1">AVERAGE(OFFSET($BH$3,0,0,'Données projet'!$E$11+1,1))-AVERAGE(OFFSET($H$3,0,0,'Données projet'!$E$11+1,1))</f>
        <v>178.29366134936788</v>
      </c>
      <c r="BJ117" s="60">
        <f t="shared" si="92"/>
        <v>85.818195717787148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15.224379233771232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15.224379233771232</v>
      </c>
      <c r="BT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projet'!$B$12,Paramètres!$A$1:$I$88,3,0)*VLOOKUP('Données projet'!$B$12,Paramètres!$A$1:$I$88,5,0)</f>
        <v>0</v>
      </c>
      <c r="CA117" s="14" t="e">
        <f t="shared" si="93"/>
        <v>#NUM!</v>
      </c>
      <c r="CB117" s="22" t="e">
        <f t="shared" si="64"/>
        <v>#NUM!</v>
      </c>
      <c r="CC117" s="60" t="e">
        <f t="shared" si="65"/>
        <v>#NUM!</v>
      </c>
      <c r="CD117" s="60">
        <f ca="1">AVERAGE(OFFSET($CC$3,0,0,'Données projet'!$E$12+1,1))-AVERAGE(OFFSET($H$3,0,0,'Données projet'!$E$12+1,1))</f>
        <v>104.00159056395933</v>
      </c>
      <c r="CE117" s="60">
        <f t="shared" si="94"/>
        <v>115.86489547584461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50.69562069583916</v>
      </c>
      <c r="CL117" s="23">
        <f>EXP(-LN(2)/25)*CL116+(1-EXP(-LN(2)/25))/(LN(2)/25)*Calculateur!CG117*Calculateur!CI117*VLOOKUP('Données projet'!$B$12,Paramètres!$A$1:$I$88,3,0)*0.475*44/12</f>
        <v>7.4006962954121924</v>
      </c>
      <c r="CM117" s="23">
        <f>EXP(-LN(2)/2)*CM116+(1-EXP(-LN(2)/2))/(LN(2)/2)*CG117*CJ117*VLOOKUP('Données projet'!$B$12,Paramètres!$A$1:$I$88,3,0)*0.475*44/12</f>
        <v>4.5771897795159221E-6</v>
      </c>
      <c r="CN117" s="24">
        <f t="shared" si="66"/>
        <v>58.096321568441134</v>
      </c>
      <c r="CO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projet'!$B$13,Paramètres!$A$1:$I$88,3,0)*VLOOKUP('Données projet'!$B$13,Paramètres!$A$1:$I$88,5,0)</f>
        <v>#N/A</v>
      </c>
      <c r="CV117" s="14" t="e">
        <f t="shared" si="95"/>
        <v>#N/A</v>
      </c>
      <c r="CW117" s="22" t="e">
        <f t="shared" si="67"/>
        <v>#N/A</v>
      </c>
      <c r="CX117" s="60" t="e">
        <f t="shared" si="68"/>
        <v>#N/A</v>
      </c>
      <c r="CY117" s="60" t="e">
        <f ca="1">AVERAGE(OFFSET($CX$3,0,0,'Données projet'!$E$13+1,1))-AVERAGE(OFFSET($H$3,0,0,'Données projet'!$E$13+1,1))</f>
        <v>#N/A</v>
      </c>
      <c r="CZ117" s="60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projet'!$B$13,Paramètres!$A$1:$I$88,3,0)*0.475*44/12</f>
        <v>#N/A</v>
      </c>
      <c r="DG117" s="23" t="e">
        <f>EXP(-LN(2)/25)*DG116+(1-EXP(-LN(2)/25))/(LN(2)/25)*Calculateur!DB117*Calculateur!DD117*VLOOKUP('Données projet'!$B$13,Paramètres!$A$1:$I$88,3,0)*0.475*44/12</f>
        <v>#N/A</v>
      </c>
      <c r="DH117" s="23" t="e">
        <f>EXP(-LN(2)/2)*DH116+(1-EXP(-LN(2)/2))/(LN(2)/2)*DB117*DE117*VLOOKUP('Données projet'!$B$13,Paramètres!$A$1:$I$88,3,0)*0.475*44/12</f>
        <v>#N/A</v>
      </c>
      <c r="DI117" s="24" t="e">
        <f t="shared" si="69"/>
        <v>#N/A</v>
      </c>
      <c r="DJ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0" t="e">
        <f t="shared" si="71"/>
        <v>#N/A</v>
      </c>
      <c r="DT117" s="60" t="e">
        <f ca="1">AVERAGE(OFFSET($DS$3,0,0,'Données projet'!$E$14+1,1))-AVERAGE(OFFSET($H$3,0,0,'Données projet'!$E$14+1,1))</f>
        <v>#N/A</v>
      </c>
      <c r="DU117" s="60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4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102.25800000000018</v>
      </c>
      <c r="D118" s="12">
        <f t="shared" si="86"/>
        <v>27.499233847895908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4.5474735088646412E-13</v>
      </c>
      <c r="O118" s="14">
        <f>N118*VLOOKUP('Données projet'!$B$9,Paramètres!$A$1:$I$88,3,0)*VLOOKUP('Données projet'!$B$9,Paramètres!$A$1:$I$88,5,0)</f>
        <v>2.7193891583010558E-13</v>
      </c>
      <c r="P118" s="14">
        <f t="shared" si="87"/>
        <v>3.6362267729089988E-12</v>
      </c>
      <c r="Q118" s="22">
        <f t="shared" si="107"/>
        <v>6.8067219078872727E-12</v>
      </c>
      <c r="R118" s="60">
        <f t="shared" si="55"/>
        <v>293.33333333334014</v>
      </c>
      <c r="S118" s="60">
        <f ca="1">AVERAGE(OFFSET($R$3,0,0,'Données projet'!$E$9+1,1))-AVERAGE(OFFSET($H$3,0,0,'Données projet'!$E$9+1,1))</f>
        <v>181.84907943028196</v>
      </c>
      <c r="T118" s="60">
        <f t="shared" si="88"/>
        <v>199.66849909069458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43.777433165760847</v>
      </c>
      <c r="AA118" s="23">
        <f>EXP(-LN(2)/25)*AA117+(1-EXP(-LN(2)/25))/(LN(2)/25)*Calculateur!V118*Calculateur!X118*VLOOKUP('Données projet'!$B$9,Paramètres!$A$1:$I$88,3,0)*0.475*44/12</f>
        <v>6.6145741060802745</v>
      </c>
      <c r="AB118" s="23">
        <f>EXP(-LN(2)/2)*AB117+(1-EXP(-LN(2)/2))/(LN(2)/2)*V118*Y118*VLOOKUP('Données projet'!$B$9,Paramètres!$A$1:$I$88,3,0)*0.475*44/12</f>
        <v>1.2524525967822981E-7</v>
      </c>
      <c r="AC118" s="24">
        <f t="shared" si="57"/>
        <v>50.392007397086381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projet'!$B$10,Paramètres!$A$1:$I$88,3,0)*VLOOKUP('Données projet'!$B$10,Paramètres!$A$1:$I$88,5,0)</f>
        <v>0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55.581964048431473</v>
      </c>
      <c r="AO118" s="60">
        <f t="shared" si="90"/>
        <v>91.067506141193803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8.1895451568879221</v>
      </c>
      <c r="AV118" s="23">
        <f>EXP(-LN(2)/25)*AV117+(1-EXP(-LN(2)/25))/(LN(2)/25)*Calculateur!AQ118*Calculateur!AS118*VLOOKUP('Données projet'!$B$10,Paramètres!$A$1:$I$88,3,0)*0.475*44/12</f>
        <v>0</v>
      </c>
      <c r="AW118" s="23">
        <f>EXP(-LN(2)/2)*AW117+(1-EXP(-LN(2)/2))/(LN(2)/2)*AQ118*AT118*VLOOKUP('Données projet'!$B$10,Paramètres!$A$1:$I$88,3,0)*0.475*44/12</f>
        <v>0</v>
      </c>
      <c r="AX118" s="23">
        <f t="shared" si="60"/>
        <v>8.1895451568879221</v>
      </c>
      <c r="AY118" s="7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4</v>
      </c>
      <c r="BD118" s="13">
        <f>IF('Données projet'!$A$88&gt;35,BD117+BC118-BL117,IF(A118&lt;'Données projet'!$A$88,$BA$205^A118,IF(A118='Données projet'!$A$88,'Données projet'!$B$88,BD117+BC118-BL117)))</f>
        <v>201.00000000000037</v>
      </c>
      <c r="BE118" s="14">
        <f>BD118*VLOOKUP('Données projet'!$B$11,Paramètres!$A$1:$I$88,3,0)*VLOOKUP('Données projet'!$B$11,Paramètres!$A$1:$I$88,5,0)</f>
        <v>203.81400000000036</v>
      </c>
      <c r="BF118" s="14">
        <f t="shared" si="91"/>
        <v>50.581445724851655</v>
      </c>
      <c r="BG118" s="22">
        <f t="shared" si="61"/>
        <v>443.07206797078396</v>
      </c>
      <c r="BH118" s="60">
        <f t="shared" si="62"/>
        <v>736.40540130411728</v>
      </c>
      <c r="BI118" s="60">
        <f ca="1">AVERAGE(OFFSET($BH$3,0,0,'Données projet'!$E$11+1,1))-AVERAGE(OFFSET($H$3,0,0,'Données projet'!$E$11+1,1))</f>
        <v>178.29366134936788</v>
      </c>
      <c r="BJ118" s="60">
        <f t="shared" si="92"/>
        <v>85.818195717787148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14.925838442951399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14.925838442951399</v>
      </c>
      <c r="BT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projet'!$B$12,Paramètres!$A$1:$I$88,3,0)*VLOOKUP('Données projet'!$B$12,Paramètres!$A$1:$I$88,5,0)</f>
        <v>0</v>
      </c>
      <c r="CA118" s="14" t="e">
        <f t="shared" si="93"/>
        <v>#NUM!</v>
      </c>
      <c r="CB118" s="22" t="e">
        <f t="shared" si="64"/>
        <v>#NUM!</v>
      </c>
      <c r="CC118" s="60" t="e">
        <f t="shared" si="65"/>
        <v>#NUM!</v>
      </c>
      <c r="CD118" s="60">
        <f ca="1">AVERAGE(OFFSET($CC$3,0,0,'Données projet'!$E$12+1,1))-AVERAGE(OFFSET($H$3,0,0,'Données projet'!$E$12+1,1))</f>
        <v>104.00159056395933</v>
      </c>
      <c r="CE118" s="60">
        <f t="shared" si="94"/>
        <v>115.86489547584461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49.701510495269154</v>
      </c>
      <c r="CL118" s="23">
        <f>EXP(-LN(2)/25)*CL117+(1-EXP(-LN(2)/25))/(LN(2)/25)*Calculateur!CG118*Calculateur!CI118*VLOOKUP('Données projet'!$B$12,Paramètres!$A$1:$I$88,3,0)*0.475*44/12</f>
        <v>7.1983238660284421</v>
      </c>
      <c r="CM118" s="23">
        <f>EXP(-LN(2)/2)*CM117+(1-EXP(-LN(2)/2))/(LN(2)/2)*CG118*CJ118*VLOOKUP('Données projet'!$B$12,Paramètres!$A$1:$I$88,3,0)*0.475*44/12</f>
        <v>3.2365619318734669E-6</v>
      </c>
      <c r="CN118" s="24">
        <f t="shared" si="66"/>
        <v>56.899837597859523</v>
      </c>
      <c r="CO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projet'!$B$13,Paramètres!$A$1:$I$88,3,0)*VLOOKUP('Données projet'!$B$13,Paramètres!$A$1:$I$88,5,0)</f>
        <v>#N/A</v>
      </c>
      <c r="CV118" s="14" t="e">
        <f t="shared" si="95"/>
        <v>#N/A</v>
      </c>
      <c r="CW118" s="22" t="e">
        <f t="shared" si="67"/>
        <v>#N/A</v>
      </c>
      <c r="CX118" s="60" t="e">
        <f t="shared" si="68"/>
        <v>#N/A</v>
      </c>
      <c r="CY118" s="60" t="e">
        <f ca="1">AVERAGE(OFFSET($CX$3,0,0,'Données projet'!$E$13+1,1))-AVERAGE(OFFSET($H$3,0,0,'Données projet'!$E$13+1,1))</f>
        <v>#N/A</v>
      </c>
      <c r="CZ118" s="60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projet'!$B$13,Paramètres!$A$1:$I$88,3,0)*0.475*44/12</f>
        <v>#N/A</v>
      </c>
      <c r="DG118" s="23" t="e">
        <f>EXP(-LN(2)/25)*DG117+(1-EXP(-LN(2)/25))/(LN(2)/25)*Calculateur!DB118*Calculateur!DD118*VLOOKUP('Données projet'!$B$13,Paramètres!$A$1:$I$88,3,0)*0.475*44/12</f>
        <v>#N/A</v>
      </c>
      <c r="DH118" s="23" t="e">
        <f>EXP(-LN(2)/2)*DH117+(1-EXP(-LN(2)/2))/(LN(2)/2)*DB118*DE118*VLOOKUP('Données projet'!$B$13,Paramètres!$A$1:$I$88,3,0)*0.475*44/12</f>
        <v>#N/A</v>
      </c>
      <c r="DI118" s="24" t="e">
        <f t="shared" si="69"/>
        <v>#N/A</v>
      </c>
      <c r="DJ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0" t="e">
        <f t="shared" si="71"/>
        <v>#N/A</v>
      </c>
      <c r="DT118" s="60" t="e">
        <f ca="1">AVERAGE(OFFSET($DS$3,0,0,'Données projet'!$E$14+1,1))-AVERAGE(OFFSET($H$3,0,0,'Données projet'!$E$14+1,1))</f>
        <v>#N/A</v>
      </c>
      <c r="DU118" s="60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4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103.14720000000018</v>
      </c>
      <c r="D119" s="12">
        <f t="shared" si="86"/>
        <v>27.710417026801501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4.5474735088646412E-13</v>
      </c>
      <c r="O119" s="14">
        <f>N119*VLOOKUP('Données projet'!$B$9,Paramètres!$A$1:$I$88,3,0)*VLOOKUP('Données projet'!$B$9,Paramètres!$A$1:$I$88,5,0)</f>
        <v>2.7193891583010558E-13</v>
      </c>
      <c r="P119" s="14">
        <f t="shared" si="87"/>
        <v>3.6362267729089988E-12</v>
      </c>
      <c r="Q119" s="22">
        <f t="shared" si="107"/>
        <v>6.8067219078872727E-12</v>
      </c>
      <c r="R119" s="60">
        <f t="shared" si="55"/>
        <v>293.33333333334014</v>
      </c>
      <c r="S119" s="60">
        <f ca="1">AVERAGE(OFFSET($R$3,0,0,'Données projet'!$E$9+1,1))-AVERAGE(OFFSET($H$3,0,0,'Données projet'!$E$9+1,1))</f>
        <v>181.84907943028196</v>
      </c>
      <c r="T119" s="60">
        <f t="shared" si="88"/>
        <v>199.66849909069458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42.918984402977941</v>
      </c>
      <c r="AA119" s="23">
        <f>EXP(-LN(2)/25)*AA118+(1-EXP(-LN(2)/25))/(LN(2)/25)*Calculateur!V119*Calculateur!X119*VLOOKUP('Données projet'!$B$9,Paramètres!$A$1:$I$88,3,0)*0.475*44/12</f>
        <v>6.4336982293041753</v>
      </c>
      <c r="AB119" s="23">
        <f>EXP(-LN(2)/2)*AB118+(1-EXP(-LN(2)/2))/(LN(2)/2)*V119*Y119*VLOOKUP('Données projet'!$B$9,Paramètres!$A$1:$I$88,3,0)*0.475*44/12</f>
        <v>8.856177242994637E-8</v>
      </c>
      <c r="AC119" s="24">
        <f t="shared" si="57"/>
        <v>49.352682720843887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projet'!$B$10,Paramètres!$A$1:$I$88,3,0)*VLOOKUP('Données projet'!$B$10,Paramètres!$A$1:$I$88,5,0)</f>
        <v>0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55.581964048431473</v>
      </c>
      <c r="AO119" s="60">
        <f t="shared" si="90"/>
        <v>91.067506141193803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8.0289531714906683</v>
      </c>
      <c r="AV119" s="23">
        <f>EXP(-LN(2)/25)*AV118+(1-EXP(-LN(2)/25))/(LN(2)/25)*Calculateur!AQ119*Calculateur!AS119*VLOOKUP('Données projet'!$B$10,Paramètres!$A$1:$I$88,3,0)*0.475*44/12</f>
        <v>0</v>
      </c>
      <c r="AW119" s="23">
        <f>EXP(-LN(2)/2)*AW118+(1-EXP(-LN(2)/2))/(LN(2)/2)*AQ119*AT119*VLOOKUP('Données projet'!$B$10,Paramètres!$A$1:$I$88,3,0)*0.475*44/12</f>
        <v>0</v>
      </c>
      <c r="AX119" s="23">
        <f t="shared" si="60"/>
        <v>8.0289531714906683</v>
      </c>
      <c r="AY119" s="7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4</v>
      </c>
      <c r="BD119" s="13">
        <f>IF('Données projet'!$A$88&gt;35,BD118+BC119-BL118,IF(A119&lt;'Données projet'!$A$88,$BA$205^A119,IF(A119='Données projet'!$A$88,'Données projet'!$B$88,BD118+BC119-BL118)))</f>
        <v>205.00000000000037</v>
      </c>
      <c r="BE119" s="14">
        <f>BD119*VLOOKUP('Données projet'!$B$11,Paramètres!$A$1:$I$88,3,0)*VLOOKUP('Données projet'!$B$11,Paramètres!$A$1:$I$88,5,0)</f>
        <v>207.8700000000004</v>
      </c>
      <c r="BF119" s="14">
        <f t="shared" si="91"/>
        <v>51.469851298719405</v>
      </c>
      <c r="BG119" s="22">
        <f t="shared" si="61"/>
        <v>451.6835743452703</v>
      </c>
      <c r="BH119" s="60">
        <f t="shared" si="62"/>
        <v>745.01690767860362</v>
      </c>
      <c r="BI119" s="60">
        <f ca="1">AVERAGE(OFFSET($BH$3,0,0,'Données projet'!$E$11+1,1))-AVERAGE(OFFSET($H$3,0,0,'Données projet'!$E$11+1,1))</f>
        <v>178.29366134936788</v>
      </c>
      <c r="BJ119" s="60">
        <f t="shared" si="92"/>
        <v>85.818195717787148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14.63315185494764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14.63315185494764</v>
      </c>
      <c r="BT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projet'!$B$12,Paramètres!$A$1:$I$88,3,0)*VLOOKUP('Données projet'!$B$12,Paramètres!$A$1:$I$88,5,0)</f>
        <v>0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104.00159056395933</v>
      </c>
      <c r="CE119" s="60">
        <f t="shared" si="94"/>
        <v>115.86489547584461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48.726894189384979</v>
      </c>
      <c r="CL119" s="23">
        <f>EXP(-LN(2)/25)*CL118+(1-EXP(-LN(2)/25))/(LN(2)/25)*Calculateur!CG119*Calculateur!CI119*VLOOKUP('Données projet'!$B$12,Paramètres!$A$1:$I$88,3,0)*0.475*44/12</f>
        <v>7.0014853213684942</v>
      </c>
      <c r="CM119" s="23">
        <f>EXP(-LN(2)/2)*CM118+(1-EXP(-LN(2)/2))/(LN(2)/2)*CG119*CJ119*VLOOKUP('Données projet'!$B$12,Paramètres!$A$1:$I$88,3,0)*0.475*44/12</f>
        <v>2.2885948897579611E-6</v>
      </c>
      <c r="CN119" s="24">
        <f t="shared" si="66"/>
        <v>55.728381799348362</v>
      </c>
      <c r="CO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projet'!$B$13,Paramètres!$A$1:$I$88,3,0)*VLOOKUP('Données projet'!$B$13,Paramètres!$A$1:$I$88,5,0)</f>
        <v>#N/A</v>
      </c>
      <c r="CV119" s="14" t="e">
        <f t="shared" si="95"/>
        <v>#N/A</v>
      </c>
      <c r="CW119" s="22" t="e">
        <f t="shared" si="67"/>
        <v>#N/A</v>
      </c>
      <c r="CX119" s="60" t="e">
        <f t="shared" si="68"/>
        <v>#N/A</v>
      </c>
      <c r="CY119" s="60" t="e">
        <f ca="1">AVERAGE(OFFSET($CX$3,0,0,'Données projet'!$E$13+1,1))-AVERAGE(OFFSET($H$3,0,0,'Données projet'!$E$13+1,1))</f>
        <v>#N/A</v>
      </c>
      <c r="CZ119" s="60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projet'!$B$13,Paramètres!$A$1:$I$88,3,0)*0.475*44/12</f>
        <v>#N/A</v>
      </c>
      <c r="DG119" s="23" t="e">
        <f>EXP(-LN(2)/25)*DG118+(1-EXP(-LN(2)/25))/(LN(2)/25)*Calculateur!DB119*Calculateur!DD119*VLOOKUP('Données projet'!$B$13,Paramètres!$A$1:$I$88,3,0)*0.475*44/12</f>
        <v>#N/A</v>
      </c>
      <c r="DH119" s="23" t="e">
        <f>EXP(-LN(2)/2)*DH118+(1-EXP(-LN(2)/2))/(LN(2)/2)*DB119*DE119*VLOOKUP('Données projet'!$B$13,Paramètres!$A$1:$I$88,3,0)*0.475*44/12</f>
        <v>#N/A</v>
      </c>
      <c r="DI119" s="24" t="e">
        <f t="shared" si="69"/>
        <v>#N/A</v>
      </c>
      <c r="DJ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0" t="e">
        <f t="shared" si="71"/>
        <v>#N/A</v>
      </c>
      <c r="DT119" s="60" t="e">
        <f ca="1">AVERAGE(OFFSET($DS$3,0,0,'Données projet'!$E$14+1,1))-AVERAGE(OFFSET($H$3,0,0,'Données projet'!$E$14+1,1))</f>
        <v>#N/A</v>
      </c>
      <c r="DU119" s="60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4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104.03640000000019</v>
      </c>
      <c r="D120" s="12">
        <f t="shared" si="86"/>
        <v>27.921388397821048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4.5474735088646412E-13</v>
      </c>
      <c r="O120" s="14">
        <f>N120*VLOOKUP('Données projet'!$B$9,Paramètres!$A$1:$I$88,3,0)*VLOOKUP('Données projet'!$B$9,Paramètres!$A$1:$I$88,5,0)</f>
        <v>2.7193891583010558E-13</v>
      </c>
      <c r="P120" s="14">
        <f t="shared" si="87"/>
        <v>3.6362267729089988E-12</v>
      </c>
      <c r="Q120" s="22">
        <f t="shared" si="107"/>
        <v>6.8067219078872727E-12</v>
      </c>
      <c r="R120" s="60">
        <f t="shared" si="55"/>
        <v>293.33333333334014</v>
      </c>
      <c r="S120" s="60">
        <f ca="1">AVERAGE(OFFSET($R$3,0,0,'Données projet'!$E$9+1,1))-AVERAGE(OFFSET($H$3,0,0,'Données projet'!$E$9+1,1))</f>
        <v>181.84907943028196</v>
      </c>
      <c r="T120" s="60">
        <f t="shared" si="88"/>
        <v>199.66849909069458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42.077369296831165</v>
      </c>
      <c r="AA120" s="23">
        <f>EXP(-LN(2)/25)*AA119+(1-EXP(-LN(2)/25))/(LN(2)/25)*Calculateur!V120*Calculateur!X120*VLOOKUP('Données projet'!$B$9,Paramètres!$A$1:$I$88,3,0)*0.475*44/12</f>
        <v>6.2577684128903668</v>
      </c>
      <c r="AB120" s="23">
        <f>EXP(-LN(2)/2)*AB119+(1-EXP(-LN(2)/2))/(LN(2)/2)*V120*Y120*VLOOKUP('Données projet'!$B$9,Paramètres!$A$1:$I$88,3,0)*0.475*44/12</f>
        <v>6.2622629839114905E-8</v>
      </c>
      <c r="AC120" s="24">
        <f t="shared" si="57"/>
        <v>48.335137772344162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projet'!$B$10,Paramètres!$A$1:$I$88,3,0)*VLOOKUP('Données projet'!$B$10,Paramètres!$A$1:$I$88,5,0)</f>
        <v>0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55.581964048431473</v>
      </c>
      <c r="AO120" s="60">
        <f t="shared" si="90"/>
        <v>91.067506141193803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7.8715102969756146</v>
      </c>
      <c r="AV120" s="23">
        <f>EXP(-LN(2)/25)*AV119+(1-EXP(-LN(2)/25))/(LN(2)/25)*Calculateur!AQ120*Calculateur!AS120*VLOOKUP('Données projet'!$B$10,Paramètres!$A$1:$I$88,3,0)*0.475*44/12</f>
        <v>0</v>
      </c>
      <c r="AW120" s="23">
        <f>EXP(-LN(2)/2)*AW119+(1-EXP(-LN(2)/2))/(LN(2)/2)*AQ120*AT120*VLOOKUP('Données projet'!$B$10,Paramètres!$A$1:$I$88,3,0)*0.475*44/12</f>
        <v>0</v>
      </c>
      <c r="AX120" s="23">
        <f t="shared" si="60"/>
        <v>7.8715102969756146</v>
      </c>
      <c r="AY120" s="7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4</v>
      </c>
      <c r="BD120" s="13">
        <f>IF('Données projet'!$A$88&gt;35,BD119+BC120-BL119,IF(A120&lt;'Données projet'!$A$88,$BA$205^A120,IF(A120='Données projet'!$A$88,'Données projet'!$B$88,BD119+BC120-BL119)))</f>
        <v>209.00000000000037</v>
      </c>
      <c r="BE120" s="14">
        <f>BD120*VLOOKUP('Données projet'!$B$11,Paramètres!$A$1:$I$88,3,0)*VLOOKUP('Données projet'!$B$11,Paramètres!$A$1:$I$88,5,0)</f>
        <v>211.92600000000039</v>
      </c>
      <c r="BF120" s="14">
        <f t="shared" si="91"/>
        <v>52.356241262970165</v>
      </c>
      <c r="BG120" s="22">
        <f t="shared" si="61"/>
        <v>460.29157019967369</v>
      </c>
      <c r="BH120" s="60">
        <f t="shared" si="62"/>
        <v>753.624903533007</v>
      </c>
      <c r="BI120" s="60">
        <f ca="1">AVERAGE(OFFSET($BH$3,0,0,'Données projet'!$E$11+1,1))-AVERAGE(OFFSET($H$3,0,0,'Données projet'!$E$11+1,1))</f>
        <v>178.29366134936788</v>
      </c>
      <c r="BJ120" s="60">
        <f t="shared" si="92"/>
        <v>85.818195717787148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14.346204672413444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14.346204672413444</v>
      </c>
      <c r="BT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projet'!$B$12,Paramètres!$A$1:$I$88,3,0)*VLOOKUP('Données projet'!$B$12,Paramètres!$A$1:$I$88,5,0)</f>
        <v>0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104.00159056395933</v>
      </c>
      <c r="CE120" s="60">
        <f t="shared" si="94"/>
        <v>115.86489547584461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47.771389514801939</v>
      </c>
      <c r="CL120" s="23">
        <f>EXP(-LN(2)/25)*CL119+(1-EXP(-LN(2)/25))/(LN(2)/25)*Calculateur!CG120*Calculateur!CI120*VLOOKUP('Données projet'!$B$12,Paramètres!$A$1:$I$88,3,0)*0.475*44/12</f>
        <v>6.8100293370635621</v>
      </c>
      <c r="CM120" s="23">
        <f>EXP(-LN(2)/2)*CM119+(1-EXP(-LN(2)/2))/(LN(2)/2)*CG120*CJ120*VLOOKUP('Données projet'!$B$12,Paramètres!$A$1:$I$88,3,0)*0.475*44/12</f>
        <v>1.6182809659367334E-6</v>
      </c>
      <c r="CN120" s="24">
        <f t="shared" si="66"/>
        <v>54.581420470146469</v>
      </c>
      <c r="CO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projet'!$B$13,Paramètres!$A$1:$I$88,3,0)*VLOOKUP('Données projet'!$B$13,Paramètres!$A$1:$I$88,5,0)</f>
        <v>#N/A</v>
      </c>
      <c r="CV120" s="14" t="e">
        <f t="shared" si="95"/>
        <v>#N/A</v>
      </c>
      <c r="CW120" s="22" t="e">
        <f t="shared" si="67"/>
        <v>#N/A</v>
      </c>
      <c r="CX120" s="60" t="e">
        <f t="shared" si="68"/>
        <v>#N/A</v>
      </c>
      <c r="CY120" s="60" t="e">
        <f ca="1">AVERAGE(OFFSET($CX$3,0,0,'Données projet'!$E$13+1,1))-AVERAGE(OFFSET($H$3,0,0,'Données projet'!$E$13+1,1))</f>
        <v>#N/A</v>
      </c>
      <c r="CZ120" s="60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projet'!$B$13,Paramètres!$A$1:$I$88,3,0)*0.475*44/12</f>
        <v>#N/A</v>
      </c>
      <c r="DG120" s="23" t="e">
        <f>EXP(-LN(2)/25)*DG119+(1-EXP(-LN(2)/25))/(LN(2)/25)*Calculateur!DB120*Calculateur!DD120*VLOOKUP('Données projet'!$B$13,Paramètres!$A$1:$I$88,3,0)*0.475*44/12</f>
        <v>#N/A</v>
      </c>
      <c r="DH120" s="23" t="e">
        <f>EXP(-LN(2)/2)*DH119+(1-EXP(-LN(2)/2))/(LN(2)/2)*DB120*DE120*VLOOKUP('Données projet'!$B$13,Paramètres!$A$1:$I$88,3,0)*0.475*44/12</f>
        <v>#N/A</v>
      </c>
      <c r="DI120" s="24" t="e">
        <f t="shared" si="69"/>
        <v>#N/A</v>
      </c>
      <c r="DJ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0" t="e">
        <f t="shared" si="71"/>
        <v>#N/A</v>
      </c>
      <c r="DT120" s="60" t="e">
        <f ca="1">AVERAGE(OFFSET($DS$3,0,0,'Données projet'!$E$14+1,1))-AVERAGE(OFFSET($H$3,0,0,'Données projet'!$E$14+1,1))</f>
        <v>#N/A</v>
      </c>
      <c r="DU120" s="60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4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104.92560000000019</v>
      </c>
      <c r="D121" s="12">
        <f t="shared" si="86"/>
        <v>28.132149981044396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4.5474735088646412E-13</v>
      </c>
      <c r="O121" s="14">
        <f>N121*VLOOKUP('Données projet'!$B$9,Paramètres!$A$1:$I$88,3,0)*VLOOKUP('Données projet'!$B$9,Paramètres!$A$1:$I$88,5,0)</f>
        <v>2.7193891583010558E-13</v>
      </c>
      <c r="P121" s="14">
        <f t="shared" si="87"/>
        <v>3.6362267729089988E-12</v>
      </c>
      <c r="Q121" s="22">
        <f t="shared" si="107"/>
        <v>6.8067219078872727E-12</v>
      </c>
      <c r="R121" s="60">
        <f t="shared" si="55"/>
        <v>293.33333333334014</v>
      </c>
      <c r="S121" s="60">
        <f ca="1">AVERAGE(OFFSET($R$3,0,0,'Données projet'!$E$9+1,1))-AVERAGE(OFFSET($H$3,0,0,'Données projet'!$E$9+1,1))</f>
        <v>181.84907943028196</v>
      </c>
      <c r="T121" s="60">
        <f t="shared" si="88"/>
        <v>199.66849909069458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41.252257749581403</v>
      </c>
      <c r="AA121" s="23">
        <f>EXP(-LN(2)/25)*AA120+(1-EXP(-LN(2)/25))/(LN(2)/25)*Calculateur!V121*Calculateur!X121*VLOOKUP('Données projet'!$B$9,Paramètres!$A$1:$I$88,3,0)*0.475*44/12</f>
        <v>6.0866494065581414</v>
      </c>
      <c r="AB121" s="23">
        <f>EXP(-LN(2)/2)*AB120+(1-EXP(-LN(2)/2))/(LN(2)/2)*V121*Y121*VLOOKUP('Données projet'!$B$9,Paramètres!$A$1:$I$88,3,0)*0.475*44/12</f>
        <v>4.4280886214973185E-8</v>
      </c>
      <c r="AC121" s="24">
        <f t="shared" si="57"/>
        <v>47.338907200420429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projet'!$B$10,Paramètres!$A$1:$I$88,3,0)*VLOOKUP('Données projet'!$B$10,Paramètres!$A$1:$I$88,5,0)</f>
        <v>0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55.581964048431473</v>
      </c>
      <c r="AO121" s="60">
        <f t="shared" si="90"/>
        <v>91.067506141193803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7.7171547811991301</v>
      </c>
      <c r="AV121" s="23">
        <f>EXP(-LN(2)/25)*AV120+(1-EXP(-LN(2)/25))/(LN(2)/25)*Calculateur!AQ121*Calculateur!AS121*VLOOKUP('Données projet'!$B$10,Paramètres!$A$1:$I$88,3,0)*0.475*44/12</f>
        <v>0</v>
      </c>
      <c r="AW121" s="23">
        <f>EXP(-LN(2)/2)*AW120+(1-EXP(-LN(2)/2))/(LN(2)/2)*AQ121*AT121*VLOOKUP('Données projet'!$B$10,Paramètres!$A$1:$I$88,3,0)*0.475*44/12</f>
        <v>0</v>
      </c>
      <c r="AX121" s="23">
        <f t="shared" si="60"/>
        <v>7.7171547811991301</v>
      </c>
      <c r="AY121" s="7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>
        <f>VLOOKUP(A121,'Données projet'!$A$87:$I$107,2,0)</f>
        <v>213</v>
      </c>
      <c r="BB121" s="13">
        <f>VLOOKUP(A121,'Données projet'!$A$87:$I$107,9,0)</f>
        <v>4</v>
      </c>
      <c r="BC121" s="13">
        <f t="array" ref="BC121">INDEX(BB:BB,MIN(IF(ISNUMBER(BB121:BB317),ROW(BB121:BB317),"")))</f>
        <v>4</v>
      </c>
      <c r="BD121" s="13">
        <f>IF('Données projet'!$A$88&gt;35,BD120+BC121-BL120,IF(A121&lt;'Données projet'!$A$88,$BA$205^A121,IF(A121='Données projet'!$A$88,'Données projet'!$B$88,BD120+BC121-BL120)))</f>
        <v>213.00000000000037</v>
      </c>
      <c r="BE121" s="14">
        <f>BD121*VLOOKUP('Données projet'!$B$11,Paramètres!$A$1:$I$88,3,0)*VLOOKUP('Données projet'!$B$11,Paramètres!$A$1:$I$88,5,0)</f>
        <v>215.9820000000004</v>
      </c>
      <c r="BF121" s="14">
        <f t="shared" si="91"/>
        <v>53.240658641505135</v>
      </c>
      <c r="BG121" s="22">
        <f t="shared" si="61"/>
        <v>468.89613046728874</v>
      </c>
      <c r="BH121" s="60">
        <f t="shared" si="62"/>
        <v>762.22946380062206</v>
      </c>
      <c r="BI121" s="60">
        <f ca="1">AVERAGE(OFFSET($BH$3,0,0,'Données projet'!$E$11+1,1))-AVERAGE(OFFSET($H$3,0,0,'Données projet'!$E$11+1,1))</f>
        <v>178.29366134936788</v>
      </c>
      <c r="BJ121" s="60">
        <f t="shared" si="92"/>
        <v>85.818195717787148</v>
      </c>
      <c r="BK121" s="16">
        <f>IF(ISNA(VLOOKUP(A121,'Données projet'!$A$87:$I$107,3,0)),0,VLOOKUP(A121,'Données projet'!$A$87:$I$107,3,0))</f>
        <v>8</v>
      </c>
      <c r="BL121" s="16">
        <f>IF(ISNA(VLOOKUP(A121,'Données projet'!$A$87:$I$107,4,0)),0,VLOOKUP(A121,'Données projet'!$A$87:$I$107,4,0))</f>
        <v>27</v>
      </c>
      <c r="BM121" s="17">
        <f>IF(ISNA(VLOOKUP(A121,'Données projet'!$A$87:$I$107,5,0)),0%,VLOOKUP(A121,'Données projet'!$A$87:$I$107,5,0)*VLOOKUP('Données projet'!$B$11,Paramètres!$A$1:$I$88,7,0))</f>
        <v>0.215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20.571981480041661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20.571981480041661</v>
      </c>
      <c r="BT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projet'!$B$12,Paramètres!$A$1:$I$88,3,0)*VLOOKUP('Données projet'!$B$12,Paramètres!$A$1:$I$88,5,0)</f>
        <v>0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104.00159056395933</v>
      </c>
      <c r="CE121" s="60">
        <f t="shared" si="94"/>
        <v>115.86489547584461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46.834621704087169</v>
      </c>
      <c r="CL121" s="23">
        <f>EXP(-LN(2)/25)*CL120+(1-EXP(-LN(2)/25))/(LN(2)/25)*Calculateur!CG121*Calculateur!CI121*VLOOKUP('Données projet'!$B$12,Paramètres!$A$1:$I$88,3,0)*0.475*44/12</f>
        <v>6.6238087267176811</v>
      </c>
      <c r="CM121" s="23">
        <f>EXP(-LN(2)/2)*CM120+(1-EXP(-LN(2)/2))/(LN(2)/2)*CG121*CJ121*VLOOKUP('Données projet'!$B$12,Paramètres!$A$1:$I$88,3,0)*0.475*44/12</f>
        <v>1.1442974448789805E-6</v>
      </c>
      <c r="CN121" s="24">
        <f t="shared" si="66"/>
        <v>53.458431575102296</v>
      </c>
      <c r="CO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projet'!$B$13,Paramètres!$A$1:$I$88,3,0)*VLOOKUP('Données projet'!$B$13,Paramètres!$A$1:$I$88,5,0)</f>
        <v>#N/A</v>
      </c>
      <c r="CV121" s="14" t="e">
        <f t="shared" si="95"/>
        <v>#N/A</v>
      </c>
      <c r="CW121" s="22" t="e">
        <f t="shared" si="67"/>
        <v>#N/A</v>
      </c>
      <c r="CX121" s="60" t="e">
        <f t="shared" si="68"/>
        <v>#N/A</v>
      </c>
      <c r="CY121" s="60" t="e">
        <f ca="1">AVERAGE(OFFSET($CX$3,0,0,'Données projet'!$E$13+1,1))-AVERAGE(OFFSET($H$3,0,0,'Données projet'!$E$13+1,1))</f>
        <v>#N/A</v>
      </c>
      <c r="CZ121" s="60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projet'!$B$13,Paramètres!$A$1:$I$88,3,0)*0.475*44/12</f>
        <v>#N/A</v>
      </c>
      <c r="DG121" s="23" t="e">
        <f>EXP(-LN(2)/25)*DG120+(1-EXP(-LN(2)/25))/(LN(2)/25)*Calculateur!DB121*Calculateur!DD121*VLOOKUP('Données projet'!$B$13,Paramètres!$A$1:$I$88,3,0)*0.475*44/12</f>
        <v>#N/A</v>
      </c>
      <c r="DH121" s="23" t="e">
        <f>EXP(-LN(2)/2)*DH120+(1-EXP(-LN(2)/2))/(LN(2)/2)*DB121*DE121*VLOOKUP('Données projet'!$B$13,Paramètres!$A$1:$I$88,3,0)*0.475*44/12</f>
        <v>#N/A</v>
      </c>
      <c r="DI121" s="24" t="e">
        <f t="shared" si="69"/>
        <v>#N/A</v>
      </c>
      <c r="DJ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0" t="e">
        <f t="shared" si="71"/>
        <v>#N/A</v>
      </c>
      <c r="DT121" s="60" t="e">
        <f ca="1">AVERAGE(OFFSET($DS$3,0,0,'Données projet'!$E$14+1,1))-AVERAGE(OFFSET($H$3,0,0,'Données projet'!$E$14+1,1))</f>
        <v>#N/A</v>
      </c>
      <c r="DU121" s="60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4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105.81480000000019</v>
      </c>
      <c r="D122" s="12">
        <f t="shared" si="86"/>
        <v>28.342703760346538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4.5474735088646412E-13</v>
      </c>
      <c r="O122" s="14">
        <f>N122*VLOOKUP('Données projet'!$B$9,Paramètres!$A$1:$I$88,3,0)*VLOOKUP('Données projet'!$B$9,Paramètres!$A$1:$I$88,5,0)</f>
        <v>2.7193891583010558E-13</v>
      </c>
      <c r="P122" s="14">
        <f t="shared" si="87"/>
        <v>3.6362267729089988E-12</v>
      </c>
      <c r="Q122" s="22">
        <f t="shared" si="107"/>
        <v>6.8067219078872727E-12</v>
      </c>
      <c r="R122" s="60">
        <f t="shared" si="55"/>
        <v>293.33333333334014</v>
      </c>
      <c r="S122" s="60">
        <f ca="1">AVERAGE(OFFSET($R$3,0,0,'Données projet'!$E$9+1,1))-AVERAGE(OFFSET($H$3,0,0,'Données projet'!$E$9+1,1))</f>
        <v>181.84907943028196</v>
      </c>
      <c r="T122" s="60">
        <f t="shared" si="88"/>
        <v>199.66849909069458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40.443326136504858</v>
      </c>
      <c r="AA122" s="23">
        <f>EXP(-LN(2)/25)*AA121+(1-EXP(-LN(2)/25))/(LN(2)/25)*Calculateur!V122*Calculateur!X122*VLOOKUP('Données projet'!$B$9,Paramètres!$A$1:$I$88,3,0)*0.475*44/12</f>
        <v>5.9202096584528281</v>
      </c>
      <c r="AB122" s="23">
        <f>EXP(-LN(2)/2)*AB121+(1-EXP(-LN(2)/2))/(LN(2)/2)*V122*Y122*VLOOKUP('Données projet'!$B$9,Paramètres!$A$1:$I$88,3,0)*0.475*44/12</f>
        <v>3.1311314919557452E-8</v>
      </c>
      <c r="AC122" s="24">
        <f t="shared" si="57"/>
        <v>46.363535826269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projet'!$B$10,Paramètres!$A$1:$I$88,3,0)*VLOOKUP('Données projet'!$B$10,Paramètres!$A$1:$I$88,5,0)</f>
        <v>0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55.581964048431473</v>
      </c>
      <c r="AO122" s="60">
        <f t="shared" si="90"/>
        <v>91.067506141193803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7.5658260829394539</v>
      </c>
      <c r="AV122" s="23">
        <f>EXP(-LN(2)/25)*AV121+(1-EXP(-LN(2)/25))/(LN(2)/25)*Calculateur!AQ122*Calculateur!AS122*VLOOKUP('Données projet'!$B$10,Paramètres!$A$1:$I$88,3,0)*0.475*44/12</f>
        <v>0</v>
      </c>
      <c r="AW122" s="23">
        <f>EXP(-LN(2)/2)*AW121+(1-EXP(-LN(2)/2))/(LN(2)/2)*AQ122*AT122*VLOOKUP('Données projet'!$B$10,Paramètres!$A$1:$I$88,3,0)*0.475*44/12</f>
        <v>0</v>
      </c>
      <c r="AX122" s="23">
        <f t="shared" si="60"/>
        <v>7.5658260829394539</v>
      </c>
      <c r="AY122" s="7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5</v>
      </c>
      <c r="BD122" s="13">
        <f>IF('Données projet'!$A$88&gt;35,BD121+BC122-BL121,IF(A122&lt;'Données projet'!$A$88,$BA$205^A122,IF(A122='Données projet'!$A$88,'Données projet'!$B$88,BD121+BC122-BL121)))</f>
        <v>191.00000000000037</v>
      </c>
      <c r="BE122" s="14">
        <f>BD122*VLOOKUP('Données projet'!$B$11,Paramètres!$A$1:$I$88,3,0)*VLOOKUP('Données projet'!$B$11,Paramètres!$A$1:$I$88,5,0)</f>
        <v>193.6740000000004</v>
      </c>
      <c r="BF122" s="14">
        <f t="shared" si="91"/>
        <v>48.351314467254134</v>
      </c>
      <c r="BG122" s="22">
        <f t="shared" si="61"/>
        <v>421.52742269713502</v>
      </c>
      <c r="BH122" s="60">
        <f t="shared" si="62"/>
        <v>714.86075603046834</v>
      </c>
      <c r="BI122" s="60">
        <f ca="1">AVERAGE(OFFSET($BH$3,0,0,'Données projet'!$E$11+1,1))-AVERAGE(OFFSET($H$3,0,0,'Données projet'!$E$11+1,1))</f>
        <v>178.29366134936788</v>
      </c>
      <c r="BJ122" s="60">
        <f t="shared" si="92"/>
        <v>85.818195717787148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20.168577470887769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20.168577470887769</v>
      </c>
      <c r="BT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projet'!$B$12,Paramètres!$A$1:$I$88,3,0)*VLOOKUP('Données projet'!$B$12,Paramètres!$A$1:$I$88,5,0)</f>
        <v>0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104.00159056395933</v>
      </c>
      <c r="CE122" s="60">
        <f t="shared" si="94"/>
        <v>115.86489547584461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45.916223338768575</v>
      </c>
      <c r="CL122" s="23">
        <f>EXP(-LN(2)/25)*CL121+(1-EXP(-LN(2)/25))/(LN(2)/25)*Calculateur!CG122*Calculateur!CI122*VLOOKUP('Données projet'!$B$12,Paramètres!$A$1:$I$88,3,0)*0.475*44/12</f>
        <v>6.4426803287546237</v>
      </c>
      <c r="CM122" s="23">
        <f>EXP(-LN(2)/2)*CM121+(1-EXP(-LN(2)/2))/(LN(2)/2)*CG122*CJ122*VLOOKUP('Données projet'!$B$12,Paramètres!$A$1:$I$88,3,0)*0.475*44/12</f>
        <v>8.0914048296836672E-7</v>
      </c>
      <c r="CN122" s="24">
        <f t="shared" si="66"/>
        <v>52.358904476663682</v>
      </c>
      <c r="CO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projet'!$B$13,Paramètres!$A$1:$I$88,3,0)*VLOOKUP('Données projet'!$B$13,Paramètres!$A$1:$I$88,5,0)</f>
        <v>#N/A</v>
      </c>
      <c r="CV122" s="14" t="e">
        <f t="shared" si="95"/>
        <v>#N/A</v>
      </c>
      <c r="CW122" s="22" t="e">
        <f t="shared" si="67"/>
        <v>#N/A</v>
      </c>
      <c r="CX122" s="60" t="e">
        <f t="shared" si="68"/>
        <v>#N/A</v>
      </c>
      <c r="CY122" s="60" t="e">
        <f ca="1">AVERAGE(OFFSET($CX$3,0,0,'Données projet'!$E$13+1,1))-AVERAGE(OFFSET($H$3,0,0,'Données projet'!$E$13+1,1))</f>
        <v>#N/A</v>
      </c>
      <c r="CZ122" s="60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projet'!$B$13,Paramètres!$A$1:$I$88,3,0)*0.475*44/12</f>
        <v>#N/A</v>
      </c>
      <c r="DG122" s="23" t="e">
        <f>EXP(-LN(2)/25)*DG121+(1-EXP(-LN(2)/25))/(LN(2)/25)*Calculateur!DB122*Calculateur!DD122*VLOOKUP('Données projet'!$B$13,Paramètres!$A$1:$I$88,3,0)*0.475*44/12</f>
        <v>#N/A</v>
      </c>
      <c r="DH122" s="23" t="e">
        <f>EXP(-LN(2)/2)*DH121+(1-EXP(-LN(2)/2))/(LN(2)/2)*DB122*DE122*VLOOKUP('Données projet'!$B$13,Paramètres!$A$1:$I$88,3,0)*0.475*44/12</f>
        <v>#N/A</v>
      </c>
      <c r="DI122" s="24" t="e">
        <f t="shared" si="69"/>
        <v>#N/A</v>
      </c>
      <c r="DJ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0" t="e">
        <f t="shared" si="71"/>
        <v>#N/A</v>
      </c>
      <c r="DT122" s="60" t="e">
        <f ca="1">AVERAGE(OFFSET($DS$3,0,0,'Données projet'!$E$14+1,1))-AVERAGE(OFFSET($H$3,0,0,'Données projet'!$E$14+1,1))</f>
        <v>#N/A</v>
      </c>
      <c r="DU122" s="60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4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106.70400000000019</v>
      </c>
      <c r="D123" s="12">
        <f t="shared" si="86"/>
        <v>28.553051684335379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4.5474735088646412E-13</v>
      </c>
      <c r="O123" s="14">
        <f>N123*VLOOKUP('Données projet'!$B$9,Paramètres!$A$1:$I$88,3,0)*VLOOKUP('Données projet'!$B$9,Paramètres!$A$1:$I$88,5,0)</f>
        <v>2.7193891583010558E-13</v>
      </c>
      <c r="P123" s="14">
        <f t="shared" si="87"/>
        <v>3.6362267729089988E-12</v>
      </c>
      <c r="Q123" s="22">
        <f t="shared" si="107"/>
        <v>6.8067219078872727E-12</v>
      </c>
      <c r="R123" s="60">
        <f t="shared" si="55"/>
        <v>293.33333333334014</v>
      </c>
      <c r="S123" s="60">
        <f ca="1">AVERAGE(OFFSET($R$3,0,0,'Données projet'!$E$9+1,1))-AVERAGE(OFFSET($H$3,0,0,'Données projet'!$E$9+1,1))</f>
        <v>181.84907943028196</v>
      </c>
      <c r="T123" s="60">
        <f t="shared" si="88"/>
        <v>199.66849909069458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39.650257178961176</v>
      </c>
      <c r="AA123" s="23">
        <f>EXP(-LN(2)/25)*AA122+(1-EXP(-LN(2)/25))/(LN(2)/25)*Calculateur!V123*Calculateur!X123*VLOOKUP('Données projet'!$B$9,Paramètres!$A$1:$I$88,3,0)*0.475*44/12</f>
        <v>5.75832121401214</v>
      </c>
      <c r="AB123" s="23">
        <f>EXP(-LN(2)/2)*AB122+(1-EXP(-LN(2)/2))/(LN(2)/2)*V123*Y123*VLOOKUP('Données projet'!$B$9,Paramètres!$A$1:$I$88,3,0)*0.475*44/12</f>
        <v>2.2140443107486592E-8</v>
      </c>
      <c r="AC123" s="24">
        <f t="shared" si="57"/>
        <v>45.408578415113759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projet'!$B$10,Paramètres!$A$1:$I$88,3,0)*VLOOKUP('Données projet'!$B$10,Paramètres!$A$1:$I$88,5,0)</f>
        <v>0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55.581964048431473</v>
      </c>
      <c r="AO123" s="60">
        <f t="shared" si="90"/>
        <v>91.067506141193803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7.4174648481512584</v>
      </c>
      <c r="AV123" s="23">
        <f>EXP(-LN(2)/25)*AV122+(1-EXP(-LN(2)/25))/(LN(2)/25)*Calculateur!AQ123*Calculateur!AS123*VLOOKUP('Données projet'!$B$10,Paramètres!$A$1:$I$88,3,0)*0.475*44/12</f>
        <v>0</v>
      </c>
      <c r="AW123" s="23">
        <f>EXP(-LN(2)/2)*AW122+(1-EXP(-LN(2)/2))/(LN(2)/2)*AQ123*AT123*VLOOKUP('Données projet'!$B$10,Paramètres!$A$1:$I$88,3,0)*0.475*44/12</f>
        <v>0</v>
      </c>
      <c r="AX123" s="23">
        <f t="shared" si="60"/>
        <v>7.4174648481512584</v>
      </c>
      <c r="AY123" s="7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5</v>
      </c>
      <c r="BD123" s="13">
        <f>IF('Données projet'!$A$88&gt;35,BD122+BC123-BL122,IF(A123&lt;'Données projet'!$A$88,$BA$205^A123,IF(A123='Données projet'!$A$88,'Données projet'!$B$88,BD122+BC123-BL122)))</f>
        <v>196.00000000000037</v>
      </c>
      <c r="BE123" s="14">
        <f>BD123*VLOOKUP('Données projet'!$B$11,Paramètres!$A$1:$I$88,3,0)*VLOOKUP('Données projet'!$B$11,Paramètres!$A$1:$I$88,5,0)</f>
        <v>198.7440000000004</v>
      </c>
      <c r="BF123" s="14">
        <f t="shared" si="91"/>
        <v>49.468035816012282</v>
      </c>
      <c r="BG123" s="22">
        <f t="shared" si="61"/>
        <v>432.30262904622208</v>
      </c>
      <c r="BH123" s="60">
        <f t="shared" si="62"/>
        <v>725.63596237955539</v>
      </c>
      <c r="BI123" s="60">
        <f ca="1">AVERAGE(OFFSET($BH$3,0,0,'Données projet'!$E$11+1,1))-AVERAGE(OFFSET($H$3,0,0,'Données projet'!$E$11+1,1))</f>
        <v>178.29366134936788</v>
      </c>
      <c r="BJ123" s="60">
        <f t="shared" si="92"/>
        <v>85.818195717787148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19.773083968301233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19.773083968301233</v>
      </c>
      <c r="BT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projet'!$B$12,Paramètres!$A$1:$I$88,3,0)*VLOOKUP('Données projet'!$B$12,Paramètres!$A$1:$I$88,5,0)</f>
        <v>0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104.00159056395933</v>
      </c>
      <c r="CE123" s="60">
        <f t="shared" si="94"/>
        <v>115.86489547584461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45.015834205226184</v>
      </c>
      <c r="CL123" s="23">
        <f>EXP(-LN(2)/25)*CL122+(1-EXP(-LN(2)/25))/(LN(2)/25)*Calculateur!CG123*Calculateur!CI123*VLOOKUP('Données projet'!$B$12,Paramètres!$A$1:$I$88,3,0)*0.475*44/12</f>
        <v>6.2665048963589953</v>
      </c>
      <c r="CM123" s="23">
        <f>EXP(-LN(2)/2)*CM122+(1-EXP(-LN(2)/2))/(LN(2)/2)*CG123*CJ123*VLOOKUP('Données projet'!$B$12,Paramètres!$A$1:$I$88,3,0)*0.475*44/12</f>
        <v>5.7214872243949027E-7</v>
      </c>
      <c r="CN123" s="24">
        <f t="shared" si="66"/>
        <v>51.282339673733901</v>
      </c>
      <c r="CO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projet'!$B$13,Paramètres!$A$1:$I$88,3,0)*VLOOKUP('Données projet'!$B$13,Paramètres!$A$1:$I$88,5,0)</f>
        <v>#N/A</v>
      </c>
      <c r="CV123" s="14" t="e">
        <f t="shared" si="95"/>
        <v>#N/A</v>
      </c>
      <c r="CW123" s="22" t="e">
        <f t="shared" si="67"/>
        <v>#N/A</v>
      </c>
      <c r="CX123" s="60" t="e">
        <f t="shared" si="68"/>
        <v>#N/A</v>
      </c>
      <c r="CY123" s="60" t="e">
        <f ca="1">AVERAGE(OFFSET($CX$3,0,0,'Données projet'!$E$13+1,1))-AVERAGE(OFFSET($H$3,0,0,'Données projet'!$E$13+1,1))</f>
        <v>#N/A</v>
      </c>
      <c r="CZ123" s="60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projet'!$B$13,Paramètres!$A$1:$I$88,3,0)*0.475*44/12</f>
        <v>#N/A</v>
      </c>
      <c r="DG123" s="23" t="e">
        <f>EXP(-LN(2)/25)*DG122+(1-EXP(-LN(2)/25))/(LN(2)/25)*Calculateur!DB123*Calculateur!DD123*VLOOKUP('Données projet'!$B$13,Paramètres!$A$1:$I$88,3,0)*0.475*44/12</f>
        <v>#N/A</v>
      </c>
      <c r="DH123" s="23" t="e">
        <f>EXP(-LN(2)/2)*DH122+(1-EXP(-LN(2)/2))/(LN(2)/2)*DB123*DE123*VLOOKUP('Données projet'!$B$13,Paramètres!$A$1:$I$88,3,0)*0.475*44/12</f>
        <v>#N/A</v>
      </c>
      <c r="DI123" s="24" t="e">
        <f t="shared" si="69"/>
        <v>#N/A</v>
      </c>
      <c r="DJ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0" t="e">
        <f t="shared" si="71"/>
        <v>#N/A</v>
      </c>
      <c r="DT123" s="60" t="e">
        <f ca="1">AVERAGE(OFFSET($DS$3,0,0,'Données projet'!$E$14+1,1))-AVERAGE(OFFSET($H$3,0,0,'Données projet'!$E$14+1,1))</f>
        <v>#N/A</v>
      </c>
      <c r="DU123" s="60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4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107.59320000000019</v>
      </c>
      <c r="D124" s="12">
        <f t="shared" si="86"/>
        <v>28.763195667267546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4.5474735088646412E-13</v>
      </c>
      <c r="O124" s="14">
        <f>N124*VLOOKUP('Données projet'!$B$9,Paramètres!$A$1:$I$88,3,0)*VLOOKUP('Données projet'!$B$9,Paramètres!$A$1:$I$88,5,0)</f>
        <v>2.7193891583010558E-13</v>
      </c>
      <c r="P124" s="14">
        <f t="shared" si="87"/>
        <v>3.6362267729089988E-12</v>
      </c>
      <c r="Q124" s="22">
        <f t="shared" si="107"/>
        <v>6.8067219078872727E-12</v>
      </c>
      <c r="R124" s="60">
        <f t="shared" si="55"/>
        <v>293.33333333334014</v>
      </c>
      <c r="S124" s="60">
        <f ca="1">AVERAGE(OFFSET($R$3,0,0,'Données projet'!$E$9+1,1))-AVERAGE(OFFSET($H$3,0,0,'Données projet'!$E$9+1,1))</f>
        <v>181.84907943028196</v>
      </c>
      <c r="T124" s="60">
        <f t="shared" si="88"/>
        <v>199.66849909069458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38.872739819950631</v>
      </c>
      <c r="AA124" s="23">
        <f>EXP(-LN(2)/25)*AA123+(1-EXP(-LN(2)/25))/(LN(2)/25)*Calculateur!V124*Calculateur!X124*VLOOKUP('Données projet'!$B$9,Paramètres!$A$1:$I$88,3,0)*0.475*44/12</f>
        <v>5.6008596175980259</v>
      </c>
      <c r="AB124" s="23">
        <f>EXP(-LN(2)/2)*AB123+(1-EXP(-LN(2)/2))/(LN(2)/2)*V124*Y124*VLOOKUP('Données projet'!$B$9,Paramètres!$A$1:$I$88,3,0)*0.475*44/12</f>
        <v>1.5655657459778726E-8</v>
      </c>
      <c r="AC124" s="24">
        <f t="shared" si="57"/>
        <v>44.473599453204315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projet'!$B$10,Paramètres!$A$1:$I$88,3,0)*VLOOKUP('Données projet'!$B$10,Paramètres!$A$1:$I$88,5,0)</f>
        <v>0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55.581964048431473</v>
      </c>
      <c r="AO124" s="60">
        <f t="shared" si="90"/>
        <v>91.067506141193803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7.2720128866858413</v>
      </c>
      <c r="AV124" s="23">
        <f>EXP(-LN(2)/25)*AV123+(1-EXP(-LN(2)/25))/(LN(2)/25)*Calculateur!AQ124*Calculateur!AS124*VLOOKUP('Données projet'!$B$10,Paramètres!$A$1:$I$88,3,0)*0.475*44/12</f>
        <v>0</v>
      </c>
      <c r="AW124" s="23">
        <f>EXP(-LN(2)/2)*AW123+(1-EXP(-LN(2)/2))/(LN(2)/2)*AQ124*AT124*VLOOKUP('Données projet'!$B$10,Paramètres!$A$1:$I$88,3,0)*0.475*44/12</f>
        <v>0</v>
      </c>
      <c r="AX124" s="23">
        <f t="shared" si="60"/>
        <v>7.2720128866858413</v>
      </c>
      <c r="AY124" s="7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5</v>
      </c>
      <c r="BD124" s="13">
        <f>IF('Données projet'!$A$88&gt;35,BD123+BC124-BL123,IF(A124&lt;'Données projet'!$A$88,$BA$205^A124,IF(A124='Données projet'!$A$88,'Données projet'!$B$88,BD123+BC124-BL123)))</f>
        <v>201.00000000000037</v>
      </c>
      <c r="BE124" s="14">
        <f>BD124*VLOOKUP('Données projet'!$B$11,Paramètres!$A$1:$I$88,3,0)*VLOOKUP('Données projet'!$B$11,Paramètres!$A$1:$I$88,5,0)</f>
        <v>203.81400000000036</v>
      </c>
      <c r="BF124" s="14">
        <f t="shared" si="91"/>
        <v>50.581445724851655</v>
      </c>
      <c r="BG124" s="22">
        <f t="shared" si="61"/>
        <v>443.07206797078396</v>
      </c>
      <c r="BH124" s="60">
        <f t="shared" si="62"/>
        <v>736.40540130411728</v>
      </c>
      <c r="BI124" s="60">
        <f ca="1">AVERAGE(OFFSET($BH$3,0,0,'Données projet'!$E$11+1,1))-AVERAGE(OFFSET($H$3,0,0,'Données projet'!$E$11+1,1))</f>
        <v>178.29366134936788</v>
      </c>
      <c r="BJ124" s="60">
        <f t="shared" si="92"/>
        <v>85.818195717787148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19.3853458520732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19.3853458520732</v>
      </c>
      <c r="BT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projet'!$B$12,Paramètres!$A$1:$I$88,3,0)*VLOOKUP('Données projet'!$B$12,Paramètres!$A$1:$I$88,5,0)</f>
        <v>0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104.00159056395933</v>
      </c>
      <c r="CE124" s="60">
        <f t="shared" si="94"/>
        <v>115.86489547584461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44.133101153409413</v>
      </c>
      <c r="CL124" s="23">
        <f>EXP(-LN(2)/25)*CL123+(1-EXP(-LN(2)/25))/(LN(2)/25)*Calculateur!CG124*Calculateur!CI124*VLOOKUP('Données projet'!$B$12,Paramètres!$A$1:$I$88,3,0)*0.475*44/12</f>
        <v>6.0951469904268887</v>
      </c>
      <c r="CM124" s="23">
        <f>EXP(-LN(2)/2)*CM123+(1-EXP(-LN(2)/2))/(LN(2)/2)*CG124*CJ124*VLOOKUP('Données projet'!$B$12,Paramètres!$A$1:$I$88,3,0)*0.475*44/12</f>
        <v>4.0457024148418336E-7</v>
      </c>
      <c r="CN124" s="24">
        <f t="shared" si="66"/>
        <v>50.228248548406548</v>
      </c>
      <c r="CO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projet'!$B$13,Paramètres!$A$1:$I$88,3,0)*VLOOKUP('Données projet'!$B$13,Paramètres!$A$1:$I$88,5,0)</f>
        <v>#N/A</v>
      </c>
      <c r="CV124" s="14" t="e">
        <f t="shared" si="95"/>
        <v>#N/A</v>
      </c>
      <c r="CW124" s="22" t="e">
        <f t="shared" si="67"/>
        <v>#N/A</v>
      </c>
      <c r="CX124" s="60" t="e">
        <f t="shared" si="68"/>
        <v>#N/A</v>
      </c>
      <c r="CY124" s="60" t="e">
        <f ca="1">AVERAGE(OFFSET($CX$3,0,0,'Données projet'!$E$13+1,1))-AVERAGE(OFFSET($H$3,0,0,'Données projet'!$E$13+1,1))</f>
        <v>#N/A</v>
      </c>
      <c r="CZ124" s="60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projet'!$B$13,Paramètres!$A$1:$I$88,3,0)*0.475*44/12</f>
        <v>#N/A</v>
      </c>
      <c r="DG124" s="23" t="e">
        <f>EXP(-LN(2)/25)*DG123+(1-EXP(-LN(2)/25))/(LN(2)/25)*Calculateur!DB124*Calculateur!DD124*VLOOKUP('Données projet'!$B$13,Paramètres!$A$1:$I$88,3,0)*0.475*44/12</f>
        <v>#N/A</v>
      </c>
      <c r="DH124" s="23" t="e">
        <f>EXP(-LN(2)/2)*DH123+(1-EXP(-LN(2)/2))/(LN(2)/2)*DB124*DE124*VLOOKUP('Données projet'!$B$13,Paramètres!$A$1:$I$88,3,0)*0.475*44/12</f>
        <v>#N/A</v>
      </c>
      <c r="DI124" s="24" t="e">
        <f t="shared" si="69"/>
        <v>#N/A</v>
      </c>
      <c r="DJ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0" t="e">
        <f t="shared" si="71"/>
        <v>#N/A</v>
      </c>
      <c r="DT124" s="60" t="e">
        <f ca="1">AVERAGE(OFFSET($DS$3,0,0,'Données projet'!$E$14+1,1))-AVERAGE(OFFSET($H$3,0,0,'Données projet'!$E$14+1,1))</f>
        <v>#N/A</v>
      </c>
      <c r="DU124" s="60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4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108.4824000000002</v>
      </c>
      <c r="D125" s="12">
        <f t="shared" si="86"/>
        <v>28.973137589932421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4.5474735088646412E-13</v>
      </c>
      <c r="O125" s="14">
        <f>N125*VLOOKUP('Données projet'!$B$9,Paramètres!$A$1:$I$88,3,0)*VLOOKUP('Données projet'!$B$9,Paramètres!$A$1:$I$88,5,0)</f>
        <v>2.7193891583010558E-13</v>
      </c>
      <c r="P125" s="14">
        <f t="shared" si="87"/>
        <v>3.6362267729089988E-12</v>
      </c>
      <c r="Q125" s="22">
        <f t="shared" si="107"/>
        <v>6.8067219078872727E-12</v>
      </c>
      <c r="R125" s="60">
        <f t="shared" si="55"/>
        <v>293.33333333334014</v>
      </c>
      <c r="S125" s="60">
        <f ca="1">AVERAGE(OFFSET($R$3,0,0,'Données projet'!$E$9+1,1))-AVERAGE(OFFSET($H$3,0,0,'Données projet'!$E$9+1,1))</f>
        <v>181.84907943028196</v>
      </c>
      <c r="T125" s="60">
        <f t="shared" si="88"/>
        <v>199.66849909069458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38.110469102111516</v>
      </c>
      <c r="AA125" s="23">
        <f>EXP(-LN(2)/25)*AA124+(1-EXP(-LN(2)/25))/(LN(2)/25)*Calculateur!V125*Calculateur!X125*VLOOKUP('Données projet'!$B$9,Paramètres!$A$1:$I$88,3,0)*0.475*44/12</f>
        <v>5.4477038168184011</v>
      </c>
      <c r="AB125" s="23">
        <f>EXP(-LN(2)/2)*AB124+(1-EXP(-LN(2)/2))/(LN(2)/2)*V125*Y125*VLOOKUP('Données projet'!$B$9,Paramètres!$A$1:$I$88,3,0)*0.475*44/12</f>
        <v>1.1070221553743296E-8</v>
      </c>
      <c r="AC125" s="24">
        <f t="shared" si="57"/>
        <v>43.55817293000014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projet'!$B$10,Paramètres!$A$1:$I$88,3,0)*VLOOKUP('Données projet'!$B$10,Paramètres!$A$1:$I$88,5,0)</f>
        <v>0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55.581964048431473</v>
      </c>
      <c r="AO125" s="60">
        <f t="shared" si="90"/>
        <v>91.067506141193803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7.1294131494678243</v>
      </c>
      <c r="AV125" s="23">
        <f>EXP(-LN(2)/25)*AV124+(1-EXP(-LN(2)/25))/(LN(2)/25)*Calculateur!AQ125*Calculateur!AS125*VLOOKUP('Données projet'!$B$10,Paramètres!$A$1:$I$88,3,0)*0.475*44/12</f>
        <v>0</v>
      </c>
      <c r="AW125" s="23">
        <f>EXP(-LN(2)/2)*AW124+(1-EXP(-LN(2)/2))/(LN(2)/2)*AQ125*AT125*VLOOKUP('Données projet'!$B$10,Paramètres!$A$1:$I$88,3,0)*0.475*44/12</f>
        <v>0</v>
      </c>
      <c r="AX125" s="23">
        <f t="shared" si="60"/>
        <v>7.1294131494678243</v>
      </c>
      <c r="AY125" s="7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5</v>
      </c>
      <c r="BD125" s="13">
        <f>IF('Données projet'!$A$88&gt;35,BD124+BC125-BL124,IF(A125&lt;'Données projet'!$A$88,$BA$205^A125,IF(A125='Données projet'!$A$88,'Données projet'!$B$88,BD124+BC125-BL124)))</f>
        <v>206.00000000000037</v>
      </c>
      <c r="BE125" s="14">
        <f>BD125*VLOOKUP('Données projet'!$B$11,Paramètres!$A$1:$I$88,3,0)*VLOOKUP('Données projet'!$B$11,Paramètres!$A$1:$I$88,5,0)</f>
        <v>208.88400000000038</v>
      </c>
      <c r="BF125" s="14">
        <f t="shared" si="91"/>
        <v>51.691636042398834</v>
      </c>
      <c r="BG125" s="22">
        <f t="shared" si="61"/>
        <v>453.83589944051192</v>
      </c>
      <c r="BH125" s="60">
        <f t="shared" si="62"/>
        <v>747.16923277384524</v>
      </c>
      <c r="BI125" s="60">
        <f ca="1">AVERAGE(OFFSET($BH$3,0,0,'Données projet'!$E$11+1,1))-AVERAGE(OFFSET($H$3,0,0,'Données projet'!$E$11+1,1))</f>
        <v>178.29366134936788</v>
      </c>
      <c r="BJ125" s="60">
        <f t="shared" si="92"/>
        <v>85.818195717787148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19.005211043807503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19.005211043807503</v>
      </c>
      <c r="BT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projet'!$B$12,Paramètres!$A$1:$I$88,3,0)*VLOOKUP('Données projet'!$B$12,Paramètres!$A$1:$I$88,5,0)</f>
        <v>0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104.00159056395933</v>
      </c>
      <c r="CE125" s="60">
        <f t="shared" si="94"/>
        <v>115.86489547584461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43.267677958324775</v>
      </c>
      <c r="CL125" s="23">
        <f>EXP(-LN(2)/25)*CL124+(1-EXP(-LN(2)/25))/(LN(2)/25)*Calculateur!CG125*Calculateur!CI125*VLOOKUP('Données projet'!$B$12,Paramètres!$A$1:$I$88,3,0)*0.475*44/12</f>
        <v>5.9284748754438157</v>
      </c>
      <c r="CM125" s="23">
        <f>EXP(-LN(2)/2)*CM124+(1-EXP(-LN(2)/2))/(LN(2)/2)*CG125*CJ125*VLOOKUP('Données projet'!$B$12,Paramètres!$A$1:$I$88,3,0)*0.475*44/12</f>
        <v>2.8607436121974513E-7</v>
      </c>
      <c r="CN125" s="24">
        <f t="shared" si="66"/>
        <v>49.196153119842954</v>
      </c>
      <c r="CO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projet'!$B$13,Paramètres!$A$1:$I$88,3,0)*VLOOKUP('Données projet'!$B$13,Paramètres!$A$1:$I$88,5,0)</f>
        <v>#N/A</v>
      </c>
      <c r="CV125" s="14" t="e">
        <f t="shared" si="95"/>
        <v>#N/A</v>
      </c>
      <c r="CW125" s="22" t="e">
        <f t="shared" si="67"/>
        <v>#N/A</v>
      </c>
      <c r="CX125" s="60" t="e">
        <f t="shared" si="68"/>
        <v>#N/A</v>
      </c>
      <c r="CY125" s="60" t="e">
        <f ca="1">AVERAGE(OFFSET($CX$3,0,0,'Données projet'!$E$13+1,1))-AVERAGE(OFFSET($H$3,0,0,'Données projet'!$E$13+1,1))</f>
        <v>#N/A</v>
      </c>
      <c r="CZ125" s="60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projet'!$B$13,Paramètres!$A$1:$I$88,3,0)*0.475*44/12</f>
        <v>#N/A</v>
      </c>
      <c r="DG125" s="23" t="e">
        <f>EXP(-LN(2)/25)*DG124+(1-EXP(-LN(2)/25))/(LN(2)/25)*Calculateur!DB125*Calculateur!DD125*VLOOKUP('Données projet'!$B$13,Paramètres!$A$1:$I$88,3,0)*0.475*44/12</f>
        <v>#N/A</v>
      </c>
      <c r="DH125" s="23" t="e">
        <f>EXP(-LN(2)/2)*DH124+(1-EXP(-LN(2)/2))/(LN(2)/2)*DB125*DE125*VLOOKUP('Données projet'!$B$13,Paramètres!$A$1:$I$88,3,0)*0.475*44/12</f>
        <v>#N/A</v>
      </c>
      <c r="DI125" s="24" t="e">
        <f t="shared" si="69"/>
        <v>#N/A</v>
      </c>
      <c r="DJ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0" t="e">
        <f t="shared" si="71"/>
        <v>#N/A</v>
      </c>
      <c r="DT125" s="60" t="e">
        <f ca="1">AVERAGE(OFFSET($DS$3,0,0,'Données projet'!$E$14+1,1))-AVERAGE(OFFSET($H$3,0,0,'Données projet'!$E$14+1,1))</f>
        <v>#N/A</v>
      </c>
      <c r="DU125" s="60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4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109.3716000000002</v>
      </c>
      <c r="D126" s="12">
        <f t="shared" si="86"/>
        <v>29.182879300506769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4.5474735088646412E-13</v>
      </c>
      <c r="O126" s="14">
        <f>N126*VLOOKUP('Données projet'!$B$9,Paramètres!$A$1:$I$88,3,0)*VLOOKUP('Données projet'!$B$9,Paramètres!$A$1:$I$88,5,0)</f>
        <v>2.7193891583010558E-13</v>
      </c>
      <c r="P126" s="14">
        <f t="shared" si="87"/>
        <v>3.6362267729089988E-12</v>
      </c>
      <c r="Q126" s="22">
        <f t="shared" si="107"/>
        <v>6.8067219078872727E-12</v>
      </c>
      <c r="R126" s="60">
        <f t="shared" si="55"/>
        <v>293.33333333334014</v>
      </c>
      <c r="S126" s="60">
        <f ca="1">AVERAGE(OFFSET($R$3,0,0,'Données projet'!$E$9+1,1))-AVERAGE(OFFSET($H$3,0,0,'Données projet'!$E$9+1,1))</f>
        <v>181.84907943028196</v>
      </c>
      <c r="T126" s="60">
        <f t="shared" si="88"/>
        <v>199.66849909069458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37.363146048109996</v>
      </c>
      <c r="AA126" s="23">
        <f>EXP(-LN(2)/25)*AA125+(1-EXP(-LN(2)/25))/(LN(2)/25)*Calculateur!V126*Calculateur!X126*VLOOKUP('Données projet'!$B$9,Paramètres!$A$1:$I$88,3,0)*0.475*44/12</f>
        <v>5.2987360694652095</v>
      </c>
      <c r="AB126" s="23">
        <f>EXP(-LN(2)/2)*AB125+(1-EXP(-LN(2)/2))/(LN(2)/2)*V126*Y126*VLOOKUP('Données projet'!$B$9,Paramètres!$A$1:$I$88,3,0)*0.475*44/12</f>
        <v>7.8278287298893631E-9</v>
      </c>
      <c r="AC126" s="24">
        <f t="shared" si="57"/>
        <v>42.661882125403032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projet'!$B$10,Paramètres!$A$1:$I$88,3,0)*VLOOKUP('Données projet'!$B$10,Paramètres!$A$1:$I$88,5,0)</f>
        <v>0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55.581964048431473</v>
      </c>
      <c r="AO126" s="60">
        <f t="shared" si="90"/>
        <v>91.067506141193803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6.9896097061194018</v>
      </c>
      <c r="AV126" s="23">
        <f>EXP(-LN(2)/25)*AV125+(1-EXP(-LN(2)/25))/(LN(2)/25)*Calculateur!AQ126*Calculateur!AS126*VLOOKUP('Données projet'!$B$10,Paramètres!$A$1:$I$88,3,0)*0.475*44/12</f>
        <v>0</v>
      </c>
      <c r="AW126" s="23">
        <f>EXP(-LN(2)/2)*AW125+(1-EXP(-LN(2)/2))/(LN(2)/2)*AQ126*AT126*VLOOKUP('Données projet'!$B$10,Paramètres!$A$1:$I$88,3,0)*0.475*44/12</f>
        <v>0</v>
      </c>
      <c r="AX126" s="23">
        <f t="shared" si="60"/>
        <v>6.9896097061194018</v>
      </c>
      <c r="AY126" s="7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5</v>
      </c>
      <c r="BD126" s="13">
        <f>IF('Données projet'!$A$88&gt;35,BD125+BC126-BL125,IF(A126&lt;'Données projet'!$A$88,$BA$205^A126,IF(A126='Données projet'!$A$88,'Données projet'!$B$88,BD125+BC126-BL125)))</f>
        <v>211.00000000000037</v>
      </c>
      <c r="BE126" s="14">
        <f>BD126*VLOOKUP('Données projet'!$B$11,Paramètres!$A$1:$I$88,3,0)*VLOOKUP('Données projet'!$B$11,Paramètres!$A$1:$I$88,5,0)</f>
        <v>213.95400000000038</v>
      </c>
      <c r="BF126" s="14">
        <f t="shared" si="91"/>
        <v>52.798693904379213</v>
      </c>
      <c r="BG126" s="22">
        <f t="shared" si="61"/>
        <v>464.59427521679453</v>
      </c>
      <c r="BH126" s="60">
        <f t="shared" si="62"/>
        <v>757.92760855012784</v>
      </c>
      <c r="BI126" s="60">
        <f ca="1">AVERAGE(OFFSET($BH$3,0,0,'Données projet'!$E$11+1,1))-AVERAGE(OFFSET($H$3,0,0,'Données projet'!$E$11+1,1))</f>
        <v>178.29366134936788</v>
      </c>
      <c r="BJ126" s="60">
        <f t="shared" si="92"/>
        <v>85.818195717787148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18.632530447272554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18.632530447272554</v>
      </c>
      <c r="BT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projet'!$B$12,Paramètres!$A$1:$I$88,3,0)*VLOOKUP('Données projet'!$B$12,Paramètres!$A$1:$I$88,5,0)</f>
        <v>0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104.00159056395933</v>
      </c>
      <c r="CE126" s="60">
        <f t="shared" si="94"/>
        <v>115.86489547584461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42.419225184239721</v>
      </c>
      <c r="CL126" s="23">
        <f>EXP(-LN(2)/25)*CL125+(1-EXP(-LN(2)/25))/(LN(2)/25)*Calculateur!CG126*Calculateur!CI126*VLOOKUP('Données projet'!$B$12,Paramètres!$A$1:$I$88,3,0)*0.475*44/12</f>
        <v>5.7663604182098602</v>
      </c>
      <c r="CM126" s="23">
        <f>EXP(-LN(2)/2)*CM125+(1-EXP(-LN(2)/2))/(LN(2)/2)*CG126*CJ126*VLOOKUP('Données projet'!$B$12,Paramètres!$A$1:$I$88,3,0)*0.475*44/12</f>
        <v>2.0228512074209168E-7</v>
      </c>
      <c r="CN126" s="24">
        <f t="shared" si="66"/>
        <v>48.1855858047347</v>
      </c>
      <c r="CO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projet'!$B$13,Paramètres!$A$1:$I$88,3,0)*VLOOKUP('Données projet'!$B$13,Paramètres!$A$1:$I$88,5,0)</f>
        <v>#N/A</v>
      </c>
      <c r="CV126" s="14" t="e">
        <f t="shared" si="95"/>
        <v>#N/A</v>
      </c>
      <c r="CW126" s="22" t="e">
        <f t="shared" si="67"/>
        <v>#N/A</v>
      </c>
      <c r="CX126" s="60" t="e">
        <f t="shared" si="68"/>
        <v>#N/A</v>
      </c>
      <c r="CY126" s="60" t="e">
        <f ca="1">AVERAGE(OFFSET($CX$3,0,0,'Données projet'!$E$13+1,1))-AVERAGE(OFFSET($H$3,0,0,'Données projet'!$E$13+1,1))</f>
        <v>#N/A</v>
      </c>
      <c r="CZ126" s="60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projet'!$B$13,Paramètres!$A$1:$I$88,3,0)*0.475*44/12</f>
        <v>#N/A</v>
      </c>
      <c r="DG126" s="23" t="e">
        <f>EXP(-LN(2)/25)*DG125+(1-EXP(-LN(2)/25))/(LN(2)/25)*Calculateur!DB126*Calculateur!DD126*VLOOKUP('Données projet'!$B$13,Paramètres!$A$1:$I$88,3,0)*0.475*44/12</f>
        <v>#N/A</v>
      </c>
      <c r="DH126" s="23" t="e">
        <f>EXP(-LN(2)/2)*DH125+(1-EXP(-LN(2)/2))/(LN(2)/2)*DB126*DE126*VLOOKUP('Données projet'!$B$13,Paramètres!$A$1:$I$88,3,0)*0.475*44/12</f>
        <v>#N/A</v>
      </c>
      <c r="DI126" s="24" t="e">
        <f t="shared" si="69"/>
        <v>#N/A</v>
      </c>
      <c r="DJ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0" t="e">
        <f t="shared" si="71"/>
        <v>#N/A</v>
      </c>
      <c r="DT126" s="60" t="e">
        <f ca="1">AVERAGE(OFFSET($DS$3,0,0,'Données projet'!$E$14+1,1))-AVERAGE(OFFSET($H$3,0,0,'Données projet'!$E$14+1,1))</f>
        <v>#N/A</v>
      </c>
      <c r="DU126" s="60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4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110.2608000000002</v>
      </c>
      <c r="D127" s="12">
        <f t="shared" si="86"/>
        <v>29.392422615380852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4.5474735088646412E-13</v>
      </c>
      <c r="O127" s="14">
        <f>N127*VLOOKUP('Données projet'!$B$9,Paramètres!$A$1:$I$88,3,0)*VLOOKUP('Données projet'!$B$9,Paramètres!$A$1:$I$88,5,0)</f>
        <v>2.7193891583010558E-13</v>
      </c>
      <c r="P127" s="14">
        <f t="shared" si="87"/>
        <v>3.6362267729089988E-12</v>
      </c>
      <c r="Q127" s="22">
        <f t="shared" si="107"/>
        <v>6.8067219078872727E-12</v>
      </c>
      <c r="R127" s="60">
        <f t="shared" si="55"/>
        <v>293.33333333334014</v>
      </c>
      <c r="S127" s="60">
        <f ca="1">AVERAGE(OFFSET($R$3,0,0,'Données projet'!$E$9+1,1))-AVERAGE(OFFSET($H$3,0,0,'Données projet'!$E$9+1,1))</f>
        <v>181.84907943028196</v>
      </c>
      <c r="T127" s="60">
        <f t="shared" si="88"/>
        <v>199.66849909069458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36.630477543375399</v>
      </c>
      <c r="AA127" s="23">
        <f>EXP(-LN(2)/25)*AA126+(1-EXP(-LN(2)/25))/(LN(2)/25)*Calculateur!V127*Calculateur!X127*VLOOKUP('Données projet'!$B$9,Paramètres!$A$1:$I$88,3,0)*0.475*44/12</f>
        <v>5.1538418529972638</v>
      </c>
      <c r="AB127" s="23">
        <f>EXP(-LN(2)/2)*AB126+(1-EXP(-LN(2)/2))/(LN(2)/2)*V127*Y127*VLOOKUP('Données projet'!$B$9,Paramètres!$A$1:$I$88,3,0)*0.475*44/12</f>
        <v>5.5351107768716481E-9</v>
      </c>
      <c r="AC127" s="24">
        <f t="shared" si="57"/>
        <v>41.78431940190778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projet'!$B$10,Paramètres!$A$1:$I$88,3,0)*VLOOKUP('Données projet'!$B$10,Paramètres!$A$1:$I$88,5,0)</f>
        <v>0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55.581964048431473</v>
      </c>
      <c r="AO127" s="60">
        <f t="shared" si="90"/>
        <v>91.067506141193803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6.8525477230233607</v>
      </c>
      <c r="AV127" s="23">
        <f>EXP(-LN(2)/25)*AV126+(1-EXP(-LN(2)/25))/(LN(2)/25)*Calculateur!AQ127*Calculateur!AS127*VLOOKUP('Données projet'!$B$10,Paramètres!$A$1:$I$88,3,0)*0.475*44/12</f>
        <v>0</v>
      </c>
      <c r="AW127" s="23">
        <f>EXP(-LN(2)/2)*AW126+(1-EXP(-LN(2)/2))/(LN(2)/2)*AQ127*AT127*VLOOKUP('Données projet'!$B$10,Paramètres!$A$1:$I$88,3,0)*0.475*44/12</f>
        <v>0</v>
      </c>
      <c r="AX127" s="23">
        <f t="shared" si="60"/>
        <v>6.8525477230233607</v>
      </c>
      <c r="AY127" s="7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5</v>
      </c>
      <c r="BD127" s="13">
        <f>IF('Données projet'!$A$88&gt;35,BD126+BC127-BL126,IF(A127&lt;'Données projet'!$A$88,$BA$205^A127,IF(A127='Données projet'!$A$88,'Données projet'!$B$88,BD126+BC127-BL126)))</f>
        <v>216.00000000000037</v>
      </c>
      <c r="BE127" s="14">
        <f>BD127*VLOOKUP('Données projet'!$B$11,Paramètres!$A$1:$I$88,3,0)*VLOOKUP('Données projet'!$B$11,Paramètres!$A$1:$I$88,5,0)</f>
        <v>219.02400000000037</v>
      </c>
      <c r="BF127" s="14">
        <f t="shared" si="91"/>
        <v>53.902702081308398</v>
      </c>
      <c r="BG127" s="22">
        <f t="shared" si="61"/>
        <v>475.34733945827946</v>
      </c>
      <c r="BH127" s="60">
        <f t="shared" si="62"/>
        <v>768.68067279161278</v>
      </c>
      <c r="BI127" s="60">
        <f ca="1">AVERAGE(OFFSET($BH$3,0,0,'Données projet'!$E$11+1,1))-AVERAGE(OFFSET($H$3,0,0,'Données projet'!$E$11+1,1))</f>
        <v>178.29366134936788</v>
      </c>
      <c r="BJ127" s="60">
        <f t="shared" si="92"/>
        <v>85.818195717787148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18.267157889922938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18.267157889922938</v>
      </c>
      <c r="BT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projet'!$B$12,Paramètres!$A$1:$I$88,3,0)*VLOOKUP('Données projet'!$B$12,Paramètres!$A$1:$I$88,5,0)</f>
        <v>0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104.00159056395933</v>
      </c>
      <c r="CE127" s="60">
        <f t="shared" si="94"/>
        <v>115.86489547584461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41.587410051549377</v>
      </c>
      <c r="CL127" s="23">
        <f>EXP(-LN(2)/25)*CL126+(1-EXP(-LN(2)/25))/(LN(2)/25)*Calculateur!CG127*Calculateur!CI127*VLOOKUP('Données projet'!$B$12,Paramètres!$A$1:$I$88,3,0)*0.475*44/12</f>
        <v>5.6086789893341962</v>
      </c>
      <c r="CM127" s="23">
        <f>EXP(-LN(2)/2)*CM126+(1-EXP(-LN(2)/2))/(LN(2)/2)*CG127*CJ127*VLOOKUP('Données projet'!$B$12,Paramètres!$A$1:$I$88,3,0)*0.475*44/12</f>
        <v>1.4303718060987257E-7</v>
      </c>
      <c r="CN127" s="24">
        <f t="shared" si="66"/>
        <v>47.196089183920755</v>
      </c>
      <c r="CO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projet'!$B$13,Paramètres!$A$1:$I$88,3,0)*VLOOKUP('Données projet'!$B$13,Paramètres!$A$1:$I$88,5,0)</f>
        <v>#N/A</v>
      </c>
      <c r="CV127" s="14" t="e">
        <f t="shared" si="95"/>
        <v>#N/A</v>
      </c>
      <c r="CW127" s="22" t="e">
        <f t="shared" si="67"/>
        <v>#N/A</v>
      </c>
      <c r="CX127" s="60" t="e">
        <f t="shared" si="68"/>
        <v>#N/A</v>
      </c>
      <c r="CY127" s="60" t="e">
        <f ca="1">AVERAGE(OFFSET($CX$3,0,0,'Données projet'!$E$13+1,1))-AVERAGE(OFFSET($H$3,0,0,'Données projet'!$E$13+1,1))</f>
        <v>#N/A</v>
      </c>
      <c r="CZ127" s="60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projet'!$B$13,Paramètres!$A$1:$I$88,3,0)*0.475*44/12</f>
        <v>#N/A</v>
      </c>
      <c r="DG127" s="23" t="e">
        <f>EXP(-LN(2)/25)*DG126+(1-EXP(-LN(2)/25))/(LN(2)/25)*Calculateur!DB127*Calculateur!DD127*VLOOKUP('Données projet'!$B$13,Paramètres!$A$1:$I$88,3,0)*0.475*44/12</f>
        <v>#N/A</v>
      </c>
      <c r="DH127" s="23" t="e">
        <f>EXP(-LN(2)/2)*DH126+(1-EXP(-LN(2)/2))/(LN(2)/2)*DB127*DE127*VLOOKUP('Données projet'!$B$13,Paramètres!$A$1:$I$88,3,0)*0.475*44/12</f>
        <v>#N/A</v>
      </c>
      <c r="DI127" s="24" t="e">
        <f t="shared" si="69"/>
        <v>#N/A</v>
      </c>
      <c r="DJ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0" t="e">
        <f t="shared" si="71"/>
        <v>#N/A</v>
      </c>
      <c r="DT127" s="60" t="e">
        <f ca="1">AVERAGE(OFFSET($DS$3,0,0,'Données projet'!$E$14+1,1))-AVERAGE(OFFSET($H$3,0,0,'Données projet'!$E$14+1,1))</f>
        <v>#N/A</v>
      </c>
      <c r="DU127" s="60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4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111.1500000000002</v>
      </c>
      <c r="D128" s="12">
        <f t="shared" si="86"/>
        <v>29.601769319956595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4.5474735088646412E-13</v>
      </c>
      <c r="O128" s="14">
        <f>N128*VLOOKUP('Données projet'!$B$9,Paramètres!$A$1:$I$88,3,0)*VLOOKUP('Données projet'!$B$9,Paramètres!$A$1:$I$88,5,0)</f>
        <v>2.7193891583010558E-13</v>
      </c>
      <c r="P128" s="14">
        <f t="shared" si="87"/>
        <v>3.6362267729089988E-12</v>
      </c>
      <c r="Q128" s="22">
        <f t="shared" si="107"/>
        <v>6.8067219078872727E-12</v>
      </c>
      <c r="R128" s="60">
        <f t="shared" si="55"/>
        <v>293.33333333334014</v>
      </c>
      <c r="S128" s="60">
        <f ca="1">AVERAGE(OFFSET($R$3,0,0,'Données projet'!$E$9+1,1))-AVERAGE(OFFSET($H$3,0,0,'Données projet'!$E$9+1,1))</f>
        <v>181.84907943028196</v>
      </c>
      <c r="T128" s="60">
        <f t="shared" si="88"/>
        <v>199.66849909069458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35.912176221134985</v>
      </c>
      <c r="AA128" s="23">
        <f>EXP(-LN(2)/25)*AA127+(1-EXP(-LN(2)/25))/(LN(2)/25)*Calculateur!V128*Calculateur!X128*VLOOKUP('Données projet'!$B$9,Paramètres!$A$1:$I$88,3,0)*0.475*44/12</f>
        <v>5.0129097764982902</v>
      </c>
      <c r="AB128" s="23">
        <f>EXP(-LN(2)/2)*AB127+(1-EXP(-LN(2)/2))/(LN(2)/2)*V128*Y128*VLOOKUP('Données projet'!$B$9,Paramètres!$A$1:$I$88,3,0)*0.475*44/12</f>
        <v>3.9139143649446816E-9</v>
      </c>
      <c r="AC128" s="24">
        <f t="shared" si="57"/>
        <v>40.925086001547186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projet'!$B$10,Paramètres!$A$1:$I$88,3,0)*VLOOKUP('Données projet'!$B$10,Paramètres!$A$1:$I$88,5,0)</f>
        <v>0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55.581964048431473</v>
      </c>
      <c r="AO128" s="60">
        <f t="shared" si="90"/>
        <v>91.067506141193803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6.718173441816278</v>
      </c>
      <c r="AV128" s="23">
        <f>EXP(-LN(2)/25)*AV127+(1-EXP(-LN(2)/25))/(LN(2)/25)*Calculateur!AQ128*Calculateur!AS128*VLOOKUP('Données projet'!$B$10,Paramètres!$A$1:$I$88,3,0)*0.475*44/12</f>
        <v>0</v>
      </c>
      <c r="AW128" s="23">
        <f>EXP(-LN(2)/2)*AW127+(1-EXP(-LN(2)/2))/(LN(2)/2)*AQ128*AT128*VLOOKUP('Données projet'!$B$10,Paramètres!$A$1:$I$88,3,0)*0.475*44/12</f>
        <v>0</v>
      </c>
      <c r="AX128" s="23">
        <f t="shared" si="60"/>
        <v>6.718173441816278</v>
      </c>
      <c r="AY128" s="7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5</v>
      </c>
      <c r="BD128" s="13">
        <f>IF('Données projet'!$A$88&gt;35,BD127+BC128-BL127,IF(A128&lt;'Données projet'!$A$88,$BA$205^A128,IF(A128='Données projet'!$A$88,'Données projet'!$B$88,BD127+BC128-BL127)))</f>
        <v>221.00000000000037</v>
      </c>
      <c r="BE128" s="14">
        <f>BD128*VLOOKUP('Données projet'!$B$11,Paramètres!$A$1:$I$88,3,0)*VLOOKUP('Données projet'!$B$11,Paramètres!$A$1:$I$88,5,0)</f>
        <v>224.09400000000036</v>
      </c>
      <c r="BF128" s="14">
        <f t="shared" si="91"/>
        <v>55.003739293082759</v>
      </c>
      <c r="BG128" s="22">
        <f t="shared" si="61"/>
        <v>486.0952292687864</v>
      </c>
      <c r="BH128" s="60">
        <f t="shared" si="62"/>
        <v>779.42856260211965</v>
      </c>
      <c r="BI128" s="60">
        <f ca="1">AVERAGE(OFFSET($BH$3,0,0,'Données projet'!$E$11+1,1))-AVERAGE(OFFSET($H$3,0,0,'Données projet'!$E$11+1,1))</f>
        <v>178.29366134936788</v>
      </c>
      <c r="BJ128" s="60">
        <f t="shared" si="92"/>
        <v>85.818195717787148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17.908950065567694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17.908950065567694</v>
      </c>
      <c r="BT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projet'!$B$12,Paramètres!$A$1:$I$88,3,0)*VLOOKUP('Données projet'!$B$12,Paramètres!$A$1:$I$88,5,0)</f>
        <v>0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104.00159056395933</v>
      </c>
      <c r="CE128" s="60">
        <f t="shared" si="94"/>
        <v>115.86489547584461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40.77190630625396</v>
      </c>
      <c r="CL128" s="23">
        <f>EXP(-LN(2)/25)*CL127+(1-EXP(-LN(2)/25))/(LN(2)/25)*Calculateur!CG128*Calculateur!CI128*VLOOKUP('Données projet'!$B$12,Paramètres!$A$1:$I$88,3,0)*0.475*44/12</f>
        <v>5.4553093674232436</v>
      </c>
      <c r="CM128" s="23">
        <f>EXP(-LN(2)/2)*CM127+(1-EXP(-LN(2)/2))/(LN(2)/2)*CG128*CJ128*VLOOKUP('Données projet'!$B$12,Paramètres!$A$1:$I$88,3,0)*0.475*44/12</f>
        <v>1.0114256037104584E-7</v>
      </c>
      <c r="CN128" s="24">
        <f t="shared" si="66"/>
        <v>46.227215774819769</v>
      </c>
      <c r="CO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projet'!$B$13,Paramètres!$A$1:$I$88,3,0)*VLOOKUP('Données projet'!$B$13,Paramètres!$A$1:$I$88,5,0)</f>
        <v>#N/A</v>
      </c>
      <c r="CV128" s="14" t="e">
        <f t="shared" si="95"/>
        <v>#N/A</v>
      </c>
      <c r="CW128" s="22" t="e">
        <f t="shared" si="67"/>
        <v>#N/A</v>
      </c>
      <c r="CX128" s="60" t="e">
        <f t="shared" si="68"/>
        <v>#N/A</v>
      </c>
      <c r="CY128" s="60" t="e">
        <f ca="1">AVERAGE(OFFSET($CX$3,0,0,'Données projet'!$E$13+1,1))-AVERAGE(OFFSET($H$3,0,0,'Données projet'!$E$13+1,1))</f>
        <v>#N/A</v>
      </c>
      <c r="CZ128" s="60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projet'!$B$13,Paramètres!$A$1:$I$88,3,0)*0.475*44/12</f>
        <v>#N/A</v>
      </c>
      <c r="DG128" s="23" t="e">
        <f>EXP(-LN(2)/25)*DG127+(1-EXP(-LN(2)/25))/(LN(2)/25)*Calculateur!DB128*Calculateur!DD128*VLOOKUP('Données projet'!$B$13,Paramètres!$A$1:$I$88,3,0)*0.475*44/12</f>
        <v>#N/A</v>
      </c>
      <c r="DH128" s="23" t="e">
        <f>EXP(-LN(2)/2)*DH127+(1-EXP(-LN(2)/2))/(LN(2)/2)*DB128*DE128*VLOOKUP('Données projet'!$B$13,Paramètres!$A$1:$I$88,3,0)*0.475*44/12</f>
        <v>#N/A</v>
      </c>
      <c r="DI128" s="24" t="e">
        <f t="shared" si="69"/>
        <v>#N/A</v>
      </c>
      <c r="DJ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0" t="e">
        <f t="shared" si="71"/>
        <v>#N/A</v>
      </c>
      <c r="DT128" s="60" t="e">
        <f ca="1">AVERAGE(OFFSET($DS$3,0,0,'Données projet'!$E$14+1,1))-AVERAGE(OFFSET($H$3,0,0,'Données projet'!$E$14+1,1))</f>
        <v>#N/A</v>
      </c>
      <c r="DU128" s="60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4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112.03920000000021</v>
      </c>
      <c r="D129" s="12">
        <f t="shared" si="86"/>
        <v>29.810921169420254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4.5474735088646412E-13</v>
      </c>
      <c r="O129" s="14">
        <f>N129*VLOOKUP('Données projet'!$B$9,Paramètres!$A$1:$I$88,3,0)*VLOOKUP('Données projet'!$B$9,Paramètres!$A$1:$I$88,5,0)</f>
        <v>2.7193891583010558E-13</v>
      </c>
      <c r="P129" s="14">
        <f t="shared" si="87"/>
        <v>3.6362267729089988E-12</v>
      </c>
      <c r="Q129" s="22">
        <f t="shared" si="107"/>
        <v>6.8067219078872727E-12</v>
      </c>
      <c r="R129" s="60">
        <f t="shared" si="55"/>
        <v>293.33333333334014</v>
      </c>
      <c r="S129" s="60">
        <f ca="1">AVERAGE(OFFSET($R$3,0,0,'Données projet'!$E$9+1,1))-AVERAGE(OFFSET($H$3,0,0,'Données projet'!$E$9+1,1))</f>
        <v>181.84907943028196</v>
      </c>
      <c r="T129" s="60">
        <f t="shared" si="88"/>
        <v>199.66849909069458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35.207960349703157</v>
      </c>
      <c r="AA129" s="23">
        <f>EXP(-LN(2)/25)*AA128+(1-EXP(-LN(2)/25))/(LN(2)/25)*Calculateur!V129*Calculateur!X129*VLOOKUP('Données projet'!$B$9,Paramètres!$A$1:$I$88,3,0)*0.475*44/12</f>
        <v>4.8758314950424761</v>
      </c>
      <c r="AB129" s="23">
        <f>EXP(-LN(2)/2)*AB128+(1-EXP(-LN(2)/2))/(LN(2)/2)*V129*Y129*VLOOKUP('Données projet'!$B$9,Paramètres!$A$1:$I$88,3,0)*0.475*44/12</f>
        <v>2.767555388435824E-9</v>
      </c>
      <c r="AC129" s="24">
        <f t="shared" si="57"/>
        <v>40.08379184751319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projet'!$B$10,Paramètres!$A$1:$I$88,3,0)*VLOOKUP('Données projet'!$B$10,Paramètres!$A$1:$I$88,5,0)</f>
        <v>0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55.581964048431473</v>
      </c>
      <c r="AO129" s="60">
        <f t="shared" si="90"/>
        <v>91.067506141193803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6.5864341583034482</v>
      </c>
      <c r="AV129" s="23">
        <f>EXP(-LN(2)/25)*AV128+(1-EXP(-LN(2)/25))/(LN(2)/25)*Calculateur!AQ129*Calculateur!AS129*VLOOKUP('Données projet'!$B$10,Paramètres!$A$1:$I$88,3,0)*0.475*44/12</f>
        <v>0</v>
      </c>
      <c r="AW129" s="23">
        <f>EXP(-LN(2)/2)*AW128+(1-EXP(-LN(2)/2))/(LN(2)/2)*AQ129*AT129*VLOOKUP('Données projet'!$B$10,Paramètres!$A$1:$I$88,3,0)*0.475*44/12</f>
        <v>0</v>
      </c>
      <c r="AX129" s="23">
        <f t="shared" si="60"/>
        <v>6.5864341583034482</v>
      </c>
      <c r="AY129" s="7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5</v>
      </c>
      <c r="BD129" s="13">
        <f>IF('Données projet'!$A$88&gt;35,BD128+BC129-BL128,IF(A129&lt;'Données projet'!$A$88,$BA$205^A129,IF(A129='Données projet'!$A$88,'Données projet'!$B$88,BD128+BC129-BL128)))</f>
        <v>226.00000000000037</v>
      </c>
      <c r="BE129" s="14">
        <f>BD129*VLOOKUP('Données projet'!$B$11,Paramètres!$A$1:$I$88,3,0)*VLOOKUP('Données projet'!$B$11,Paramètres!$A$1:$I$88,5,0)</f>
        <v>229.16400000000039</v>
      </c>
      <c r="BF129" s="14">
        <f t="shared" si="91"/>
        <v>56.101880494297497</v>
      </c>
      <c r="BG129" s="22">
        <f t="shared" si="61"/>
        <v>496.83807519423544</v>
      </c>
      <c r="BH129" s="60">
        <f t="shared" si="62"/>
        <v>790.1714085275687</v>
      </c>
      <c r="BI129" s="60">
        <f ca="1">AVERAGE(OFFSET($BH$3,0,0,'Données projet'!$E$11+1,1))-AVERAGE(OFFSET($H$3,0,0,'Données projet'!$E$11+1,1))</f>
        <v>178.29366134936788</v>
      </c>
      <c r="BJ129" s="60">
        <f t="shared" si="92"/>
        <v>85.818195717787148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17.557766478162858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17.557766478162858</v>
      </c>
      <c r="BT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projet'!$B$12,Paramètres!$A$1:$I$88,3,0)*VLOOKUP('Données projet'!$B$12,Paramètres!$A$1:$I$88,5,0)</f>
        <v>0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104.00159056395933</v>
      </c>
      <c r="CE129" s="60">
        <f t="shared" si="94"/>
        <v>115.86489547584461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39.972394091995618</v>
      </c>
      <c r="CL129" s="23">
        <f>EXP(-LN(2)/25)*CL128+(1-EXP(-LN(2)/25))/(LN(2)/25)*Calculateur!CG129*Calculateur!CI129*VLOOKUP('Données projet'!$B$12,Paramètres!$A$1:$I$88,3,0)*0.475*44/12</f>
        <v>5.3061336458888038</v>
      </c>
      <c r="CM129" s="23">
        <f>EXP(-LN(2)/2)*CM128+(1-EXP(-LN(2)/2))/(LN(2)/2)*CG129*CJ129*VLOOKUP('Données projet'!$B$12,Paramètres!$A$1:$I$88,3,0)*0.475*44/12</f>
        <v>7.1518590304936283E-8</v>
      </c>
      <c r="CN129" s="24">
        <f t="shared" si="66"/>
        <v>45.278527809403016</v>
      </c>
      <c r="CO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projet'!$B$13,Paramètres!$A$1:$I$88,3,0)*VLOOKUP('Données projet'!$B$13,Paramètres!$A$1:$I$88,5,0)</f>
        <v>#N/A</v>
      </c>
      <c r="CV129" s="14" t="e">
        <f t="shared" si="95"/>
        <v>#N/A</v>
      </c>
      <c r="CW129" s="22" t="e">
        <f t="shared" si="67"/>
        <v>#N/A</v>
      </c>
      <c r="CX129" s="60" t="e">
        <f t="shared" si="68"/>
        <v>#N/A</v>
      </c>
      <c r="CY129" s="60" t="e">
        <f ca="1">AVERAGE(OFFSET($CX$3,0,0,'Données projet'!$E$13+1,1))-AVERAGE(OFFSET($H$3,0,0,'Données projet'!$E$13+1,1))</f>
        <v>#N/A</v>
      </c>
      <c r="CZ129" s="60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projet'!$B$13,Paramètres!$A$1:$I$88,3,0)*0.475*44/12</f>
        <v>#N/A</v>
      </c>
      <c r="DG129" s="23" t="e">
        <f>EXP(-LN(2)/25)*DG128+(1-EXP(-LN(2)/25))/(LN(2)/25)*Calculateur!DB129*Calculateur!DD129*VLOOKUP('Données projet'!$B$13,Paramètres!$A$1:$I$88,3,0)*0.475*44/12</f>
        <v>#N/A</v>
      </c>
      <c r="DH129" s="23" t="e">
        <f>EXP(-LN(2)/2)*DH128+(1-EXP(-LN(2)/2))/(LN(2)/2)*DB129*DE129*VLOOKUP('Données projet'!$B$13,Paramètres!$A$1:$I$88,3,0)*0.475*44/12</f>
        <v>#N/A</v>
      </c>
      <c r="DI129" s="24" t="e">
        <f t="shared" si="69"/>
        <v>#N/A</v>
      </c>
      <c r="DJ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0" t="e">
        <f t="shared" si="71"/>
        <v>#N/A</v>
      </c>
      <c r="DT129" s="60" t="e">
        <f ca="1">AVERAGE(OFFSET($DS$3,0,0,'Données projet'!$E$14+1,1))-AVERAGE(OFFSET($H$3,0,0,'Données projet'!$E$14+1,1))</f>
        <v>#N/A</v>
      </c>
      <c r="DU129" s="60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4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112.92840000000021</v>
      </c>
      <c r="D130" s="12">
        <f t="shared" si="86"/>
        <v>30.019879889489037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4.5474735088646412E-13</v>
      </c>
      <c r="O130" s="14">
        <f>N130*VLOOKUP('Données projet'!$B$9,Paramètres!$A$1:$I$88,3,0)*VLOOKUP('Données projet'!$B$9,Paramètres!$A$1:$I$88,5,0)</f>
        <v>2.7193891583010558E-13</v>
      </c>
      <c r="P130" s="14">
        <f t="shared" si="87"/>
        <v>3.6362267729089988E-12</v>
      </c>
      <c r="Q130" s="22">
        <f t="shared" si="107"/>
        <v>6.8067219078872727E-12</v>
      </c>
      <c r="R130" s="60">
        <f t="shared" si="55"/>
        <v>293.33333333334014</v>
      </c>
      <c r="S130" s="60">
        <f ca="1">AVERAGE(OFFSET($R$3,0,0,'Données projet'!$E$9+1,1))-AVERAGE(OFFSET($H$3,0,0,'Données projet'!$E$9+1,1))</f>
        <v>181.84907943028196</v>
      </c>
      <c r="T130" s="60">
        <f t="shared" si="88"/>
        <v>199.66849909069458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34.517553721980839</v>
      </c>
      <c r="AA130" s="23">
        <f>EXP(-LN(2)/25)*AA129+(1-EXP(-LN(2)/25))/(LN(2)/25)*Calculateur!V130*Calculateur!X130*VLOOKUP('Données projet'!$B$9,Paramètres!$A$1:$I$88,3,0)*0.475*44/12</f>
        <v>4.7425016264017055</v>
      </c>
      <c r="AB130" s="23">
        <f>EXP(-LN(2)/2)*AB129+(1-EXP(-LN(2)/2))/(LN(2)/2)*V130*Y130*VLOOKUP('Données projet'!$B$9,Paramètres!$A$1:$I$88,3,0)*0.475*44/12</f>
        <v>1.9569571824723408E-9</v>
      </c>
      <c r="AC130" s="24">
        <f t="shared" si="57"/>
        <v>39.260055350339499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projet'!$B$10,Paramètres!$A$1:$I$88,3,0)*VLOOKUP('Données projet'!$B$10,Paramètres!$A$1:$I$88,5,0)</f>
        <v>0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55.581964048431473</v>
      </c>
      <c r="AO130" s="60">
        <f t="shared" si="90"/>
        <v>91.067506141193803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6.4572782017872763</v>
      </c>
      <c r="AV130" s="23">
        <f>EXP(-LN(2)/25)*AV129+(1-EXP(-LN(2)/25))/(LN(2)/25)*Calculateur!AQ130*Calculateur!AS130*VLOOKUP('Données projet'!$B$10,Paramètres!$A$1:$I$88,3,0)*0.475*44/12</f>
        <v>0</v>
      </c>
      <c r="AW130" s="23">
        <f>EXP(-LN(2)/2)*AW129+(1-EXP(-LN(2)/2))/(LN(2)/2)*AQ130*AT130*VLOOKUP('Données projet'!$B$10,Paramètres!$A$1:$I$88,3,0)*0.475*44/12</f>
        <v>0</v>
      </c>
      <c r="AX130" s="23">
        <f t="shared" si="60"/>
        <v>6.4572782017872763</v>
      </c>
      <c r="AY130" s="7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5</v>
      </c>
      <c r="BD130" s="13">
        <f>IF('Données projet'!$A$88&gt;35,BD129+BC130-BL129,IF(A130&lt;'Données projet'!$A$88,$BA$205^A130,IF(A130='Données projet'!$A$88,'Données projet'!$B$88,BD129+BC130-BL129)))</f>
        <v>231.00000000000037</v>
      </c>
      <c r="BE130" s="14">
        <f>BD130*VLOOKUP('Données projet'!$B$11,Paramètres!$A$1:$I$88,3,0)*VLOOKUP('Données projet'!$B$11,Paramètres!$A$1:$I$88,5,0)</f>
        <v>234.23400000000038</v>
      </c>
      <c r="BF130" s="14">
        <f t="shared" si="91"/>
        <v>57.197197133603538</v>
      </c>
      <c r="BG130" s="22">
        <f t="shared" si="61"/>
        <v>507.57600167436016</v>
      </c>
      <c r="BH130" s="60">
        <f t="shared" si="62"/>
        <v>800.90933500769347</v>
      </c>
      <c r="BI130" s="60">
        <f ca="1">AVERAGE(OFFSET($BH$3,0,0,'Données projet'!$E$11+1,1))-AVERAGE(OFFSET($H$3,0,0,'Données projet'!$E$11+1,1))</f>
        <v>178.29366134936788</v>
      </c>
      <c r="BJ130" s="60">
        <f t="shared" si="92"/>
        <v>85.818195717787148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17.213469386706191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17.213469386706191</v>
      </c>
      <c r="BT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projet'!$B$12,Paramètres!$A$1:$I$88,3,0)*VLOOKUP('Données projet'!$B$12,Paramètres!$A$1:$I$88,5,0)</f>
        <v>0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104.00159056395933</v>
      </c>
      <c r="CE130" s="60">
        <f t="shared" si="94"/>
        <v>115.86489547584461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39.188559824604582</v>
      </c>
      <c r="CL130" s="23">
        <f>EXP(-LN(2)/25)*CL129+(1-EXP(-LN(2)/25))/(LN(2)/25)*Calculateur!CG130*Calculateur!CI130*VLOOKUP('Données projet'!$B$12,Paramètres!$A$1:$I$88,3,0)*0.475*44/12</f>
        <v>5.1610371423045329</v>
      </c>
      <c r="CM130" s="23">
        <f>EXP(-LN(2)/2)*CM129+(1-EXP(-LN(2)/2))/(LN(2)/2)*CG130*CJ130*VLOOKUP('Données projet'!$B$12,Paramètres!$A$1:$I$88,3,0)*0.475*44/12</f>
        <v>5.057128018552292E-8</v>
      </c>
      <c r="CN130" s="24">
        <f t="shared" si="66"/>
        <v>44.349597017480399</v>
      </c>
      <c r="CO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projet'!$B$13,Paramètres!$A$1:$I$88,3,0)*VLOOKUP('Données projet'!$B$13,Paramètres!$A$1:$I$88,5,0)</f>
        <v>#N/A</v>
      </c>
      <c r="CV130" s="14" t="e">
        <f t="shared" si="95"/>
        <v>#N/A</v>
      </c>
      <c r="CW130" s="22" t="e">
        <f t="shared" si="67"/>
        <v>#N/A</v>
      </c>
      <c r="CX130" s="60" t="e">
        <f t="shared" si="68"/>
        <v>#N/A</v>
      </c>
      <c r="CY130" s="60" t="e">
        <f ca="1">AVERAGE(OFFSET($CX$3,0,0,'Données projet'!$E$13+1,1))-AVERAGE(OFFSET($H$3,0,0,'Données projet'!$E$13+1,1))</f>
        <v>#N/A</v>
      </c>
      <c r="CZ130" s="60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projet'!$B$13,Paramètres!$A$1:$I$88,3,0)*0.475*44/12</f>
        <v>#N/A</v>
      </c>
      <c r="DG130" s="23" t="e">
        <f>EXP(-LN(2)/25)*DG129+(1-EXP(-LN(2)/25))/(LN(2)/25)*Calculateur!DB130*Calculateur!DD130*VLOOKUP('Données projet'!$B$13,Paramètres!$A$1:$I$88,3,0)*0.475*44/12</f>
        <v>#N/A</v>
      </c>
      <c r="DH130" s="23" t="e">
        <f>EXP(-LN(2)/2)*DH129+(1-EXP(-LN(2)/2))/(LN(2)/2)*DB130*DE130*VLOOKUP('Données projet'!$B$13,Paramètres!$A$1:$I$88,3,0)*0.475*44/12</f>
        <v>#N/A</v>
      </c>
      <c r="DI130" s="24" t="e">
        <f t="shared" si="69"/>
        <v>#N/A</v>
      </c>
      <c r="DJ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0" t="e">
        <f t="shared" si="71"/>
        <v>#N/A</v>
      </c>
      <c r="DT130" s="60" t="e">
        <f ca="1">AVERAGE(OFFSET($DS$3,0,0,'Données projet'!$E$14+1,1))-AVERAGE(OFFSET($H$3,0,0,'Données projet'!$E$14+1,1))</f>
        <v>#N/A</v>
      </c>
      <c r="DU130" s="60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4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113.81760000000021</v>
      </c>
      <c r="D131" s="12">
        <f t="shared" si="86"/>
        <v>30.228647177134249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4.5474735088646412E-13</v>
      </c>
      <c r="O131" s="14">
        <f>N131*VLOOKUP('Données projet'!$B$9,Paramètres!$A$1:$I$88,3,0)*VLOOKUP('Données projet'!$B$9,Paramètres!$A$1:$I$88,5,0)</f>
        <v>2.7193891583010558E-13</v>
      </c>
      <c r="P131" s="14">
        <f t="shared" si="87"/>
        <v>3.6362267729089988E-12</v>
      </c>
      <c r="Q131" s="22">
        <f t="shared" ref="Q131:Q153" si="108">(O131+P131)*0.475*44/12</f>
        <v>6.8067219078872727E-12</v>
      </c>
      <c r="R131" s="60">
        <f t="shared" ref="R131:R194" si="109">Q131+(I131+J131)*44/12</f>
        <v>293.33333333334014</v>
      </c>
      <c r="S131" s="60">
        <f ca="1">AVERAGE(OFFSET($R$3,0,0,'Données projet'!$E$9+1,1))-AVERAGE(OFFSET($H$3,0,0,'Données projet'!$E$9+1,1))</f>
        <v>181.84907943028196</v>
      </c>
      <c r="T131" s="60">
        <f t="shared" si="88"/>
        <v>199.66849909069458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33.840685547121694</v>
      </c>
      <c r="AA131" s="23">
        <f>EXP(-LN(2)/25)*AA130+(1-EXP(-LN(2)/25))/(LN(2)/25)*Calculateur!V131*Calculateur!X131*VLOOKUP('Données projet'!$B$9,Paramètres!$A$1:$I$88,3,0)*0.475*44/12</f>
        <v>4.6128176700304291</v>
      </c>
      <c r="AB131" s="23">
        <f>EXP(-LN(2)/2)*AB130+(1-EXP(-LN(2)/2))/(LN(2)/2)*V131*Y131*VLOOKUP('Données projet'!$B$9,Paramètres!$A$1:$I$88,3,0)*0.475*44/12</f>
        <v>1.383777694217912E-9</v>
      </c>
      <c r="AC131" s="24">
        <f t="shared" si="57"/>
        <v>38.4535032185359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projet'!$B$10,Paramètres!$A$1:$I$88,3,0)*VLOOKUP('Données projet'!$B$10,Paramètres!$A$1:$I$88,5,0)</f>
        <v>0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55.581964048431473</v>
      </c>
      <c r="AO131" s="60">
        <f t="shared" si="90"/>
        <v>91.067506141193803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6.3306549148010314</v>
      </c>
      <c r="AV131" s="23">
        <f>EXP(-LN(2)/25)*AV130+(1-EXP(-LN(2)/25))/(LN(2)/25)*Calculateur!AQ131*Calculateur!AS131*VLOOKUP('Données projet'!$B$10,Paramètres!$A$1:$I$88,3,0)*0.475*44/12</f>
        <v>0</v>
      </c>
      <c r="AW131" s="23">
        <f>EXP(-LN(2)/2)*AW130+(1-EXP(-LN(2)/2))/(LN(2)/2)*AQ131*AT131*VLOOKUP('Données projet'!$B$10,Paramètres!$A$1:$I$88,3,0)*0.475*44/12</f>
        <v>0</v>
      </c>
      <c r="AX131" s="23">
        <f t="shared" si="60"/>
        <v>6.3306549148010314</v>
      </c>
      <c r="AY131" s="7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5</v>
      </c>
      <c r="BD131" s="13">
        <f>IF('Données projet'!$A$88&gt;35,BD130+BC131-BL130,IF(A131&lt;'Données projet'!$A$88,$BA$205^A131,IF(A131='Données projet'!$A$88,'Données projet'!$B$88,BD130+BC131-BL130)))</f>
        <v>236.00000000000037</v>
      </c>
      <c r="BE131" s="14">
        <f>BD131*VLOOKUP('Données projet'!$B$11,Paramètres!$A$1:$I$88,3,0)*VLOOKUP('Données projet'!$B$11,Paramètres!$A$1:$I$88,5,0)</f>
        <v>239.30400000000037</v>
      </c>
      <c r="BF131" s="14">
        <f t="shared" si="91"/>
        <v>58.289757389975939</v>
      </c>
      <c r="BG131" s="22">
        <f t="shared" si="61"/>
        <v>518.30912745420881</v>
      </c>
      <c r="BH131" s="60">
        <f t="shared" si="62"/>
        <v>811.64246078754218</v>
      </c>
      <c r="BI131" s="60">
        <f ca="1">AVERAGE(OFFSET($BH$3,0,0,'Données projet'!$E$11+1,1))-AVERAGE(OFFSET($H$3,0,0,'Données projet'!$E$11+1,1))</f>
        <v>178.29366134936788</v>
      </c>
      <c r="BJ131" s="60">
        <f t="shared" si="92"/>
        <v>85.818195717787148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16.8759237512125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16.8759237512125</v>
      </c>
      <c r="BT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projet'!$B$12,Paramètres!$A$1:$I$88,3,0)*VLOOKUP('Données projet'!$B$12,Paramètres!$A$1:$I$88,5,0)</f>
        <v>0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104.00159056395933</v>
      </c>
      <c r="CE131" s="60">
        <f t="shared" si="94"/>
        <v>115.86489547584461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38.420096069105384</v>
      </c>
      <c r="CL131" s="23">
        <f>EXP(-LN(2)/25)*CL130+(1-EXP(-LN(2)/25))/(LN(2)/25)*Calculateur!CG131*Calculateur!CI131*VLOOKUP('Données projet'!$B$12,Paramètres!$A$1:$I$88,3,0)*0.475*44/12</f>
        <v>5.0199083102410675</v>
      </c>
      <c r="CM131" s="23">
        <f>EXP(-LN(2)/2)*CM130+(1-EXP(-LN(2)/2))/(LN(2)/2)*CG131*CJ131*VLOOKUP('Données projet'!$B$12,Paramètres!$A$1:$I$88,3,0)*0.475*44/12</f>
        <v>3.5759295152468142E-8</v>
      </c>
      <c r="CN131" s="24">
        <f t="shared" si="66"/>
        <v>43.44000441510574</v>
      </c>
      <c r="CO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projet'!$B$13,Paramètres!$A$1:$I$88,3,0)*VLOOKUP('Données projet'!$B$13,Paramètres!$A$1:$I$88,5,0)</f>
        <v>#N/A</v>
      </c>
      <c r="CV131" s="14" t="e">
        <f t="shared" si="95"/>
        <v>#N/A</v>
      </c>
      <c r="CW131" s="22" t="e">
        <f t="shared" si="67"/>
        <v>#N/A</v>
      </c>
      <c r="CX131" s="60" t="e">
        <f t="shared" si="68"/>
        <v>#N/A</v>
      </c>
      <c r="CY131" s="60" t="e">
        <f ca="1">AVERAGE(OFFSET($CX$3,0,0,'Données projet'!$E$13+1,1))-AVERAGE(OFFSET($H$3,0,0,'Données projet'!$E$13+1,1))</f>
        <v>#N/A</v>
      </c>
      <c r="CZ131" s="60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projet'!$B$13,Paramètres!$A$1:$I$88,3,0)*0.475*44/12</f>
        <v>#N/A</v>
      </c>
      <c r="DG131" s="23" t="e">
        <f>EXP(-LN(2)/25)*DG130+(1-EXP(-LN(2)/25))/(LN(2)/25)*Calculateur!DB131*Calculateur!DD131*VLOOKUP('Données projet'!$B$13,Paramètres!$A$1:$I$88,3,0)*0.475*44/12</f>
        <v>#N/A</v>
      </c>
      <c r="DH131" s="23" t="e">
        <f>EXP(-LN(2)/2)*DH130+(1-EXP(-LN(2)/2))/(LN(2)/2)*DB131*DE131*VLOOKUP('Données projet'!$B$13,Paramètres!$A$1:$I$88,3,0)*0.475*44/12</f>
        <v>#N/A</v>
      </c>
      <c r="DI131" s="24" t="e">
        <f t="shared" si="69"/>
        <v>#N/A</v>
      </c>
      <c r="DJ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0" t="e">
        <f t="shared" si="71"/>
        <v>#N/A</v>
      </c>
      <c r="DT131" s="60" t="e">
        <f ca="1">AVERAGE(OFFSET($DS$3,0,0,'Données projet'!$E$14+1,1))-AVERAGE(OFFSET($H$3,0,0,'Données projet'!$E$14+1,1))</f>
        <v>#N/A</v>
      </c>
      <c r="DU131" s="60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4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114.70680000000021</v>
      </c>
      <c r="D132" s="12">
        <f t="shared" si="86"/>
        <v>30.437224701280673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4.5474735088646412E-13</v>
      </c>
      <c r="O132" s="14">
        <f>N132*VLOOKUP('Données projet'!$B$9,Paramètres!$A$1:$I$88,3,0)*VLOOKUP('Données projet'!$B$9,Paramètres!$A$1:$I$88,5,0)</f>
        <v>2.7193891583010558E-13</v>
      </c>
      <c r="P132" s="14">
        <f t="shared" si="87"/>
        <v>3.6362267729089988E-12</v>
      </c>
      <c r="Q132" s="22">
        <f t="shared" si="108"/>
        <v>6.8067219078872727E-12</v>
      </c>
      <c r="R132" s="60">
        <f t="shared" si="109"/>
        <v>293.33333333334014</v>
      </c>
      <c r="S132" s="60">
        <f ca="1">AVERAGE(OFFSET($R$3,0,0,'Données projet'!$E$9+1,1))-AVERAGE(OFFSET($H$3,0,0,'Données projet'!$E$9+1,1))</f>
        <v>181.84907943028196</v>
      </c>
      <c r="T132" s="60">
        <f t="shared" si="88"/>
        <v>199.66849909069458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33.177090344322714</v>
      </c>
      <c r="AA132" s="23">
        <f>EXP(-LN(2)/25)*AA131+(1-EXP(-LN(2)/25))/(LN(2)/25)*Calculateur!V132*Calculateur!X132*VLOOKUP('Données projet'!$B$9,Paramètres!$A$1:$I$88,3,0)*0.475*44/12</f>
        <v>4.4866799282659082</v>
      </c>
      <c r="AB132" s="23">
        <f>EXP(-LN(2)/2)*AB131+(1-EXP(-LN(2)/2))/(LN(2)/2)*V132*Y132*VLOOKUP('Données projet'!$B$9,Paramètres!$A$1:$I$88,3,0)*0.475*44/12</f>
        <v>9.7847859123617039E-10</v>
      </c>
      <c r="AC132" s="24">
        <f t="shared" ref="AC132:AC153" si="111">SUM(Z132:AB132)</f>
        <v>37.663770273567103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projet'!$B$10,Paramètres!$A$1:$I$88,3,0)*VLOOKUP('Données projet'!$B$10,Paramètres!$A$1:$I$88,5,0)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55.581964048431473</v>
      </c>
      <c r="AO132" s="60">
        <f t="shared" si="90"/>
        <v>91.067506141193803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6.2065146332400074</v>
      </c>
      <c r="AV132" s="23">
        <f>EXP(-LN(2)/25)*AV131+(1-EXP(-LN(2)/25))/(LN(2)/25)*Calculateur!AQ132*Calculateur!AS132*VLOOKUP('Données projet'!$B$10,Paramètres!$A$1:$I$88,3,0)*0.475*44/12</f>
        <v>0</v>
      </c>
      <c r="AW132" s="23">
        <f>EXP(-LN(2)/2)*AW131+(1-EXP(-LN(2)/2))/(LN(2)/2)*AQ132*AT132*VLOOKUP('Données projet'!$B$10,Paramètres!$A$1:$I$88,3,0)*0.475*44/12</f>
        <v>0</v>
      </c>
      <c r="AX132" s="23">
        <f t="shared" ref="AX132:AX153" si="114">SUM(AU132:AW132)</f>
        <v>6.2065146332400074</v>
      </c>
      <c r="AY132" s="7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>
        <f>VLOOKUP(A132,'Données projet'!$A$87:$I$107,2,0)</f>
        <v>241</v>
      </c>
      <c r="BB132" s="13">
        <f>VLOOKUP(A132,'Données projet'!$A$87:$I$107,9,0)</f>
        <v>5</v>
      </c>
      <c r="BC132" s="13">
        <f t="array" ref="BC132">INDEX(BB:BB,MIN(IF(ISNUMBER(BB132:BB328),ROW(BB132:BB328),"")))</f>
        <v>5</v>
      </c>
      <c r="BD132" s="13">
        <f>IF('Données projet'!$A$88&gt;35,BD131+BC132-BL131,IF(A132&lt;'Données projet'!$A$88,$BA$205^A132,IF(A132='Données projet'!$A$88,'Données projet'!$B$88,BD131+BC132-BL131)))</f>
        <v>241.00000000000037</v>
      </c>
      <c r="BE132" s="14">
        <f>BD132*VLOOKUP('Données projet'!$B$11,Paramètres!$A$1:$I$88,3,0)*VLOOKUP('Données projet'!$B$11,Paramètres!$A$1:$I$88,5,0)</f>
        <v>244.37400000000036</v>
      </c>
      <c r="BF132" s="14">
        <f t="shared" si="91"/>
        <v>59.379626388393902</v>
      </c>
      <c r="BG132" s="22">
        <f t="shared" ref="BG132:BG153" si="115">(BE132+BF132)*0.475*44/12</f>
        <v>529.03756595978666</v>
      </c>
      <c r="BH132" s="60">
        <f t="shared" ref="BH132:BH195" si="116">BG132+(AY132+AZ132)*44/12</f>
        <v>822.37089929311992</v>
      </c>
      <c r="BI132" s="60">
        <f ca="1">AVERAGE(OFFSET($BH$3,0,0,'Données projet'!$E$11+1,1))-AVERAGE(OFFSET($H$3,0,0,'Données projet'!$E$11+1,1))</f>
        <v>178.29366134936788</v>
      </c>
      <c r="BJ132" s="60">
        <f t="shared" si="92"/>
        <v>85.818195717787148</v>
      </c>
      <c r="BK132" s="16">
        <f>IF(ISNA(VLOOKUP(A132,'Données projet'!$A$87:$I$107,3,0)),0,VLOOKUP(A132,'Données projet'!$A$87:$I$107,3,0))</f>
        <v>9</v>
      </c>
      <c r="BL132" s="16">
        <f>IF(ISNA(VLOOKUP(A132,'Données projet'!$A$87:$I$107,4,0)),0,VLOOKUP(A132,'Données projet'!$A$87:$I$107,4,0))</f>
        <v>38</v>
      </c>
      <c r="BM132" s="17">
        <f>IF(ISNA(VLOOKUP(A132,'Données projet'!$A$87:$I$107,5,0)),0%,VLOOKUP(A132,'Données projet'!$A$87:$I$107,5,0)*VLOOKUP('Données projet'!$B$11,Paramètres!$A$1:$I$88,7,0))</f>
        <v>0.215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25.703133882543511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25.703133882543511</v>
      </c>
      <c r="BT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projet'!$B$12,Paramètres!$A$1:$I$88,3,0)*VLOOKUP('Données projet'!$B$12,Paramètres!$A$1:$I$88,5,0)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104.00159056395933</v>
      </c>
      <c r="CE132" s="60">
        <f t="shared" si="94"/>
        <v>115.86489547584461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37.666701419134917</v>
      </c>
      <c r="CL132" s="23">
        <f>EXP(-LN(2)/25)*CL131+(1-EXP(-LN(2)/25))/(LN(2)/25)*Calculateur!CG132*Calculateur!CI132*VLOOKUP('Données projet'!$B$12,Paramètres!$A$1:$I$88,3,0)*0.475*44/12</f>
        <v>4.8826386535120205</v>
      </c>
      <c r="CM132" s="23">
        <f>EXP(-LN(2)/2)*CM131+(1-EXP(-LN(2)/2))/(LN(2)/2)*CG132*CJ132*VLOOKUP('Données projet'!$B$12,Paramètres!$A$1:$I$88,3,0)*0.475*44/12</f>
        <v>2.528564009276146E-8</v>
      </c>
      <c r="CN132" s="24">
        <f t="shared" ref="CN132:CN153" si="120">SUM(CK132:CM132)</f>
        <v>42.549340097932571</v>
      </c>
      <c r="CO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projet'!$B$13,Paramètres!$A$1:$I$88,3,0)*VLOOKUP('Données projet'!$B$13,Paramètres!$A$1:$I$88,5,0)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0" t="e">
        <f t="shared" ref="CX132:CX195" si="122">CW132+(CO132+CP132)*44/12</f>
        <v>#N/A</v>
      </c>
      <c r="CY132" s="60" t="e">
        <f ca="1">AVERAGE(OFFSET($CX$3,0,0,'Données projet'!$E$13+1,1))-AVERAGE(OFFSET($H$3,0,0,'Données projet'!$E$13+1,1))</f>
        <v>#N/A</v>
      </c>
      <c r="CZ132" s="60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projet'!$B$13,Paramètres!$A$1:$I$88,3,0)*0.475*44/12</f>
        <v>#N/A</v>
      </c>
      <c r="DG132" s="23" t="e">
        <f>EXP(-LN(2)/25)*DG131+(1-EXP(-LN(2)/25))/(LN(2)/25)*Calculateur!DB132*Calculateur!DD132*VLOOKUP('Données projet'!$B$13,Paramètres!$A$1:$I$88,3,0)*0.475*44/12</f>
        <v>#N/A</v>
      </c>
      <c r="DH132" s="23" t="e">
        <f>EXP(-LN(2)/2)*DH131+(1-EXP(-LN(2)/2))/(LN(2)/2)*DB132*DE132*VLOOKUP('Données projet'!$B$13,Paramètres!$A$1:$I$88,3,0)*0.475*44/12</f>
        <v>#N/A</v>
      </c>
      <c r="DI132" s="24" t="e">
        <f t="shared" ref="DI132:DI153" si="123">SUM(DF132:DH132)</f>
        <v>#N/A</v>
      </c>
      <c r="DJ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0" t="e">
        <f t="shared" ref="DS132:DS195" si="125">DR132+(DJ132+DK132)*44/12</f>
        <v>#N/A</v>
      </c>
      <c r="DT132" s="60" t="e">
        <f ca="1">AVERAGE(OFFSET($DS$3,0,0,'Données projet'!$E$14+1,1))-AVERAGE(OFFSET($H$3,0,0,'Données projet'!$E$14+1,1))</f>
        <v>#N/A</v>
      </c>
      <c r="DU132" s="60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4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115.59600000000022</v>
      </c>
      <c r="D133" s="12">
        <f t="shared" ref="D133:D196" si="140">IFERROR(EXP(-1.0587+0.8836*LN(C133)+0.284),0)</f>
        <v>30.645614103483904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4.5474735088646412E-13</v>
      </c>
      <c r="O133" s="14">
        <f>N133*VLOOKUP('Données projet'!$B$9,Paramètres!$A$1:$I$88,3,0)*VLOOKUP('Données projet'!$B$9,Paramètres!$A$1:$I$88,5,0)</f>
        <v>2.7193891583010558E-13</v>
      </c>
      <c r="P133" s="14">
        <f t="shared" ref="P133:P196" si="141">EXP(-1.0587+0.8836*LN(O133)+0.284)</f>
        <v>3.6362267729089988E-12</v>
      </c>
      <c r="Q133" s="22">
        <f t="shared" si="108"/>
        <v>6.8067219078872727E-12</v>
      </c>
      <c r="R133" s="60">
        <f t="shared" si="109"/>
        <v>293.33333333334014</v>
      </c>
      <c r="S133" s="60">
        <f ca="1">AVERAGE(OFFSET($R$3,0,0,'Données projet'!$E$9+1,1))-AVERAGE(OFFSET($H$3,0,0,'Données projet'!$E$9+1,1))</f>
        <v>181.84907943028196</v>
      </c>
      <c r="T133" s="60">
        <f t="shared" ref="T133:T196" si="142">$T$3</f>
        <v>199.66849909069458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32.526507838697512</v>
      </c>
      <c r="AA133" s="23">
        <f>EXP(-LN(2)/25)*AA132+(1-EXP(-LN(2)/25))/(LN(2)/25)*Calculateur!V133*Calculateur!X133*VLOOKUP('Données projet'!$B$9,Paramètres!$A$1:$I$88,3,0)*0.475*44/12</f>
        <v>4.3639914296832343</v>
      </c>
      <c r="AB133" s="23">
        <f>EXP(-LN(2)/2)*AB132+(1-EXP(-LN(2)/2))/(LN(2)/2)*V133*Y133*VLOOKUP('Données projet'!$B$9,Paramètres!$A$1:$I$88,3,0)*0.475*44/12</f>
        <v>6.9188884710895601E-10</v>
      </c>
      <c r="AC133" s="24">
        <f t="shared" si="111"/>
        <v>36.890499269072635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projet'!$B$10,Paramètres!$A$1:$I$88,3,0)*VLOOKUP('Données projet'!$B$10,Paramètres!$A$1:$I$88,5,0)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55.581964048431473</v>
      </c>
      <c r="AO133" s="60">
        <f t="shared" ref="AO133:AO196" si="144">$AO$3</f>
        <v>91.067506141193803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6.0848086668823003</v>
      </c>
      <c r="AV133" s="23">
        <f>EXP(-LN(2)/25)*AV132+(1-EXP(-LN(2)/25))/(LN(2)/25)*Calculateur!AQ133*Calculateur!AS133*VLOOKUP('Données projet'!$B$10,Paramètres!$A$1:$I$88,3,0)*0.475*44/12</f>
        <v>0</v>
      </c>
      <c r="AW133" s="23">
        <f>EXP(-LN(2)/2)*AW132+(1-EXP(-LN(2)/2))/(LN(2)/2)*AQ133*AT133*VLOOKUP('Données projet'!$B$10,Paramètres!$A$1:$I$88,3,0)*0.475*44/12</f>
        <v>0</v>
      </c>
      <c r="AX133" s="23">
        <f t="shared" si="114"/>
        <v>6.0848086668823003</v>
      </c>
      <c r="AY133" s="7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4.75</v>
      </c>
      <c r="BD133" s="13">
        <f>IF('Données projet'!$A$88&gt;35,BD132+BC133-BL132,IF(A133&lt;'Données projet'!$A$88,$BA$205^A133,IF(A133='Données projet'!$A$88,'Données projet'!$B$88,BD132+BC133-BL132)))</f>
        <v>207.75000000000037</v>
      </c>
      <c r="BE133" s="14">
        <f>BD133*VLOOKUP('Données projet'!$B$11,Paramètres!$A$1:$I$88,3,0)*VLOOKUP('Données projet'!$B$11,Paramètres!$A$1:$I$88,5,0)</f>
        <v>210.6585000000004</v>
      </c>
      <c r="BF133" s="14">
        <f t="shared" ref="BF133:BF153" si="145">EXP(-1.0587+0.8836*LN(BE133)+0.284)</f>
        <v>52.079458285184707</v>
      </c>
      <c r="BG133" s="22">
        <f t="shared" si="115"/>
        <v>457.60194401336412</v>
      </c>
      <c r="BH133" s="60">
        <f t="shared" si="116"/>
        <v>750.93527734669738</v>
      </c>
      <c r="BI133" s="60">
        <f ca="1">AVERAGE(OFFSET($BH$3,0,0,'Données projet'!$E$11+1,1))-AVERAGE(OFFSET($H$3,0,0,'Données projet'!$E$11+1,1))</f>
        <v>178.29366134936788</v>
      </c>
      <c r="BJ133" s="60">
        <f t="shared" ref="BJ133:BJ196" si="146">$BJ$3</f>
        <v>85.818195717787148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25.199111104470489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25.199111104470489</v>
      </c>
      <c r="BT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projet'!$B$12,Paramètres!$A$1:$I$88,3,0)*VLOOKUP('Données projet'!$B$12,Paramètres!$A$1:$I$88,5,0)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104.00159056395933</v>
      </c>
      <c r="CE133" s="60">
        <f t="shared" ref="CE133:CE196" si="148">$CE$3</f>
        <v>115.86489547584461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36.928080378725014</v>
      </c>
      <c r="CL133" s="23">
        <f>EXP(-LN(2)/25)*CL132+(1-EXP(-LN(2)/25))/(LN(2)/25)*Calculateur!CG133*Calculateur!CI133*VLOOKUP('Données projet'!$B$12,Paramètres!$A$1:$I$88,3,0)*0.475*44/12</f>
        <v>4.7491226427649273</v>
      </c>
      <c r="CM133" s="23">
        <f>EXP(-LN(2)/2)*CM132+(1-EXP(-LN(2)/2))/(LN(2)/2)*CG133*CJ133*VLOOKUP('Données projet'!$B$12,Paramètres!$A$1:$I$88,3,0)*0.475*44/12</f>
        <v>1.7879647576234071E-8</v>
      </c>
      <c r="CN133" s="24">
        <f t="shared" si="120"/>
        <v>41.677203039369594</v>
      </c>
      <c r="CO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projet'!$B$13,Paramètres!$A$1:$I$88,3,0)*VLOOKUP('Données projet'!$B$13,Paramètres!$A$1:$I$88,5,0)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0" t="e">
        <f t="shared" si="122"/>
        <v>#N/A</v>
      </c>
      <c r="CY133" s="60" t="e">
        <f ca="1">AVERAGE(OFFSET($CX$3,0,0,'Données projet'!$E$13+1,1))-AVERAGE(OFFSET($H$3,0,0,'Données projet'!$E$13+1,1))</f>
        <v>#N/A</v>
      </c>
      <c r="CZ133" s="60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projet'!$B$13,Paramètres!$A$1:$I$88,3,0)*0.475*44/12</f>
        <v>#N/A</v>
      </c>
      <c r="DG133" s="23" t="e">
        <f>EXP(-LN(2)/25)*DG132+(1-EXP(-LN(2)/25))/(LN(2)/25)*Calculateur!DB133*Calculateur!DD133*VLOOKUP('Données projet'!$B$13,Paramètres!$A$1:$I$88,3,0)*0.475*44/12</f>
        <v>#N/A</v>
      </c>
      <c r="DH133" s="23" t="e">
        <f>EXP(-LN(2)/2)*DH132+(1-EXP(-LN(2)/2))/(LN(2)/2)*DB133*DE133*VLOOKUP('Données projet'!$B$13,Paramètres!$A$1:$I$88,3,0)*0.475*44/12</f>
        <v>#N/A</v>
      </c>
      <c r="DI133" s="24" t="e">
        <f t="shared" si="123"/>
        <v>#N/A</v>
      </c>
      <c r="DJ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0" t="e">
        <f t="shared" si="125"/>
        <v>#N/A</v>
      </c>
      <c r="DT133" s="60" t="e">
        <f ca="1">AVERAGE(OFFSET($DS$3,0,0,'Données projet'!$E$14+1,1))-AVERAGE(OFFSET($H$3,0,0,'Données projet'!$E$14+1,1))</f>
        <v>#N/A</v>
      </c>
      <c r="DU133" s="60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4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116.48520000000022</v>
      </c>
      <c r="D134" s="12">
        <f t="shared" si="140"/>
        <v>30.853816998586289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4.5474735088646412E-13</v>
      </c>
      <c r="O134" s="14">
        <f>N134*VLOOKUP('Données projet'!$B$9,Paramètres!$A$1:$I$88,3,0)*VLOOKUP('Données projet'!$B$9,Paramètres!$A$1:$I$88,5,0)</f>
        <v>2.7193891583010558E-13</v>
      </c>
      <c r="P134" s="14">
        <f t="shared" si="141"/>
        <v>3.6362267729089988E-12</v>
      </c>
      <c r="Q134" s="22">
        <f t="shared" si="108"/>
        <v>6.8067219078872727E-12</v>
      </c>
      <c r="R134" s="60">
        <f t="shared" si="109"/>
        <v>293.33333333334014</v>
      </c>
      <c r="S134" s="60">
        <f ca="1">AVERAGE(OFFSET($R$3,0,0,'Données projet'!$E$9+1,1))-AVERAGE(OFFSET($H$3,0,0,'Données projet'!$E$9+1,1))</f>
        <v>181.84907943028196</v>
      </c>
      <c r="T134" s="60">
        <f t="shared" si="142"/>
        <v>199.66849909069458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31.888682859191476</v>
      </c>
      <c r="AA134" s="23">
        <f>EXP(-LN(2)/25)*AA133+(1-EXP(-LN(2)/25))/(LN(2)/25)*Calculateur!V134*Calculateur!X134*VLOOKUP('Données projet'!$B$9,Paramètres!$A$1:$I$88,3,0)*0.475*44/12</f>
        <v>4.2446578545462108</v>
      </c>
      <c r="AB134" s="23">
        <f>EXP(-LN(2)/2)*AB133+(1-EXP(-LN(2)/2))/(LN(2)/2)*V134*Y134*VLOOKUP('Données projet'!$B$9,Paramètres!$A$1:$I$88,3,0)*0.475*44/12</f>
        <v>4.8923929561808519E-10</v>
      </c>
      <c r="AC134" s="24">
        <f t="shared" si="111"/>
        <v>36.133340714226925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projet'!$B$10,Paramètres!$A$1:$I$88,3,0)*VLOOKUP('Données projet'!$B$10,Paramètres!$A$1:$I$88,5,0)</f>
        <v>0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55.581964048431473</v>
      </c>
      <c r="AO134" s="60">
        <f t="shared" si="144"/>
        <v>91.067506141193803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5.9654892802915578</v>
      </c>
      <c r="AV134" s="23">
        <f>EXP(-LN(2)/25)*AV133+(1-EXP(-LN(2)/25))/(LN(2)/25)*Calculateur!AQ134*Calculateur!AS134*VLOOKUP('Données projet'!$B$10,Paramètres!$A$1:$I$88,3,0)*0.475*44/12</f>
        <v>0</v>
      </c>
      <c r="AW134" s="23">
        <f>EXP(-LN(2)/2)*AW133+(1-EXP(-LN(2)/2))/(LN(2)/2)*AQ134*AT134*VLOOKUP('Données projet'!$B$10,Paramètres!$A$1:$I$88,3,0)*0.475*44/12</f>
        <v>0</v>
      </c>
      <c r="AX134" s="23">
        <f t="shared" si="114"/>
        <v>5.9654892802915578</v>
      </c>
      <c r="AY134" s="7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4.75</v>
      </c>
      <c r="BD134" s="13">
        <f>IF('Données projet'!$A$88&gt;35,BD133+BC134-BL133,IF(A134&lt;'Données projet'!$A$88,$BA$205^A134,IF(A134='Données projet'!$A$88,'Données projet'!$B$88,BD133+BC134-BL133)))</f>
        <v>212.50000000000037</v>
      </c>
      <c r="BE134" s="14">
        <f>BD134*VLOOKUP('Données projet'!$B$11,Paramètres!$A$1:$I$88,3,0)*VLOOKUP('Données projet'!$B$11,Paramètres!$A$1:$I$88,5,0)</f>
        <v>215.47500000000039</v>
      </c>
      <c r="BF134" s="14">
        <f t="shared" si="145"/>
        <v>53.130212916952701</v>
      </c>
      <c r="BG134" s="22">
        <f t="shared" si="115"/>
        <v>467.82074583035995</v>
      </c>
      <c r="BH134" s="60">
        <f t="shared" si="116"/>
        <v>761.15407916369327</v>
      </c>
      <c r="BI134" s="60">
        <f ca="1">AVERAGE(OFFSET($BH$3,0,0,'Données projet'!$E$11+1,1))-AVERAGE(OFFSET($H$3,0,0,'Données projet'!$E$11+1,1))</f>
        <v>178.29366134936788</v>
      </c>
      <c r="BJ134" s="60">
        <f t="shared" si="146"/>
        <v>85.818195717787148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24.704971905651941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24.704971905651941</v>
      </c>
      <c r="BT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projet'!$B$12,Paramètres!$A$1:$I$88,3,0)*VLOOKUP('Données projet'!$B$12,Paramètres!$A$1:$I$88,5,0)</f>
        <v>0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104.00159056395933</v>
      </c>
      <c r="CE134" s="60">
        <f t="shared" si="148"/>
        <v>115.86489547584461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36.203943246403199</v>
      </c>
      <c r="CL134" s="23">
        <f>EXP(-LN(2)/25)*CL133+(1-EXP(-LN(2)/25))/(LN(2)/25)*Calculateur!CG134*Calculateur!CI134*VLOOKUP('Données projet'!$B$12,Paramètres!$A$1:$I$88,3,0)*0.475*44/12</f>
        <v>4.6192576343530147</v>
      </c>
      <c r="CM134" s="23">
        <f>EXP(-LN(2)/2)*CM133+(1-EXP(-LN(2)/2))/(LN(2)/2)*CG134*CJ134*VLOOKUP('Données projet'!$B$12,Paramètres!$A$1:$I$88,3,0)*0.475*44/12</f>
        <v>1.264282004638073E-8</v>
      </c>
      <c r="CN134" s="24">
        <f t="shared" si="120"/>
        <v>40.823200893399033</v>
      </c>
      <c r="CO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projet'!$B$13,Paramètres!$A$1:$I$88,3,0)*VLOOKUP('Données projet'!$B$13,Paramètres!$A$1:$I$88,5,0)</f>
        <v>#N/A</v>
      </c>
      <c r="CV134" s="14" t="e">
        <f t="shared" si="149"/>
        <v>#N/A</v>
      </c>
      <c r="CW134" s="22" t="e">
        <f t="shared" si="121"/>
        <v>#N/A</v>
      </c>
      <c r="CX134" s="60" t="e">
        <f t="shared" si="122"/>
        <v>#N/A</v>
      </c>
      <c r="CY134" s="60" t="e">
        <f ca="1">AVERAGE(OFFSET($CX$3,0,0,'Données projet'!$E$13+1,1))-AVERAGE(OFFSET($H$3,0,0,'Données projet'!$E$13+1,1))</f>
        <v>#N/A</v>
      </c>
      <c r="CZ134" s="60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projet'!$B$13,Paramètres!$A$1:$I$88,3,0)*0.475*44/12</f>
        <v>#N/A</v>
      </c>
      <c r="DG134" s="23" t="e">
        <f>EXP(-LN(2)/25)*DG133+(1-EXP(-LN(2)/25))/(LN(2)/25)*Calculateur!DB134*Calculateur!DD134*VLOOKUP('Données projet'!$B$13,Paramètres!$A$1:$I$88,3,0)*0.475*44/12</f>
        <v>#N/A</v>
      </c>
      <c r="DH134" s="23" t="e">
        <f>EXP(-LN(2)/2)*DH133+(1-EXP(-LN(2)/2))/(LN(2)/2)*DB134*DE134*VLOOKUP('Données projet'!$B$13,Paramètres!$A$1:$I$88,3,0)*0.475*44/12</f>
        <v>#N/A</v>
      </c>
      <c r="DI134" s="24" t="e">
        <f t="shared" si="123"/>
        <v>#N/A</v>
      </c>
      <c r="DJ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0" t="e">
        <f t="shared" si="125"/>
        <v>#N/A</v>
      </c>
      <c r="DT134" s="60" t="e">
        <f ca="1">AVERAGE(OFFSET($DS$3,0,0,'Données projet'!$E$14+1,1))-AVERAGE(OFFSET($H$3,0,0,'Données projet'!$E$14+1,1))</f>
        <v>#N/A</v>
      </c>
      <c r="DU134" s="60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4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117.37440000000022</v>
      </c>
      <c r="D135" s="12">
        <f t="shared" si="140"/>
        <v>31.061834975351932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4.5474735088646412E-13</v>
      </c>
      <c r="O135" s="14">
        <f>N135*VLOOKUP('Données projet'!$B$9,Paramètres!$A$1:$I$88,3,0)*VLOOKUP('Données projet'!$B$9,Paramètres!$A$1:$I$88,5,0)</f>
        <v>2.7193891583010558E-13</v>
      </c>
      <c r="P135" s="14">
        <f t="shared" si="141"/>
        <v>3.6362267729089988E-12</v>
      </c>
      <c r="Q135" s="22">
        <f t="shared" si="108"/>
        <v>6.8067219078872727E-12</v>
      </c>
      <c r="R135" s="60">
        <f t="shared" si="109"/>
        <v>293.33333333334014</v>
      </c>
      <c r="S135" s="60">
        <f ca="1">AVERAGE(OFFSET($R$3,0,0,'Données projet'!$E$9+1,1))-AVERAGE(OFFSET($H$3,0,0,'Données projet'!$E$9+1,1))</f>
        <v>181.84907943028196</v>
      </c>
      <c r="T135" s="60">
        <f t="shared" si="142"/>
        <v>199.66849909069458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31.263365238498729</v>
      </c>
      <c r="AA135" s="23">
        <f>EXP(-LN(2)/25)*AA134+(1-EXP(-LN(2)/25))/(LN(2)/25)*Calculateur!V135*Calculateur!X135*VLOOKUP('Données projet'!$B$9,Paramètres!$A$1:$I$88,3,0)*0.475*44/12</f>
        <v>4.1285874622967897</v>
      </c>
      <c r="AB135" s="23">
        <f>EXP(-LN(2)/2)*AB134+(1-EXP(-LN(2)/2))/(LN(2)/2)*V135*Y135*VLOOKUP('Données projet'!$B$9,Paramètres!$A$1:$I$88,3,0)*0.475*44/12</f>
        <v>3.4594442355447801E-10</v>
      </c>
      <c r="AC135" s="24">
        <f t="shared" si="111"/>
        <v>35.391952701141463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projet'!$B$10,Paramètres!$A$1:$I$88,3,0)*VLOOKUP('Données projet'!$B$10,Paramètres!$A$1:$I$88,5,0)</f>
        <v>0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55.581964048431473</v>
      </c>
      <c r="AO135" s="60">
        <f t="shared" si="144"/>
        <v>91.067506141193803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5.8485096740942204</v>
      </c>
      <c r="AV135" s="23">
        <f>EXP(-LN(2)/25)*AV134+(1-EXP(-LN(2)/25))/(LN(2)/25)*Calculateur!AQ135*Calculateur!AS135*VLOOKUP('Données projet'!$B$10,Paramètres!$A$1:$I$88,3,0)*0.475*44/12</f>
        <v>0</v>
      </c>
      <c r="AW135" s="23">
        <f>EXP(-LN(2)/2)*AW134+(1-EXP(-LN(2)/2))/(LN(2)/2)*AQ135*AT135*VLOOKUP('Données projet'!$B$10,Paramètres!$A$1:$I$88,3,0)*0.475*44/12</f>
        <v>0</v>
      </c>
      <c r="AX135" s="23">
        <f t="shared" si="114"/>
        <v>5.8485096740942204</v>
      </c>
      <c r="AY135" s="7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4.75</v>
      </c>
      <c r="BD135" s="13">
        <f>IF('Données projet'!$A$88&gt;35,BD134+BC135-BL134,IF(A135&lt;'Données projet'!$A$88,$BA$205^A135,IF(A135='Données projet'!$A$88,'Données projet'!$B$88,BD134+BC135-BL134)))</f>
        <v>217.25000000000037</v>
      </c>
      <c r="BE135" s="14">
        <f>BD135*VLOOKUP('Données projet'!$B$11,Paramètres!$A$1:$I$88,3,0)*VLOOKUP('Données projet'!$B$11,Paramètres!$A$1:$I$88,5,0)</f>
        <v>220.29150000000038</v>
      </c>
      <c r="BF135" s="14">
        <f t="shared" si="145"/>
        <v>54.178236922054012</v>
      </c>
      <c r="BG135" s="22">
        <f t="shared" si="115"/>
        <v>478.03479180591131</v>
      </c>
      <c r="BH135" s="60">
        <f t="shared" si="116"/>
        <v>771.36812513924463</v>
      </c>
      <c r="BI135" s="60">
        <f ca="1">AVERAGE(OFFSET($BH$3,0,0,'Données projet'!$E$11+1,1))-AVERAGE(OFFSET($H$3,0,0,'Données projet'!$E$11+1,1))</f>
        <v>178.29366134936788</v>
      </c>
      <c r="BJ135" s="60">
        <f t="shared" si="146"/>
        <v>85.818195717787148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24.220522475127073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24.220522475127073</v>
      </c>
      <c r="BT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projet'!$B$12,Paramètres!$A$1:$I$88,3,0)*VLOOKUP('Données projet'!$B$12,Paramètres!$A$1:$I$88,5,0)</f>
        <v>0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104.00159056395933</v>
      </c>
      <c r="CE135" s="60">
        <f t="shared" si="148"/>
        <v>115.86489547584461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35.494006001566177</v>
      </c>
      <c r="CL135" s="23">
        <f>EXP(-LN(2)/25)*CL134+(1-EXP(-LN(2)/25))/(LN(2)/25)*Calculateur!CG135*Calculateur!CI135*VLOOKUP('Données projet'!$B$12,Paramètres!$A$1:$I$88,3,0)*0.475*44/12</f>
        <v>4.4929437914254304</v>
      </c>
      <c r="CM135" s="23">
        <f>EXP(-LN(2)/2)*CM134+(1-EXP(-LN(2)/2))/(LN(2)/2)*CG135*CJ135*VLOOKUP('Données projet'!$B$12,Paramètres!$A$1:$I$88,3,0)*0.475*44/12</f>
        <v>8.9398237881170354E-9</v>
      </c>
      <c r="CN135" s="24">
        <f t="shared" si="120"/>
        <v>39.986949801931431</v>
      </c>
      <c r="CO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projet'!$B$13,Paramètres!$A$1:$I$88,3,0)*VLOOKUP('Données projet'!$B$13,Paramètres!$A$1:$I$88,5,0)</f>
        <v>#N/A</v>
      </c>
      <c r="CV135" s="14" t="e">
        <f t="shared" si="149"/>
        <v>#N/A</v>
      </c>
      <c r="CW135" s="22" t="e">
        <f t="shared" si="121"/>
        <v>#N/A</v>
      </c>
      <c r="CX135" s="60" t="e">
        <f t="shared" si="122"/>
        <v>#N/A</v>
      </c>
      <c r="CY135" s="60" t="e">
        <f ca="1">AVERAGE(OFFSET($CX$3,0,0,'Données projet'!$E$13+1,1))-AVERAGE(OFFSET($H$3,0,0,'Données projet'!$E$13+1,1))</f>
        <v>#N/A</v>
      </c>
      <c r="CZ135" s="60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projet'!$B$13,Paramètres!$A$1:$I$88,3,0)*0.475*44/12</f>
        <v>#N/A</v>
      </c>
      <c r="DG135" s="23" t="e">
        <f>EXP(-LN(2)/25)*DG134+(1-EXP(-LN(2)/25))/(LN(2)/25)*Calculateur!DB135*Calculateur!DD135*VLOOKUP('Données projet'!$B$13,Paramètres!$A$1:$I$88,3,0)*0.475*44/12</f>
        <v>#N/A</v>
      </c>
      <c r="DH135" s="23" t="e">
        <f>EXP(-LN(2)/2)*DH134+(1-EXP(-LN(2)/2))/(LN(2)/2)*DB135*DE135*VLOOKUP('Données projet'!$B$13,Paramètres!$A$1:$I$88,3,0)*0.475*44/12</f>
        <v>#N/A</v>
      </c>
      <c r="DI135" s="24" t="e">
        <f t="shared" si="123"/>
        <v>#N/A</v>
      </c>
      <c r="DJ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0" t="e">
        <f t="shared" si="125"/>
        <v>#N/A</v>
      </c>
      <c r="DT135" s="60" t="e">
        <f ca="1">AVERAGE(OFFSET($DS$3,0,0,'Données projet'!$E$14+1,1))-AVERAGE(OFFSET($H$3,0,0,'Données projet'!$E$14+1,1))</f>
        <v>#N/A</v>
      </c>
      <c r="DU135" s="60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4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118.26360000000022</v>
      </c>
      <c r="D136" s="12">
        <f t="shared" si="140"/>
        <v>31.26966959708238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4.5474735088646412E-13</v>
      </c>
      <c r="O136" s="14">
        <f>N136*VLOOKUP('Données projet'!$B$9,Paramètres!$A$1:$I$88,3,0)*VLOOKUP('Données projet'!$B$9,Paramètres!$A$1:$I$88,5,0)</f>
        <v>2.7193891583010558E-13</v>
      </c>
      <c r="P136" s="14">
        <f t="shared" si="141"/>
        <v>3.6362267729089988E-12</v>
      </c>
      <c r="Q136" s="22">
        <f t="shared" si="108"/>
        <v>6.8067219078872727E-12</v>
      </c>
      <c r="R136" s="60">
        <f t="shared" si="109"/>
        <v>293.33333333334014</v>
      </c>
      <c r="S136" s="60">
        <f ca="1">AVERAGE(OFFSET($R$3,0,0,'Données projet'!$E$9+1,1))-AVERAGE(OFFSET($H$3,0,0,'Données projet'!$E$9+1,1))</f>
        <v>181.84907943028196</v>
      </c>
      <c r="T136" s="60">
        <f t="shared" si="142"/>
        <v>199.66849909069458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30.650309714941681</v>
      </c>
      <c r="AA136" s="23">
        <f>EXP(-LN(2)/25)*AA135+(1-EXP(-LN(2)/25))/(LN(2)/25)*Calculateur!V136*Calculateur!X136*VLOOKUP('Données projet'!$B$9,Paramètres!$A$1:$I$88,3,0)*0.475*44/12</f>
        <v>4.0156910210273056</v>
      </c>
      <c r="AB136" s="23">
        <f>EXP(-LN(2)/2)*AB135+(1-EXP(-LN(2)/2))/(LN(2)/2)*V136*Y136*VLOOKUP('Données projet'!$B$9,Paramètres!$A$1:$I$88,3,0)*0.475*44/12</f>
        <v>2.446196478090426E-10</v>
      </c>
      <c r="AC136" s="24">
        <f t="shared" si="111"/>
        <v>34.666000736213604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projet'!$B$10,Paramètres!$A$1:$I$88,3,0)*VLOOKUP('Données projet'!$B$10,Paramètres!$A$1:$I$88,5,0)</f>
        <v>0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55.581964048431473</v>
      </c>
      <c r="AO136" s="60">
        <f t="shared" si="144"/>
        <v>91.067506141193803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5.7338239666238984</v>
      </c>
      <c r="AV136" s="23">
        <f>EXP(-LN(2)/25)*AV135+(1-EXP(-LN(2)/25))/(LN(2)/25)*Calculateur!AQ136*Calculateur!AS136*VLOOKUP('Données projet'!$B$10,Paramètres!$A$1:$I$88,3,0)*0.475*44/12</f>
        <v>0</v>
      </c>
      <c r="AW136" s="23">
        <f>EXP(-LN(2)/2)*AW135+(1-EXP(-LN(2)/2))/(LN(2)/2)*AQ136*AT136*VLOOKUP('Données projet'!$B$10,Paramètres!$A$1:$I$88,3,0)*0.475*44/12</f>
        <v>0</v>
      </c>
      <c r="AX136" s="23">
        <f t="shared" si="114"/>
        <v>5.7338239666238984</v>
      </c>
      <c r="AY136" s="7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4.75</v>
      </c>
      <c r="BD136" s="13">
        <f>IF('Données projet'!$A$88&gt;35,BD135+BC136-BL135,IF(A136&lt;'Données projet'!$A$88,$BA$205^A136,IF(A136='Données projet'!$A$88,'Données projet'!$B$88,BD135+BC136-BL135)))</f>
        <v>222.00000000000037</v>
      </c>
      <c r="BE136" s="14">
        <f>BD136*VLOOKUP('Données projet'!$B$11,Paramètres!$A$1:$I$88,3,0)*VLOOKUP('Données projet'!$B$11,Paramètres!$A$1:$I$88,5,0)</f>
        <v>225.10800000000037</v>
      </c>
      <c r="BF136" s="14">
        <f t="shared" si="145"/>
        <v>55.22359687888968</v>
      </c>
      <c r="BG136" s="22">
        <f t="shared" si="115"/>
        <v>488.24419789740023</v>
      </c>
      <c r="BH136" s="60">
        <f t="shared" si="116"/>
        <v>781.57753123073348</v>
      </c>
      <c r="BI136" s="60">
        <f ca="1">AVERAGE(OFFSET($BH$3,0,0,'Données projet'!$E$11+1,1))-AVERAGE(OFFSET($H$3,0,0,'Données projet'!$E$11+1,1))</f>
        <v>178.29366134936788</v>
      </c>
      <c r="BJ136" s="60">
        <f t="shared" si="146"/>
        <v>85.818195717787148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23.745572802449821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23.745572802449821</v>
      </c>
      <c r="BT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projet'!$B$12,Paramètres!$A$1:$I$88,3,0)*VLOOKUP('Données projet'!$B$12,Paramètres!$A$1:$I$88,5,0)</f>
        <v>0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104.00159056395933</v>
      </c>
      <c r="CE136" s="60">
        <f t="shared" si="148"/>
        <v>115.86489547584461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34.797990193081446</v>
      </c>
      <c r="CL136" s="23">
        <f>EXP(-LN(2)/25)*CL135+(1-EXP(-LN(2)/25))/(LN(2)/25)*Calculateur!CG136*Calculateur!CI136*VLOOKUP('Données projet'!$B$12,Paramètres!$A$1:$I$88,3,0)*0.475*44/12</f>
        <v>4.3700840071752571</v>
      </c>
      <c r="CM136" s="23">
        <f>EXP(-LN(2)/2)*CM135+(1-EXP(-LN(2)/2))/(LN(2)/2)*CG136*CJ136*VLOOKUP('Données projet'!$B$12,Paramètres!$A$1:$I$88,3,0)*0.475*44/12</f>
        <v>6.321410023190365E-9</v>
      </c>
      <c r="CN136" s="24">
        <f t="shared" si="120"/>
        <v>39.168074206578112</v>
      </c>
      <c r="CO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projet'!$B$13,Paramètres!$A$1:$I$88,3,0)*VLOOKUP('Données projet'!$B$13,Paramètres!$A$1:$I$88,5,0)</f>
        <v>#N/A</v>
      </c>
      <c r="CV136" s="14" t="e">
        <f t="shared" si="149"/>
        <v>#N/A</v>
      </c>
      <c r="CW136" s="22" t="e">
        <f t="shared" si="121"/>
        <v>#N/A</v>
      </c>
      <c r="CX136" s="60" t="e">
        <f t="shared" si="122"/>
        <v>#N/A</v>
      </c>
      <c r="CY136" s="60" t="e">
        <f ca="1">AVERAGE(OFFSET($CX$3,0,0,'Données projet'!$E$13+1,1))-AVERAGE(OFFSET($H$3,0,0,'Données projet'!$E$13+1,1))</f>
        <v>#N/A</v>
      </c>
      <c r="CZ136" s="60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projet'!$B$13,Paramètres!$A$1:$I$88,3,0)*0.475*44/12</f>
        <v>#N/A</v>
      </c>
      <c r="DG136" s="23" t="e">
        <f>EXP(-LN(2)/25)*DG135+(1-EXP(-LN(2)/25))/(LN(2)/25)*Calculateur!DB136*Calculateur!DD136*VLOOKUP('Données projet'!$B$13,Paramètres!$A$1:$I$88,3,0)*0.475*44/12</f>
        <v>#N/A</v>
      </c>
      <c r="DH136" s="23" t="e">
        <f>EXP(-LN(2)/2)*DH135+(1-EXP(-LN(2)/2))/(LN(2)/2)*DB136*DE136*VLOOKUP('Données projet'!$B$13,Paramètres!$A$1:$I$88,3,0)*0.475*44/12</f>
        <v>#N/A</v>
      </c>
      <c r="DI136" s="24" t="e">
        <f t="shared" si="123"/>
        <v>#N/A</v>
      </c>
      <c r="DJ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0" t="e">
        <f t="shared" si="125"/>
        <v>#N/A</v>
      </c>
      <c r="DT136" s="60" t="e">
        <f ca="1">AVERAGE(OFFSET($DS$3,0,0,'Données projet'!$E$14+1,1))-AVERAGE(OFFSET($H$3,0,0,'Données projet'!$E$14+1,1))</f>
        <v>#N/A</v>
      </c>
      <c r="DU136" s="60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4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119.15280000000023</v>
      </c>
      <c r="D137" s="12">
        <f t="shared" si="140"/>
        <v>31.477322402212781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4.5474735088646412E-13</v>
      </c>
      <c r="O137" s="14">
        <f>N137*VLOOKUP('Données projet'!$B$9,Paramètres!$A$1:$I$88,3,0)*VLOOKUP('Données projet'!$B$9,Paramètres!$A$1:$I$88,5,0)</f>
        <v>2.7193891583010558E-13</v>
      </c>
      <c r="P137" s="14">
        <f t="shared" si="141"/>
        <v>3.6362267729089988E-12</v>
      </c>
      <c r="Q137" s="22">
        <f t="shared" si="108"/>
        <v>6.8067219078872727E-12</v>
      </c>
      <c r="R137" s="60">
        <f t="shared" si="109"/>
        <v>293.33333333334014</v>
      </c>
      <c r="S137" s="60">
        <f ca="1">AVERAGE(OFFSET($R$3,0,0,'Données projet'!$E$9+1,1))-AVERAGE(OFFSET($H$3,0,0,'Données projet'!$E$9+1,1))</f>
        <v>181.84907943028196</v>
      </c>
      <c r="T137" s="60">
        <f t="shared" si="142"/>
        <v>199.66849909069458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30.049275836274639</v>
      </c>
      <c r="AA137" s="23">
        <f>EXP(-LN(2)/25)*AA136+(1-EXP(-LN(2)/25))/(LN(2)/25)*Calculateur!V137*Calculateur!X137*VLOOKUP('Données projet'!$B$9,Paramètres!$A$1:$I$88,3,0)*0.475*44/12</f>
        <v>3.905881738881301</v>
      </c>
      <c r="AB137" s="23">
        <f>EXP(-LN(2)/2)*AB136+(1-EXP(-LN(2)/2))/(LN(2)/2)*V137*Y137*VLOOKUP('Données projet'!$B$9,Paramètres!$A$1:$I$88,3,0)*0.475*44/12</f>
        <v>1.72972211777239E-10</v>
      </c>
      <c r="AC137" s="24">
        <f t="shared" si="111"/>
        <v>33.955157575328911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projet'!$B$10,Paramètres!$A$1:$I$88,3,0)*VLOOKUP('Données projet'!$B$10,Paramètres!$A$1:$I$88,5,0)</f>
        <v>0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55.581964048431473</v>
      </c>
      <c r="AO137" s="60">
        <f t="shared" si="144"/>
        <v>91.067506141193803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5.6213871759256948</v>
      </c>
      <c r="AV137" s="23">
        <f>EXP(-LN(2)/25)*AV136+(1-EXP(-LN(2)/25))/(LN(2)/25)*Calculateur!AQ137*Calculateur!AS137*VLOOKUP('Données projet'!$B$10,Paramètres!$A$1:$I$88,3,0)*0.475*44/12</f>
        <v>0</v>
      </c>
      <c r="AW137" s="23">
        <f>EXP(-LN(2)/2)*AW136+(1-EXP(-LN(2)/2))/(LN(2)/2)*AQ137*AT137*VLOOKUP('Données projet'!$B$10,Paramètres!$A$1:$I$88,3,0)*0.475*44/12</f>
        <v>0</v>
      </c>
      <c r="AX137" s="23">
        <f t="shared" si="114"/>
        <v>5.6213871759256948</v>
      </c>
      <c r="AY137" s="7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4.75</v>
      </c>
      <c r="BD137" s="13">
        <f>IF('Données projet'!$A$88&gt;35,BD136+BC137-BL136,IF(A137&lt;'Données projet'!$A$88,$BA$205^A137,IF(A137='Données projet'!$A$88,'Données projet'!$B$88,BD136+BC137-BL136)))</f>
        <v>226.75000000000037</v>
      </c>
      <c r="BE137" s="14">
        <f>BD137*VLOOKUP('Données projet'!$B$11,Paramètres!$A$1:$I$88,3,0)*VLOOKUP('Données projet'!$B$11,Paramètres!$A$1:$I$88,5,0)</f>
        <v>229.92450000000039</v>
      </c>
      <c r="BF137" s="14">
        <f t="shared" si="145"/>
        <v>56.266356354029675</v>
      </c>
      <c r="BG137" s="22">
        <f t="shared" si="115"/>
        <v>498.44907481660238</v>
      </c>
      <c r="BH137" s="60">
        <f t="shared" si="116"/>
        <v>791.78240814993569</v>
      </c>
      <c r="BI137" s="60">
        <f ca="1">AVERAGE(OFFSET($BH$3,0,0,'Données projet'!$E$11+1,1))-AVERAGE(OFFSET($H$3,0,0,'Données projet'!$E$11+1,1))</f>
        <v>178.29366134936788</v>
      </c>
      <c r="BJ137" s="60">
        <f t="shared" si="146"/>
        <v>85.818195717787148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23.279936603163076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23.279936603163076</v>
      </c>
      <c r="BT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projet'!$B$12,Paramètres!$A$1:$I$88,3,0)*VLOOKUP('Données projet'!$B$12,Paramètres!$A$1:$I$88,5,0)</f>
        <v>0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104.00159056395933</v>
      </c>
      <c r="CE137" s="60">
        <f t="shared" si="148"/>
        <v>115.86489547584461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34.115622830073377</v>
      </c>
      <c r="CL137" s="23">
        <f>EXP(-LN(2)/25)*CL136+(1-EXP(-LN(2)/25))/(LN(2)/25)*Calculateur!CG137*Calculateur!CI137*VLOOKUP('Données projet'!$B$12,Paramètres!$A$1:$I$88,3,0)*0.475*44/12</f>
        <v>4.2505838301863195</v>
      </c>
      <c r="CM137" s="23">
        <f>EXP(-LN(2)/2)*CM136+(1-EXP(-LN(2)/2))/(LN(2)/2)*CG137*CJ137*VLOOKUP('Données projet'!$B$12,Paramètres!$A$1:$I$88,3,0)*0.475*44/12</f>
        <v>4.4699118940585177E-9</v>
      </c>
      <c r="CN137" s="24">
        <f t="shared" si="120"/>
        <v>38.36620666472961</v>
      </c>
      <c r="CO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projet'!$B$13,Paramètres!$A$1:$I$88,3,0)*VLOOKUP('Données projet'!$B$13,Paramètres!$A$1:$I$88,5,0)</f>
        <v>#N/A</v>
      </c>
      <c r="CV137" s="14" t="e">
        <f t="shared" si="149"/>
        <v>#N/A</v>
      </c>
      <c r="CW137" s="22" t="e">
        <f t="shared" si="121"/>
        <v>#N/A</v>
      </c>
      <c r="CX137" s="60" t="e">
        <f t="shared" si="122"/>
        <v>#N/A</v>
      </c>
      <c r="CY137" s="60" t="e">
        <f ca="1">AVERAGE(OFFSET($CX$3,0,0,'Données projet'!$E$13+1,1))-AVERAGE(OFFSET($H$3,0,0,'Données projet'!$E$13+1,1))</f>
        <v>#N/A</v>
      </c>
      <c r="CZ137" s="60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projet'!$B$13,Paramètres!$A$1:$I$88,3,0)*0.475*44/12</f>
        <v>#N/A</v>
      </c>
      <c r="DG137" s="23" t="e">
        <f>EXP(-LN(2)/25)*DG136+(1-EXP(-LN(2)/25))/(LN(2)/25)*Calculateur!DB137*Calculateur!DD137*VLOOKUP('Données projet'!$B$13,Paramètres!$A$1:$I$88,3,0)*0.475*44/12</f>
        <v>#N/A</v>
      </c>
      <c r="DH137" s="23" t="e">
        <f>EXP(-LN(2)/2)*DH136+(1-EXP(-LN(2)/2))/(LN(2)/2)*DB137*DE137*VLOOKUP('Données projet'!$B$13,Paramètres!$A$1:$I$88,3,0)*0.475*44/12</f>
        <v>#N/A</v>
      </c>
      <c r="DI137" s="24" t="e">
        <f t="shared" si="123"/>
        <v>#N/A</v>
      </c>
      <c r="DJ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0" t="e">
        <f t="shared" si="125"/>
        <v>#N/A</v>
      </c>
      <c r="DT137" s="60" t="e">
        <f ca="1">AVERAGE(OFFSET($DS$3,0,0,'Données projet'!$E$14+1,1))-AVERAGE(OFFSET($H$3,0,0,'Données projet'!$E$14+1,1))</f>
        <v>#N/A</v>
      </c>
      <c r="DU137" s="60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4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120.04200000000023</v>
      </c>
      <c r="D138" s="12">
        <f t="shared" si="140"/>
        <v>31.68479490489014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4.5474735088646412E-13</v>
      </c>
      <c r="O138" s="14">
        <f>N138*VLOOKUP('Données projet'!$B$9,Paramètres!$A$1:$I$88,3,0)*VLOOKUP('Données projet'!$B$9,Paramètres!$A$1:$I$88,5,0)</f>
        <v>2.7193891583010558E-13</v>
      </c>
      <c r="P138" s="14">
        <f t="shared" si="141"/>
        <v>3.6362267729089988E-12</v>
      </c>
      <c r="Q138" s="22">
        <f t="shared" si="108"/>
        <v>6.8067219078872727E-12</v>
      </c>
      <c r="R138" s="60">
        <f t="shared" si="109"/>
        <v>293.33333333334014</v>
      </c>
      <c r="S138" s="60">
        <f ca="1">AVERAGE(OFFSET($R$3,0,0,'Données projet'!$E$9+1,1))-AVERAGE(OFFSET($H$3,0,0,'Données projet'!$E$9+1,1))</f>
        <v>181.84907943028196</v>
      </c>
      <c r="T138" s="60">
        <f t="shared" si="142"/>
        <v>199.66849909069458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29.460027865373789</v>
      </c>
      <c r="AA138" s="23">
        <f>EXP(-LN(2)/25)*AA137+(1-EXP(-LN(2)/25))/(LN(2)/25)*Calculateur!V138*Calculateur!X138*VLOOKUP('Données projet'!$B$9,Paramètres!$A$1:$I$88,3,0)*0.475*44/12</f>
        <v>3.7990751973301982</v>
      </c>
      <c r="AB138" s="23">
        <f>EXP(-LN(2)/2)*AB137+(1-EXP(-LN(2)/2))/(LN(2)/2)*V138*Y138*VLOOKUP('Données projet'!$B$9,Paramètres!$A$1:$I$88,3,0)*0.475*44/12</f>
        <v>1.223098239045213E-10</v>
      </c>
      <c r="AC138" s="24">
        <f t="shared" si="111"/>
        <v>33.259103062826298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projet'!$B$10,Paramètres!$A$1:$I$88,3,0)*VLOOKUP('Données projet'!$B$10,Paramètres!$A$1:$I$88,5,0)</f>
        <v>0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55.581964048431473</v>
      </c>
      <c r="AO138" s="60">
        <f t="shared" si="144"/>
        <v>91.067506141193803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5.5111552021134127</v>
      </c>
      <c r="AV138" s="23">
        <f>EXP(-LN(2)/25)*AV137+(1-EXP(-LN(2)/25))/(LN(2)/25)*Calculateur!AQ138*Calculateur!AS138*VLOOKUP('Données projet'!$B$10,Paramètres!$A$1:$I$88,3,0)*0.475*44/12</f>
        <v>0</v>
      </c>
      <c r="AW138" s="23">
        <f>EXP(-LN(2)/2)*AW137+(1-EXP(-LN(2)/2))/(LN(2)/2)*AQ138*AT138*VLOOKUP('Données projet'!$B$10,Paramètres!$A$1:$I$88,3,0)*0.475*44/12</f>
        <v>0</v>
      </c>
      <c r="AX138" s="23">
        <f t="shared" si="114"/>
        <v>5.5111552021134127</v>
      </c>
      <c r="AY138" s="7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4.75</v>
      </c>
      <c r="BD138" s="13">
        <f>IF('Données projet'!$A$88&gt;35,BD137+BC138-BL137,IF(A138&lt;'Données projet'!$A$88,$BA$205^A138,IF(A138='Données projet'!$A$88,'Données projet'!$B$88,BD137+BC138-BL137)))</f>
        <v>231.50000000000037</v>
      </c>
      <c r="BE138" s="14">
        <f>BD138*VLOOKUP('Données projet'!$B$11,Paramètres!$A$1:$I$88,3,0)*VLOOKUP('Données projet'!$B$11,Paramètres!$A$1:$I$88,5,0)</f>
        <v>234.74100000000041</v>
      </c>
      <c r="BF138" s="14">
        <f t="shared" si="145"/>
        <v>57.306576098652165</v>
      </c>
      <c r="BG138" s="22">
        <f t="shared" si="115"/>
        <v>508.64952837181994</v>
      </c>
      <c r="BH138" s="60">
        <f t="shared" si="116"/>
        <v>801.98286170515325</v>
      </c>
      <c r="BI138" s="60">
        <f ca="1">AVERAGE(OFFSET($BH$3,0,0,'Données projet'!$E$11+1,1))-AVERAGE(OFFSET($H$3,0,0,'Données projet'!$E$11+1,1))</f>
        <v>178.29366134936788</v>
      </c>
      <c r="BJ138" s="60">
        <f t="shared" si="146"/>
        <v>85.818195717787148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22.823431245734305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22.823431245734305</v>
      </c>
      <c r="BT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projet'!$B$12,Paramètres!$A$1:$I$88,3,0)*VLOOKUP('Données projet'!$B$12,Paramètres!$A$1:$I$88,5,0)</f>
        <v>0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104.00159056395933</v>
      </c>
      <c r="CE138" s="60">
        <f t="shared" si="148"/>
        <v>115.86489547584461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33.446636274850896</v>
      </c>
      <c r="CL138" s="23">
        <f>EXP(-LN(2)/25)*CL137+(1-EXP(-LN(2)/25))/(LN(2)/25)*Calculateur!CG138*Calculateur!CI138*VLOOKUP('Données projet'!$B$12,Paramètres!$A$1:$I$88,3,0)*0.475*44/12</f>
        <v>4.1343513918213857</v>
      </c>
      <c r="CM138" s="23">
        <f>EXP(-LN(2)/2)*CM137+(1-EXP(-LN(2)/2))/(LN(2)/2)*CG138*CJ138*VLOOKUP('Données projet'!$B$12,Paramètres!$A$1:$I$88,3,0)*0.475*44/12</f>
        <v>3.1607050115951825E-9</v>
      </c>
      <c r="CN138" s="24">
        <f t="shared" si="120"/>
        <v>37.580987669832986</v>
      </c>
      <c r="CO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projet'!$B$13,Paramètres!$A$1:$I$88,3,0)*VLOOKUP('Données projet'!$B$13,Paramètres!$A$1:$I$88,5,0)</f>
        <v>#N/A</v>
      </c>
      <c r="CV138" s="14" t="e">
        <f t="shared" si="149"/>
        <v>#N/A</v>
      </c>
      <c r="CW138" s="22" t="e">
        <f t="shared" si="121"/>
        <v>#N/A</v>
      </c>
      <c r="CX138" s="60" t="e">
        <f t="shared" si="122"/>
        <v>#N/A</v>
      </c>
      <c r="CY138" s="60" t="e">
        <f ca="1">AVERAGE(OFFSET($CX$3,0,0,'Données projet'!$E$13+1,1))-AVERAGE(OFFSET($H$3,0,0,'Données projet'!$E$13+1,1))</f>
        <v>#N/A</v>
      </c>
      <c r="CZ138" s="60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projet'!$B$13,Paramètres!$A$1:$I$88,3,0)*0.475*44/12</f>
        <v>#N/A</v>
      </c>
      <c r="DG138" s="23" t="e">
        <f>EXP(-LN(2)/25)*DG137+(1-EXP(-LN(2)/25))/(LN(2)/25)*Calculateur!DB138*Calculateur!DD138*VLOOKUP('Données projet'!$B$13,Paramètres!$A$1:$I$88,3,0)*0.475*44/12</f>
        <v>#N/A</v>
      </c>
      <c r="DH138" s="23" t="e">
        <f>EXP(-LN(2)/2)*DH137+(1-EXP(-LN(2)/2))/(LN(2)/2)*DB138*DE138*VLOOKUP('Données projet'!$B$13,Paramètres!$A$1:$I$88,3,0)*0.475*44/12</f>
        <v>#N/A</v>
      </c>
      <c r="DI138" s="24" t="e">
        <f t="shared" si="123"/>
        <v>#N/A</v>
      </c>
      <c r="DJ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0" t="e">
        <f t="shared" si="125"/>
        <v>#N/A</v>
      </c>
      <c r="DT138" s="60" t="e">
        <f ca="1">AVERAGE(OFFSET($DS$3,0,0,'Données projet'!$E$14+1,1))-AVERAGE(OFFSET($H$3,0,0,'Données projet'!$E$14+1,1))</f>
        <v>#N/A</v>
      </c>
      <c r="DU138" s="60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4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120.93120000000023</v>
      </c>
      <c r="D139" s="12">
        <f t="shared" si="140"/>
        <v>31.892088595533707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4.5474735088646412E-13</v>
      </c>
      <c r="O139" s="14">
        <f>N139*VLOOKUP('Données projet'!$B$9,Paramètres!$A$1:$I$88,3,0)*VLOOKUP('Données projet'!$B$9,Paramètres!$A$1:$I$88,5,0)</f>
        <v>2.7193891583010558E-13</v>
      </c>
      <c r="P139" s="14">
        <f t="shared" si="141"/>
        <v>3.6362267729089988E-12</v>
      </c>
      <c r="Q139" s="22">
        <f t="shared" si="108"/>
        <v>6.8067219078872727E-12</v>
      </c>
      <c r="R139" s="60">
        <f t="shared" si="109"/>
        <v>293.33333333334014</v>
      </c>
      <c r="S139" s="60">
        <f ca="1">AVERAGE(OFFSET($R$3,0,0,'Données projet'!$E$9+1,1))-AVERAGE(OFFSET($H$3,0,0,'Données projet'!$E$9+1,1))</f>
        <v>181.84907943028196</v>
      </c>
      <c r="T139" s="60">
        <f t="shared" si="142"/>
        <v>199.66849909069458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28.882334687776531</v>
      </c>
      <c r="AA139" s="23">
        <f>EXP(-LN(2)/25)*AA138+(1-EXP(-LN(2)/25))/(LN(2)/25)*Calculateur!V139*Calculateur!X139*VLOOKUP('Données projet'!$B$9,Paramètres!$A$1:$I$88,3,0)*0.475*44/12</f>
        <v>3.6951892862745224</v>
      </c>
      <c r="AB139" s="23">
        <f>EXP(-LN(2)/2)*AB138+(1-EXP(-LN(2)/2))/(LN(2)/2)*V139*Y139*VLOOKUP('Données projet'!$B$9,Paramètres!$A$1:$I$88,3,0)*0.475*44/12</f>
        <v>8.6486105888619501E-11</v>
      </c>
      <c r="AC139" s="24">
        <f t="shared" si="111"/>
        <v>32.577523974137542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projet'!$B$10,Paramètres!$A$1:$I$88,3,0)*VLOOKUP('Données projet'!$B$10,Paramètres!$A$1:$I$88,5,0)</f>
        <v>0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55.581964048431473</v>
      </c>
      <c r="AO139" s="60">
        <f t="shared" si="144"/>
        <v>91.067506141193803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5.4030848100727242</v>
      </c>
      <c r="AV139" s="23">
        <f>EXP(-LN(2)/25)*AV138+(1-EXP(-LN(2)/25))/(LN(2)/25)*Calculateur!AQ139*Calculateur!AS139*VLOOKUP('Données projet'!$B$10,Paramètres!$A$1:$I$88,3,0)*0.475*44/12</f>
        <v>0</v>
      </c>
      <c r="AW139" s="23">
        <f>EXP(-LN(2)/2)*AW138+(1-EXP(-LN(2)/2))/(LN(2)/2)*AQ139*AT139*VLOOKUP('Données projet'!$B$10,Paramètres!$A$1:$I$88,3,0)*0.475*44/12</f>
        <v>0</v>
      </c>
      <c r="AX139" s="23">
        <f t="shared" si="114"/>
        <v>5.4030848100727242</v>
      </c>
      <c r="AY139" s="7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4.75</v>
      </c>
      <c r="BD139" s="13">
        <f>IF('Données projet'!$A$88&gt;35,BD138+BC139-BL138,IF(A139&lt;'Données projet'!$A$88,$BA$205^A139,IF(A139='Données projet'!$A$88,'Données projet'!$B$88,BD138+BC139-BL138)))</f>
        <v>236.25000000000037</v>
      </c>
      <c r="BE139" s="14">
        <f>BD139*VLOOKUP('Données projet'!$B$11,Paramètres!$A$1:$I$88,3,0)*VLOOKUP('Données projet'!$B$11,Paramètres!$A$1:$I$88,5,0)</f>
        <v>239.5575000000004</v>
      </c>
      <c r="BF139" s="14">
        <f t="shared" si="145"/>
        <v>58.344314228405146</v>
      </c>
      <c r="BG139" s="22">
        <f t="shared" si="115"/>
        <v>518.84565978113972</v>
      </c>
      <c r="BH139" s="60">
        <f t="shared" si="116"/>
        <v>812.17899311447309</v>
      </c>
      <c r="BI139" s="60">
        <f ca="1">AVERAGE(OFFSET($BH$3,0,0,'Données projet'!$E$11+1,1))-AVERAGE(OFFSET($H$3,0,0,'Données projet'!$E$11+1,1))</f>
        <v>178.29366134936788</v>
      </c>
      <c r="BJ139" s="60">
        <f t="shared" si="146"/>
        <v>85.818195717787148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22.375877679923939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22.375877679923939</v>
      </c>
      <c r="BT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projet'!$B$12,Paramètres!$A$1:$I$88,3,0)*VLOOKUP('Données projet'!$B$12,Paramètres!$A$1:$I$88,5,0)</f>
        <v>0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104.00159056395933</v>
      </c>
      <c r="CE139" s="60">
        <f t="shared" si="148"/>
        <v>115.86489547584461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32.790768137934819</v>
      </c>
      <c r="CL139" s="23">
        <f>EXP(-LN(2)/25)*CL138+(1-EXP(-LN(2)/25))/(LN(2)/25)*Calculateur!CG139*Calculateur!CI139*VLOOKUP('Données projet'!$B$12,Paramètres!$A$1:$I$88,3,0)*0.475*44/12</f>
        <v>4.0212973355959392</v>
      </c>
      <c r="CM139" s="23">
        <f>EXP(-LN(2)/2)*CM138+(1-EXP(-LN(2)/2))/(LN(2)/2)*CG139*CJ139*VLOOKUP('Données projet'!$B$12,Paramètres!$A$1:$I$88,3,0)*0.475*44/12</f>
        <v>2.2349559470292588E-9</v>
      </c>
      <c r="CN139" s="24">
        <f t="shared" si="120"/>
        <v>36.812065475765714</v>
      </c>
      <c r="CO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projet'!$B$13,Paramètres!$A$1:$I$88,3,0)*VLOOKUP('Données projet'!$B$13,Paramètres!$A$1:$I$88,5,0)</f>
        <v>#N/A</v>
      </c>
      <c r="CV139" s="14" t="e">
        <f t="shared" si="149"/>
        <v>#N/A</v>
      </c>
      <c r="CW139" s="22" t="e">
        <f t="shared" si="121"/>
        <v>#N/A</v>
      </c>
      <c r="CX139" s="60" t="e">
        <f t="shared" si="122"/>
        <v>#N/A</v>
      </c>
      <c r="CY139" s="60" t="e">
        <f ca="1">AVERAGE(OFFSET($CX$3,0,0,'Données projet'!$E$13+1,1))-AVERAGE(OFFSET($H$3,0,0,'Données projet'!$E$13+1,1))</f>
        <v>#N/A</v>
      </c>
      <c r="CZ139" s="60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projet'!$B$13,Paramètres!$A$1:$I$88,3,0)*0.475*44/12</f>
        <v>#N/A</v>
      </c>
      <c r="DG139" s="23" t="e">
        <f>EXP(-LN(2)/25)*DG138+(1-EXP(-LN(2)/25))/(LN(2)/25)*Calculateur!DB139*Calculateur!DD139*VLOOKUP('Données projet'!$B$13,Paramètres!$A$1:$I$88,3,0)*0.475*44/12</f>
        <v>#N/A</v>
      </c>
      <c r="DH139" s="23" t="e">
        <f>EXP(-LN(2)/2)*DH138+(1-EXP(-LN(2)/2))/(LN(2)/2)*DB139*DE139*VLOOKUP('Données projet'!$B$13,Paramètres!$A$1:$I$88,3,0)*0.475*44/12</f>
        <v>#N/A</v>
      </c>
      <c r="DI139" s="24" t="e">
        <f t="shared" si="123"/>
        <v>#N/A</v>
      </c>
      <c r="DJ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0" t="e">
        <f t="shared" si="125"/>
        <v>#N/A</v>
      </c>
      <c r="DT139" s="60" t="e">
        <f ca="1">AVERAGE(OFFSET($DS$3,0,0,'Données projet'!$E$14+1,1))-AVERAGE(OFFSET($H$3,0,0,'Données projet'!$E$14+1,1))</f>
        <v>#N/A</v>
      </c>
      <c r="DU139" s="60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4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121.82040000000023</v>
      </c>
      <c r="D140" s="12">
        <f t="shared" si="140"/>
        <v>32.09920494137846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4.5474735088646412E-13</v>
      </c>
      <c r="O140" s="14">
        <f>N140*VLOOKUP('Données projet'!$B$9,Paramètres!$A$1:$I$88,3,0)*VLOOKUP('Données projet'!$B$9,Paramètres!$A$1:$I$88,5,0)</f>
        <v>2.7193891583010558E-13</v>
      </c>
      <c r="P140" s="14">
        <f t="shared" si="141"/>
        <v>3.6362267729089988E-12</v>
      </c>
      <c r="Q140" s="22">
        <f t="shared" si="108"/>
        <v>6.8067219078872727E-12</v>
      </c>
      <c r="R140" s="60">
        <f t="shared" si="109"/>
        <v>293.33333333334014</v>
      </c>
      <c r="S140" s="60">
        <f ca="1">AVERAGE(OFFSET($R$3,0,0,'Données projet'!$E$9+1,1))-AVERAGE(OFFSET($H$3,0,0,'Données projet'!$E$9+1,1))</f>
        <v>181.84907943028196</v>
      </c>
      <c r="T140" s="60">
        <f t="shared" si="142"/>
        <v>199.66849909069458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28.315969721033909</v>
      </c>
      <c r="AA140" s="23">
        <f>EXP(-LN(2)/25)*AA139+(1-EXP(-LN(2)/25))/(LN(2)/25)*Calculateur!V140*Calculateur!X140*VLOOKUP('Données projet'!$B$9,Paramètres!$A$1:$I$88,3,0)*0.475*44/12</f>
        <v>3.5941441409197865</v>
      </c>
      <c r="AB140" s="23">
        <f>EXP(-LN(2)/2)*AB139+(1-EXP(-LN(2)/2))/(LN(2)/2)*V140*Y140*VLOOKUP('Données projet'!$B$9,Paramètres!$A$1:$I$88,3,0)*0.475*44/12</f>
        <v>6.1154911952260649E-11</v>
      </c>
      <c r="AC140" s="24">
        <f t="shared" si="111"/>
        <v>31.910113862014853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projet'!$B$10,Paramètres!$A$1:$I$88,3,0)*VLOOKUP('Données projet'!$B$10,Paramètres!$A$1:$I$88,5,0)</f>
        <v>0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55.581964048431473</v>
      </c>
      <c r="AO140" s="60">
        <f t="shared" si="144"/>
        <v>91.067506141193803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5.2971336125035231</v>
      </c>
      <c r="AV140" s="23">
        <f>EXP(-LN(2)/25)*AV139+(1-EXP(-LN(2)/25))/(LN(2)/25)*Calculateur!AQ140*Calculateur!AS140*VLOOKUP('Données projet'!$B$10,Paramètres!$A$1:$I$88,3,0)*0.475*44/12</f>
        <v>0</v>
      </c>
      <c r="AW140" s="23">
        <f>EXP(-LN(2)/2)*AW139+(1-EXP(-LN(2)/2))/(LN(2)/2)*AQ140*AT140*VLOOKUP('Données projet'!$B$10,Paramètres!$A$1:$I$88,3,0)*0.475*44/12</f>
        <v>0</v>
      </c>
      <c r="AX140" s="23">
        <f t="shared" si="114"/>
        <v>5.2971336125035231</v>
      </c>
      <c r="AY140" s="7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4.75</v>
      </c>
      <c r="BD140" s="13">
        <f>IF('Données projet'!$A$88&gt;35,BD139+BC140-BL139,IF(A140&lt;'Données projet'!$A$88,$BA$205^A140,IF(A140='Données projet'!$A$88,'Données projet'!$B$88,BD139+BC140-BL139)))</f>
        <v>241.00000000000037</v>
      </c>
      <c r="BE140" s="14">
        <f>BD140*VLOOKUP('Données projet'!$B$11,Paramètres!$A$1:$I$88,3,0)*VLOOKUP('Données projet'!$B$11,Paramètres!$A$1:$I$88,5,0)</f>
        <v>244.37400000000036</v>
      </c>
      <c r="BF140" s="14">
        <f t="shared" si="145"/>
        <v>59.379626388393902</v>
      </c>
      <c r="BG140" s="22">
        <f t="shared" si="115"/>
        <v>529.03756595978666</v>
      </c>
      <c r="BH140" s="60">
        <f t="shared" si="116"/>
        <v>822.37089929311992</v>
      </c>
      <c r="BI140" s="60">
        <f ca="1">AVERAGE(OFFSET($BH$3,0,0,'Données projet'!$E$11+1,1))-AVERAGE(OFFSET($H$3,0,0,'Données projet'!$E$11+1,1))</f>
        <v>178.29366134936788</v>
      </c>
      <c r="BJ140" s="60">
        <f t="shared" si="146"/>
        <v>85.818195717787148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21.937100366558393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21.937100366558393</v>
      </c>
      <c r="BT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projet'!$B$12,Paramètres!$A$1:$I$88,3,0)*VLOOKUP('Données projet'!$B$12,Paramètres!$A$1:$I$88,5,0)</f>
        <v>0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104.00159056395933</v>
      </c>
      <c r="CE140" s="60">
        <f t="shared" si="148"/>
        <v>115.86489547584461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32.147761175143607</v>
      </c>
      <c r="CL140" s="23">
        <f>EXP(-LN(2)/25)*CL139+(1-EXP(-LN(2)/25))/(LN(2)/25)*Calculateur!CG140*Calculateur!CI140*VLOOKUP('Données projet'!$B$12,Paramètres!$A$1:$I$88,3,0)*0.475*44/12</f>
        <v>3.9113347484832319</v>
      </c>
      <c r="CM140" s="23">
        <f>EXP(-LN(2)/2)*CM139+(1-EXP(-LN(2)/2))/(LN(2)/2)*CG140*CJ140*VLOOKUP('Données projet'!$B$12,Paramètres!$A$1:$I$88,3,0)*0.475*44/12</f>
        <v>1.5803525057975912E-9</v>
      </c>
      <c r="CN140" s="24">
        <f t="shared" si="120"/>
        <v>36.059095925207195</v>
      </c>
      <c r="CO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projet'!$B$13,Paramètres!$A$1:$I$88,3,0)*VLOOKUP('Données projet'!$B$13,Paramètres!$A$1:$I$88,5,0)</f>
        <v>#N/A</v>
      </c>
      <c r="CV140" s="14" t="e">
        <f t="shared" si="149"/>
        <v>#N/A</v>
      </c>
      <c r="CW140" s="22" t="e">
        <f t="shared" si="121"/>
        <v>#N/A</v>
      </c>
      <c r="CX140" s="60" t="e">
        <f t="shared" si="122"/>
        <v>#N/A</v>
      </c>
      <c r="CY140" s="60" t="e">
        <f ca="1">AVERAGE(OFFSET($CX$3,0,0,'Données projet'!$E$13+1,1))-AVERAGE(OFFSET($H$3,0,0,'Données projet'!$E$13+1,1))</f>
        <v>#N/A</v>
      </c>
      <c r="CZ140" s="60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projet'!$B$13,Paramètres!$A$1:$I$88,3,0)*0.475*44/12</f>
        <v>#N/A</v>
      </c>
      <c r="DG140" s="23" t="e">
        <f>EXP(-LN(2)/25)*DG139+(1-EXP(-LN(2)/25))/(LN(2)/25)*Calculateur!DB140*Calculateur!DD140*VLOOKUP('Données projet'!$B$13,Paramètres!$A$1:$I$88,3,0)*0.475*44/12</f>
        <v>#N/A</v>
      </c>
      <c r="DH140" s="23" t="e">
        <f>EXP(-LN(2)/2)*DH139+(1-EXP(-LN(2)/2))/(LN(2)/2)*DB140*DE140*VLOOKUP('Données projet'!$B$13,Paramètres!$A$1:$I$88,3,0)*0.475*44/12</f>
        <v>#N/A</v>
      </c>
      <c r="DI140" s="24" t="e">
        <f t="shared" si="123"/>
        <v>#N/A</v>
      </c>
      <c r="DJ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0" t="e">
        <f t="shared" si="125"/>
        <v>#N/A</v>
      </c>
      <c r="DT140" s="60" t="e">
        <f ca="1">AVERAGE(OFFSET($DS$3,0,0,'Données projet'!$E$14+1,1))-AVERAGE(OFFSET($H$3,0,0,'Données projet'!$E$14+1,1))</f>
        <v>#N/A</v>
      </c>
      <c r="DU140" s="60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4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122.70960000000024</v>
      </c>
      <c r="D141" s="12">
        <f t="shared" si="140"/>
        <v>32.306145387002346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4.5474735088646412E-13</v>
      </c>
      <c r="O141" s="14">
        <f>N141*VLOOKUP('Données projet'!$B$9,Paramètres!$A$1:$I$88,3,0)*VLOOKUP('Données projet'!$B$9,Paramètres!$A$1:$I$88,5,0)</f>
        <v>2.7193891583010558E-13</v>
      </c>
      <c r="P141" s="14">
        <f t="shared" si="141"/>
        <v>3.6362267729089988E-12</v>
      </c>
      <c r="Q141" s="22">
        <f t="shared" si="108"/>
        <v>6.8067219078872727E-12</v>
      </c>
      <c r="R141" s="60">
        <f t="shared" si="109"/>
        <v>293.33333333334014</v>
      </c>
      <c r="S141" s="60">
        <f ca="1">AVERAGE(OFFSET($R$3,0,0,'Données projet'!$E$9+1,1))-AVERAGE(OFFSET($H$3,0,0,'Données projet'!$E$9+1,1))</f>
        <v>181.84907943028196</v>
      </c>
      <c r="T141" s="60">
        <f t="shared" si="142"/>
        <v>199.66849909069458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27.76071082584059</v>
      </c>
      <c r="AA141" s="23">
        <f>EXP(-LN(2)/25)*AA140+(1-EXP(-LN(2)/25))/(LN(2)/25)*Calculateur!V141*Calculateur!X141*VLOOKUP('Données projet'!$B$9,Paramètres!$A$1:$I$88,3,0)*0.475*44/12</f>
        <v>3.495862080378509</v>
      </c>
      <c r="AB141" s="23">
        <f>EXP(-LN(2)/2)*AB140+(1-EXP(-LN(2)/2))/(LN(2)/2)*V141*Y141*VLOOKUP('Données projet'!$B$9,Paramètres!$A$1:$I$88,3,0)*0.475*44/12</f>
        <v>4.3243052944309751E-11</v>
      </c>
      <c r="AC141" s="24">
        <f t="shared" si="111"/>
        <v>31.256572906262342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projet'!$B$10,Paramètres!$A$1:$I$88,3,0)*VLOOKUP('Données projet'!$B$10,Paramètres!$A$1:$I$88,5,0)</f>
        <v>0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55.581964048431473</v>
      </c>
      <c r="AO141" s="60">
        <f t="shared" si="144"/>
        <v>91.067506141193803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5.1932600532948046</v>
      </c>
      <c r="AV141" s="23">
        <f>EXP(-LN(2)/25)*AV140+(1-EXP(-LN(2)/25))/(LN(2)/25)*Calculateur!AQ141*Calculateur!AS141*VLOOKUP('Données projet'!$B$10,Paramètres!$A$1:$I$88,3,0)*0.475*44/12</f>
        <v>0</v>
      </c>
      <c r="AW141" s="23">
        <f>EXP(-LN(2)/2)*AW140+(1-EXP(-LN(2)/2))/(LN(2)/2)*AQ141*AT141*VLOOKUP('Données projet'!$B$10,Paramètres!$A$1:$I$88,3,0)*0.475*44/12</f>
        <v>0</v>
      </c>
      <c r="AX141" s="23">
        <f t="shared" si="114"/>
        <v>5.1932600532948046</v>
      </c>
      <c r="AY141" s="7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4.75</v>
      </c>
      <c r="BD141" s="13">
        <f>IF('Données projet'!$A$88&gt;35,BD140+BC141-BL140,IF(A141&lt;'Données projet'!$A$88,$BA$205^A141,IF(A141='Données projet'!$A$88,'Données projet'!$B$88,BD140+BC141-BL140)))</f>
        <v>245.75000000000037</v>
      </c>
      <c r="BE141" s="14">
        <f>BD141*VLOOKUP('Données projet'!$B$11,Paramètres!$A$1:$I$88,3,0)*VLOOKUP('Données projet'!$B$11,Paramètres!$A$1:$I$88,5,0)</f>
        <v>249.19050000000038</v>
      </c>
      <c r="BF141" s="14">
        <f t="shared" si="145"/>
        <v>60.412565904794612</v>
      </c>
      <c r="BG141" s="22">
        <f t="shared" si="115"/>
        <v>539.22533978418471</v>
      </c>
      <c r="BH141" s="60">
        <f t="shared" si="116"/>
        <v>832.55867311751808</v>
      </c>
      <c r="BI141" s="60">
        <f ca="1">AVERAGE(OFFSET($BH$3,0,0,'Données projet'!$E$11+1,1))-AVERAGE(OFFSET($H$3,0,0,'Données projet'!$E$11+1,1))</f>
        <v>178.29366134936788</v>
      </c>
      <c r="BJ141" s="60">
        <f t="shared" si="146"/>
        <v>85.818195717787148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21.50692720868021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21.50692720868021</v>
      </c>
      <c r="BT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projet'!$B$12,Paramètres!$A$1:$I$88,3,0)*VLOOKUP('Données projet'!$B$12,Paramètres!$A$1:$I$88,5,0)</f>
        <v>0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104.00159056395933</v>
      </c>
      <c r="CE141" s="60">
        <f t="shared" si="148"/>
        <v>115.86489547584461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31.51736318669721</v>
      </c>
      <c r="CL141" s="23">
        <f>EXP(-LN(2)/25)*CL140+(1-EXP(-LN(2)/25))/(LN(2)/25)*Calculateur!CG141*Calculateur!CI141*VLOOKUP('Données projet'!$B$12,Paramètres!$A$1:$I$88,3,0)*0.475*44/12</f>
        <v>3.8043790940978028</v>
      </c>
      <c r="CM141" s="23">
        <f>EXP(-LN(2)/2)*CM140+(1-EXP(-LN(2)/2))/(LN(2)/2)*CG141*CJ141*VLOOKUP('Données projet'!$B$12,Paramètres!$A$1:$I$88,3,0)*0.475*44/12</f>
        <v>1.1174779735146294E-9</v>
      </c>
      <c r="CN141" s="24">
        <f t="shared" si="120"/>
        <v>35.321742281912492</v>
      </c>
      <c r="CO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projet'!$B$13,Paramètres!$A$1:$I$88,3,0)*VLOOKUP('Données projet'!$B$13,Paramètres!$A$1:$I$88,5,0)</f>
        <v>#N/A</v>
      </c>
      <c r="CV141" s="14" t="e">
        <f t="shared" si="149"/>
        <v>#N/A</v>
      </c>
      <c r="CW141" s="22" t="e">
        <f t="shared" si="121"/>
        <v>#N/A</v>
      </c>
      <c r="CX141" s="60" t="e">
        <f t="shared" si="122"/>
        <v>#N/A</v>
      </c>
      <c r="CY141" s="60" t="e">
        <f ca="1">AVERAGE(OFFSET($CX$3,0,0,'Données projet'!$E$13+1,1))-AVERAGE(OFFSET($H$3,0,0,'Données projet'!$E$13+1,1))</f>
        <v>#N/A</v>
      </c>
      <c r="CZ141" s="60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projet'!$B$13,Paramètres!$A$1:$I$88,3,0)*0.475*44/12</f>
        <v>#N/A</v>
      </c>
      <c r="DG141" s="23" t="e">
        <f>EXP(-LN(2)/25)*DG140+(1-EXP(-LN(2)/25))/(LN(2)/25)*Calculateur!DB141*Calculateur!DD141*VLOOKUP('Données projet'!$B$13,Paramètres!$A$1:$I$88,3,0)*0.475*44/12</f>
        <v>#N/A</v>
      </c>
      <c r="DH141" s="23" t="e">
        <f>EXP(-LN(2)/2)*DH140+(1-EXP(-LN(2)/2))/(LN(2)/2)*DB141*DE141*VLOOKUP('Données projet'!$B$13,Paramètres!$A$1:$I$88,3,0)*0.475*44/12</f>
        <v>#N/A</v>
      </c>
      <c r="DI141" s="24" t="e">
        <f t="shared" si="123"/>
        <v>#N/A</v>
      </c>
      <c r="DJ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0" t="e">
        <f t="shared" si="125"/>
        <v>#N/A</v>
      </c>
      <c r="DT141" s="60" t="e">
        <f ca="1">AVERAGE(OFFSET($DS$3,0,0,'Données projet'!$E$14+1,1))-AVERAGE(OFFSET($H$3,0,0,'Données projet'!$E$14+1,1))</f>
        <v>#N/A</v>
      </c>
      <c r="DU141" s="60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4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123.59880000000024</v>
      </c>
      <c r="D142" s="12">
        <f t="shared" si="140"/>
        <v>32.512911354837613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4.5474735088646412E-13</v>
      </c>
      <c r="O142" s="14">
        <f>N142*VLOOKUP('Données projet'!$B$9,Paramètres!$A$1:$I$88,3,0)*VLOOKUP('Données projet'!$B$9,Paramètres!$A$1:$I$88,5,0)</f>
        <v>2.7193891583010558E-13</v>
      </c>
      <c r="P142" s="14">
        <f t="shared" si="141"/>
        <v>3.6362267729089988E-12</v>
      </c>
      <c r="Q142" s="22">
        <f t="shared" si="108"/>
        <v>6.8067219078872727E-12</v>
      </c>
      <c r="R142" s="60">
        <f t="shared" si="109"/>
        <v>293.33333333334014</v>
      </c>
      <c r="S142" s="60">
        <f ca="1">AVERAGE(OFFSET($R$3,0,0,'Données projet'!$E$9+1,1))-AVERAGE(OFFSET($H$3,0,0,'Données projet'!$E$9+1,1))</f>
        <v>181.84907943028196</v>
      </c>
      <c r="T142" s="60">
        <f t="shared" si="142"/>
        <v>199.66849909069458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27.216340218907529</v>
      </c>
      <c r="AA142" s="23">
        <f>EXP(-LN(2)/25)*AA141+(1-EXP(-LN(2)/25))/(LN(2)/25)*Calculateur!V142*Calculateur!X142*VLOOKUP('Données projet'!$B$9,Paramètres!$A$1:$I$88,3,0)*0.475*44/12</f>
        <v>3.4002675479511617</v>
      </c>
      <c r="AB142" s="23">
        <f>EXP(-LN(2)/2)*AB141+(1-EXP(-LN(2)/2))/(LN(2)/2)*V142*Y142*VLOOKUP('Données projet'!$B$9,Paramètres!$A$1:$I$88,3,0)*0.475*44/12</f>
        <v>3.0577455976130325E-11</v>
      </c>
      <c r="AC142" s="24">
        <f t="shared" si="111"/>
        <v>30.61660776688927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projet'!$B$10,Paramètres!$A$1:$I$88,3,0)*VLOOKUP('Données projet'!$B$10,Paramètres!$A$1:$I$88,5,0)</f>
        <v>0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55.581964048431473</v>
      </c>
      <c r="AO142" s="60">
        <f t="shared" si="144"/>
        <v>91.067506141193803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5.091423391225554</v>
      </c>
      <c r="AV142" s="23">
        <f>EXP(-LN(2)/25)*AV141+(1-EXP(-LN(2)/25))/(LN(2)/25)*Calculateur!AQ142*Calculateur!AS142*VLOOKUP('Données projet'!$B$10,Paramètres!$A$1:$I$88,3,0)*0.475*44/12</f>
        <v>0</v>
      </c>
      <c r="AW142" s="23">
        <f>EXP(-LN(2)/2)*AW141+(1-EXP(-LN(2)/2))/(LN(2)/2)*AQ142*AT142*VLOOKUP('Données projet'!$B$10,Paramètres!$A$1:$I$88,3,0)*0.475*44/12</f>
        <v>0</v>
      </c>
      <c r="AX142" s="23">
        <f t="shared" si="114"/>
        <v>5.091423391225554</v>
      </c>
      <c r="AY142" s="7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4.75</v>
      </c>
      <c r="BD142" s="13">
        <f>IF('Données projet'!$A$88&gt;35,BD141+BC142-BL141,IF(A142&lt;'Données projet'!$A$88,$BA$205^A142,IF(A142='Données projet'!$A$88,'Données projet'!$B$88,BD141+BC142-BL141)))</f>
        <v>250.50000000000037</v>
      </c>
      <c r="BE142" s="14">
        <f>BD142*VLOOKUP('Données projet'!$B$11,Paramètres!$A$1:$I$88,3,0)*VLOOKUP('Données projet'!$B$11,Paramètres!$A$1:$I$88,5,0)</f>
        <v>254.0070000000004</v>
      </c>
      <c r="BF142" s="14">
        <f t="shared" si="145"/>
        <v>61.443183924413752</v>
      </c>
      <c r="BG142" s="22">
        <f t="shared" si="115"/>
        <v>549.40907033502128</v>
      </c>
      <c r="BH142" s="60">
        <f t="shared" si="116"/>
        <v>842.74240366835465</v>
      </c>
      <c r="BI142" s="60">
        <f ca="1">AVERAGE(OFFSET($BH$3,0,0,'Données projet'!$E$11+1,1))-AVERAGE(OFFSET($H$3,0,0,'Données projet'!$E$11+1,1))</f>
        <v>178.29366134936788</v>
      </c>
      <c r="BJ142" s="60">
        <f t="shared" si="146"/>
        <v>85.818195717787148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21.0851894840483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21.0851894840483</v>
      </c>
      <c r="BT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projet'!$B$12,Paramètres!$A$1:$I$88,3,0)*VLOOKUP('Données projet'!$B$12,Paramètres!$A$1:$I$88,5,0)</f>
        <v>0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104.00159056395933</v>
      </c>
      <c r="CE142" s="60">
        <f t="shared" si="148"/>
        <v>115.86489547584461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30.89932691829944</v>
      </c>
      <c r="CL142" s="23">
        <f>EXP(-LN(2)/25)*CL141+(1-EXP(-LN(2)/25))/(LN(2)/25)*Calculateur!CG142*Calculateur!CI142*VLOOKUP('Données projet'!$B$12,Paramètres!$A$1:$I$88,3,0)*0.475*44/12</f>
        <v>3.7003481477060971</v>
      </c>
      <c r="CM142" s="23">
        <f>EXP(-LN(2)/2)*CM141+(1-EXP(-LN(2)/2))/(LN(2)/2)*CG142*CJ142*VLOOKUP('Données projet'!$B$12,Paramètres!$A$1:$I$88,3,0)*0.475*44/12</f>
        <v>7.9017625289879562E-10</v>
      </c>
      <c r="CN142" s="24">
        <f t="shared" si="120"/>
        <v>34.599675066795712</v>
      </c>
      <c r="CO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projet'!$B$13,Paramètres!$A$1:$I$88,3,0)*VLOOKUP('Données projet'!$B$13,Paramètres!$A$1:$I$88,5,0)</f>
        <v>#N/A</v>
      </c>
      <c r="CV142" s="14" t="e">
        <f t="shared" si="149"/>
        <v>#N/A</v>
      </c>
      <c r="CW142" s="22" t="e">
        <f t="shared" si="121"/>
        <v>#N/A</v>
      </c>
      <c r="CX142" s="60" t="e">
        <f t="shared" si="122"/>
        <v>#N/A</v>
      </c>
      <c r="CY142" s="60" t="e">
        <f ca="1">AVERAGE(OFFSET($CX$3,0,0,'Données projet'!$E$13+1,1))-AVERAGE(OFFSET($H$3,0,0,'Données projet'!$E$13+1,1))</f>
        <v>#N/A</v>
      </c>
      <c r="CZ142" s="60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projet'!$B$13,Paramètres!$A$1:$I$88,3,0)*0.475*44/12</f>
        <v>#N/A</v>
      </c>
      <c r="DG142" s="23" t="e">
        <f>EXP(-LN(2)/25)*DG141+(1-EXP(-LN(2)/25))/(LN(2)/25)*Calculateur!DB142*Calculateur!DD142*VLOOKUP('Données projet'!$B$13,Paramètres!$A$1:$I$88,3,0)*0.475*44/12</f>
        <v>#N/A</v>
      </c>
      <c r="DH142" s="23" t="e">
        <f>EXP(-LN(2)/2)*DH141+(1-EXP(-LN(2)/2))/(LN(2)/2)*DB142*DE142*VLOOKUP('Données projet'!$B$13,Paramètres!$A$1:$I$88,3,0)*0.475*44/12</f>
        <v>#N/A</v>
      </c>
      <c r="DI142" s="24" t="e">
        <f t="shared" si="123"/>
        <v>#N/A</v>
      </c>
      <c r="DJ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0" t="e">
        <f t="shared" si="125"/>
        <v>#N/A</v>
      </c>
      <c r="DT142" s="60" t="e">
        <f ca="1">AVERAGE(OFFSET($DS$3,0,0,'Données projet'!$E$14+1,1))-AVERAGE(OFFSET($H$3,0,0,'Données projet'!$E$14+1,1))</f>
        <v>#N/A</v>
      </c>
      <c r="DU142" s="60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4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124.48800000000024</v>
      </c>
      <c r="D143" s="12">
        <f t="shared" si="140"/>
        <v>32.719504245667331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4.5474735088646412E-13</v>
      </c>
      <c r="O143" s="14">
        <f>N143*VLOOKUP('Données projet'!$B$9,Paramètres!$A$1:$I$88,3,0)*VLOOKUP('Données projet'!$B$9,Paramètres!$A$1:$I$88,5,0)</f>
        <v>2.7193891583010558E-13</v>
      </c>
      <c r="P143" s="14">
        <f t="shared" si="141"/>
        <v>3.6362267729089988E-12</v>
      </c>
      <c r="Q143" s="22">
        <f t="shared" si="108"/>
        <v>6.8067219078872727E-12</v>
      </c>
      <c r="R143" s="60">
        <f t="shared" si="109"/>
        <v>293.33333333334014</v>
      </c>
      <c r="S143" s="60">
        <f ca="1">AVERAGE(OFFSET($R$3,0,0,'Données projet'!$E$9+1,1))-AVERAGE(OFFSET($H$3,0,0,'Données projet'!$E$9+1,1))</f>
        <v>181.84907943028196</v>
      </c>
      <c r="T143" s="60">
        <f t="shared" si="142"/>
        <v>199.66849909069458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26.682644387543139</v>
      </c>
      <c r="AA143" s="23">
        <f>EXP(-LN(2)/25)*AA142+(1-EXP(-LN(2)/25))/(LN(2)/25)*Calculateur!V143*Calculateur!X143*VLOOKUP('Données projet'!$B$9,Paramètres!$A$1:$I$88,3,0)*0.475*44/12</f>
        <v>3.3072870530401381</v>
      </c>
      <c r="AB143" s="23">
        <f>EXP(-LN(2)/2)*AB142+(1-EXP(-LN(2)/2))/(LN(2)/2)*V143*Y143*VLOOKUP('Données projet'!$B$9,Paramètres!$A$1:$I$88,3,0)*0.475*44/12</f>
        <v>2.1621526472154875E-11</v>
      </c>
      <c r="AC143" s="24">
        <f t="shared" si="111"/>
        <v>29.989931440604899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projet'!$B$10,Paramètres!$A$1:$I$88,3,0)*VLOOKUP('Données projet'!$B$10,Paramètres!$A$1:$I$88,5,0)</f>
        <v>0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55.581964048431473</v>
      </c>
      <c r="AO143" s="60">
        <f t="shared" si="144"/>
        <v>91.067506141193803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4.991583683985251</v>
      </c>
      <c r="AV143" s="23">
        <f>EXP(-LN(2)/25)*AV142+(1-EXP(-LN(2)/25))/(LN(2)/25)*Calculateur!AQ143*Calculateur!AS143*VLOOKUP('Données projet'!$B$10,Paramètres!$A$1:$I$88,3,0)*0.475*44/12</f>
        <v>0</v>
      </c>
      <c r="AW143" s="23">
        <f>EXP(-LN(2)/2)*AW142+(1-EXP(-LN(2)/2))/(LN(2)/2)*AQ143*AT143*VLOOKUP('Données projet'!$B$10,Paramètres!$A$1:$I$88,3,0)*0.475*44/12</f>
        <v>0</v>
      </c>
      <c r="AX143" s="23">
        <f t="shared" si="114"/>
        <v>4.991583683985251</v>
      </c>
      <c r="AY143" s="7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4.75</v>
      </c>
      <c r="BD143" s="13">
        <f>IF('Données projet'!$A$88&gt;35,BD142+BC143-BL142,IF(A143&lt;'Données projet'!$A$88,$BA$205^A143,IF(A143='Données projet'!$A$88,'Données projet'!$B$88,BD142+BC143-BL142)))</f>
        <v>255.25000000000037</v>
      </c>
      <c r="BE143" s="14">
        <f>BD143*VLOOKUP('Données projet'!$B$11,Paramètres!$A$1:$I$88,3,0)*VLOOKUP('Données projet'!$B$11,Paramètres!$A$1:$I$88,5,0)</f>
        <v>258.82350000000042</v>
      </c>
      <c r="BF143" s="14">
        <f t="shared" si="145"/>
        <v>62.47152954336326</v>
      </c>
      <c r="BG143" s="22">
        <f t="shared" si="115"/>
        <v>559.58884312135831</v>
      </c>
      <c r="BH143" s="60">
        <f t="shared" si="116"/>
        <v>852.92217645469168</v>
      </c>
      <c r="BI143" s="60">
        <f ca="1">AVERAGE(OFFSET($BH$3,0,0,'Données projet'!$E$11+1,1))-AVERAGE(OFFSET($H$3,0,0,'Données projet'!$E$11+1,1))</f>
        <v>178.29366134936788</v>
      </c>
      <c r="BJ143" s="60">
        <f t="shared" si="146"/>
        <v>85.818195717787148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20.67172177896181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20.67172177896181</v>
      </c>
      <c r="BT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projet'!$B$12,Paramètres!$A$1:$I$88,3,0)*VLOOKUP('Données projet'!$B$12,Paramètres!$A$1:$I$88,5,0)</f>
        <v>0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104.00159056395933</v>
      </c>
      <c r="CE143" s="60">
        <f t="shared" si="148"/>
        <v>115.86489547584461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30.293409964160048</v>
      </c>
      <c r="CL143" s="23">
        <f>EXP(-LN(2)/25)*CL142+(1-EXP(-LN(2)/25))/(LN(2)/25)*Calculateur!CG143*Calculateur!CI143*VLOOKUP('Données projet'!$B$12,Paramètres!$A$1:$I$88,3,0)*0.475*44/12</f>
        <v>3.5991619330142219</v>
      </c>
      <c r="CM143" s="23">
        <f>EXP(-LN(2)/2)*CM142+(1-EXP(-LN(2)/2))/(LN(2)/2)*CG143*CJ143*VLOOKUP('Données projet'!$B$12,Paramètres!$A$1:$I$88,3,0)*0.475*44/12</f>
        <v>5.5873898675731471E-10</v>
      </c>
      <c r="CN143" s="24">
        <f t="shared" si="120"/>
        <v>33.892571897733013</v>
      </c>
      <c r="CO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projet'!$B$13,Paramètres!$A$1:$I$88,3,0)*VLOOKUP('Données projet'!$B$13,Paramètres!$A$1:$I$88,5,0)</f>
        <v>#N/A</v>
      </c>
      <c r="CV143" s="14" t="e">
        <f t="shared" si="149"/>
        <v>#N/A</v>
      </c>
      <c r="CW143" s="22" t="e">
        <f t="shared" si="121"/>
        <v>#N/A</v>
      </c>
      <c r="CX143" s="60" t="e">
        <f t="shared" si="122"/>
        <v>#N/A</v>
      </c>
      <c r="CY143" s="60" t="e">
        <f ca="1">AVERAGE(OFFSET($CX$3,0,0,'Données projet'!$E$13+1,1))-AVERAGE(OFFSET($H$3,0,0,'Données projet'!$E$13+1,1))</f>
        <v>#N/A</v>
      </c>
      <c r="CZ143" s="60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projet'!$B$13,Paramètres!$A$1:$I$88,3,0)*0.475*44/12</f>
        <v>#N/A</v>
      </c>
      <c r="DG143" s="23" t="e">
        <f>EXP(-LN(2)/25)*DG142+(1-EXP(-LN(2)/25))/(LN(2)/25)*Calculateur!DB143*Calculateur!DD143*VLOOKUP('Données projet'!$B$13,Paramètres!$A$1:$I$88,3,0)*0.475*44/12</f>
        <v>#N/A</v>
      </c>
      <c r="DH143" s="23" t="e">
        <f>EXP(-LN(2)/2)*DH142+(1-EXP(-LN(2)/2))/(LN(2)/2)*DB143*DE143*VLOOKUP('Données projet'!$B$13,Paramètres!$A$1:$I$88,3,0)*0.475*44/12</f>
        <v>#N/A</v>
      </c>
      <c r="DI143" s="24" t="e">
        <f t="shared" si="123"/>
        <v>#N/A</v>
      </c>
      <c r="DJ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0" t="e">
        <f t="shared" si="125"/>
        <v>#N/A</v>
      </c>
      <c r="DT143" s="60" t="e">
        <f ca="1">AVERAGE(OFFSET($DS$3,0,0,'Données projet'!$E$14+1,1))-AVERAGE(OFFSET($H$3,0,0,'Données projet'!$E$14+1,1))</f>
        <v>#N/A</v>
      </c>
      <c r="DU143" s="60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4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125.37720000000024</v>
      </c>
      <c r="D144" s="12">
        <f t="shared" si="140"/>
        <v>32.925925439106905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4.5474735088646412E-13</v>
      </c>
      <c r="O144" s="14">
        <f>N144*VLOOKUP('Données projet'!$B$9,Paramètres!$A$1:$I$88,3,0)*VLOOKUP('Données projet'!$B$9,Paramètres!$A$1:$I$88,5,0)</f>
        <v>2.7193891583010558E-13</v>
      </c>
      <c r="P144" s="14">
        <f t="shared" si="141"/>
        <v>3.6362267729089988E-12</v>
      </c>
      <c r="Q144" s="22">
        <f t="shared" si="108"/>
        <v>6.8067219078872727E-12</v>
      </c>
      <c r="R144" s="60">
        <f t="shared" si="109"/>
        <v>293.33333333334014</v>
      </c>
      <c r="S144" s="60">
        <f ca="1">AVERAGE(OFFSET($R$3,0,0,'Données projet'!$E$9+1,1))-AVERAGE(OFFSET($H$3,0,0,'Données projet'!$E$9+1,1))</f>
        <v>181.84907943028196</v>
      </c>
      <c r="T144" s="60">
        <f t="shared" si="142"/>
        <v>199.66849909069458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26.15941400590949</v>
      </c>
      <c r="AA144" s="23">
        <f>EXP(-LN(2)/25)*AA143+(1-EXP(-LN(2)/25))/(LN(2)/25)*Calculateur!V144*Calculateur!X144*VLOOKUP('Données projet'!$B$9,Paramètres!$A$1:$I$88,3,0)*0.475*44/12</f>
        <v>3.2168491146520886</v>
      </c>
      <c r="AB144" s="23">
        <f>EXP(-LN(2)/2)*AB143+(1-EXP(-LN(2)/2))/(LN(2)/2)*V144*Y144*VLOOKUP('Données projet'!$B$9,Paramètres!$A$1:$I$88,3,0)*0.475*44/12</f>
        <v>1.5288727988065162E-11</v>
      </c>
      <c r="AC144" s="24">
        <f t="shared" si="111"/>
        <v>29.376263120576866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projet'!$B$10,Paramètres!$A$1:$I$88,3,0)*VLOOKUP('Données projet'!$B$10,Paramètres!$A$1:$I$88,5,0)</f>
        <v>0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55.581964048431473</v>
      </c>
      <c r="AO144" s="60">
        <f t="shared" si="144"/>
        <v>91.067506141193803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4.8937017725077219</v>
      </c>
      <c r="AV144" s="23">
        <f>EXP(-LN(2)/25)*AV143+(1-EXP(-LN(2)/25))/(LN(2)/25)*Calculateur!AQ144*Calculateur!AS144*VLOOKUP('Données projet'!$B$10,Paramètres!$A$1:$I$88,3,0)*0.475*44/12</f>
        <v>0</v>
      </c>
      <c r="AW144" s="23">
        <f>EXP(-LN(2)/2)*AW143+(1-EXP(-LN(2)/2))/(LN(2)/2)*AQ144*AT144*VLOOKUP('Données projet'!$B$10,Paramètres!$A$1:$I$88,3,0)*0.475*44/12</f>
        <v>0</v>
      </c>
      <c r="AX144" s="23">
        <f t="shared" si="114"/>
        <v>4.8937017725077219</v>
      </c>
      <c r="AY144" s="7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>
        <f>VLOOKUP(A144,'Données projet'!$A$87:$I$107,2,0)</f>
        <v>260</v>
      </c>
      <c r="BB144" s="13">
        <f>VLOOKUP(A144,'Données projet'!$A$87:$I$107,9,0)</f>
        <v>4.75</v>
      </c>
      <c r="BC144" s="13">
        <f t="array" ref="BC144">INDEX(BB:BB,MIN(IF(ISNUMBER(BB144:BB340),ROW(BB144:BB340),"")))</f>
        <v>4.75</v>
      </c>
      <c r="BD144" s="13">
        <f>IF('Données projet'!$A$88&gt;35,BD143+BC144-BL143,IF(A144&lt;'Données projet'!$A$88,$BA$205^A144,IF(A144='Données projet'!$A$88,'Données projet'!$B$88,BD143+BC144-BL143)))</f>
        <v>260.00000000000034</v>
      </c>
      <c r="BE144" s="14">
        <f>BD144*VLOOKUP('Données projet'!$B$11,Paramètres!$A$1:$I$88,3,0)*VLOOKUP('Données projet'!$B$11,Paramètres!$A$1:$I$88,5,0)</f>
        <v>263.64000000000038</v>
      </c>
      <c r="BF144" s="14">
        <f t="shared" si="145"/>
        <v>63.497649925886869</v>
      </c>
      <c r="BG144" s="22">
        <f t="shared" si="115"/>
        <v>569.76474028758696</v>
      </c>
      <c r="BH144" s="60">
        <f t="shared" si="116"/>
        <v>863.09807362092033</v>
      </c>
      <c r="BI144" s="60">
        <f ca="1">AVERAGE(OFFSET($BH$3,0,0,'Données projet'!$E$11+1,1))-AVERAGE(OFFSET($H$3,0,0,'Données projet'!$E$11+1,1))</f>
        <v>178.29366134936788</v>
      </c>
      <c r="BJ144" s="60">
        <f t="shared" si="146"/>
        <v>85.818195717787148</v>
      </c>
      <c r="BK144" s="16">
        <f>IF(ISNA(VLOOKUP(A144,'Données projet'!$A$87:$I$107,3,0)),0,VLOOKUP(A144,'Données projet'!$A$87:$I$107,3,0))</f>
        <v>10</v>
      </c>
      <c r="BL144" s="16">
        <f>IF(ISNA(VLOOKUP(A144,'Données projet'!$A$87:$I$107,4,0)),0,VLOOKUP(A144,'Données projet'!$A$87:$I$107,4,0))</f>
        <v>38</v>
      </c>
      <c r="BM144" s="17">
        <f>IF(ISNA(VLOOKUP(A144,'Données projet'!$A$87:$I$107,5,0)),0%,VLOOKUP(A144,'Données projet'!$A$87:$I$107,5,0)*VLOOKUP('Données projet'!$B$11,Paramètres!$A$1:$I$88,7,0))</f>
        <v>0.25800000000000001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31.256125966735887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31.256125966735887</v>
      </c>
      <c r="BT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projet'!$B$12,Paramètres!$A$1:$I$88,3,0)*VLOOKUP('Données projet'!$B$12,Paramètres!$A$1:$I$88,5,0)</f>
        <v>0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104.00159056395933</v>
      </c>
      <c r="CE144" s="60">
        <f t="shared" si="148"/>
        <v>115.86489547584461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29.699374671918481</v>
      </c>
      <c r="CL144" s="23">
        <f>EXP(-LN(2)/25)*CL143+(1-EXP(-LN(2)/25))/(LN(2)/25)*Calculateur!CG144*Calculateur!CI144*VLOOKUP('Données projet'!$B$12,Paramètres!$A$1:$I$88,3,0)*0.475*44/12</f>
        <v>3.500742660684248</v>
      </c>
      <c r="CM144" s="23">
        <f>EXP(-LN(2)/2)*CM143+(1-EXP(-LN(2)/2))/(LN(2)/2)*CG144*CJ144*VLOOKUP('Données projet'!$B$12,Paramètres!$A$1:$I$88,3,0)*0.475*44/12</f>
        <v>3.9508812644939781E-10</v>
      </c>
      <c r="CN144" s="24">
        <f t="shared" si="120"/>
        <v>33.20011733299782</v>
      </c>
      <c r="CO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projet'!$B$13,Paramètres!$A$1:$I$88,3,0)*VLOOKUP('Données projet'!$B$13,Paramètres!$A$1:$I$88,5,0)</f>
        <v>#N/A</v>
      </c>
      <c r="CV144" s="14" t="e">
        <f t="shared" si="149"/>
        <v>#N/A</v>
      </c>
      <c r="CW144" s="22" t="e">
        <f t="shared" si="121"/>
        <v>#N/A</v>
      </c>
      <c r="CX144" s="60" t="e">
        <f t="shared" si="122"/>
        <v>#N/A</v>
      </c>
      <c r="CY144" s="60" t="e">
        <f ca="1">AVERAGE(OFFSET($CX$3,0,0,'Données projet'!$E$13+1,1))-AVERAGE(OFFSET($H$3,0,0,'Données projet'!$E$13+1,1))</f>
        <v>#N/A</v>
      </c>
      <c r="CZ144" s="60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projet'!$B$13,Paramètres!$A$1:$I$88,3,0)*0.475*44/12</f>
        <v>#N/A</v>
      </c>
      <c r="DG144" s="23" t="e">
        <f>EXP(-LN(2)/25)*DG143+(1-EXP(-LN(2)/25))/(LN(2)/25)*Calculateur!DB144*Calculateur!DD144*VLOOKUP('Données projet'!$B$13,Paramètres!$A$1:$I$88,3,0)*0.475*44/12</f>
        <v>#N/A</v>
      </c>
      <c r="DH144" s="23" t="e">
        <f>EXP(-LN(2)/2)*DH143+(1-EXP(-LN(2)/2))/(LN(2)/2)*DB144*DE144*VLOOKUP('Données projet'!$B$13,Paramètres!$A$1:$I$88,3,0)*0.475*44/12</f>
        <v>#N/A</v>
      </c>
      <c r="DI144" s="24" t="e">
        <f t="shared" si="123"/>
        <v>#N/A</v>
      </c>
      <c r="DJ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0" t="e">
        <f t="shared" si="125"/>
        <v>#N/A</v>
      </c>
      <c r="DT144" s="60" t="e">
        <f ca="1">AVERAGE(OFFSET($DS$3,0,0,'Données projet'!$E$14+1,1))-AVERAGE(OFFSET($H$3,0,0,'Données projet'!$E$14+1,1))</f>
        <v>#N/A</v>
      </c>
      <c r="DU144" s="60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4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126.26640000000025</v>
      </c>
      <c r="D145" s="12">
        <f t="shared" si="140"/>
        <v>33.132176294071868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4.5474735088646412E-13</v>
      </c>
      <c r="O145" s="14">
        <f>N145*VLOOKUP('Données projet'!$B$9,Paramètres!$A$1:$I$88,3,0)*VLOOKUP('Données projet'!$B$9,Paramètres!$A$1:$I$88,5,0)</f>
        <v>2.7193891583010558E-13</v>
      </c>
      <c r="P145" s="14">
        <f t="shared" si="141"/>
        <v>3.6362267729089988E-12</v>
      </c>
      <c r="Q145" s="22">
        <f t="shared" si="108"/>
        <v>6.8067219078872727E-12</v>
      </c>
      <c r="R145" s="60">
        <f t="shared" si="109"/>
        <v>293.33333333334014</v>
      </c>
      <c r="S145" s="60">
        <f ca="1">AVERAGE(OFFSET($R$3,0,0,'Données projet'!$E$9+1,1))-AVERAGE(OFFSET($H$3,0,0,'Données projet'!$E$9+1,1))</f>
        <v>181.84907943028196</v>
      </c>
      <c r="T145" s="60">
        <f t="shared" si="142"/>
        <v>199.66849909069458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25.646443852920658</v>
      </c>
      <c r="AA145" s="23">
        <f>EXP(-LN(2)/25)*AA144+(1-EXP(-LN(2)/25))/(LN(2)/25)*Calculateur!V145*Calculateur!X145*VLOOKUP('Données projet'!$B$9,Paramètres!$A$1:$I$88,3,0)*0.475*44/12</f>
        <v>3.1288842064451843</v>
      </c>
      <c r="AB145" s="23">
        <f>EXP(-LN(2)/2)*AB144+(1-EXP(-LN(2)/2))/(LN(2)/2)*V145*Y145*VLOOKUP('Données projet'!$B$9,Paramètres!$A$1:$I$88,3,0)*0.475*44/12</f>
        <v>1.0810763236077438E-11</v>
      </c>
      <c r="AC145" s="24">
        <f t="shared" si="111"/>
        <v>28.775328059376655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projet'!$B$10,Paramètres!$A$1:$I$88,3,0)*VLOOKUP('Données projet'!$B$10,Paramètres!$A$1:$I$88,5,0)</f>
        <v>0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55.581964048431473</v>
      </c>
      <c r="AO145" s="60">
        <f t="shared" si="144"/>
        <v>91.067506141193803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4.7977392656121962</v>
      </c>
      <c r="AV145" s="23">
        <f>EXP(-LN(2)/25)*AV144+(1-EXP(-LN(2)/25))/(LN(2)/25)*Calculateur!AQ145*Calculateur!AS145*VLOOKUP('Données projet'!$B$10,Paramètres!$A$1:$I$88,3,0)*0.475*44/12</f>
        <v>0</v>
      </c>
      <c r="AW145" s="23">
        <f>EXP(-LN(2)/2)*AW144+(1-EXP(-LN(2)/2))/(LN(2)/2)*AQ145*AT145*VLOOKUP('Données projet'!$B$10,Paramètres!$A$1:$I$88,3,0)*0.475*44/12</f>
        <v>0</v>
      </c>
      <c r="AX145" s="23">
        <f t="shared" si="114"/>
        <v>4.7977392656121962</v>
      </c>
      <c r="AY145" s="7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4.833333333333333</v>
      </c>
      <c r="BD145" s="13">
        <f>IF('Données projet'!$A$88&gt;35,BD144+BC145-BL144,IF(A145&lt;'Données projet'!$A$88,$BA$205^A145,IF(A145='Données projet'!$A$88,'Données projet'!$B$88,BD144+BC145-BL144)))</f>
        <v>226.83333333333366</v>
      </c>
      <c r="BE145" s="14">
        <f>BD145*VLOOKUP('Données projet'!$B$11,Paramètres!$A$1:$I$88,3,0)*VLOOKUP('Données projet'!$B$11,Paramètres!$A$1:$I$88,5,0)</f>
        <v>230.00900000000036</v>
      </c>
      <c r="BF145" s="14">
        <f t="shared" si="145"/>
        <v>56.284627537129367</v>
      </c>
      <c r="BG145" s="22">
        <f t="shared" si="115"/>
        <v>498.62806796050086</v>
      </c>
      <c r="BH145" s="60">
        <f t="shared" si="116"/>
        <v>791.96140129383411</v>
      </c>
      <c r="BI145" s="60">
        <f ca="1">AVERAGE(OFFSET($BH$3,0,0,'Données projet'!$E$11+1,1))-AVERAGE(OFFSET($H$3,0,0,'Données projet'!$E$11+1,1))</f>
        <v>178.29366134936788</v>
      </c>
      <c r="BJ145" s="60">
        <f t="shared" si="146"/>
        <v>85.818195717787148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30.643212400882586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30.643212400882586</v>
      </c>
      <c r="BT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projet'!$B$12,Paramètres!$A$1:$I$88,3,0)*VLOOKUP('Données projet'!$B$12,Paramètres!$A$1:$I$88,5,0)</f>
        <v>0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104.00159056395933</v>
      </c>
      <c r="CE145" s="60">
        <f t="shared" si="148"/>
        <v>115.86489547584461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29.116988049432017</v>
      </c>
      <c r="CL145" s="23">
        <f>EXP(-LN(2)/25)*CL144+(1-EXP(-LN(2)/25))/(LN(2)/25)*Calculateur!CG145*Calculateur!CI145*VLOOKUP('Données projet'!$B$12,Paramètres!$A$1:$I$88,3,0)*0.475*44/12</f>
        <v>3.4050146685317819</v>
      </c>
      <c r="CM145" s="23">
        <f>EXP(-LN(2)/2)*CM144+(1-EXP(-LN(2)/2))/(LN(2)/2)*CG145*CJ145*VLOOKUP('Données projet'!$B$12,Paramètres!$A$1:$I$88,3,0)*0.475*44/12</f>
        <v>2.7936949337865736E-10</v>
      </c>
      <c r="CN145" s="24">
        <f t="shared" si="120"/>
        <v>32.522002718243172</v>
      </c>
      <c r="CO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projet'!$B$13,Paramètres!$A$1:$I$88,3,0)*VLOOKUP('Données projet'!$B$13,Paramètres!$A$1:$I$88,5,0)</f>
        <v>#N/A</v>
      </c>
      <c r="CV145" s="14" t="e">
        <f t="shared" si="149"/>
        <v>#N/A</v>
      </c>
      <c r="CW145" s="22" t="e">
        <f t="shared" si="121"/>
        <v>#N/A</v>
      </c>
      <c r="CX145" s="60" t="e">
        <f t="shared" si="122"/>
        <v>#N/A</v>
      </c>
      <c r="CY145" s="60" t="e">
        <f ca="1">AVERAGE(OFFSET($CX$3,0,0,'Données projet'!$E$13+1,1))-AVERAGE(OFFSET($H$3,0,0,'Données projet'!$E$13+1,1))</f>
        <v>#N/A</v>
      </c>
      <c r="CZ145" s="60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projet'!$B$13,Paramètres!$A$1:$I$88,3,0)*0.475*44/12</f>
        <v>#N/A</v>
      </c>
      <c r="DG145" s="23" t="e">
        <f>EXP(-LN(2)/25)*DG144+(1-EXP(-LN(2)/25))/(LN(2)/25)*Calculateur!DB145*Calculateur!DD145*VLOOKUP('Données projet'!$B$13,Paramètres!$A$1:$I$88,3,0)*0.475*44/12</f>
        <v>#N/A</v>
      </c>
      <c r="DH145" s="23" t="e">
        <f>EXP(-LN(2)/2)*DH144+(1-EXP(-LN(2)/2))/(LN(2)/2)*DB145*DE145*VLOOKUP('Données projet'!$B$13,Paramètres!$A$1:$I$88,3,0)*0.475*44/12</f>
        <v>#N/A</v>
      </c>
      <c r="DI145" s="24" t="e">
        <f t="shared" si="123"/>
        <v>#N/A</v>
      </c>
      <c r="DJ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0" t="e">
        <f t="shared" si="125"/>
        <v>#N/A</v>
      </c>
      <c r="DT145" s="60" t="e">
        <f ca="1">AVERAGE(OFFSET($DS$3,0,0,'Données projet'!$E$14+1,1))-AVERAGE(OFFSET($H$3,0,0,'Données projet'!$E$14+1,1))</f>
        <v>#N/A</v>
      </c>
      <c r="DU145" s="60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4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127.15560000000025</v>
      </c>
      <c r="D146" s="12">
        <f t="shared" si="140"/>
        <v>33.33825814923194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4.5474735088646412E-13</v>
      </c>
      <c r="O146" s="14">
        <f>N146*VLOOKUP('Données projet'!$B$9,Paramètres!$A$1:$I$88,3,0)*VLOOKUP('Données projet'!$B$9,Paramètres!$A$1:$I$88,5,0)</f>
        <v>2.7193891583010558E-13</v>
      </c>
      <c r="P146" s="14">
        <f t="shared" si="141"/>
        <v>3.6362267729089988E-12</v>
      </c>
      <c r="Q146" s="22">
        <f t="shared" si="108"/>
        <v>6.8067219078872727E-12</v>
      </c>
      <c r="R146" s="60">
        <f t="shared" si="109"/>
        <v>293.33333333334014</v>
      </c>
      <c r="S146" s="60">
        <f ca="1">AVERAGE(OFFSET($R$3,0,0,'Données projet'!$E$9+1,1))-AVERAGE(OFFSET($H$3,0,0,'Données projet'!$E$9+1,1))</f>
        <v>181.84907943028196</v>
      </c>
      <c r="T146" s="60">
        <f t="shared" si="142"/>
        <v>199.66849909069458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25.143532731751037</v>
      </c>
      <c r="AA146" s="23">
        <f>EXP(-LN(2)/25)*AA145+(1-EXP(-LN(2)/25))/(LN(2)/25)*Calculateur!V146*Calculateur!X146*VLOOKUP('Données projet'!$B$9,Paramètres!$A$1:$I$88,3,0)*0.475*44/12</f>
        <v>3.0433247032790716</v>
      </c>
      <c r="AB146" s="23">
        <f>EXP(-LN(2)/2)*AB145+(1-EXP(-LN(2)/2))/(LN(2)/2)*V146*Y146*VLOOKUP('Données projet'!$B$9,Paramètres!$A$1:$I$88,3,0)*0.475*44/12</f>
        <v>7.6443639940325812E-12</v>
      </c>
      <c r="AC146" s="24">
        <f t="shared" si="111"/>
        <v>28.186857435037755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projet'!$B$10,Paramètres!$A$1:$I$88,3,0)*VLOOKUP('Données projet'!$B$10,Paramètres!$A$1:$I$88,5,0)</f>
        <v>0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55.581964048431473</v>
      </c>
      <c r="AO146" s="60">
        <f t="shared" si="144"/>
        <v>91.067506141193803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4.703658524945542</v>
      </c>
      <c r="AV146" s="23">
        <f>EXP(-LN(2)/25)*AV145+(1-EXP(-LN(2)/25))/(LN(2)/25)*Calculateur!AQ146*Calculateur!AS146*VLOOKUP('Données projet'!$B$10,Paramètres!$A$1:$I$88,3,0)*0.475*44/12</f>
        <v>0</v>
      </c>
      <c r="AW146" s="23">
        <f>EXP(-LN(2)/2)*AW145+(1-EXP(-LN(2)/2))/(LN(2)/2)*AQ146*AT146*VLOOKUP('Données projet'!$B$10,Paramètres!$A$1:$I$88,3,0)*0.475*44/12</f>
        <v>0</v>
      </c>
      <c r="AX146" s="23">
        <f t="shared" si="114"/>
        <v>4.703658524945542</v>
      </c>
      <c r="AY146" s="7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4.833333333333333</v>
      </c>
      <c r="BD146" s="13">
        <f>IF('Données projet'!$A$88&gt;35,BD145+BC146-BL145,IF(A146&lt;'Données projet'!$A$88,$BA$205^A146,IF(A146='Données projet'!$A$88,'Données projet'!$B$88,BD145+BC146-BL145)))</f>
        <v>231.666666666667</v>
      </c>
      <c r="BE146" s="14">
        <f>BD146*VLOOKUP('Données projet'!$B$11,Paramètres!$A$1:$I$88,3,0)*VLOOKUP('Données projet'!$B$11,Paramètres!$A$1:$I$88,5,0)</f>
        <v>234.91000000000034</v>
      </c>
      <c r="BF146" s="14">
        <f t="shared" si="145"/>
        <v>57.34302964042606</v>
      </c>
      <c r="BG146" s="22">
        <f t="shared" si="115"/>
        <v>509.00735995707601</v>
      </c>
      <c r="BH146" s="60">
        <f t="shared" si="116"/>
        <v>802.34069329040926</v>
      </c>
      <c r="BI146" s="60">
        <f ca="1">AVERAGE(OFFSET($BH$3,0,0,'Données projet'!$E$11+1,1))-AVERAGE(OFFSET($H$3,0,0,'Données projet'!$E$11+1,1))</f>
        <v>178.29366134936788</v>
      </c>
      <c r="BJ146" s="60">
        <f t="shared" si="146"/>
        <v>85.818195717787148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30.042317696215306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30.042317696215306</v>
      </c>
      <c r="BT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projet'!$B$12,Paramètres!$A$1:$I$88,3,0)*VLOOKUP('Données projet'!$B$12,Paramètres!$A$1:$I$88,5,0)</f>
        <v>0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104.00159056395933</v>
      </c>
      <c r="CE146" s="60">
        <f t="shared" si="148"/>
        <v>115.86489547584461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28.546021673391749</v>
      </c>
      <c r="CL146" s="23">
        <f>EXP(-LN(2)/25)*CL145+(1-EXP(-LN(2)/25))/(LN(2)/25)*Calculateur!CG146*Calculateur!CI146*VLOOKUP('Données projet'!$B$12,Paramètres!$A$1:$I$88,3,0)*0.475*44/12</f>
        <v>3.311904363358841</v>
      </c>
      <c r="CM146" s="23">
        <f>EXP(-LN(2)/2)*CM145+(1-EXP(-LN(2)/2))/(LN(2)/2)*CG146*CJ146*VLOOKUP('Données projet'!$B$12,Paramètres!$A$1:$I$88,3,0)*0.475*44/12</f>
        <v>1.9754406322469891E-10</v>
      </c>
      <c r="CN146" s="24">
        <f t="shared" si="120"/>
        <v>31.857926036948136</v>
      </c>
      <c r="CO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projet'!$B$13,Paramètres!$A$1:$I$88,3,0)*VLOOKUP('Données projet'!$B$13,Paramètres!$A$1:$I$88,5,0)</f>
        <v>#N/A</v>
      </c>
      <c r="CV146" s="14" t="e">
        <f t="shared" si="149"/>
        <v>#N/A</v>
      </c>
      <c r="CW146" s="22" t="e">
        <f t="shared" si="121"/>
        <v>#N/A</v>
      </c>
      <c r="CX146" s="60" t="e">
        <f t="shared" si="122"/>
        <v>#N/A</v>
      </c>
      <c r="CY146" s="60" t="e">
        <f ca="1">AVERAGE(OFFSET($CX$3,0,0,'Données projet'!$E$13+1,1))-AVERAGE(OFFSET($H$3,0,0,'Données projet'!$E$13+1,1))</f>
        <v>#N/A</v>
      </c>
      <c r="CZ146" s="60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projet'!$B$13,Paramètres!$A$1:$I$88,3,0)*0.475*44/12</f>
        <v>#N/A</v>
      </c>
      <c r="DG146" s="23" t="e">
        <f>EXP(-LN(2)/25)*DG145+(1-EXP(-LN(2)/25))/(LN(2)/25)*Calculateur!DB146*Calculateur!DD146*VLOOKUP('Données projet'!$B$13,Paramètres!$A$1:$I$88,3,0)*0.475*44/12</f>
        <v>#N/A</v>
      </c>
      <c r="DH146" s="23" t="e">
        <f>EXP(-LN(2)/2)*DH145+(1-EXP(-LN(2)/2))/(LN(2)/2)*DB146*DE146*VLOOKUP('Données projet'!$B$13,Paramètres!$A$1:$I$88,3,0)*0.475*44/12</f>
        <v>#N/A</v>
      </c>
      <c r="DI146" s="24" t="e">
        <f t="shared" si="123"/>
        <v>#N/A</v>
      </c>
      <c r="DJ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0" t="e">
        <f t="shared" si="125"/>
        <v>#N/A</v>
      </c>
      <c r="DT146" s="60" t="e">
        <f ca="1">AVERAGE(OFFSET($DS$3,0,0,'Données projet'!$E$14+1,1))-AVERAGE(OFFSET($H$3,0,0,'Données projet'!$E$14+1,1))</f>
        <v>#N/A</v>
      </c>
      <c r="DU146" s="60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4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128.04480000000024</v>
      </c>
      <c r="D147" s="12">
        <f t="shared" si="140"/>
        <v>33.544172323452237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4.5474735088646412E-13</v>
      </c>
      <c r="O147" s="14">
        <f>N147*VLOOKUP('Données projet'!$B$9,Paramètres!$A$1:$I$88,3,0)*VLOOKUP('Données projet'!$B$9,Paramètres!$A$1:$I$88,5,0)</f>
        <v>2.7193891583010558E-13</v>
      </c>
      <c r="P147" s="14">
        <f t="shared" si="141"/>
        <v>3.6362267729089988E-12</v>
      </c>
      <c r="Q147" s="22">
        <f t="shared" si="108"/>
        <v>6.8067219078872727E-12</v>
      </c>
      <c r="R147" s="60">
        <f t="shared" si="109"/>
        <v>293.33333333334014</v>
      </c>
      <c r="S147" s="60">
        <f ca="1">AVERAGE(OFFSET($R$3,0,0,'Données projet'!$E$9+1,1))-AVERAGE(OFFSET($H$3,0,0,'Données projet'!$E$9+1,1))</f>
        <v>181.84907943028196</v>
      </c>
      <c r="T147" s="60">
        <f t="shared" si="142"/>
        <v>199.66849909069458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24.650483390922059</v>
      </c>
      <c r="AA147" s="23">
        <f>EXP(-LN(2)/25)*AA146+(1-EXP(-LN(2)/25))/(LN(2)/25)*Calculateur!V147*Calculateur!X147*VLOOKUP('Données projet'!$B$9,Paramètres!$A$1:$I$88,3,0)*0.475*44/12</f>
        <v>2.9601048292264149</v>
      </c>
      <c r="AB147" s="23">
        <f>EXP(-LN(2)/2)*AB146+(1-EXP(-LN(2)/2))/(LN(2)/2)*V147*Y147*VLOOKUP('Données projet'!$B$9,Paramètres!$A$1:$I$88,3,0)*0.475*44/12</f>
        <v>5.4053816180387188E-12</v>
      </c>
      <c r="AC147" s="24">
        <f t="shared" si="111"/>
        <v>27.610588220153875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projet'!$B$10,Paramètres!$A$1:$I$88,3,0)*VLOOKUP('Données projet'!$B$10,Paramètres!$A$1:$I$88,5,0)</f>
        <v>0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55.581964048431473</v>
      </c>
      <c r="AO147" s="60">
        <f t="shared" si="144"/>
        <v>91.067506141193803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4.611422650219775</v>
      </c>
      <c r="AV147" s="23">
        <f>EXP(-LN(2)/25)*AV146+(1-EXP(-LN(2)/25))/(LN(2)/25)*Calculateur!AQ147*Calculateur!AS147*VLOOKUP('Données projet'!$B$10,Paramètres!$A$1:$I$88,3,0)*0.475*44/12</f>
        <v>0</v>
      </c>
      <c r="AW147" s="23">
        <f>EXP(-LN(2)/2)*AW146+(1-EXP(-LN(2)/2))/(LN(2)/2)*AQ147*AT147*VLOOKUP('Données projet'!$B$10,Paramètres!$A$1:$I$88,3,0)*0.475*44/12</f>
        <v>0</v>
      </c>
      <c r="AX147" s="23">
        <f t="shared" si="114"/>
        <v>4.611422650219775</v>
      </c>
      <c r="AY147" s="7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4.833333333333333</v>
      </c>
      <c r="BD147" s="13">
        <f>IF('Données projet'!$A$88&gt;35,BD146+BC147-BL146,IF(A147&lt;'Données projet'!$A$88,$BA$205^A147,IF(A147='Données projet'!$A$88,'Données projet'!$B$88,BD146+BC147-BL146)))</f>
        <v>236.50000000000034</v>
      </c>
      <c r="BE147" s="14">
        <f>BD147*VLOOKUP('Données projet'!$B$11,Paramètres!$A$1:$I$88,3,0)*VLOOKUP('Données projet'!$B$11,Paramètres!$A$1:$I$88,5,0)</f>
        <v>239.81100000000035</v>
      </c>
      <c r="BF147" s="14">
        <f t="shared" si="145"/>
        <v>58.398864347229903</v>
      </c>
      <c r="BG147" s="22">
        <f t="shared" si="115"/>
        <v>519.3821804047592</v>
      </c>
      <c r="BH147" s="60">
        <f t="shared" si="116"/>
        <v>812.71551373809257</v>
      </c>
      <c r="BI147" s="60">
        <f ca="1">AVERAGE(OFFSET($BH$3,0,0,'Données projet'!$E$11+1,1))-AVERAGE(OFFSET($H$3,0,0,'Données projet'!$E$11+1,1))</f>
        <v>178.29366134936788</v>
      </c>
      <c r="BJ147" s="60">
        <f t="shared" si="146"/>
        <v>85.818195717787148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29.453206170196975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29.453206170196975</v>
      </c>
      <c r="BT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projet'!$B$12,Paramètres!$A$1:$I$88,3,0)*VLOOKUP('Données projet'!$B$12,Paramètres!$A$1:$I$88,5,0)</f>
        <v>0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104.00159056395933</v>
      </c>
      <c r="CE147" s="60">
        <f t="shared" si="148"/>
        <v>115.86489547584461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27.986251599730529</v>
      </c>
      <c r="CL147" s="23">
        <f>EXP(-LN(2)/25)*CL146+(1-EXP(-LN(2)/25))/(LN(2)/25)*Calculateur!CG147*Calculateur!CI147*VLOOKUP('Données projet'!$B$12,Paramètres!$A$1:$I$88,3,0)*0.475*44/12</f>
        <v>3.2213401643773123</v>
      </c>
      <c r="CM147" s="23">
        <f>EXP(-LN(2)/2)*CM146+(1-EXP(-LN(2)/2))/(LN(2)/2)*CG147*CJ147*VLOOKUP('Données projet'!$B$12,Paramètres!$A$1:$I$88,3,0)*0.475*44/12</f>
        <v>1.3968474668932868E-10</v>
      </c>
      <c r="CN147" s="24">
        <f t="shared" si="120"/>
        <v>31.207591764247528</v>
      </c>
      <c r="CO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projet'!$B$13,Paramètres!$A$1:$I$88,3,0)*VLOOKUP('Données projet'!$B$13,Paramètres!$A$1:$I$88,5,0)</f>
        <v>#N/A</v>
      </c>
      <c r="CV147" s="14" t="e">
        <f t="shared" si="149"/>
        <v>#N/A</v>
      </c>
      <c r="CW147" s="22" t="e">
        <f t="shared" si="121"/>
        <v>#N/A</v>
      </c>
      <c r="CX147" s="60" t="e">
        <f t="shared" si="122"/>
        <v>#N/A</v>
      </c>
      <c r="CY147" s="60" t="e">
        <f ca="1">AVERAGE(OFFSET($CX$3,0,0,'Données projet'!$E$13+1,1))-AVERAGE(OFFSET($H$3,0,0,'Données projet'!$E$13+1,1))</f>
        <v>#N/A</v>
      </c>
      <c r="CZ147" s="60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projet'!$B$13,Paramètres!$A$1:$I$88,3,0)*0.475*44/12</f>
        <v>#N/A</v>
      </c>
      <c r="DG147" s="23" t="e">
        <f>EXP(-LN(2)/25)*DG146+(1-EXP(-LN(2)/25))/(LN(2)/25)*Calculateur!DB147*Calculateur!DD147*VLOOKUP('Données projet'!$B$13,Paramètres!$A$1:$I$88,3,0)*0.475*44/12</f>
        <v>#N/A</v>
      </c>
      <c r="DH147" s="23" t="e">
        <f>EXP(-LN(2)/2)*DH146+(1-EXP(-LN(2)/2))/(LN(2)/2)*DB147*DE147*VLOOKUP('Données projet'!$B$13,Paramètres!$A$1:$I$88,3,0)*0.475*44/12</f>
        <v>#N/A</v>
      </c>
      <c r="DI147" s="24" t="e">
        <f t="shared" si="123"/>
        <v>#N/A</v>
      </c>
      <c r="DJ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0" t="e">
        <f t="shared" si="125"/>
        <v>#N/A</v>
      </c>
      <c r="DT147" s="60" t="e">
        <f ca="1">AVERAGE(OFFSET($DS$3,0,0,'Données projet'!$E$14+1,1))-AVERAGE(OFFSET($H$3,0,0,'Données projet'!$E$14+1,1))</f>
        <v>#N/A</v>
      </c>
      <c r="DU147" s="60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4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128.93400000000022</v>
      </c>
      <c r="D148" s="12">
        <f t="shared" si="140"/>
        <v>33.749920116221446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4.5474735088646412E-13</v>
      </c>
      <c r="O148" s="14">
        <f>N148*VLOOKUP('Données projet'!$B$9,Paramètres!$A$1:$I$88,3,0)*VLOOKUP('Données projet'!$B$9,Paramètres!$A$1:$I$88,5,0)</f>
        <v>2.7193891583010558E-13</v>
      </c>
      <c r="P148" s="14">
        <f t="shared" si="141"/>
        <v>3.6362267729089988E-12</v>
      </c>
      <c r="Q148" s="22">
        <f t="shared" si="108"/>
        <v>6.8067219078872727E-12</v>
      </c>
      <c r="R148" s="60">
        <f t="shared" si="109"/>
        <v>293.33333333334014</v>
      </c>
      <c r="S148" s="60">
        <f ca="1">AVERAGE(OFFSET($R$3,0,0,'Données projet'!$E$9+1,1))-AVERAGE(OFFSET($H$3,0,0,'Données projet'!$E$9+1,1))</f>
        <v>181.84907943028196</v>
      </c>
      <c r="T148" s="60">
        <f t="shared" si="142"/>
        <v>199.66849909069458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24.167102446936333</v>
      </c>
      <c r="AA148" s="23">
        <f>EXP(-LN(2)/25)*AA147+(1-EXP(-LN(2)/25))/(LN(2)/25)*Calculateur!V148*Calculateur!X148*VLOOKUP('Données projet'!$B$9,Paramètres!$A$1:$I$88,3,0)*0.475*44/12</f>
        <v>2.8791606070060709</v>
      </c>
      <c r="AB148" s="23">
        <f>EXP(-LN(2)/2)*AB147+(1-EXP(-LN(2)/2))/(LN(2)/2)*V148*Y148*VLOOKUP('Données projet'!$B$9,Paramètres!$A$1:$I$88,3,0)*0.475*44/12</f>
        <v>3.8221819970162906E-12</v>
      </c>
      <c r="AC148" s="24">
        <f t="shared" si="111"/>
        <v>27.046263053946227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projet'!$B$10,Paramètres!$A$1:$I$88,3,0)*VLOOKUP('Données projet'!$B$10,Paramètres!$A$1:$I$88,5,0)</f>
        <v>0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55.581964048431473</v>
      </c>
      <c r="AO148" s="60">
        <f t="shared" si="144"/>
        <v>91.067506141193803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4.5209954647390518</v>
      </c>
      <c r="AV148" s="23">
        <f>EXP(-LN(2)/25)*AV147+(1-EXP(-LN(2)/25))/(LN(2)/25)*Calculateur!AQ148*Calculateur!AS148*VLOOKUP('Données projet'!$B$10,Paramètres!$A$1:$I$88,3,0)*0.475*44/12</f>
        <v>0</v>
      </c>
      <c r="AW148" s="23">
        <f>EXP(-LN(2)/2)*AW147+(1-EXP(-LN(2)/2))/(LN(2)/2)*AQ148*AT148*VLOOKUP('Données projet'!$B$10,Paramètres!$A$1:$I$88,3,0)*0.475*44/12</f>
        <v>0</v>
      </c>
      <c r="AX148" s="23">
        <f t="shared" si="114"/>
        <v>4.5209954647390518</v>
      </c>
      <c r="AY148" s="7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4.833333333333333</v>
      </c>
      <c r="BD148" s="13">
        <f>IF('Données projet'!$A$88&gt;35,BD147+BC148-BL147,IF(A148&lt;'Données projet'!$A$88,$BA$205^A148,IF(A148='Données projet'!$A$88,'Données projet'!$B$88,BD147+BC148-BL147)))</f>
        <v>241.33333333333368</v>
      </c>
      <c r="BE148" s="14">
        <f>BD148*VLOOKUP('Données projet'!$B$11,Paramètres!$A$1:$I$88,3,0)*VLOOKUP('Données projet'!$B$11,Paramètres!$A$1:$I$88,5,0)</f>
        <v>244.71200000000039</v>
      </c>
      <c r="BF148" s="14">
        <f t="shared" si="145"/>
        <v>59.452190173313681</v>
      </c>
      <c r="BG148" s="22">
        <f t="shared" si="115"/>
        <v>529.75263121852197</v>
      </c>
      <c r="BH148" s="60">
        <f t="shared" si="116"/>
        <v>823.08596455185534</v>
      </c>
      <c r="BI148" s="60">
        <f ca="1">AVERAGE(OFFSET($BH$3,0,0,'Données projet'!$E$11+1,1))-AVERAGE(OFFSET($H$3,0,0,'Données projet'!$E$11+1,1))</f>
        <v>178.29366134936788</v>
      </c>
      <c r="BJ148" s="60">
        <f t="shared" si="146"/>
        <v>85.818195717787148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28.87564676188131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28.87564676188131</v>
      </c>
      <c r="BT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projet'!$B$12,Paramètres!$A$1:$I$88,3,0)*VLOOKUP('Données projet'!$B$12,Paramètres!$A$1:$I$88,5,0)</f>
        <v>0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104.00159056395933</v>
      </c>
      <c r="CE148" s="60">
        <f t="shared" si="148"/>
        <v>115.86489547584461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27.437458275787773</v>
      </c>
      <c r="CL148" s="23">
        <f>EXP(-LN(2)/25)*CL147+(1-EXP(-LN(2)/25))/(LN(2)/25)*Calculateur!CG148*Calculateur!CI148*VLOOKUP('Données projet'!$B$12,Paramètres!$A$1:$I$88,3,0)*0.475*44/12</f>
        <v>3.1332524481794981</v>
      </c>
      <c r="CM148" s="23">
        <f>EXP(-LN(2)/2)*CM147+(1-EXP(-LN(2)/2))/(LN(2)/2)*CG148*CJ148*VLOOKUP('Données projet'!$B$12,Paramètres!$A$1:$I$88,3,0)*0.475*44/12</f>
        <v>9.8772031612349453E-11</v>
      </c>
      <c r="CN148" s="24">
        <f t="shared" si="120"/>
        <v>30.570710724066043</v>
      </c>
      <c r="CO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projet'!$B$13,Paramètres!$A$1:$I$88,3,0)*VLOOKUP('Données projet'!$B$13,Paramètres!$A$1:$I$88,5,0)</f>
        <v>#N/A</v>
      </c>
      <c r="CV148" s="14" t="e">
        <f t="shared" si="149"/>
        <v>#N/A</v>
      </c>
      <c r="CW148" s="22" t="e">
        <f t="shared" si="121"/>
        <v>#N/A</v>
      </c>
      <c r="CX148" s="60" t="e">
        <f t="shared" si="122"/>
        <v>#N/A</v>
      </c>
      <c r="CY148" s="60" t="e">
        <f ca="1">AVERAGE(OFFSET($CX$3,0,0,'Données projet'!$E$13+1,1))-AVERAGE(OFFSET($H$3,0,0,'Données projet'!$E$13+1,1))</f>
        <v>#N/A</v>
      </c>
      <c r="CZ148" s="60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projet'!$B$13,Paramètres!$A$1:$I$88,3,0)*0.475*44/12</f>
        <v>#N/A</v>
      </c>
      <c r="DG148" s="23" t="e">
        <f>EXP(-LN(2)/25)*DG147+(1-EXP(-LN(2)/25))/(LN(2)/25)*Calculateur!DB148*Calculateur!DD148*VLOOKUP('Données projet'!$B$13,Paramètres!$A$1:$I$88,3,0)*0.475*44/12</f>
        <v>#N/A</v>
      </c>
      <c r="DH148" s="23" t="e">
        <f>EXP(-LN(2)/2)*DH147+(1-EXP(-LN(2)/2))/(LN(2)/2)*DB148*DE148*VLOOKUP('Données projet'!$B$13,Paramètres!$A$1:$I$88,3,0)*0.475*44/12</f>
        <v>#N/A</v>
      </c>
      <c r="DI148" s="24" t="e">
        <f t="shared" si="123"/>
        <v>#N/A</v>
      </c>
      <c r="DJ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0" t="e">
        <f t="shared" si="125"/>
        <v>#N/A</v>
      </c>
      <c r="DT148" s="60" t="e">
        <f ca="1">AVERAGE(OFFSET($DS$3,0,0,'Données projet'!$E$14+1,1))-AVERAGE(OFFSET($H$3,0,0,'Données projet'!$E$14+1,1))</f>
        <v>#N/A</v>
      </c>
      <c r="DU148" s="60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4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129.82320000000021</v>
      </c>
      <c r="D149" s="12">
        <f t="shared" si="140"/>
        <v>33.955502808068339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4.5474735088646412E-13</v>
      </c>
      <c r="O149" s="14">
        <f>N149*VLOOKUP('Données projet'!$B$9,Paramètres!$A$1:$I$88,3,0)*VLOOKUP('Données projet'!$B$9,Paramètres!$A$1:$I$88,5,0)</f>
        <v>2.7193891583010558E-13</v>
      </c>
      <c r="P149" s="14">
        <f t="shared" si="141"/>
        <v>3.6362267729089988E-12</v>
      </c>
      <c r="Q149" s="22">
        <f t="shared" si="108"/>
        <v>6.8067219078872727E-12</v>
      </c>
      <c r="R149" s="60">
        <f t="shared" si="109"/>
        <v>293.33333333334014</v>
      </c>
      <c r="S149" s="60">
        <f ca="1">AVERAGE(OFFSET($R$3,0,0,'Données projet'!$E$9+1,1))-AVERAGE(OFFSET($H$3,0,0,'Données projet'!$E$9+1,1))</f>
        <v>181.84907943028196</v>
      </c>
      <c r="T149" s="60">
        <f t="shared" si="142"/>
        <v>199.66849909069458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23.693200308428903</v>
      </c>
      <c r="AA149" s="23">
        <f>EXP(-LN(2)/25)*AA148+(1-EXP(-LN(2)/25))/(LN(2)/25)*Calculateur!V149*Calculateur!X149*VLOOKUP('Données projet'!$B$9,Paramètres!$A$1:$I$88,3,0)*0.475*44/12</f>
        <v>2.8004298087990138</v>
      </c>
      <c r="AB149" s="23">
        <f>EXP(-LN(2)/2)*AB148+(1-EXP(-LN(2)/2))/(LN(2)/2)*V149*Y149*VLOOKUP('Données projet'!$B$9,Paramètres!$A$1:$I$88,3,0)*0.475*44/12</f>
        <v>2.7026908090193594E-12</v>
      </c>
      <c r="AC149" s="24">
        <f t="shared" si="111"/>
        <v>26.493630117230619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projet'!$B$10,Paramètres!$A$1:$I$88,3,0)*VLOOKUP('Données projet'!$B$10,Paramètres!$A$1:$I$88,5,0)</f>
        <v>0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55.581964048431473</v>
      </c>
      <c r="AO149" s="60">
        <f t="shared" si="144"/>
        <v>91.067506141193803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4.4323415012104688</v>
      </c>
      <c r="AV149" s="23">
        <f>EXP(-LN(2)/25)*AV148+(1-EXP(-LN(2)/25))/(LN(2)/25)*Calculateur!AQ149*Calculateur!AS149*VLOOKUP('Données projet'!$B$10,Paramètres!$A$1:$I$88,3,0)*0.475*44/12</f>
        <v>0</v>
      </c>
      <c r="AW149" s="23">
        <f>EXP(-LN(2)/2)*AW148+(1-EXP(-LN(2)/2))/(LN(2)/2)*AQ149*AT149*VLOOKUP('Données projet'!$B$10,Paramètres!$A$1:$I$88,3,0)*0.475*44/12</f>
        <v>0</v>
      </c>
      <c r="AX149" s="23">
        <f t="shared" si="114"/>
        <v>4.4323415012104688</v>
      </c>
      <c r="AY149" s="7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4.833333333333333</v>
      </c>
      <c r="BD149" s="13">
        <f>IF('Données projet'!$A$88&gt;35,BD148+BC149-BL148,IF(A149&lt;'Données projet'!$A$88,$BA$205^A149,IF(A149='Données projet'!$A$88,'Données projet'!$B$88,BD148+BC149-BL148)))</f>
        <v>246.16666666666703</v>
      </c>
      <c r="BE149" s="14">
        <f>BD149*VLOOKUP('Données projet'!$B$11,Paramètres!$A$1:$I$88,3,0)*VLOOKUP('Données projet'!$B$11,Paramètres!$A$1:$I$88,5,0)</f>
        <v>249.6130000000004</v>
      </c>
      <c r="BF149" s="14">
        <f t="shared" si="145"/>
        <v>60.503063156565545</v>
      </c>
      <c r="BG149" s="22">
        <f t="shared" si="115"/>
        <v>540.11880999768562</v>
      </c>
      <c r="BH149" s="60">
        <f t="shared" si="116"/>
        <v>833.45214333101899</v>
      </c>
      <c r="BI149" s="60">
        <f ca="1">AVERAGE(OFFSET($BH$3,0,0,'Données projet'!$E$11+1,1))-AVERAGE(OFFSET($H$3,0,0,'Données projet'!$E$11+1,1))</f>
        <v>178.29366134936788</v>
      </c>
      <c r="BJ149" s="60">
        <f t="shared" si="146"/>
        <v>85.818195717787148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28.309412941286261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28.309412941286261</v>
      </c>
      <c r="BT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projet'!$B$12,Paramètres!$A$1:$I$88,3,0)*VLOOKUP('Données projet'!$B$12,Paramètres!$A$1:$I$88,5,0)</f>
        <v>0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104.00159056395933</v>
      </c>
      <c r="CE149" s="60">
        <f t="shared" si="148"/>
        <v>115.86489547584461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26.899426454196661</v>
      </c>
      <c r="CL149" s="23">
        <f>EXP(-LN(2)/25)*CL148+(1-EXP(-LN(2)/25))/(LN(2)/25)*Calculateur!CG149*Calculateur!CI149*VLOOKUP('Données projet'!$B$12,Paramètres!$A$1:$I$88,3,0)*0.475*44/12</f>
        <v>3.0475734952134448</v>
      </c>
      <c r="CM149" s="23">
        <f>EXP(-LN(2)/2)*CM148+(1-EXP(-LN(2)/2))/(LN(2)/2)*CG149*CJ149*VLOOKUP('Données projet'!$B$12,Paramètres!$A$1:$I$88,3,0)*0.475*44/12</f>
        <v>6.9842373344664339E-11</v>
      </c>
      <c r="CN149" s="24">
        <f t="shared" si="120"/>
        <v>29.946999949479949</v>
      </c>
      <c r="CO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projet'!$B$13,Paramètres!$A$1:$I$88,3,0)*VLOOKUP('Données projet'!$B$13,Paramètres!$A$1:$I$88,5,0)</f>
        <v>#N/A</v>
      </c>
      <c r="CV149" s="14" t="e">
        <f t="shared" si="149"/>
        <v>#N/A</v>
      </c>
      <c r="CW149" s="22" t="e">
        <f t="shared" si="121"/>
        <v>#N/A</v>
      </c>
      <c r="CX149" s="60" t="e">
        <f t="shared" si="122"/>
        <v>#N/A</v>
      </c>
      <c r="CY149" s="60" t="e">
        <f ca="1">AVERAGE(OFFSET($CX$3,0,0,'Données projet'!$E$13+1,1))-AVERAGE(OFFSET($H$3,0,0,'Données projet'!$E$13+1,1))</f>
        <v>#N/A</v>
      </c>
      <c r="CZ149" s="60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projet'!$B$13,Paramètres!$A$1:$I$88,3,0)*0.475*44/12</f>
        <v>#N/A</v>
      </c>
      <c r="DG149" s="23" t="e">
        <f>EXP(-LN(2)/25)*DG148+(1-EXP(-LN(2)/25))/(LN(2)/25)*Calculateur!DB149*Calculateur!DD149*VLOOKUP('Données projet'!$B$13,Paramètres!$A$1:$I$88,3,0)*0.475*44/12</f>
        <v>#N/A</v>
      </c>
      <c r="DH149" s="23" t="e">
        <f>EXP(-LN(2)/2)*DH148+(1-EXP(-LN(2)/2))/(LN(2)/2)*DB149*DE149*VLOOKUP('Données projet'!$B$13,Paramètres!$A$1:$I$88,3,0)*0.475*44/12</f>
        <v>#N/A</v>
      </c>
      <c r="DI149" s="24" t="e">
        <f t="shared" si="123"/>
        <v>#N/A</v>
      </c>
      <c r="DJ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0" t="e">
        <f t="shared" si="125"/>
        <v>#N/A</v>
      </c>
      <c r="DT149" s="60" t="e">
        <f ca="1">AVERAGE(OFFSET($DS$3,0,0,'Données projet'!$E$14+1,1))-AVERAGE(OFFSET($H$3,0,0,'Données projet'!$E$14+1,1))</f>
        <v>#N/A</v>
      </c>
      <c r="DU149" s="60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4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130.7124000000002</v>
      </c>
      <c r="D150" s="12">
        <f t="shared" si="140"/>
        <v>34.160921660966174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4.5474735088646412E-13</v>
      </c>
      <c r="O150" s="14">
        <f>N150*VLOOKUP('Données projet'!$B$9,Paramètres!$A$1:$I$88,3,0)*VLOOKUP('Données projet'!$B$9,Paramètres!$A$1:$I$88,5,0)</f>
        <v>2.7193891583010558E-13</v>
      </c>
      <c r="P150" s="14">
        <f t="shared" si="141"/>
        <v>3.6362267729089988E-12</v>
      </c>
      <c r="Q150" s="22">
        <f t="shared" si="108"/>
        <v>6.8067219078872727E-12</v>
      </c>
      <c r="R150" s="60">
        <f t="shared" si="109"/>
        <v>293.33333333334014</v>
      </c>
      <c r="S150" s="60">
        <f ca="1">AVERAGE(OFFSET($R$3,0,0,'Données projet'!$E$9+1,1))-AVERAGE(OFFSET($H$3,0,0,'Données projet'!$E$9+1,1))</f>
        <v>181.84907943028196</v>
      </c>
      <c r="T150" s="60">
        <f t="shared" si="142"/>
        <v>199.66849909069458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23.22859110180584</v>
      </c>
      <c r="AA150" s="23">
        <f>EXP(-LN(2)/25)*AA149+(1-EXP(-LN(2)/25))/(LN(2)/25)*Calculateur!V150*Calculateur!X150*VLOOKUP('Données projet'!$B$9,Paramètres!$A$1:$I$88,3,0)*0.475*44/12</f>
        <v>2.7238519084092014</v>
      </c>
      <c r="AB150" s="23">
        <f>EXP(-LN(2)/2)*AB149+(1-EXP(-LN(2)/2))/(LN(2)/2)*V150*Y150*VLOOKUP('Données projet'!$B$9,Paramètres!$A$1:$I$88,3,0)*0.475*44/12</f>
        <v>1.9110909985081453E-12</v>
      </c>
      <c r="AC150" s="24">
        <f t="shared" si="111"/>
        <v>25.952443010216953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projet'!$B$10,Paramètres!$A$1:$I$88,3,0)*VLOOKUP('Données projet'!$B$10,Paramètres!$A$1:$I$88,5,0)</f>
        <v>0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55.581964048431473</v>
      </c>
      <c r="AO150" s="60">
        <f t="shared" si="144"/>
        <v>91.067506141193803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4.345425987833103</v>
      </c>
      <c r="AV150" s="23">
        <f>EXP(-LN(2)/25)*AV149+(1-EXP(-LN(2)/25))/(LN(2)/25)*Calculateur!AQ150*Calculateur!AS150*VLOOKUP('Données projet'!$B$10,Paramètres!$A$1:$I$88,3,0)*0.475*44/12</f>
        <v>0</v>
      </c>
      <c r="AW150" s="23">
        <f>EXP(-LN(2)/2)*AW149+(1-EXP(-LN(2)/2))/(LN(2)/2)*AQ150*AT150*VLOOKUP('Données projet'!$B$10,Paramètres!$A$1:$I$88,3,0)*0.475*44/12</f>
        <v>0</v>
      </c>
      <c r="AX150" s="23">
        <f t="shared" si="114"/>
        <v>4.345425987833103</v>
      </c>
      <c r="AY150" s="7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4.833333333333333</v>
      </c>
      <c r="BD150" s="13">
        <f>IF('Données projet'!$A$88&gt;35,BD149+BC150-BL149,IF(A150&lt;'Données projet'!$A$88,$BA$205^A150,IF(A150='Données projet'!$A$88,'Données projet'!$B$88,BD149+BC150-BL149)))</f>
        <v>251.00000000000037</v>
      </c>
      <c r="BE150" s="14">
        <f>BD150*VLOOKUP('Données projet'!$B$11,Paramètres!$A$1:$I$88,3,0)*VLOOKUP('Données projet'!$B$11,Paramètres!$A$1:$I$88,5,0)</f>
        <v>254.51400000000038</v>
      </c>
      <c r="BF150" s="14">
        <f t="shared" si="145"/>
        <v>61.551537008473019</v>
      </c>
      <c r="BG150" s="22">
        <f t="shared" si="115"/>
        <v>550.48081028975776</v>
      </c>
      <c r="BH150" s="60">
        <f t="shared" si="116"/>
        <v>843.81414362309101</v>
      </c>
      <c r="BI150" s="60">
        <f ca="1">AVERAGE(OFFSET($BH$3,0,0,'Données projet'!$E$11+1,1))-AVERAGE(OFFSET($H$3,0,0,'Données projet'!$E$11+1,1))</f>
        <v>178.29366134936788</v>
      </c>
      <c r="BJ150" s="60">
        <f t="shared" si="146"/>
        <v>85.818195717787148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27.754282620544554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27.754282620544554</v>
      </c>
      <c r="BT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projet'!$B$12,Paramètres!$A$1:$I$88,3,0)*VLOOKUP('Données projet'!$B$12,Paramètres!$A$1:$I$88,5,0)</f>
        <v>0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104.00159056395933</v>
      </c>
      <c r="CE150" s="60">
        <f t="shared" si="148"/>
        <v>115.86489547584461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26.371945108459943</v>
      </c>
      <c r="CL150" s="23">
        <f>EXP(-LN(2)/25)*CL149+(1-EXP(-LN(2)/25))/(LN(2)/25)*Calculateur!CG150*Calculateur!CI150*VLOOKUP('Données projet'!$B$12,Paramètres!$A$1:$I$88,3,0)*0.475*44/12</f>
        <v>2.9642374377219083</v>
      </c>
      <c r="CM150" s="23">
        <f>EXP(-LN(2)/2)*CM149+(1-EXP(-LN(2)/2))/(LN(2)/2)*CG150*CJ150*VLOOKUP('Données projet'!$B$12,Paramètres!$A$1:$I$88,3,0)*0.475*44/12</f>
        <v>4.9386015806174726E-11</v>
      </c>
      <c r="CN150" s="24">
        <f t="shared" si="120"/>
        <v>29.336182546231239</v>
      </c>
      <c r="CO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projet'!$B$13,Paramètres!$A$1:$I$88,3,0)*VLOOKUP('Données projet'!$B$13,Paramètres!$A$1:$I$88,5,0)</f>
        <v>#N/A</v>
      </c>
      <c r="CV150" s="14" t="e">
        <f t="shared" si="149"/>
        <v>#N/A</v>
      </c>
      <c r="CW150" s="22" t="e">
        <f t="shared" si="121"/>
        <v>#N/A</v>
      </c>
      <c r="CX150" s="60" t="e">
        <f t="shared" si="122"/>
        <v>#N/A</v>
      </c>
      <c r="CY150" s="60" t="e">
        <f ca="1">AVERAGE(OFFSET($CX$3,0,0,'Données projet'!$E$13+1,1))-AVERAGE(OFFSET($H$3,0,0,'Données projet'!$E$13+1,1))</f>
        <v>#N/A</v>
      </c>
      <c r="CZ150" s="60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projet'!$B$13,Paramètres!$A$1:$I$88,3,0)*0.475*44/12</f>
        <v>#N/A</v>
      </c>
      <c r="DG150" s="23" t="e">
        <f>EXP(-LN(2)/25)*DG149+(1-EXP(-LN(2)/25))/(LN(2)/25)*Calculateur!DB150*Calculateur!DD150*VLOOKUP('Données projet'!$B$13,Paramètres!$A$1:$I$88,3,0)*0.475*44/12</f>
        <v>#N/A</v>
      </c>
      <c r="DH150" s="23" t="e">
        <f>EXP(-LN(2)/2)*DH149+(1-EXP(-LN(2)/2))/(LN(2)/2)*DB150*DE150*VLOOKUP('Données projet'!$B$13,Paramètres!$A$1:$I$88,3,0)*0.475*44/12</f>
        <v>#N/A</v>
      </c>
      <c r="DI150" s="24" t="e">
        <f t="shared" si="123"/>
        <v>#N/A</v>
      </c>
      <c r="DJ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0" t="e">
        <f t="shared" si="125"/>
        <v>#N/A</v>
      </c>
      <c r="DT150" s="60" t="e">
        <f ca="1">AVERAGE(OFFSET($DS$3,0,0,'Données projet'!$E$14+1,1))-AVERAGE(OFFSET($H$3,0,0,'Données projet'!$E$14+1,1))</f>
        <v>#N/A</v>
      </c>
      <c r="DU150" s="60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4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131.60160000000019</v>
      </c>
      <c r="D151" s="12">
        <f t="shared" si="140"/>
        <v>34.366177918726152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4.5474735088646412E-13</v>
      </c>
      <c r="O151" s="14">
        <f>N151*VLOOKUP('Données projet'!$B$9,Paramètres!$A$1:$I$88,3,0)*VLOOKUP('Données projet'!$B$9,Paramètres!$A$1:$I$88,5,0)</f>
        <v>2.7193891583010558E-13</v>
      </c>
      <c r="P151" s="14">
        <f t="shared" si="141"/>
        <v>3.6362267729089988E-12</v>
      </c>
      <c r="Q151" s="22">
        <f t="shared" si="108"/>
        <v>6.8067219078872727E-12</v>
      </c>
      <c r="R151" s="60">
        <f t="shared" si="109"/>
        <v>293.33333333334014</v>
      </c>
      <c r="S151" s="60">
        <f ca="1">AVERAGE(OFFSET($R$3,0,0,'Données projet'!$E$9+1,1))-AVERAGE(OFFSET($H$3,0,0,'Données projet'!$E$9+1,1))</f>
        <v>181.84907943028196</v>
      </c>
      <c r="T151" s="60">
        <f t="shared" si="142"/>
        <v>199.66849909069458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22.773092598341023</v>
      </c>
      <c r="AA151" s="23">
        <f>EXP(-LN(2)/25)*AA150+(1-EXP(-LN(2)/25))/(LN(2)/25)*Calculateur!V151*Calculateur!X151*VLOOKUP('Données projet'!$B$9,Paramètres!$A$1:$I$88,3,0)*0.475*44/12</f>
        <v>2.6493680347326056</v>
      </c>
      <c r="AB151" s="23">
        <f>EXP(-LN(2)/2)*AB150+(1-EXP(-LN(2)/2))/(LN(2)/2)*V151*Y151*VLOOKUP('Données projet'!$B$9,Paramètres!$A$1:$I$88,3,0)*0.475*44/12</f>
        <v>1.3513454045096797E-12</v>
      </c>
      <c r="AC151" s="24">
        <f t="shared" si="111"/>
        <v>25.42246063307498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projet'!$B$10,Paramètres!$A$1:$I$88,3,0)*VLOOKUP('Données projet'!$B$10,Paramètres!$A$1:$I$88,5,0)</f>
        <v>0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55.581964048431473</v>
      </c>
      <c r="AO151" s="60">
        <f t="shared" si="144"/>
        <v>91.067506141193803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4.2602148346598385</v>
      </c>
      <c r="AV151" s="23">
        <f>EXP(-LN(2)/25)*AV150+(1-EXP(-LN(2)/25))/(LN(2)/25)*Calculateur!AQ151*Calculateur!AS151*VLOOKUP('Données projet'!$B$10,Paramètres!$A$1:$I$88,3,0)*0.475*44/12</f>
        <v>0</v>
      </c>
      <c r="AW151" s="23">
        <f>EXP(-LN(2)/2)*AW150+(1-EXP(-LN(2)/2))/(LN(2)/2)*AQ151*AT151*VLOOKUP('Données projet'!$B$10,Paramètres!$A$1:$I$88,3,0)*0.475*44/12</f>
        <v>0</v>
      </c>
      <c r="AX151" s="23">
        <f t="shared" si="114"/>
        <v>4.2602148346598385</v>
      </c>
      <c r="AY151" s="7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4.833333333333333</v>
      </c>
      <c r="BD151" s="13">
        <f>IF('Données projet'!$A$88&gt;35,BD150+BC151-BL150,IF(A151&lt;'Données projet'!$A$88,$BA$205^A151,IF(A151='Données projet'!$A$88,'Données projet'!$B$88,BD150+BC151-BL150)))</f>
        <v>255.83333333333371</v>
      </c>
      <c r="BE151" s="14">
        <f>BD151*VLOOKUP('Données projet'!$B$11,Paramètres!$A$1:$I$88,3,0)*VLOOKUP('Données projet'!$B$11,Paramètres!$A$1:$I$88,5,0)</f>
        <v>259.41500000000042</v>
      </c>
      <c r="BF151" s="14">
        <f t="shared" si="145"/>
        <v>62.597663253609184</v>
      </c>
      <c r="BG151" s="22">
        <f t="shared" si="115"/>
        <v>560.83872183337007</v>
      </c>
      <c r="BH151" s="60">
        <f t="shared" si="116"/>
        <v>854.17205516670333</v>
      </c>
      <c r="BI151" s="60">
        <f ca="1">AVERAGE(OFFSET($BH$3,0,0,'Données projet'!$E$11+1,1))-AVERAGE(OFFSET($H$3,0,0,'Données projet'!$E$11+1,1))</f>
        <v>178.29366134936788</v>
      </c>
      <c r="BJ151" s="60">
        <f t="shared" si="146"/>
        <v>85.818195717787148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27.210038066796528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27.210038066796528</v>
      </c>
      <c r="BT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projet'!$B$12,Paramètres!$A$1:$I$88,3,0)*VLOOKUP('Données projet'!$B$12,Paramètres!$A$1:$I$88,5,0)</f>
        <v>0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104.00159056395933</v>
      </c>
      <c r="CE151" s="60">
        <f t="shared" si="148"/>
        <v>115.86489547584461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25.854807350181268</v>
      </c>
      <c r="CL151" s="23">
        <f>EXP(-LN(2)/25)*CL150+(1-EXP(-LN(2)/25))/(LN(2)/25)*Calculateur!CG151*Calculateur!CI151*VLOOKUP('Données projet'!$B$12,Paramètres!$A$1:$I$88,3,0)*0.475*44/12</f>
        <v>2.8831802091049306</v>
      </c>
      <c r="CM151" s="23">
        <f>EXP(-LN(2)/2)*CM150+(1-EXP(-LN(2)/2))/(LN(2)/2)*CG151*CJ151*VLOOKUP('Données projet'!$B$12,Paramètres!$A$1:$I$88,3,0)*0.475*44/12</f>
        <v>3.492118667233217E-11</v>
      </c>
      <c r="CN151" s="24">
        <f t="shared" si="120"/>
        <v>28.73798755932112</v>
      </c>
      <c r="CO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projet'!$B$13,Paramètres!$A$1:$I$88,3,0)*VLOOKUP('Données projet'!$B$13,Paramètres!$A$1:$I$88,5,0)</f>
        <v>#N/A</v>
      </c>
      <c r="CV151" s="14" t="e">
        <f t="shared" si="149"/>
        <v>#N/A</v>
      </c>
      <c r="CW151" s="22" t="e">
        <f t="shared" si="121"/>
        <v>#N/A</v>
      </c>
      <c r="CX151" s="60" t="e">
        <f t="shared" si="122"/>
        <v>#N/A</v>
      </c>
      <c r="CY151" s="60" t="e">
        <f ca="1">AVERAGE(OFFSET($CX$3,0,0,'Données projet'!$E$13+1,1))-AVERAGE(OFFSET($H$3,0,0,'Données projet'!$E$13+1,1))</f>
        <v>#N/A</v>
      </c>
      <c r="CZ151" s="60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projet'!$B$13,Paramètres!$A$1:$I$88,3,0)*0.475*44/12</f>
        <v>#N/A</v>
      </c>
      <c r="DG151" s="23" t="e">
        <f>EXP(-LN(2)/25)*DG150+(1-EXP(-LN(2)/25))/(LN(2)/25)*Calculateur!DB151*Calculateur!DD151*VLOOKUP('Données projet'!$B$13,Paramètres!$A$1:$I$88,3,0)*0.475*44/12</f>
        <v>#N/A</v>
      </c>
      <c r="DH151" s="23" t="e">
        <f>EXP(-LN(2)/2)*DH150+(1-EXP(-LN(2)/2))/(LN(2)/2)*DB151*DE151*VLOOKUP('Données projet'!$B$13,Paramètres!$A$1:$I$88,3,0)*0.475*44/12</f>
        <v>#N/A</v>
      </c>
      <c r="DI151" s="24" t="e">
        <f t="shared" si="123"/>
        <v>#N/A</v>
      </c>
      <c r="DJ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0" t="e">
        <f t="shared" si="125"/>
        <v>#N/A</v>
      </c>
      <c r="DT151" s="60" t="e">
        <f ca="1">AVERAGE(OFFSET($DS$3,0,0,'Données projet'!$E$14+1,1))-AVERAGE(OFFSET($H$3,0,0,'Données projet'!$E$14+1,1))</f>
        <v>#N/A</v>
      </c>
      <c r="DU151" s="60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4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132.49080000000018</v>
      </c>
      <c r="D152" s="12">
        <f t="shared" si="140"/>
        <v>34.571272807379401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4.5474735088646412E-13</v>
      </c>
      <c r="O152" s="14">
        <f>N152*VLOOKUP('Données projet'!$B$9,Paramètres!$A$1:$I$88,3,0)*VLOOKUP('Données projet'!$B$9,Paramètres!$A$1:$I$88,5,0)</f>
        <v>2.7193891583010558E-13</v>
      </c>
      <c r="P152" s="14">
        <f t="shared" si="141"/>
        <v>3.6362267729089988E-12</v>
      </c>
      <c r="Q152" s="22">
        <f t="shared" si="108"/>
        <v>6.8067219078872727E-12</v>
      </c>
      <c r="R152" s="60">
        <f t="shared" si="109"/>
        <v>293.33333333334014</v>
      </c>
      <c r="S152" s="60">
        <f ca="1">AVERAGE(OFFSET($R$3,0,0,'Données projet'!$E$9+1,1))-AVERAGE(OFFSET($H$3,0,0,'Données projet'!$E$9+1,1))</f>
        <v>181.84907943028196</v>
      </c>
      <c r="T152" s="60">
        <f t="shared" si="142"/>
        <v>199.66849909069458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22.326526142702495</v>
      </c>
      <c r="AA152" s="23">
        <f>EXP(-LN(2)/25)*AA151+(1-EXP(-LN(2)/25))/(LN(2)/25)*Calculateur!V152*Calculateur!X152*VLOOKUP('Données projet'!$B$9,Paramètres!$A$1:$I$88,3,0)*0.475*44/12</f>
        <v>2.5769209264986328</v>
      </c>
      <c r="AB152" s="23">
        <f>EXP(-LN(2)/2)*AB151+(1-EXP(-LN(2)/2))/(LN(2)/2)*V152*Y152*VLOOKUP('Données projet'!$B$9,Paramètres!$A$1:$I$88,3,0)*0.475*44/12</f>
        <v>9.5554549925407265E-13</v>
      </c>
      <c r="AC152" s="24">
        <f t="shared" si="111"/>
        <v>24.903447069202084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projet'!$B$10,Paramètres!$A$1:$I$88,3,0)*VLOOKUP('Données projet'!$B$10,Paramètres!$A$1:$I$88,5,0)</f>
        <v>0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55.581964048431473</v>
      </c>
      <c r="AO152" s="60">
        <f t="shared" si="144"/>
        <v>91.067506141193803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4.1766746202266303</v>
      </c>
      <c r="AV152" s="23">
        <f>EXP(-LN(2)/25)*AV151+(1-EXP(-LN(2)/25))/(LN(2)/25)*Calculateur!AQ152*Calculateur!AS152*VLOOKUP('Données projet'!$B$10,Paramètres!$A$1:$I$88,3,0)*0.475*44/12</f>
        <v>0</v>
      </c>
      <c r="AW152" s="23">
        <f>EXP(-LN(2)/2)*AW151+(1-EXP(-LN(2)/2))/(LN(2)/2)*AQ152*AT152*VLOOKUP('Données projet'!$B$10,Paramètres!$A$1:$I$88,3,0)*0.475*44/12</f>
        <v>0</v>
      </c>
      <c r="AX152" s="23">
        <f t="shared" si="114"/>
        <v>4.1766746202266303</v>
      </c>
      <c r="AY152" s="7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4.833333333333333</v>
      </c>
      <c r="BD152" s="13">
        <f>IF('Données projet'!$A$88&gt;35,BD151+BC152-BL151,IF(A152&lt;'Données projet'!$A$88,$BA$205^A152,IF(A152='Données projet'!$A$88,'Données projet'!$B$88,BD151+BC152-BL151)))</f>
        <v>260.66666666666703</v>
      </c>
      <c r="BE152" s="14">
        <f>BD152*VLOOKUP('Données projet'!$B$11,Paramètres!$A$1:$I$88,3,0)*VLOOKUP('Données projet'!$B$11,Paramètres!$A$1:$I$88,5,0)</f>
        <v>264.31600000000037</v>
      </c>
      <c r="BF152" s="14">
        <f t="shared" si="145"/>
        <v>63.641491358279858</v>
      </c>
      <c r="BG152" s="22">
        <f t="shared" si="115"/>
        <v>571.19263078233803</v>
      </c>
      <c r="BH152" s="60">
        <f t="shared" si="116"/>
        <v>864.52596411567129</v>
      </c>
      <c r="BI152" s="60">
        <f ca="1">AVERAGE(OFFSET($BH$3,0,0,'Données projet'!$E$11+1,1))-AVERAGE(OFFSET($H$3,0,0,'Données projet'!$E$11+1,1))</f>
        <v>178.29366134936788</v>
      </c>
      <c r="BJ152" s="60">
        <f t="shared" si="146"/>
        <v>85.818195717787148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26.676465816791101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26.676465816791101</v>
      </c>
      <c r="BT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projet'!$B$12,Paramètres!$A$1:$I$88,3,0)*VLOOKUP('Données projet'!$B$12,Paramètres!$A$1:$I$88,5,0)</f>
        <v>0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104.00159056395933</v>
      </c>
      <c r="CE152" s="60">
        <f t="shared" si="148"/>
        <v>115.86489547584461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25.347810347919552</v>
      </c>
      <c r="CL152" s="23">
        <f>EXP(-LN(2)/25)*CL151+(1-EXP(-LN(2)/25))/(LN(2)/25)*Calculateur!CG152*Calculateur!CI152*VLOOKUP('Données projet'!$B$12,Paramètres!$A$1:$I$88,3,0)*0.475*44/12</f>
        <v>2.8043394946670985</v>
      </c>
      <c r="CM152" s="23">
        <f>EXP(-LN(2)/2)*CM151+(1-EXP(-LN(2)/2))/(LN(2)/2)*CG152*CJ152*VLOOKUP('Données projet'!$B$12,Paramètres!$A$1:$I$88,3,0)*0.475*44/12</f>
        <v>2.4693007903087363E-11</v>
      </c>
      <c r="CN152" s="24">
        <f t="shared" si="120"/>
        <v>28.15214984261134</v>
      </c>
      <c r="CO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projet'!$B$13,Paramètres!$A$1:$I$88,3,0)*VLOOKUP('Données projet'!$B$13,Paramètres!$A$1:$I$88,5,0)</f>
        <v>#N/A</v>
      </c>
      <c r="CV152" s="14" t="e">
        <f t="shared" si="149"/>
        <v>#N/A</v>
      </c>
      <c r="CW152" s="22" t="e">
        <f t="shared" si="121"/>
        <v>#N/A</v>
      </c>
      <c r="CX152" s="60" t="e">
        <f t="shared" si="122"/>
        <v>#N/A</v>
      </c>
      <c r="CY152" s="60" t="e">
        <f ca="1">AVERAGE(OFFSET($CX$3,0,0,'Données projet'!$E$13+1,1))-AVERAGE(OFFSET($H$3,0,0,'Données projet'!$E$13+1,1))</f>
        <v>#N/A</v>
      </c>
      <c r="CZ152" s="60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projet'!$B$13,Paramètres!$A$1:$I$88,3,0)*0.475*44/12</f>
        <v>#N/A</v>
      </c>
      <c r="DG152" s="23" t="e">
        <f>EXP(-LN(2)/25)*DG151+(1-EXP(-LN(2)/25))/(LN(2)/25)*Calculateur!DB152*Calculateur!DD152*VLOOKUP('Données projet'!$B$13,Paramètres!$A$1:$I$88,3,0)*0.475*44/12</f>
        <v>#N/A</v>
      </c>
      <c r="DH152" s="23" t="e">
        <f>EXP(-LN(2)/2)*DH151+(1-EXP(-LN(2)/2))/(LN(2)/2)*DB152*DE152*VLOOKUP('Données projet'!$B$13,Paramètres!$A$1:$I$88,3,0)*0.475*44/12</f>
        <v>#N/A</v>
      </c>
      <c r="DI152" s="24" t="e">
        <f t="shared" si="123"/>
        <v>#N/A</v>
      </c>
      <c r="DJ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0" t="e">
        <f t="shared" si="125"/>
        <v>#N/A</v>
      </c>
      <c r="DT152" s="60" t="e">
        <f ca="1">AVERAGE(OFFSET($DS$3,0,0,'Données projet'!$E$14+1,1))-AVERAGE(OFFSET($H$3,0,0,'Données projet'!$E$14+1,1))</f>
        <v>#N/A</v>
      </c>
      <c r="DU152" s="60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4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133.38000000000017</v>
      </c>
      <c r="D153" s="12">
        <f t="shared" si="140"/>
        <v>34.776207535549027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4.5474735088646412E-13</v>
      </c>
      <c r="O153" s="14">
        <f>N153*VLOOKUP('Données projet'!$B$9,Paramètres!$A$1:$I$88,3,0)*VLOOKUP('Données projet'!$B$9,Paramètres!$A$1:$I$88,5,0)</f>
        <v>2.7193891583010558E-13</v>
      </c>
      <c r="P153" s="14">
        <f t="shared" si="141"/>
        <v>3.6362267729089988E-12</v>
      </c>
      <c r="Q153" s="22">
        <f t="shared" si="108"/>
        <v>6.8067219078872727E-12</v>
      </c>
      <c r="R153" s="60">
        <f t="shared" si="109"/>
        <v>293.33333333334014</v>
      </c>
      <c r="S153" s="60">
        <f ca="1">AVERAGE(OFFSET($R$3,0,0,'Données projet'!$E$9+1,1))-AVERAGE(OFFSET($H$3,0,0,'Données projet'!$E$9+1,1))</f>
        <v>181.84907943028196</v>
      </c>
      <c r="T153" s="60">
        <f t="shared" si="142"/>
        <v>199.66849909069458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21.888716582880395</v>
      </c>
      <c r="AA153" s="23">
        <f>EXP(-LN(2)/25)*AA152+(1-EXP(-LN(2)/25))/(LN(2)/25)*Calculateur!V153*Calculateur!X153*VLOOKUP('Données projet'!$B$9,Paramètres!$A$1:$I$88,3,0)*0.475*44/12</f>
        <v>2.506454888249146</v>
      </c>
      <c r="AB153" s="23">
        <f>EXP(-LN(2)/2)*AB152+(1-EXP(-LN(2)/2))/(LN(2)/2)*V153*Y153*VLOOKUP('Données projet'!$B$9,Paramètres!$A$1:$I$88,3,0)*0.475*44/12</f>
        <v>6.7567270225483986E-13</v>
      </c>
      <c r="AC153" s="24">
        <f t="shared" si="111"/>
        <v>24.395171471130215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projet'!$B$10,Paramètres!$A$1:$I$88,3,0)*VLOOKUP('Données projet'!$B$10,Paramètres!$A$1:$I$88,5,0)</f>
        <v>0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55.581964048431473</v>
      </c>
      <c r="AO153" s="60">
        <f t="shared" si="144"/>
        <v>91.067506141193803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4.0947725784439575</v>
      </c>
      <c r="AV153" s="23">
        <f>EXP(-LN(2)/25)*AV152+(1-EXP(-LN(2)/25))/(LN(2)/25)*Calculateur!AQ153*Calculateur!AS153*VLOOKUP('Données projet'!$B$10,Paramètres!$A$1:$I$88,3,0)*0.475*44/12</f>
        <v>0</v>
      </c>
      <c r="AW153" s="23">
        <f>EXP(-LN(2)/2)*AW152+(1-EXP(-LN(2)/2))/(LN(2)/2)*AQ153*AT153*VLOOKUP('Données projet'!$B$10,Paramètres!$A$1:$I$88,3,0)*0.475*44/12</f>
        <v>0</v>
      </c>
      <c r="AX153" s="23">
        <f t="shared" si="114"/>
        <v>4.0947725784439575</v>
      </c>
      <c r="AY153" s="7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4.833333333333333</v>
      </c>
      <c r="BD153" s="13">
        <f>IF('Données projet'!$A$88&gt;35,BD152+BC153-BL152,IF(A153&lt;'Données projet'!$A$88,$BA$205^A153,IF(A153='Données projet'!$A$88,'Données projet'!$B$88,BD152+BC153-BL152)))</f>
        <v>265.50000000000034</v>
      </c>
      <c r="BE153" s="14">
        <f>BD153*VLOOKUP('Données projet'!$B$11,Paramètres!$A$1:$I$88,3,0)*VLOOKUP('Données projet'!$B$11,Paramètres!$A$1:$I$88,5,0)</f>
        <v>269.21700000000033</v>
      </c>
      <c r="BF153" s="14">
        <f t="shared" si="145"/>
        <v>64.683068849359671</v>
      </c>
      <c r="BG153" s="22">
        <f t="shared" si="115"/>
        <v>581.54261991263525</v>
      </c>
      <c r="BH153" s="60">
        <f t="shared" si="116"/>
        <v>874.8759532459685</v>
      </c>
      <c r="BI153" s="60">
        <f ca="1">AVERAGE(OFFSET($BH$3,0,0,'Données projet'!$E$11+1,1))-AVERAGE(OFFSET($H$3,0,0,'Données projet'!$E$11+1,1))</f>
        <v>178.29366134936788</v>
      </c>
      <c r="BJ153" s="60">
        <f t="shared" si="146"/>
        <v>85.818195717787148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26.153356593161345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26.153356593161345</v>
      </c>
      <c r="BT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projet'!$B$12,Paramètres!$A$1:$I$88,3,0)*VLOOKUP('Données projet'!$B$12,Paramètres!$A$1:$I$88,5,0)</f>
        <v>0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104.00159056395933</v>
      </c>
      <c r="CE153" s="60">
        <f t="shared" si="148"/>
        <v>115.86489547584461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24.850755247634549</v>
      </c>
      <c r="CL153" s="23">
        <f>EXP(-LN(2)/25)*CL152+(1-EXP(-LN(2)/25))/(LN(2)/25)*Calculateur!CG153*Calculateur!CI153*VLOOKUP('Données projet'!$B$12,Paramètres!$A$1:$I$88,3,0)*0.475*44/12</f>
        <v>2.7276546837116222</v>
      </c>
      <c r="CM153" s="23">
        <f>EXP(-LN(2)/2)*CM152+(1-EXP(-LN(2)/2))/(LN(2)/2)*CG153*CJ153*VLOOKUP('Données projet'!$B$12,Paramètres!$A$1:$I$88,3,0)*0.475*44/12</f>
        <v>1.7460593336166085E-11</v>
      </c>
      <c r="CN153" s="24">
        <f t="shared" si="120"/>
        <v>27.578409931363634</v>
      </c>
      <c r="CO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projet'!$B$13,Paramètres!$A$1:$I$88,3,0)*VLOOKUP('Données projet'!$B$13,Paramètres!$A$1:$I$88,5,0)</f>
        <v>#N/A</v>
      </c>
      <c r="CV153" s="14" t="e">
        <f t="shared" si="149"/>
        <v>#N/A</v>
      </c>
      <c r="CW153" s="22" t="e">
        <f t="shared" si="121"/>
        <v>#N/A</v>
      </c>
      <c r="CX153" s="60" t="e">
        <f t="shared" si="122"/>
        <v>#N/A</v>
      </c>
      <c r="CY153" s="60" t="e">
        <f ca="1">AVERAGE(OFFSET($CX$3,0,0,'Données projet'!$E$13+1,1))-AVERAGE(OFFSET($H$3,0,0,'Données projet'!$E$13+1,1))</f>
        <v>#N/A</v>
      </c>
      <c r="CZ153" s="60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projet'!$B$13,Paramètres!$A$1:$I$88,3,0)*0.475*44/12</f>
        <v>#N/A</v>
      </c>
      <c r="DG153" s="23" t="e">
        <f>EXP(-LN(2)/25)*DG152+(1-EXP(-LN(2)/25))/(LN(2)/25)*Calculateur!DB153*Calculateur!DD153*VLOOKUP('Données projet'!$B$13,Paramètres!$A$1:$I$88,3,0)*0.475*44/12</f>
        <v>#N/A</v>
      </c>
      <c r="DH153" s="23" t="e">
        <f>EXP(-LN(2)/2)*DH152+(1-EXP(-LN(2)/2))/(LN(2)/2)*DB153*DE153*VLOOKUP('Données projet'!$B$13,Paramètres!$A$1:$I$88,3,0)*0.475*44/12</f>
        <v>#N/A</v>
      </c>
      <c r="DI153" s="24" t="e">
        <f t="shared" si="123"/>
        <v>#N/A</v>
      </c>
      <c r="DJ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0" t="e">
        <f t="shared" si="125"/>
        <v>#N/A</v>
      </c>
      <c r="DT153" s="60" t="e">
        <f ca="1">AVERAGE(OFFSET($DS$3,0,0,'Données projet'!$E$14+1,1))-AVERAGE(OFFSET($H$3,0,0,'Données projet'!$E$14+1,1))</f>
        <v>#N/A</v>
      </c>
      <c r="DU153" s="60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4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134.26920000000015</v>
      </c>
      <c r="D154" s="12">
        <f t="shared" si="140"/>
        <v>34.980983294811438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4.5474735088646412E-13</v>
      </c>
      <c r="O154" s="14">
        <f>N154*VLOOKUP('Données projet'!$B$9,Paramètres!$A$1:$I$88,3,0)*VLOOKUP('Données projet'!$B$9,Paramètres!$A$1:$I$88,5,0)</f>
        <v>2.7193891583010558E-13</v>
      </c>
      <c r="P154" s="14">
        <f t="shared" si="141"/>
        <v>3.6362267729089988E-12</v>
      </c>
      <c r="Q154" s="22">
        <f t="shared" ref="Q154:Q203" si="162">(O154+P154)*0.475*44/12</f>
        <v>6.8067219078872727E-12</v>
      </c>
      <c r="R154" s="60">
        <f t="shared" si="109"/>
        <v>293.33333333334014</v>
      </c>
      <c r="S154" s="60">
        <f ca="1">AVERAGE(OFFSET($R$3,0,0,'Données projet'!$E$9+1,1))-AVERAGE(OFFSET($H$3,0,0,'Données projet'!$E$9+1,1))</f>
        <v>181.84907943028196</v>
      </c>
      <c r="T154" s="60">
        <f t="shared" si="142"/>
        <v>199.66849909069458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21.459492201488946</v>
      </c>
      <c r="AA154" s="23">
        <f>EXP(-LN(2)/25)*AA153+(1-EXP(-LN(2)/25))/(LN(2)/25)*Calculateur!V154*Calculateur!X154*VLOOKUP('Données projet'!$B$9,Paramètres!$A$1:$I$88,3,0)*0.475*44/12</f>
        <v>2.437915747521239</v>
      </c>
      <c r="AB154" s="23">
        <f>EXP(-LN(2)/2)*AB153+(1-EXP(-LN(2)/2))/(LN(2)/2)*V154*Y154*VLOOKUP('Données projet'!$B$9,Paramètres!$A$1:$I$88,3,0)*0.475*44/12</f>
        <v>4.7777274962703632E-13</v>
      </c>
      <c r="AC154" s="24">
        <f t="shared" ref="AC154:AC203" si="163">SUM(Z154:AB154)</f>
        <v>23.89740794901066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projet'!$B$10,Paramètres!$A$1:$I$88,3,0)*VLOOKUP('Données projet'!$B$10,Paramètres!$A$1:$I$88,5,0)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55.581964048431473</v>
      </c>
      <c r="AO154" s="60">
        <f t="shared" si="144"/>
        <v>91.067506141193803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4.0144765857453306</v>
      </c>
      <c r="AV154" s="23">
        <f>EXP(-LN(2)/25)*AV153+(1-EXP(-LN(2)/25))/(LN(2)/25)*Calculateur!AQ154*Calculateur!AS154*VLOOKUP('Données projet'!$B$10,Paramètres!$A$1:$I$88,3,0)*0.475*44/12</f>
        <v>0</v>
      </c>
      <c r="AW154" s="23">
        <f>EXP(-LN(2)/2)*AW153+(1-EXP(-LN(2)/2))/(LN(2)/2)*AQ154*AT154*VLOOKUP('Données projet'!$B$10,Paramètres!$A$1:$I$88,3,0)*0.475*44/12</f>
        <v>0</v>
      </c>
      <c r="AX154" s="23">
        <f t="shared" ref="AX154:AX203" si="166">SUM(AU154:AW154)</f>
        <v>4.0144765857453306</v>
      </c>
      <c r="AY154" s="7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4.833333333333333</v>
      </c>
      <c r="BD154" s="13">
        <f>IF('Données projet'!$A$88&gt;35,BD153+BC154-BL153,IF(A154&lt;'Données projet'!$A$88,$BA$205^A154,IF(A154='Données projet'!$A$88,'Données projet'!$B$88,BD153+BC154-BL153)))</f>
        <v>270.33333333333366</v>
      </c>
      <c r="BE154" s="14">
        <f>BD154*VLOOKUP('Données projet'!$B$11,Paramètres!$A$1:$I$88,3,0)*VLOOKUP('Données projet'!$B$11,Paramètres!$A$1:$I$88,5,0)</f>
        <v>274.11800000000039</v>
      </c>
      <c r="BF154" s="14">
        <f t="shared" ref="BF154:BF203" si="167">EXP(-1.0587+0.8836*LN(BE154)+0.284)</f>
        <v>65.722441424228919</v>
      </c>
      <c r="BG154" s="22">
        <f t="shared" ref="BG154:BG203" si="168">(BE154+BF154)*0.475*44/12</f>
        <v>591.88876881386602</v>
      </c>
      <c r="BH154" s="60">
        <f t="shared" si="116"/>
        <v>885.22210214719939</v>
      </c>
      <c r="BI154" s="60">
        <f ca="1">AVERAGE(OFFSET($BH$3,0,0,'Données projet'!$E$11+1,1))-AVERAGE(OFFSET($H$3,0,0,'Données projet'!$E$11+1,1))</f>
        <v>178.29366134936788</v>
      </c>
      <c r="BJ154" s="60">
        <f t="shared" si="146"/>
        <v>85.818195717787148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25.640505222341847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25.640505222341847</v>
      </c>
      <c r="BT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projet'!$B$12,Paramètres!$A$1:$I$88,3,0)*VLOOKUP('Données projet'!$B$12,Paramètres!$A$1:$I$88,5,0)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104.00159056395933</v>
      </c>
      <c r="CE154" s="60">
        <f t="shared" si="148"/>
        <v>115.86489547584461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24.363447094692461</v>
      </c>
      <c r="CL154" s="23">
        <f>EXP(-LN(2)/25)*CL153+(1-EXP(-LN(2)/25))/(LN(2)/25)*Calculateur!CG154*Calculateur!CI154*VLOOKUP('Données projet'!$B$12,Paramètres!$A$1:$I$88,3,0)*0.475*44/12</f>
        <v>2.6530668229444023</v>
      </c>
      <c r="CM154" s="23">
        <f>EXP(-LN(2)/2)*CM153+(1-EXP(-LN(2)/2))/(LN(2)/2)*CG154*CJ154*VLOOKUP('Données projet'!$B$12,Paramètres!$A$1:$I$88,3,0)*0.475*44/12</f>
        <v>1.2346503951543682E-11</v>
      </c>
      <c r="CN154" s="24">
        <f t="shared" ref="CN154:CN203" si="172">SUM(CK154:CM154)</f>
        <v>27.01651391764921</v>
      </c>
      <c r="CO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projet'!$B$13,Paramètres!$A$1:$I$88,3,0)*VLOOKUP('Données projet'!$B$13,Paramètres!$A$1:$I$88,5,0)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0" t="e">
        <f t="shared" si="122"/>
        <v>#N/A</v>
      </c>
      <c r="CY154" s="60" t="e">
        <f ca="1">AVERAGE(OFFSET($CX$3,0,0,'Données projet'!$E$13+1,1))-AVERAGE(OFFSET($H$3,0,0,'Données projet'!$E$13+1,1))</f>
        <v>#N/A</v>
      </c>
      <c r="CZ154" s="60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projet'!$B$13,Paramètres!$A$1:$I$88,3,0)*0.475*44/12</f>
        <v>#N/A</v>
      </c>
      <c r="DG154" s="23" t="e">
        <f>EXP(-LN(2)/25)*DG153+(1-EXP(-LN(2)/25))/(LN(2)/25)*Calculateur!DB154*Calculateur!DD154*VLOOKUP('Données projet'!$B$13,Paramètres!$A$1:$I$88,3,0)*0.475*44/12</f>
        <v>#N/A</v>
      </c>
      <c r="DH154" s="23" t="e">
        <f>EXP(-LN(2)/2)*DH153+(1-EXP(-LN(2)/2))/(LN(2)/2)*DB154*DE154*VLOOKUP('Données projet'!$B$13,Paramètres!$A$1:$I$88,3,0)*0.475*44/12</f>
        <v>#N/A</v>
      </c>
      <c r="DI154" s="24" t="e">
        <f t="shared" ref="DI154:DI203" si="175">SUM(DF154:DH154)</f>
        <v>#N/A</v>
      </c>
      <c r="DJ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0" t="e">
        <f t="shared" si="125"/>
        <v>#N/A</v>
      </c>
      <c r="DT154" s="60" t="e">
        <f ca="1">AVERAGE(OFFSET($DS$3,0,0,'Données projet'!$E$14+1,1))-AVERAGE(OFFSET($H$3,0,0,'Données projet'!$E$14+1,1))</f>
        <v>#N/A</v>
      </c>
      <c r="DU154" s="60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4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135.15840000000014</v>
      </c>
      <c r="D155" s="12">
        <f t="shared" si="140"/>
        <v>35.185601260048031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4.5474735088646412E-13</v>
      </c>
      <c r="O155" s="14">
        <f>N155*VLOOKUP('Données projet'!$B$9,Paramètres!$A$1:$I$88,3,0)*VLOOKUP('Données projet'!$B$9,Paramètres!$A$1:$I$88,5,0)</f>
        <v>2.7193891583010558E-13</v>
      </c>
      <c r="P155" s="14">
        <f t="shared" si="141"/>
        <v>3.6362267729089988E-12</v>
      </c>
      <c r="Q155" s="22">
        <f t="shared" si="162"/>
        <v>6.8067219078872727E-12</v>
      </c>
      <c r="R155" s="60">
        <f t="shared" si="109"/>
        <v>293.33333333334014</v>
      </c>
      <c r="S155" s="60">
        <f ca="1">AVERAGE(OFFSET($R$3,0,0,'Données projet'!$E$9+1,1))-AVERAGE(OFFSET($H$3,0,0,'Données projet'!$E$9+1,1))</f>
        <v>181.84907943028196</v>
      </c>
      <c r="T155" s="60">
        <f t="shared" si="142"/>
        <v>199.66849909069458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21.038684648415558</v>
      </c>
      <c r="AA155" s="23">
        <f>EXP(-LN(2)/25)*AA154+(1-EXP(-LN(2)/25))/(LN(2)/25)*Calculateur!V155*Calculateur!X155*VLOOKUP('Données projet'!$B$9,Paramètres!$A$1:$I$88,3,0)*0.475*44/12</f>
        <v>2.3712508132008536</v>
      </c>
      <c r="AB155" s="23">
        <f>EXP(-LN(2)/2)*AB154+(1-EXP(-LN(2)/2))/(LN(2)/2)*V155*Y155*VLOOKUP('Données projet'!$B$9,Paramètres!$A$1:$I$88,3,0)*0.475*44/12</f>
        <v>3.3783635112741993E-13</v>
      </c>
      <c r="AC155" s="24">
        <f t="shared" si="163"/>
        <v>23.409935461616747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projet'!$B$10,Paramètres!$A$1:$I$88,3,0)*VLOOKUP('Données projet'!$B$10,Paramètres!$A$1:$I$88,5,0)</f>
        <v>0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55.581964048431473</v>
      </c>
      <c r="AO155" s="60">
        <f t="shared" si="144"/>
        <v>91.067506141193803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3.9357551484878037</v>
      </c>
      <c r="AV155" s="23">
        <f>EXP(-LN(2)/25)*AV154+(1-EXP(-LN(2)/25))/(LN(2)/25)*Calculateur!AQ155*Calculateur!AS155*VLOOKUP('Données projet'!$B$10,Paramètres!$A$1:$I$88,3,0)*0.475*44/12</f>
        <v>0</v>
      </c>
      <c r="AW155" s="23">
        <f>EXP(-LN(2)/2)*AW154+(1-EXP(-LN(2)/2))/(LN(2)/2)*AQ155*AT155*VLOOKUP('Données projet'!$B$10,Paramètres!$A$1:$I$88,3,0)*0.475*44/12</f>
        <v>0</v>
      </c>
      <c r="AX155" s="23">
        <f t="shared" si="166"/>
        <v>3.9357551484878037</v>
      </c>
      <c r="AY155" s="7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4.833333333333333</v>
      </c>
      <c r="BD155" s="13">
        <f>IF('Données projet'!$A$88&gt;35,BD154+BC155-BL154,IF(A155&lt;'Données projet'!$A$88,$BA$205^A155,IF(A155='Données projet'!$A$88,'Données projet'!$B$88,BD154+BC155-BL154)))</f>
        <v>275.16666666666697</v>
      </c>
      <c r="BE155" s="14">
        <f>BD155*VLOOKUP('Données projet'!$B$11,Paramètres!$A$1:$I$88,3,0)*VLOOKUP('Données projet'!$B$11,Paramètres!$A$1:$I$88,5,0)</f>
        <v>279.01900000000035</v>
      </c>
      <c r="BF155" s="14">
        <f t="shared" si="167"/>
        <v>66.759653052626575</v>
      </c>
      <c r="BG155" s="22">
        <f t="shared" si="168"/>
        <v>602.23115406665841</v>
      </c>
      <c r="BH155" s="60">
        <f t="shared" si="116"/>
        <v>895.56448739999178</v>
      </c>
      <c r="BI155" s="60">
        <f ca="1">AVERAGE(OFFSET($BH$3,0,0,'Données projet'!$E$11+1,1))-AVERAGE(OFFSET($H$3,0,0,'Données projet'!$E$11+1,1))</f>
        <v>178.29366134936788</v>
      </c>
      <c r="BJ155" s="60">
        <f t="shared" si="146"/>
        <v>85.818195717787148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25.137710554095669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25.137710554095669</v>
      </c>
      <c r="BT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projet'!$B$12,Paramètres!$A$1:$I$88,3,0)*VLOOKUP('Données projet'!$B$12,Paramètres!$A$1:$I$88,5,0)</f>
        <v>0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104.00159056395933</v>
      </c>
      <c r="CE155" s="60">
        <f t="shared" si="148"/>
        <v>115.86489547584461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23.885694757400945</v>
      </c>
      <c r="CL155" s="23">
        <f>EXP(-LN(2)/25)*CL154+(1-EXP(-LN(2)/25))/(LN(2)/25)*Calculateur!CG155*Calculateur!CI155*VLOOKUP('Données projet'!$B$12,Paramètres!$A$1:$I$88,3,0)*0.475*44/12</f>
        <v>2.5805185711522669</v>
      </c>
      <c r="CM155" s="23">
        <f>EXP(-LN(2)/2)*CM154+(1-EXP(-LN(2)/2))/(LN(2)/2)*CG155*CJ155*VLOOKUP('Données projet'!$B$12,Paramètres!$A$1:$I$88,3,0)*0.475*44/12</f>
        <v>8.7302966680830424E-12</v>
      </c>
      <c r="CN155" s="24">
        <f t="shared" si="172"/>
        <v>26.466213328561942</v>
      </c>
      <c r="CO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projet'!$B$13,Paramètres!$A$1:$I$88,3,0)*VLOOKUP('Données projet'!$B$13,Paramètres!$A$1:$I$88,5,0)</f>
        <v>#N/A</v>
      </c>
      <c r="CV155" s="14" t="e">
        <f t="shared" si="173"/>
        <v>#N/A</v>
      </c>
      <c r="CW155" s="22" t="e">
        <f t="shared" si="174"/>
        <v>#N/A</v>
      </c>
      <c r="CX155" s="60" t="e">
        <f t="shared" si="122"/>
        <v>#N/A</v>
      </c>
      <c r="CY155" s="60" t="e">
        <f ca="1">AVERAGE(OFFSET($CX$3,0,0,'Données projet'!$E$13+1,1))-AVERAGE(OFFSET($H$3,0,0,'Données projet'!$E$13+1,1))</f>
        <v>#N/A</v>
      </c>
      <c r="CZ155" s="60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projet'!$B$13,Paramètres!$A$1:$I$88,3,0)*0.475*44/12</f>
        <v>#N/A</v>
      </c>
      <c r="DG155" s="23" t="e">
        <f>EXP(-LN(2)/25)*DG154+(1-EXP(-LN(2)/25))/(LN(2)/25)*Calculateur!DB155*Calculateur!DD155*VLOOKUP('Données projet'!$B$13,Paramètres!$A$1:$I$88,3,0)*0.475*44/12</f>
        <v>#N/A</v>
      </c>
      <c r="DH155" s="23" t="e">
        <f>EXP(-LN(2)/2)*DH154+(1-EXP(-LN(2)/2))/(LN(2)/2)*DB155*DE155*VLOOKUP('Données projet'!$B$13,Paramètres!$A$1:$I$88,3,0)*0.475*44/12</f>
        <v>#N/A</v>
      </c>
      <c r="DI155" s="24" t="e">
        <f t="shared" si="175"/>
        <v>#N/A</v>
      </c>
      <c r="DJ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0" t="e">
        <f t="shared" si="125"/>
        <v>#N/A</v>
      </c>
      <c r="DT155" s="60" t="e">
        <f ca="1">AVERAGE(OFFSET($DS$3,0,0,'Données projet'!$E$14+1,1))-AVERAGE(OFFSET($H$3,0,0,'Données projet'!$E$14+1,1))</f>
        <v>#N/A</v>
      </c>
      <c r="DU155" s="60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4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136.04760000000013</v>
      </c>
      <c r="D156" s="12">
        <f t="shared" si="140"/>
        <v>35.390062589787611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4.5474735088646412E-13</v>
      </c>
      <c r="O156" s="14">
        <f>N156*VLOOKUP('Données projet'!$B$9,Paramètres!$A$1:$I$88,3,0)*VLOOKUP('Données projet'!$B$9,Paramètres!$A$1:$I$88,5,0)</f>
        <v>2.7193891583010558E-13</v>
      </c>
      <c r="P156" s="14">
        <f t="shared" si="141"/>
        <v>3.6362267729089988E-12</v>
      </c>
      <c r="Q156" s="22">
        <f t="shared" si="162"/>
        <v>6.8067219078872727E-12</v>
      </c>
      <c r="R156" s="60">
        <f t="shared" si="109"/>
        <v>293.33333333334014</v>
      </c>
      <c r="S156" s="60">
        <f ca="1">AVERAGE(OFFSET($R$3,0,0,'Données projet'!$E$9+1,1))-AVERAGE(OFFSET($H$3,0,0,'Données projet'!$E$9+1,1))</f>
        <v>181.84907943028196</v>
      </c>
      <c r="T156" s="60">
        <f t="shared" si="142"/>
        <v>199.66849909069458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20.626128874790677</v>
      </c>
      <c r="AA156" s="23">
        <f>EXP(-LN(2)/25)*AA155+(1-EXP(-LN(2)/25))/(LN(2)/25)*Calculateur!V156*Calculateur!X156*VLOOKUP('Données projet'!$B$9,Paramètres!$A$1:$I$88,3,0)*0.475*44/12</f>
        <v>2.3064088350152154</v>
      </c>
      <c r="AB156" s="23">
        <f>EXP(-LN(2)/2)*AB155+(1-EXP(-LN(2)/2))/(LN(2)/2)*V156*Y156*VLOOKUP('Données projet'!$B$9,Paramètres!$A$1:$I$88,3,0)*0.475*44/12</f>
        <v>2.3888637481351816E-13</v>
      </c>
      <c r="AC156" s="24">
        <f t="shared" si="163"/>
        <v>22.93253770980613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projet'!$B$10,Paramètres!$A$1:$I$88,3,0)*VLOOKUP('Données projet'!$B$10,Paramètres!$A$1:$I$88,5,0)</f>
        <v>0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55.581964048431473</v>
      </c>
      <c r="AO156" s="60">
        <f t="shared" si="144"/>
        <v>91.067506141193803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3.8585773905995615</v>
      </c>
      <c r="AV156" s="23">
        <f>EXP(-LN(2)/25)*AV155+(1-EXP(-LN(2)/25))/(LN(2)/25)*Calculateur!AQ156*Calculateur!AS156*VLOOKUP('Données projet'!$B$10,Paramètres!$A$1:$I$88,3,0)*0.475*44/12</f>
        <v>0</v>
      </c>
      <c r="AW156" s="23">
        <f>EXP(-LN(2)/2)*AW155+(1-EXP(-LN(2)/2))/(LN(2)/2)*AQ156*AT156*VLOOKUP('Données projet'!$B$10,Paramètres!$A$1:$I$88,3,0)*0.475*44/12</f>
        <v>0</v>
      </c>
      <c r="AX156" s="23">
        <f t="shared" si="166"/>
        <v>3.8585773905995615</v>
      </c>
      <c r="AY156" s="7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>
        <f>VLOOKUP(A156,'Données projet'!$A$87:$I$107,2,0)</f>
        <v>280</v>
      </c>
      <c r="BB156" s="13">
        <f>VLOOKUP(A156,'Données projet'!$A$87:$I$107,9,0)</f>
        <v>4.833333333333333</v>
      </c>
      <c r="BC156" s="13">
        <f t="array" ref="BC156">INDEX(BB:BB,MIN(IF(ISNUMBER(BB156:BB352),ROW(BB156:BB352),"")))</f>
        <v>4.833333333333333</v>
      </c>
      <c r="BD156" s="13">
        <f>IF('Données projet'!$A$88&gt;35,BD155+BC156-BL155,IF(A156&lt;'Données projet'!$A$88,$BA$205^A156,IF(A156='Données projet'!$A$88,'Données projet'!$B$88,BD155+BC156-BL155)))</f>
        <v>280.00000000000028</v>
      </c>
      <c r="BE156" s="14">
        <f>BD156*VLOOKUP('Données projet'!$B$11,Paramètres!$A$1:$I$88,3,0)*VLOOKUP('Données projet'!$B$11,Paramètres!$A$1:$I$88,5,0)</f>
        <v>283.9200000000003</v>
      </c>
      <c r="BF156" s="14">
        <f t="shared" si="167"/>
        <v>67.794746071143692</v>
      </c>
      <c r="BG156" s="22">
        <f t="shared" si="168"/>
        <v>612.56984940724237</v>
      </c>
      <c r="BH156" s="60">
        <f t="shared" si="116"/>
        <v>905.90318274057563</v>
      </c>
      <c r="BI156" s="60">
        <f ca="1">AVERAGE(OFFSET($BH$3,0,0,'Données projet'!$E$11+1,1))-AVERAGE(OFFSET($H$3,0,0,'Données projet'!$E$11+1,1))</f>
        <v>178.29366134936788</v>
      </c>
      <c r="BJ156" s="60">
        <f t="shared" si="146"/>
        <v>85.818195717787148</v>
      </c>
      <c r="BK156" s="16">
        <f>IF(ISNA(VLOOKUP(A156,'Données projet'!$A$87:$I$107,3,0)),0,VLOOKUP(A156,'Données projet'!$A$87:$I$107,3,0))</f>
        <v>11</v>
      </c>
      <c r="BL156" s="16">
        <f>IF(ISNA(VLOOKUP(A156,'Données projet'!$A$87:$I$107,4,0)),0,VLOOKUP(A156,'Données projet'!$A$87:$I$107,4,0))</f>
        <v>40</v>
      </c>
      <c r="BM156" s="17">
        <f>IF(ISNA(VLOOKUP(A156,'Données projet'!$A$87:$I$107,5,0)),0%,VLOOKUP(A156,'Données projet'!$A$87:$I$107,5,0)*VLOOKUP('Données projet'!$B$11,Paramètres!$A$1:$I$88,7,0))</f>
        <v>0.25800000000000001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36.212948059834304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36.212948059834304</v>
      </c>
      <c r="BT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projet'!$B$12,Paramètres!$A$1:$I$88,3,0)*VLOOKUP('Données projet'!$B$12,Paramètres!$A$1:$I$88,5,0)</f>
        <v>0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104.00159056395933</v>
      </c>
      <c r="CE156" s="60">
        <f t="shared" si="148"/>
        <v>115.86489547584461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23.41731085204356</v>
      </c>
      <c r="CL156" s="23">
        <f>EXP(-LN(2)/25)*CL155+(1-EXP(-LN(2)/25))/(LN(2)/25)*Calculateur!CG156*Calculateur!CI156*VLOOKUP('Données projet'!$B$12,Paramètres!$A$1:$I$88,3,0)*0.475*44/12</f>
        <v>2.5099541551205342</v>
      </c>
      <c r="CM156" s="23">
        <f>EXP(-LN(2)/2)*CM155+(1-EXP(-LN(2)/2))/(LN(2)/2)*CG156*CJ156*VLOOKUP('Données projet'!$B$12,Paramètres!$A$1:$I$88,3,0)*0.475*44/12</f>
        <v>6.1732519757718408E-12</v>
      </c>
      <c r="CN156" s="24">
        <f t="shared" si="172"/>
        <v>25.92726500717027</v>
      </c>
      <c r="CO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projet'!$B$13,Paramètres!$A$1:$I$88,3,0)*VLOOKUP('Données projet'!$B$13,Paramètres!$A$1:$I$88,5,0)</f>
        <v>#N/A</v>
      </c>
      <c r="CV156" s="14" t="e">
        <f t="shared" si="173"/>
        <v>#N/A</v>
      </c>
      <c r="CW156" s="22" t="e">
        <f t="shared" si="174"/>
        <v>#N/A</v>
      </c>
      <c r="CX156" s="60" t="e">
        <f t="shared" si="122"/>
        <v>#N/A</v>
      </c>
      <c r="CY156" s="60" t="e">
        <f ca="1">AVERAGE(OFFSET($CX$3,0,0,'Données projet'!$E$13+1,1))-AVERAGE(OFFSET($H$3,0,0,'Données projet'!$E$13+1,1))</f>
        <v>#N/A</v>
      </c>
      <c r="CZ156" s="60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projet'!$B$13,Paramètres!$A$1:$I$88,3,0)*0.475*44/12</f>
        <v>#N/A</v>
      </c>
      <c r="DG156" s="23" t="e">
        <f>EXP(-LN(2)/25)*DG155+(1-EXP(-LN(2)/25))/(LN(2)/25)*Calculateur!DB156*Calculateur!DD156*VLOOKUP('Données projet'!$B$13,Paramètres!$A$1:$I$88,3,0)*0.475*44/12</f>
        <v>#N/A</v>
      </c>
      <c r="DH156" s="23" t="e">
        <f>EXP(-LN(2)/2)*DH155+(1-EXP(-LN(2)/2))/(LN(2)/2)*DB156*DE156*VLOOKUP('Données projet'!$B$13,Paramètres!$A$1:$I$88,3,0)*0.475*44/12</f>
        <v>#N/A</v>
      </c>
      <c r="DI156" s="24" t="e">
        <f t="shared" si="175"/>
        <v>#N/A</v>
      </c>
      <c r="DJ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0" t="e">
        <f t="shared" si="125"/>
        <v>#N/A</v>
      </c>
      <c r="DT156" s="60" t="e">
        <f ca="1">AVERAGE(OFFSET($DS$3,0,0,'Données projet'!$E$14+1,1))-AVERAGE(OFFSET($H$3,0,0,'Données projet'!$E$14+1,1))</f>
        <v>#N/A</v>
      </c>
      <c r="DU156" s="60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4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136.93680000000012</v>
      </c>
      <c r="D157" s="12">
        <f t="shared" si="140"/>
        <v>35.594368426539035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4.5474735088646412E-13</v>
      </c>
      <c r="O157" s="14">
        <f>N157*VLOOKUP('Données projet'!$B$9,Paramètres!$A$1:$I$88,3,0)*VLOOKUP('Données projet'!$B$9,Paramètres!$A$1:$I$88,5,0)</f>
        <v>2.7193891583010558E-13</v>
      </c>
      <c r="P157" s="14">
        <f t="shared" si="141"/>
        <v>3.6362267729089988E-12</v>
      </c>
      <c r="Q157" s="22">
        <f t="shared" si="162"/>
        <v>6.8067219078872727E-12</v>
      </c>
      <c r="R157" s="60">
        <f t="shared" si="109"/>
        <v>293.33333333334014</v>
      </c>
      <c r="S157" s="60">
        <f ca="1">AVERAGE(OFFSET($R$3,0,0,'Données projet'!$E$9+1,1))-AVERAGE(OFFSET($H$3,0,0,'Données projet'!$E$9+1,1))</f>
        <v>181.84907943028196</v>
      </c>
      <c r="T157" s="60">
        <f t="shared" si="142"/>
        <v>199.66849909069458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20.221663068252404</v>
      </c>
      <c r="AA157" s="23">
        <f>EXP(-LN(2)/25)*AA156+(1-EXP(-LN(2)/25))/(LN(2)/25)*Calculateur!V157*Calculateur!X157*VLOOKUP('Données projet'!$B$9,Paramètres!$A$1:$I$88,3,0)*0.475*44/12</f>
        <v>2.243339964132955</v>
      </c>
      <c r="AB157" s="23">
        <f>EXP(-LN(2)/2)*AB156+(1-EXP(-LN(2)/2))/(LN(2)/2)*V157*Y157*VLOOKUP('Données projet'!$B$9,Paramètres!$A$1:$I$88,3,0)*0.475*44/12</f>
        <v>1.6891817556370996E-13</v>
      </c>
      <c r="AC157" s="24">
        <f t="shared" si="163"/>
        <v>22.465003032385528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projet'!$B$10,Paramètres!$A$1:$I$88,3,0)*VLOOKUP('Données projet'!$B$10,Paramètres!$A$1:$I$88,5,0)</f>
        <v>0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55.581964048431473</v>
      </c>
      <c r="AO157" s="60">
        <f t="shared" si="144"/>
        <v>91.067506141193803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3.7829130414697234</v>
      </c>
      <c r="AV157" s="23">
        <f>EXP(-LN(2)/25)*AV156+(1-EXP(-LN(2)/25))/(LN(2)/25)*Calculateur!AQ157*Calculateur!AS157*VLOOKUP('Données projet'!$B$10,Paramètres!$A$1:$I$88,3,0)*0.475*44/12</f>
        <v>0</v>
      </c>
      <c r="AW157" s="23">
        <f>EXP(-LN(2)/2)*AW156+(1-EXP(-LN(2)/2))/(LN(2)/2)*AQ157*AT157*VLOOKUP('Données projet'!$B$10,Paramètres!$A$1:$I$88,3,0)*0.475*44/12</f>
        <v>0</v>
      </c>
      <c r="AX157" s="23">
        <f t="shared" si="166"/>
        <v>3.7829130414697234</v>
      </c>
      <c r="AY157" s="7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4.916666666666667</v>
      </c>
      <c r="BD157" s="13">
        <f>IF('Données projet'!$A$88&gt;35,BD156+BC157-BL156,IF(A157&lt;'Données projet'!$A$88,$BA$205^A157,IF(A157='Données projet'!$A$88,'Données projet'!$B$88,BD156+BC157-BL156)))</f>
        <v>244.91666666666697</v>
      </c>
      <c r="BE157" s="14">
        <f>BD157*VLOOKUP('Données projet'!$B$11,Paramètres!$A$1:$I$88,3,0)*VLOOKUP('Données projet'!$B$11,Paramètres!$A$1:$I$88,5,0)</f>
        <v>248.3455000000003</v>
      </c>
      <c r="BF157" s="14">
        <f t="shared" si="167"/>
        <v>60.231517781802516</v>
      </c>
      <c r="BG157" s="22">
        <f t="shared" si="168"/>
        <v>537.43830596997316</v>
      </c>
      <c r="BH157" s="60">
        <f t="shared" si="116"/>
        <v>830.77163930330653</v>
      </c>
      <c r="BI157" s="60">
        <f ca="1">AVERAGE(OFFSET($BH$3,0,0,'Données projet'!$E$11+1,1))-AVERAGE(OFFSET($H$3,0,0,'Données projet'!$E$11+1,1))</f>
        <v>178.29366134936788</v>
      </c>
      <c r="BJ157" s="60">
        <f t="shared" si="146"/>
        <v>85.818195717787148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35.502834236098288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35.502834236098288</v>
      </c>
      <c r="BT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projet'!$B$12,Paramètres!$A$1:$I$88,3,0)*VLOOKUP('Données projet'!$B$12,Paramètres!$A$1:$I$88,5,0)</f>
        <v>0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104.00159056395933</v>
      </c>
      <c r="CE157" s="60">
        <f t="shared" si="148"/>
        <v>115.86489547584461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22.958111669384262</v>
      </c>
      <c r="CL157" s="23">
        <f>EXP(-LN(2)/25)*CL156+(1-EXP(-LN(2)/25))/(LN(2)/25)*Calculateur!CG157*Calculateur!CI157*VLOOKUP('Données projet'!$B$12,Paramètres!$A$1:$I$88,3,0)*0.475*44/12</f>
        <v>2.4413193267560107</v>
      </c>
      <c r="CM157" s="23">
        <f>EXP(-LN(2)/2)*CM156+(1-EXP(-LN(2)/2))/(LN(2)/2)*CG157*CJ157*VLOOKUP('Données projet'!$B$12,Paramètres!$A$1:$I$88,3,0)*0.475*44/12</f>
        <v>4.3651483340415212E-12</v>
      </c>
      <c r="CN157" s="24">
        <f t="shared" si="172"/>
        <v>25.399430996144641</v>
      </c>
      <c r="CO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projet'!$B$13,Paramètres!$A$1:$I$88,3,0)*VLOOKUP('Données projet'!$B$13,Paramètres!$A$1:$I$88,5,0)</f>
        <v>#N/A</v>
      </c>
      <c r="CV157" s="14" t="e">
        <f t="shared" si="173"/>
        <v>#N/A</v>
      </c>
      <c r="CW157" s="22" t="e">
        <f t="shared" si="174"/>
        <v>#N/A</v>
      </c>
      <c r="CX157" s="60" t="e">
        <f t="shared" si="122"/>
        <v>#N/A</v>
      </c>
      <c r="CY157" s="60" t="e">
        <f ca="1">AVERAGE(OFFSET($CX$3,0,0,'Données projet'!$E$13+1,1))-AVERAGE(OFFSET($H$3,0,0,'Données projet'!$E$13+1,1))</f>
        <v>#N/A</v>
      </c>
      <c r="CZ157" s="60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projet'!$B$13,Paramètres!$A$1:$I$88,3,0)*0.475*44/12</f>
        <v>#N/A</v>
      </c>
      <c r="DG157" s="23" t="e">
        <f>EXP(-LN(2)/25)*DG156+(1-EXP(-LN(2)/25))/(LN(2)/25)*Calculateur!DB157*Calculateur!DD157*VLOOKUP('Données projet'!$B$13,Paramètres!$A$1:$I$88,3,0)*0.475*44/12</f>
        <v>#N/A</v>
      </c>
      <c r="DH157" s="23" t="e">
        <f>EXP(-LN(2)/2)*DH156+(1-EXP(-LN(2)/2))/(LN(2)/2)*DB157*DE157*VLOOKUP('Données projet'!$B$13,Paramètres!$A$1:$I$88,3,0)*0.475*44/12</f>
        <v>#N/A</v>
      </c>
      <c r="DI157" s="24" t="e">
        <f t="shared" si="175"/>
        <v>#N/A</v>
      </c>
      <c r="DJ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0" t="e">
        <f t="shared" si="125"/>
        <v>#N/A</v>
      </c>
      <c r="DT157" s="60" t="e">
        <f ca="1">AVERAGE(OFFSET($DS$3,0,0,'Données projet'!$E$14+1,1))-AVERAGE(OFFSET($H$3,0,0,'Données projet'!$E$14+1,1))</f>
        <v>#N/A</v>
      </c>
      <c r="DU157" s="60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4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137.82600000000011</v>
      </c>
      <c r="D158" s="12">
        <f t="shared" si="140"/>
        <v>35.798519897115533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4.5474735088646412E-13</v>
      </c>
      <c r="O158" s="14">
        <f>N158*VLOOKUP('Données projet'!$B$9,Paramètres!$A$1:$I$88,3,0)*VLOOKUP('Données projet'!$B$9,Paramètres!$A$1:$I$88,5,0)</f>
        <v>2.7193891583010558E-13</v>
      </c>
      <c r="P158" s="14">
        <f t="shared" si="141"/>
        <v>3.6362267729089988E-12</v>
      </c>
      <c r="Q158" s="22">
        <f t="shared" si="162"/>
        <v>6.8067219078872727E-12</v>
      </c>
      <c r="R158" s="60">
        <f t="shared" si="109"/>
        <v>293.33333333334014</v>
      </c>
      <c r="S158" s="60">
        <f ca="1">AVERAGE(OFFSET($R$3,0,0,'Données projet'!$E$9+1,1))-AVERAGE(OFFSET($H$3,0,0,'Données projet'!$E$9+1,1))</f>
        <v>181.84907943028196</v>
      </c>
      <c r="T158" s="60">
        <f t="shared" si="142"/>
        <v>199.66849909069458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19.825128589480563</v>
      </c>
      <c r="AA158" s="23">
        <f>EXP(-LN(2)/25)*AA157+(1-EXP(-LN(2)/25))/(LN(2)/25)*Calculateur!V158*Calculateur!X158*VLOOKUP('Données projet'!$B$9,Paramètres!$A$1:$I$88,3,0)*0.475*44/12</f>
        <v>2.181995714841618</v>
      </c>
      <c r="AB158" s="23">
        <f>EXP(-LN(2)/2)*AB157+(1-EXP(-LN(2)/2))/(LN(2)/2)*V158*Y158*VLOOKUP('Données projet'!$B$9,Paramètres!$A$1:$I$88,3,0)*0.475*44/12</f>
        <v>1.1944318740675908E-13</v>
      </c>
      <c r="AC158" s="24">
        <f t="shared" si="163"/>
        <v>22.007124304322303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projet'!$B$10,Paramètres!$A$1:$I$88,3,0)*VLOOKUP('Données projet'!$B$10,Paramètres!$A$1:$I$88,5,0)</f>
        <v>0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55.581964048431473</v>
      </c>
      <c r="AO158" s="60">
        <f t="shared" si="144"/>
        <v>91.067506141193803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3.7087324240756256</v>
      </c>
      <c r="AV158" s="23">
        <f>EXP(-LN(2)/25)*AV157+(1-EXP(-LN(2)/25))/(LN(2)/25)*Calculateur!AQ158*Calculateur!AS158*VLOOKUP('Données projet'!$B$10,Paramètres!$A$1:$I$88,3,0)*0.475*44/12</f>
        <v>0</v>
      </c>
      <c r="AW158" s="23">
        <f>EXP(-LN(2)/2)*AW157+(1-EXP(-LN(2)/2))/(LN(2)/2)*AQ158*AT158*VLOOKUP('Données projet'!$B$10,Paramètres!$A$1:$I$88,3,0)*0.475*44/12</f>
        <v>0</v>
      </c>
      <c r="AX158" s="23">
        <f t="shared" si="166"/>
        <v>3.7087324240756256</v>
      </c>
      <c r="AY158" s="7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4.916666666666667</v>
      </c>
      <c r="BD158" s="13">
        <f>IF('Données projet'!$A$88&gt;35,BD157+BC158-BL157,IF(A158&lt;'Données projet'!$A$88,$BA$205^A158,IF(A158='Données projet'!$A$88,'Données projet'!$B$88,BD157+BC158-BL157)))</f>
        <v>249.83333333333363</v>
      </c>
      <c r="BE158" s="14">
        <f>BD158*VLOOKUP('Données projet'!$B$11,Paramètres!$A$1:$I$88,3,0)*VLOOKUP('Données projet'!$B$11,Paramètres!$A$1:$I$88,5,0)</f>
        <v>253.3310000000003</v>
      </c>
      <c r="BF158" s="14">
        <f t="shared" si="167"/>
        <v>61.298673971436834</v>
      </c>
      <c r="BG158" s="22">
        <f t="shared" si="168"/>
        <v>547.98001550025299</v>
      </c>
      <c r="BH158" s="60">
        <f t="shared" si="116"/>
        <v>841.31334883358636</v>
      </c>
      <c r="BI158" s="60">
        <f ca="1">AVERAGE(OFFSET($BH$3,0,0,'Données projet'!$E$11+1,1))-AVERAGE(OFFSET($H$3,0,0,'Données projet'!$E$11+1,1))</f>
        <v>178.29366134936788</v>
      </c>
      <c r="BJ158" s="60">
        <f t="shared" si="146"/>
        <v>85.818195717787148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34.806645311319073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34.806645311319073</v>
      </c>
      <c r="BT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projet'!$B$12,Paramètres!$A$1:$I$88,3,0)*VLOOKUP('Données projet'!$B$12,Paramètres!$A$1:$I$88,5,0)</f>
        <v>0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104.00159056395933</v>
      </c>
      <c r="CE158" s="60">
        <f t="shared" si="148"/>
        <v>115.86489547584461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22.507917102613067</v>
      </c>
      <c r="CL158" s="23">
        <f>EXP(-LN(2)/25)*CL157+(1-EXP(-LN(2)/25))/(LN(2)/25)*Calculateur!CG158*Calculateur!CI158*VLOOKUP('Données projet'!$B$12,Paramètres!$A$1:$I$88,3,0)*0.475*44/12</f>
        <v>2.3745613213824641</v>
      </c>
      <c r="CM158" s="23">
        <f>EXP(-LN(2)/2)*CM157+(1-EXP(-LN(2)/2))/(LN(2)/2)*CG158*CJ158*VLOOKUP('Données projet'!$B$12,Paramètres!$A$1:$I$88,3,0)*0.475*44/12</f>
        <v>3.0866259878859204E-12</v>
      </c>
      <c r="CN158" s="24">
        <f t="shared" si="172"/>
        <v>24.88247842399862</v>
      </c>
      <c r="CO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projet'!$B$13,Paramètres!$A$1:$I$88,3,0)*VLOOKUP('Données projet'!$B$13,Paramètres!$A$1:$I$88,5,0)</f>
        <v>#N/A</v>
      </c>
      <c r="CV158" s="14" t="e">
        <f t="shared" si="173"/>
        <v>#N/A</v>
      </c>
      <c r="CW158" s="22" t="e">
        <f t="shared" si="174"/>
        <v>#N/A</v>
      </c>
      <c r="CX158" s="60" t="e">
        <f t="shared" si="122"/>
        <v>#N/A</v>
      </c>
      <c r="CY158" s="60" t="e">
        <f ca="1">AVERAGE(OFFSET($CX$3,0,0,'Données projet'!$E$13+1,1))-AVERAGE(OFFSET($H$3,0,0,'Données projet'!$E$13+1,1))</f>
        <v>#N/A</v>
      </c>
      <c r="CZ158" s="60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projet'!$B$13,Paramètres!$A$1:$I$88,3,0)*0.475*44/12</f>
        <v>#N/A</v>
      </c>
      <c r="DG158" s="23" t="e">
        <f>EXP(-LN(2)/25)*DG157+(1-EXP(-LN(2)/25))/(LN(2)/25)*Calculateur!DB158*Calculateur!DD158*VLOOKUP('Données projet'!$B$13,Paramètres!$A$1:$I$88,3,0)*0.475*44/12</f>
        <v>#N/A</v>
      </c>
      <c r="DH158" s="23" t="e">
        <f>EXP(-LN(2)/2)*DH157+(1-EXP(-LN(2)/2))/(LN(2)/2)*DB158*DE158*VLOOKUP('Données projet'!$B$13,Paramètres!$A$1:$I$88,3,0)*0.475*44/12</f>
        <v>#N/A</v>
      </c>
      <c r="DI158" s="24" t="e">
        <f t="shared" si="175"/>
        <v>#N/A</v>
      </c>
      <c r="DJ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0" t="e">
        <f t="shared" si="125"/>
        <v>#N/A</v>
      </c>
      <c r="DT158" s="60" t="e">
        <f ca="1">AVERAGE(OFFSET($DS$3,0,0,'Données projet'!$E$14+1,1))-AVERAGE(OFFSET($H$3,0,0,'Données projet'!$E$14+1,1))</f>
        <v>#N/A</v>
      </c>
      <c r="DU158" s="60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4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138.7152000000001</v>
      </c>
      <c r="D159" s="12">
        <f t="shared" si="140"/>
        <v>36.002518112950014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4.5474735088646412E-13</v>
      </c>
      <c r="O159" s="14">
        <f>N159*VLOOKUP('Données projet'!$B$9,Paramètres!$A$1:$I$88,3,0)*VLOOKUP('Données projet'!$B$9,Paramètres!$A$1:$I$88,5,0)</f>
        <v>2.7193891583010558E-13</v>
      </c>
      <c r="P159" s="14">
        <f t="shared" si="141"/>
        <v>3.6362267729089988E-12</v>
      </c>
      <c r="Q159" s="22">
        <f t="shared" si="162"/>
        <v>6.8067219078872727E-12</v>
      </c>
      <c r="R159" s="60">
        <f t="shared" si="109"/>
        <v>293.33333333334014</v>
      </c>
      <c r="S159" s="60">
        <f ca="1">AVERAGE(OFFSET($R$3,0,0,'Données projet'!$E$9+1,1))-AVERAGE(OFFSET($H$3,0,0,'Données projet'!$E$9+1,1))</f>
        <v>181.84907943028196</v>
      </c>
      <c r="T159" s="60">
        <f t="shared" si="142"/>
        <v>199.66849909069458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19.436369909975291</v>
      </c>
      <c r="AA159" s="23">
        <f>EXP(-LN(2)/25)*AA158+(1-EXP(-LN(2)/25))/(LN(2)/25)*Calculateur!V159*Calculateur!X159*VLOOKUP('Données projet'!$B$9,Paramètres!$A$1:$I$88,3,0)*0.475*44/12</f>
        <v>2.1223289272731063</v>
      </c>
      <c r="AB159" s="23">
        <f>EXP(-LN(2)/2)*AB158+(1-EXP(-LN(2)/2))/(LN(2)/2)*V159*Y159*VLOOKUP('Données projet'!$B$9,Paramètres!$A$1:$I$88,3,0)*0.475*44/12</f>
        <v>8.4459087781854982E-14</v>
      </c>
      <c r="AC159" s="24">
        <f t="shared" si="163"/>
        <v>21.558698837248482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projet'!$B$10,Paramètres!$A$1:$I$88,3,0)*VLOOKUP('Données projet'!$B$10,Paramètres!$A$1:$I$88,5,0)</f>
        <v>0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55.581964048431473</v>
      </c>
      <c r="AO159" s="60">
        <f t="shared" si="144"/>
        <v>91.067506141193803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3.6360064433429171</v>
      </c>
      <c r="AV159" s="23">
        <f>EXP(-LN(2)/25)*AV158+(1-EXP(-LN(2)/25))/(LN(2)/25)*Calculateur!AQ159*Calculateur!AS159*VLOOKUP('Données projet'!$B$10,Paramètres!$A$1:$I$88,3,0)*0.475*44/12</f>
        <v>0</v>
      </c>
      <c r="AW159" s="23">
        <f>EXP(-LN(2)/2)*AW158+(1-EXP(-LN(2)/2))/(LN(2)/2)*AQ159*AT159*VLOOKUP('Données projet'!$B$10,Paramètres!$A$1:$I$88,3,0)*0.475*44/12</f>
        <v>0</v>
      </c>
      <c r="AX159" s="23">
        <f t="shared" si="166"/>
        <v>3.6360064433429171</v>
      </c>
      <c r="AY159" s="7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4.916666666666667</v>
      </c>
      <c r="BD159" s="13">
        <f>IF('Données projet'!$A$88&gt;35,BD158+BC159-BL158,IF(A159&lt;'Données projet'!$A$88,$BA$205^A159,IF(A159='Données projet'!$A$88,'Données projet'!$B$88,BD158+BC159-BL158)))</f>
        <v>254.75000000000028</v>
      </c>
      <c r="BE159" s="14">
        <f>BD159*VLOOKUP('Données projet'!$B$11,Paramètres!$A$1:$I$88,3,0)*VLOOKUP('Données projet'!$B$11,Paramètres!$A$1:$I$88,5,0)</f>
        <v>258.3165000000003</v>
      </c>
      <c r="BF159" s="14">
        <f t="shared" si="167"/>
        <v>62.36338822856748</v>
      </c>
      <c r="BG159" s="22">
        <f t="shared" si="168"/>
        <v>558.51747199808881</v>
      </c>
      <c r="BH159" s="60">
        <f t="shared" si="116"/>
        <v>851.85080533142218</v>
      </c>
      <c r="BI159" s="60">
        <f ca="1">AVERAGE(OFFSET($BH$3,0,0,'Données projet'!$E$11+1,1))-AVERAGE(OFFSET($H$3,0,0,'Données projet'!$E$11+1,1))</f>
        <v>178.29366134936788</v>
      </c>
      <c r="BJ159" s="60">
        <f t="shared" si="146"/>
        <v>85.818195717787148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34.124108226721461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34.124108226721461</v>
      </c>
      <c r="BT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projet'!$B$12,Paramètres!$A$1:$I$88,3,0)*VLOOKUP('Données projet'!$B$12,Paramètres!$A$1:$I$88,5,0)</f>
        <v>0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104.00159056395933</v>
      </c>
      <c r="CE159" s="60">
        <f t="shared" si="148"/>
        <v>115.86489547584461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22.066550576704685</v>
      </c>
      <c r="CL159" s="23">
        <f>EXP(-LN(2)/25)*CL158+(1-EXP(-LN(2)/25))/(LN(2)/25)*Calculateur!CG159*Calculateur!CI159*VLOOKUP('Données projet'!$B$12,Paramètres!$A$1:$I$88,3,0)*0.475*44/12</f>
        <v>2.3096288171765078</v>
      </c>
      <c r="CM159" s="23">
        <f>EXP(-LN(2)/2)*CM158+(1-EXP(-LN(2)/2))/(LN(2)/2)*CG159*CJ159*VLOOKUP('Données projet'!$B$12,Paramètres!$A$1:$I$88,3,0)*0.475*44/12</f>
        <v>2.1825741670207606E-12</v>
      </c>
      <c r="CN159" s="24">
        <f t="shared" si="172"/>
        <v>24.376179393883376</v>
      </c>
      <c r="CO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projet'!$B$13,Paramètres!$A$1:$I$88,3,0)*VLOOKUP('Données projet'!$B$13,Paramètres!$A$1:$I$88,5,0)</f>
        <v>#N/A</v>
      </c>
      <c r="CV159" s="14" t="e">
        <f t="shared" si="173"/>
        <v>#N/A</v>
      </c>
      <c r="CW159" s="22" t="e">
        <f t="shared" si="174"/>
        <v>#N/A</v>
      </c>
      <c r="CX159" s="60" t="e">
        <f t="shared" si="122"/>
        <v>#N/A</v>
      </c>
      <c r="CY159" s="60" t="e">
        <f ca="1">AVERAGE(OFFSET($CX$3,0,0,'Données projet'!$E$13+1,1))-AVERAGE(OFFSET($H$3,0,0,'Données projet'!$E$13+1,1))</f>
        <v>#N/A</v>
      </c>
      <c r="CZ159" s="60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projet'!$B$13,Paramètres!$A$1:$I$88,3,0)*0.475*44/12</f>
        <v>#N/A</v>
      </c>
      <c r="DG159" s="23" t="e">
        <f>EXP(-LN(2)/25)*DG158+(1-EXP(-LN(2)/25))/(LN(2)/25)*Calculateur!DB159*Calculateur!DD159*VLOOKUP('Données projet'!$B$13,Paramètres!$A$1:$I$88,3,0)*0.475*44/12</f>
        <v>#N/A</v>
      </c>
      <c r="DH159" s="23" t="e">
        <f>EXP(-LN(2)/2)*DH158+(1-EXP(-LN(2)/2))/(LN(2)/2)*DB159*DE159*VLOOKUP('Données projet'!$B$13,Paramètres!$A$1:$I$88,3,0)*0.475*44/12</f>
        <v>#N/A</v>
      </c>
      <c r="DI159" s="24" t="e">
        <f t="shared" si="175"/>
        <v>#N/A</v>
      </c>
      <c r="DJ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0" t="e">
        <f t="shared" si="125"/>
        <v>#N/A</v>
      </c>
      <c r="DT159" s="60" t="e">
        <f ca="1">AVERAGE(OFFSET($DS$3,0,0,'Données projet'!$E$14+1,1))-AVERAGE(OFFSET($H$3,0,0,'Données projet'!$E$14+1,1))</f>
        <v>#N/A</v>
      </c>
      <c r="DU159" s="60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4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139.60440000000008</v>
      </c>
      <c r="D160" s="12">
        <f t="shared" si="140"/>
        <v>36.206364170402217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4.5474735088646412E-13</v>
      </c>
      <c r="O160" s="14">
        <f>N160*VLOOKUP('Données projet'!$B$9,Paramètres!$A$1:$I$88,3,0)*VLOOKUP('Données projet'!$B$9,Paramètres!$A$1:$I$88,5,0)</f>
        <v>2.7193891583010558E-13</v>
      </c>
      <c r="P160" s="14">
        <f t="shared" si="141"/>
        <v>3.6362267729089988E-12</v>
      </c>
      <c r="Q160" s="22">
        <f t="shared" si="162"/>
        <v>6.8067219078872727E-12</v>
      </c>
      <c r="R160" s="60">
        <f t="shared" si="109"/>
        <v>293.33333333334014</v>
      </c>
      <c r="S160" s="60">
        <f ca="1">AVERAGE(OFFSET($R$3,0,0,'Données projet'!$E$9+1,1))-AVERAGE(OFFSET($H$3,0,0,'Données projet'!$E$9+1,1))</f>
        <v>181.84907943028196</v>
      </c>
      <c r="T160" s="60">
        <f t="shared" si="142"/>
        <v>199.66849909069458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19.055234551055733</v>
      </c>
      <c r="AA160" s="23">
        <f>EXP(-LN(2)/25)*AA159+(1-EXP(-LN(2)/25))/(LN(2)/25)*Calculateur!V160*Calculateur!X160*VLOOKUP('Données projet'!$B$9,Paramètres!$A$1:$I$88,3,0)*0.475*44/12</f>
        <v>2.0642937311483958</v>
      </c>
      <c r="AB160" s="23">
        <f>EXP(-LN(2)/2)*AB159+(1-EXP(-LN(2)/2))/(LN(2)/2)*V160*Y160*VLOOKUP('Données projet'!$B$9,Paramètres!$A$1:$I$88,3,0)*0.475*44/12</f>
        <v>5.972159370337954E-14</v>
      </c>
      <c r="AC160" s="24">
        <f t="shared" si="163"/>
        <v>21.11952828220419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projet'!$B$10,Paramètres!$A$1:$I$88,3,0)*VLOOKUP('Données projet'!$B$10,Paramètres!$A$1:$I$88,5,0)</f>
        <v>0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55.581964048431473</v>
      </c>
      <c r="AO160" s="60">
        <f t="shared" si="144"/>
        <v>91.067506141193803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3.5647065747339086</v>
      </c>
      <c r="AV160" s="23">
        <f>EXP(-LN(2)/25)*AV159+(1-EXP(-LN(2)/25))/(LN(2)/25)*Calculateur!AQ160*Calculateur!AS160*VLOOKUP('Données projet'!$B$10,Paramètres!$A$1:$I$88,3,0)*0.475*44/12</f>
        <v>0</v>
      </c>
      <c r="AW160" s="23">
        <f>EXP(-LN(2)/2)*AW159+(1-EXP(-LN(2)/2))/(LN(2)/2)*AQ160*AT160*VLOOKUP('Données projet'!$B$10,Paramètres!$A$1:$I$88,3,0)*0.475*44/12</f>
        <v>0</v>
      </c>
      <c r="AX160" s="23">
        <f t="shared" si="166"/>
        <v>3.5647065747339086</v>
      </c>
      <c r="AY160" s="7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4.916666666666667</v>
      </c>
      <c r="BD160" s="13">
        <f>IF('Données projet'!$A$88&gt;35,BD159+BC160-BL159,IF(A160&lt;'Données projet'!$A$88,$BA$205^A160,IF(A160='Données projet'!$A$88,'Données projet'!$B$88,BD159+BC160-BL159)))</f>
        <v>259.66666666666697</v>
      </c>
      <c r="BE160" s="14">
        <f>BD160*VLOOKUP('Données projet'!$B$11,Paramètres!$A$1:$I$88,3,0)*VLOOKUP('Données projet'!$B$11,Paramètres!$A$1:$I$88,5,0)</f>
        <v>263.30200000000031</v>
      </c>
      <c r="BF160" s="14">
        <f t="shared" si="167"/>
        <v>63.425713115780397</v>
      </c>
      <c r="BG160" s="22">
        <f t="shared" si="168"/>
        <v>569.05076700998472</v>
      </c>
      <c r="BH160" s="60">
        <f t="shared" si="116"/>
        <v>862.3841003433181</v>
      </c>
      <c r="BI160" s="60">
        <f ca="1">AVERAGE(OFFSET($BH$3,0,0,'Données projet'!$E$11+1,1))-AVERAGE(OFFSET($H$3,0,0,'Données projet'!$E$11+1,1))</f>
        <v>178.29366134936788</v>
      </c>
      <c r="BJ160" s="60">
        <f t="shared" si="146"/>
        <v>85.818195717787148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33.454955278046292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33.454955278046292</v>
      </c>
      <c r="BT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projet'!$B$12,Paramètres!$A$1:$I$88,3,0)*VLOOKUP('Données projet'!$B$12,Paramètres!$A$1:$I$88,5,0)</f>
        <v>0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104.00159056395933</v>
      </c>
      <c r="CE160" s="60">
        <f t="shared" si="148"/>
        <v>115.86489547584461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21.633838979162366</v>
      </c>
      <c r="CL160" s="23">
        <f>EXP(-LN(2)/25)*CL159+(1-EXP(-LN(2)/25))/(LN(2)/25)*Calculateur!CG160*Calculateur!CI160*VLOOKUP('Données projet'!$B$12,Paramètres!$A$1:$I$88,3,0)*0.475*44/12</f>
        <v>2.2464718957127152</v>
      </c>
      <c r="CM160" s="23">
        <f>EXP(-LN(2)/2)*CM159+(1-EXP(-LN(2)/2))/(LN(2)/2)*CG160*CJ160*VLOOKUP('Données projet'!$B$12,Paramètres!$A$1:$I$88,3,0)*0.475*44/12</f>
        <v>1.5433129939429602E-12</v>
      </c>
      <c r="CN160" s="24">
        <f t="shared" si="172"/>
        <v>23.880310874876624</v>
      </c>
      <c r="CO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projet'!$B$13,Paramètres!$A$1:$I$88,3,0)*VLOOKUP('Données projet'!$B$13,Paramètres!$A$1:$I$88,5,0)</f>
        <v>#N/A</v>
      </c>
      <c r="CV160" s="14" t="e">
        <f t="shared" si="173"/>
        <v>#N/A</v>
      </c>
      <c r="CW160" s="22" t="e">
        <f t="shared" si="174"/>
        <v>#N/A</v>
      </c>
      <c r="CX160" s="60" t="e">
        <f t="shared" si="122"/>
        <v>#N/A</v>
      </c>
      <c r="CY160" s="60" t="e">
        <f ca="1">AVERAGE(OFFSET($CX$3,0,0,'Données projet'!$E$13+1,1))-AVERAGE(OFFSET($H$3,0,0,'Données projet'!$E$13+1,1))</f>
        <v>#N/A</v>
      </c>
      <c r="CZ160" s="60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projet'!$B$13,Paramètres!$A$1:$I$88,3,0)*0.475*44/12</f>
        <v>#N/A</v>
      </c>
      <c r="DG160" s="23" t="e">
        <f>EXP(-LN(2)/25)*DG159+(1-EXP(-LN(2)/25))/(LN(2)/25)*Calculateur!DB160*Calculateur!DD160*VLOOKUP('Données projet'!$B$13,Paramètres!$A$1:$I$88,3,0)*0.475*44/12</f>
        <v>#N/A</v>
      </c>
      <c r="DH160" s="23" t="e">
        <f>EXP(-LN(2)/2)*DH159+(1-EXP(-LN(2)/2))/(LN(2)/2)*DB160*DE160*VLOOKUP('Données projet'!$B$13,Paramètres!$A$1:$I$88,3,0)*0.475*44/12</f>
        <v>#N/A</v>
      </c>
      <c r="DI160" s="24" t="e">
        <f t="shared" si="175"/>
        <v>#N/A</v>
      </c>
      <c r="DJ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0" t="e">
        <f t="shared" si="125"/>
        <v>#N/A</v>
      </c>
      <c r="DT160" s="60" t="e">
        <f ca="1">AVERAGE(OFFSET($DS$3,0,0,'Données projet'!$E$14+1,1))-AVERAGE(OFFSET($H$3,0,0,'Données projet'!$E$14+1,1))</f>
        <v>#N/A</v>
      </c>
      <c r="DU160" s="60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4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140.49360000000007</v>
      </c>
      <c r="D161" s="12">
        <f t="shared" si="140"/>
        <v>36.410059151057943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4.5474735088646412E-13</v>
      </c>
      <c r="O161" s="14">
        <f>N161*VLOOKUP('Données projet'!$B$9,Paramètres!$A$1:$I$88,3,0)*VLOOKUP('Données projet'!$B$9,Paramètres!$A$1:$I$88,5,0)</f>
        <v>2.7193891583010558E-13</v>
      </c>
      <c r="P161" s="14">
        <f t="shared" si="141"/>
        <v>3.6362267729089988E-12</v>
      </c>
      <c r="Q161" s="22">
        <f t="shared" si="162"/>
        <v>6.8067219078872727E-12</v>
      </c>
      <c r="R161" s="60">
        <f t="shared" si="109"/>
        <v>293.33333333334014</v>
      </c>
      <c r="S161" s="60">
        <f ca="1">AVERAGE(OFFSET($R$3,0,0,'Données projet'!$E$9+1,1))-AVERAGE(OFFSET($H$3,0,0,'Données projet'!$E$9+1,1))</f>
        <v>181.84907943028196</v>
      </c>
      <c r="T161" s="60">
        <f t="shared" si="142"/>
        <v>199.66849909069458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18.681573024054977</v>
      </c>
      <c r="AA161" s="23">
        <f>EXP(-LN(2)/25)*AA160+(1-EXP(-LN(2)/25))/(LN(2)/25)*Calculateur!V161*Calculateur!X161*VLOOKUP('Données projet'!$B$9,Paramètres!$A$1:$I$88,3,0)*0.475*44/12</f>
        <v>2.0078455105136537</v>
      </c>
      <c r="AB161" s="23">
        <f>EXP(-LN(2)/2)*AB160+(1-EXP(-LN(2)/2))/(LN(2)/2)*V161*Y161*VLOOKUP('Données projet'!$B$9,Paramètres!$A$1:$I$88,3,0)*0.475*44/12</f>
        <v>4.2229543890927491E-14</v>
      </c>
      <c r="AC161" s="24">
        <f t="shared" si="163"/>
        <v>20.689418534568674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projet'!$B$10,Paramètres!$A$1:$I$88,3,0)*VLOOKUP('Données projet'!$B$10,Paramètres!$A$1:$I$88,5,0)</f>
        <v>0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55.581964048431473</v>
      </c>
      <c r="AO161" s="60">
        <f t="shared" si="144"/>
        <v>91.067506141193803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3.4948048530596973</v>
      </c>
      <c r="AV161" s="23">
        <f>EXP(-LN(2)/25)*AV160+(1-EXP(-LN(2)/25))/(LN(2)/25)*Calculateur!AQ161*Calculateur!AS161*VLOOKUP('Données projet'!$B$10,Paramètres!$A$1:$I$88,3,0)*0.475*44/12</f>
        <v>0</v>
      </c>
      <c r="AW161" s="23">
        <f>EXP(-LN(2)/2)*AW160+(1-EXP(-LN(2)/2))/(LN(2)/2)*AQ161*AT161*VLOOKUP('Données projet'!$B$10,Paramètres!$A$1:$I$88,3,0)*0.475*44/12</f>
        <v>0</v>
      </c>
      <c r="AX161" s="23">
        <f t="shared" si="166"/>
        <v>3.4948048530596973</v>
      </c>
      <c r="AY161" s="7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4.916666666666667</v>
      </c>
      <c r="BD161" s="13">
        <f>IF('Données projet'!$A$88&gt;35,BD160+BC161-BL160,IF(A161&lt;'Données projet'!$A$88,$BA$205^A161,IF(A161='Données projet'!$A$88,'Données projet'!$B$88,BD160+BC161-BL160)))</f>
        <v>264.58333333333366</v>
      </c>
      <c r="BE161" s="14">
        <f>BD161*VLOOKUP('Données projet'!$B$11,Paramètres!$A$1:$I$88,3,0)*VLOOKUP('Données projet'!$B$11,Paramètres!$A$1:$I$88,5,0)</f>
        <v>268.28750000000036</v>
      </c>
      <c r="BF161" s="14">
        <f t="shared" si="167"/>
        <v>64.485699091261665</v>
      </c>
      <c r="BG161" s="22">
        <f t="shared" si="168"/>
        <v>579.57998841728124</v>
      </c>
      <c r="BH161" s="60">
        <f t="shared" si="116"/>
        <v>872.91332175061461</v>
      </c>
      <c r="BI161" s="60">
        <f ca="1">AVERAGE(OFFSET($BH$3,0,0,'Données projet'!$E$11+1,1))-AVERAGE(OFFSET($H$3,0,0,'Données projet'!$E$11+1,1))</f>
        <v>178.29366134936788</v>
      </c>
      <c r="BJ161" s="60">
        <f t="shared" si="146"/>
        <v>85.818195717787148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32.798924010551644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32.798924010551644</v>
      </c>
      <c r="BT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projet'!$B$12,Paramètres!$A$1:$I$88,3,0)*VLOOKUP('Données projet'!$B$12,Paramètres!$A$1:$I$88,5,0)</f>
        <v>0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104.00159056395933</v>
      </c>
      <c r="CE161" s="60">
        <f t="shared" si="148"/>
        <v>115.86489547584461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21.209612592119839</v>
      </c>
      <c r="CL161" s="23">
        <f>EXP(-LN(2)/25)*CL160+(1-EXP(-LN(2)/25))/(LN(2)/25)*Calculateur!CG161*Calculateur!CI161*VLOOKUP('Données projet'!$B$12,Paramètres!$A$1:$I$88,3,0)*0.475*44/12</f>
        <v>2.1850420035876286</v>
      </c>
      <c r="CM161" s="23">
        <f>EXP(-LN(2)/2)*CM160+(1-EXP(-LN(2)/2))/(LN(2)/2)*CG161*CJ161*VLOOKUP('Données projet'!$B$12,Paramètres!$A$1:$I$88,3,0)*0.475*44/12</f>
        <v>1.0912870835103803E-12</v>
      </c>
      <c r="CN161" s="24">
        <f t="shared" si="172"/>
        <v>23.394654595708559</v>
      </c>
      <c r="CO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projet'!$B$13,Paramètres!$A$1:$I$88,3,0)*VLOOKUP('Données projet'!$B$13,Paramètres!$A$1:$I$88,5,0)</f>
        <v>#N/A</v>
      </c>
      <c r="CV161" s="14" t="e">
        <f t="shared" si="173"/>
        <v>#N/A</v>
      </c>
      <c r="CW161" s="22" t="e">
        <f t="shared" si="174"/>
        <v>#N/A</v>
      </c>
      <c r="CX161" s="60" t="e">
        <f t="shared" si="122"/>
        <v>#N/A</v>
      </c>
      <c r="CY161" s="60" t="e">
        <f ca="1">AVERAGE(OFFSET($CX$3,0,0,'Données projet'!$E$13+1,1))-AVERAGE(OFFSET($H$3,0,0,'Données projet'!$E$13+1,1))</f>
        <v>#N/A</v>
      </c>
      <c r="CZ161" s="60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projet'!$B$13,Paramètres!$A$1:$I$88,3,0)*0.475*44/12</f>
        <v>#N/A</v>
      </c>
      <c r="DG161" s="23" t="e">
        <f>EXP(-LN(2)/25)*DG160+(1-EXP(-LN(2)/25))/(LN(2)/25)*Calculateur!DB161*Calculateur!DD161*VLOOKUP('Données projet'!$B$13,Paramètres!$A$1:$I$88,3,0)*0.475*44/12</f>
        <v>#N/A</v>
      </c>
      <c r="DH161" s="23" t="e">
        <f>EXP(-LN(2)/2)*DH160+(1-EXP(-LN(2)/2))/(LN(2)/2)*DB161*DE161*VLOOKUP('Données projet'!$B$13,Paramètres!$A$1:$I$88,3,0)*0.475*44/12</f>
        <v>#N/A</v>
      </c>
      <c r="DI161" s="24" t="e">
        <f t="shared" si="175"/>
        <v>#N/A</v>
      </c>
      <c r="DJ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0" t="e">
        <f t="shared" si="125"/>
        <v>#N/A</v>
      </c>
      <c r="DT161" s="60" t="e">
        <f ca="1">AVERAGE(OFFSET($DS$3,0,0,'Données projet'!$E$14+1,1))-AVERAGE(OFFSET($H$3,0,0,'Données projet'!$E$14+1,1))</f>
        <v>#N/A</v>
      </c>
      <c r="DU161" s="60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4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141.38280000000006</v>
      </c>
      <c r="D162" s="12">
        <f t="shared" si="140"/>
        <v>36.613604122020263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4.5474735088646412E-13</v>
      </c>
      <c r="O162" s="14">
        <f>N162*VLOOKUP('Données projet'!$B$9,Paramètres!$A$1:$I$88,3,0)*VLOOKUP('Données projet'!$B$9,Paramètres!$A$1:$I$88,5,0)</f>
        <v>2.7193891583010558E-13</v>
      </c>
      <c r="P162" s="14">
        <f t="shared" si="141"/>
        <v>3.6362267729089988E-12</v>
      </c>
      <c r="Q162" s="22">
        <f t="shared" si="162"/>
        <v>6.8067219078872727E-12</v>
      </c>
      <c r="R162" s="60">
        <f t="shared" si="109"/>
        <v>293.33333333334014</v>
      </c>
      <c r="S162" s="60">
        <f ca="1">AVERAGE(OFFSET($R$3,0,0,'Données projet'!$E$9+1,1))-AVERAGE(OFFSET($H$3,0,0,'Données projet'!$E$9+1,1))</f>
        <v>181.84907943028196</v>
      </c>
      <c r="T162" s="60">
        <f t="shared" si="142"/>
        <v>199.66849909069458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18.315238771687678</v>
      </c>
      <c r="AA162" s="23">
        <f>EXP(-LN(2)/25)*AA161+(1-EXP(-LN(2)/25))/(LN(2)/25)*Calculateur!V162*Calculateur!X162*VLOOKUP('Données projet'!$B$9,Paramètres!$A$1:$I$88,3,0)*0.475*44/12</f>
        <v>1.9529408694406514</v>
      </c>
      <c r="AB162" s="23">
        <f>EXP(-LN(2)/2)*AB161+(1-EXP(-LN(2)/2))/(LN(2)/2)*V162*Y162*VLOOKUP('Données projet'!$B$9,Paramètres!$A$1:$I$88,3,0)*0.475*44/12</f>
        <v>2.986079685168977E-14</v>
      </c>
      <c r="AC162" s="24">
        <f t="shared" si="163"/>
        <v>20.268179641128359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projet'!$B$10,Paramètres!$A$1:$I$88,3,0)*VLOOKUP('Données projet'!$B$10,Paramètres!$A$1:$I$88,5,0)</f>
        <v>0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55.581964048431473</v>
      </c>
      <c r="AO162" s="60">
        <f t="shared" si="144"/>
        <v>91.067506141193803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3.4262738615116768</v>
      </c>
      <c r="AV162" s="23">
        <f>EXP(-LN(2)/25)*AV161+(1-EXP(-LN(2)/25))/(LN(2)/25)*Calculateur!AQ162*Calculateur!AS162*VLOOKUP('Données projet'!$B$10,Paramètres!$A$1:$I$88,3,0)*0.475*44/12</f>
        <v>0</v>
      </c>
      <c r="AW162" s="23">
        <f>EXP(-LN(2)/2)*AW161+(1-EXP(-LN(2)/2))/(LN(2)/2)*AQ162*AT162*VLOOKUP('Données projet'!$B$10,Paramètres!$A$1:$I$88,3,0)*0.475*44/12</f>
        <v>0</v>
      </c>
      <c r="AX162" s="23">
        <f t="shared" si="166"/>
        <v>3.4262738615116768</v>
      </c>
      <c r="AY162" s="7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4.916666666666667</v>
      </c>
      <c r="BD162" s="13">
        <f>IF('Données projet'!$A$88&gt;35,BD161+BC162-BL161,IF(A162&lt;'Données projet'!$A$88,$BA$205^A162,IF(A162='Données projet'!$A$88,'Données projet'!$B$88,BD161+BC162-BL161)))</f>
        <v>269.50000000000034</v>
      </c>
      <c r="BE162" s="14">
        <f>BD162*VLOOKUP('Données projet'!$B$11,Paramètres!$A$1:$I$88,3,0)*VLOOKUP('Données projet'!$B$11,Paramètres!$A$1:$I$88,5,0)</f>
        <v>273.27300000000037</v>
      </c>
      <c r="BF162" s="14">
        <f t="shared" si="167"/>
        <v>65.54339463056148</v>
      </c>
      <c r="BG162" s="22">
        <f t="shared" si="168"/>
        <v>590.10522064822851</v>
      </c>
      <c r="BH162" s="60">
        <f t="shared" si="116"/>
        <v>883.43855398156188</v>
      </c>
      <c r="BI162" s="60">
        <f ca="1">AVERAGE(OFFSET($BH$3,0,0,'Données projet'!$E$11+1,1))-AVERAGE(OFFSET($H$3,0,0,'Données projet'!$E$11+1,1))</f>
        <v>178.29366134936788</v>
      </c>
      <c r="BJ162" s="60">
        <f t="shared" si="146"/>
        <v>85.818195717787148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32.155757116073005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32.155757116073005</v>
      </c>
      <c r="BT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projet'!$B$12,Paramètres!$A$1:$I$88,3,0)*VLOOKUP('Données projet'!$B$12,Paramètres!$A$1:$I$88,5,0)</f>
        <v>0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104.00159056395933</v>
      </c>
      <c r="CE162" s="60">
        <f t="shared" si="148"/>
        <v>115.86489547584461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20.793705025774667</v>
      </c>
      <c r="CL162" s="23">
        <f>EXP(-LN(2)/25)*CL161+(1-EXP(-LN(2)/25))/(LN(2)/25)*Calculateur!CG162*Calculateur!CI162*VLOOKUP('Données projet'!$B$12,Paramètres!$A$1:$I$88,3,0)*0.475*44/12</f>
        <v>2.1252919150931597</v>
      </c>
      <c r="CM162" s="23">
        <f>EXP(-LN(2)/2)*CM161+(1-EXP(-LN(2)/2))/(LN(2)/2)*CG162*CJ162*VLOOKUP('Données projet'!$B$12,Paramètres!$A$1:$I$88,3,0)*0.475*44/12</f>
        <v>7.716564969714801E-13</v>
      </c>
      <c r="CN162" s="24">
        <f t="shared" si="172"/>
        <v>22.918996940868599</v>
      </c>
      <c r="CO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projet'!$B$13,Paramètres!$A$1:$I$88,3,0)*VLOOKUP('Données projet'!$B$13,Paramètres!$A$1:$I$88,5,0)</f>
        <v>#N/A</v>
      </c>
      <c r="CV162" s="14" t="e">
        <f t="shared" si="173"/>
        <v>#N/A</v>
      </c>
      <c r="CW162" s="22" t="e">
        <f t="shared" si="174"/>
        <v>#N/A</v>
      </c>
      <c r="CX162" s="60" t="e">
        <f t="shared" si="122"/>
        <v>#N/A</v>
      </c>
      <c r="CY162" s="60" t="e">
        <f ca="1">AVERAGE(OFFSET($CX$3,0,0,'Données projet'!$E$13+1,1))-AVERAGE(OFFSET($H$3,0,0,'Données projet'!$E$13+1,1))</f>
        <v>#N/A</v>
      </c>
      <c r="CZ162" s="60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projet'!$B$13,Paramètres!$A$1:$I$88,3,0)*0.475*44/12</f>
        <v>#N/A</v>
      </c>
      <c r="DG162" s="23" t="e">
        <f>EXP(-LN(2)/25)*DG161+(1-EXP(-LN(2)/25))/(LN(2)/25)*Calculateur!DB162*Calculateur!DD162*VLOOKUP('Données projet'!$B$13,Paramètres!$A$1:$I$88,3,0)*0.475*44/12</f>
        <v>#N/A</v>
      </c>
      <c r="DH162" s="23" t="e">
        <f>EXP(-LN(2)/2)*DH161+(1-EXP(-LN(2)/2))/(LN(2)/2)*DB162*DE162*VLOOKUP('Données projet'!$B$13,Paramètres!$A$1:$I$88,3,0)*0.475*44/12</f>
        <v>#N/A</v>
      </c>
      <c r="DI162" s="24" t="e">
        <f t="shared" si="175"/>
        <v>#N/A</v>
      </c>
      <c r="DJ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0" t="e">
        <f t="shared" si="125"/>
        <v>#N/A</v>
      </c>
      <c r="DT162" s="60" t="e">
        <f ca="1">AVERAGE(OFFSET($DS$3,0,0,'Données projet'!$E$14+1,1))-AVERAGE(OFFSET($H$3,0,0,'Données projet'!$E$14+1,1))</f>
        <v>#N/A</v>
      </c>
      <c r="DU162" s="60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4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142.27200000000005</v>
      </c>
      <c r="D163" s="12">
        <f t="shared" si="140"/>
        <v>36.817000136193258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4.5474735088646412E-13</v>
      </c>
      <c r="O163" s="14">
        <f>N163*VLOOKUP('Données projet'!$B$9,Paramètres!$A$1:$I$88,3,0)*VLOOKUP('Données projet'!$B$9,Paramètres!$A$1:$I$88,5,0)</f>
        <v>2.7193891583010558E-13</v>
      </c>
      <c r="P163" s="14">
        <f t="shared" si="141"/>
        <v>3.6362267729089988E-12</v>
      </c>
      <c r="Q163" s="22">
        <f t="shared" si="162"/>
        <v>6.8067219078872727E-12</v>
      </c>
      <c r="R163" s="60">
        <f t="shared" si="109"/>
        <v>293.33333333334014</v>
      </c>
      <c r="S163" s="60">
        <f ca="1">AVERAGE(OFFSET($R$3,0,0,'Données projet'!$E$9+1,1))-AVERAGE(OFFSET($H$3,0,0,'Données projet'!$E$9+1,1))</f>
        <v>181.84907943028196</v>
      </c>
      <c r="T163" s="60">
        <f t="shared" si="142"/>
        <v>199.66849909069458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17.956088110567471</v>
      </c>
      <c r="AA163" s="23">
        <f>EXP(-LN(2)/25)*AA162+(1-EXP(-LN(2)/25))/(LN(2)/25)*Calculateur!V163*Calculateur!X163*VLOOKUP('Données projet'!$B$9,Paramètres!$A$1:$I$88,3,0)*0.475*44/12</f>
        <v>1.8995375986651</v>
      </c>
      <c r="AB163" s="23">
        <f>EXP(-LN(2)/2)*AB162+(1-EXP(-LN(2)/2))/(LN(2)/2)*V163*Y163*VLOOKUP('Données projet'!$B$9,Paramètres!$A$1:$I$88,3,0)*0.475*44/12</f>
        <v>2.1114771945463745E-14</v>
      </c>
      <c r="AC163" s="24">
        <f t="shared" si="163"/>
        <v>19.855625709232591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projet'!$B$10,Paramètres!$A$1:$I$88,3,0)*VLOOKUP('Données projet'!$B$10,Paramètres!$A$1:$I$88,5,0)</f>
        <v>0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55.581964048431473</v>
      </c>
      <c r="AO163" s="60">
        <f t="shared" si="144"/>
        <v>91.067506141193803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3.3590867209081359</v>
      </c>
      <c r="AV163" s="23">
        <f>EXP(-LN(2)/25)*AV162+(1-EXP(-LN(2)/25))/(LN(2)/25)*Calculateur!AQ163*Calculateur!AS163*VLOOKUP('Données projet'!$B$10,Paramètres!$A$1:$I$88,3,0)*0.475*44/12</f>
        <v>0</v>
      </c>
      <c r="AW163" s="23">
        <f>EXP(-LN(2)/2)*AW162+(1-EXP(-LN(2)/2))/(LN(2)/2)*AQ163*AT163*VLOOKUP('Données projet'!$B$10,Paramètres!$A$1:$I$88,3,0)*0.475*44/12</f>
        <v>0</v>
      </c>
      <c r="AX163" s="23">
        <f t="shared" si="166"/>
        <v>3.3590867209081359</v>
      </c>
      <c r="AY163" s="7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4.916666666666667</v>
      </c>
      <c r="BD163" s="13">
        <f>IF('Données projet'!$A$88&gt;35,BD162+BC163-BL162,IF(A163&lt;'Données projet'!$A$88,$BA$205^A163,IF(A163='Données projet'!$A$88,'Données projet'!$B$88,BD162+BC163-BL162)))</f>
        <v>274.41666666666703</v>
      </c>
      <c r="BE163" s="14">
        <f>BD163*VLOOKUP('Données projet'!$B$11,Paramètres!$A$1:$I$88,3,0)*VLOOKUP('Données projet'!$B$11,Paramètres!$A$1:$I$88,5,0)</f>
        <v>278.25850000000037</v>
      </c>
      <c r="BF163" s="14">
        <f t="shared" si="167"/>
        <v>66.598846339221481</v>
      </c>
      <c r="BG163" s="22">
        <f t="shared" si="168"/>
        <v>600.62654487414477</v>
      </c>
      <c r="BH163" s="60">
        <f t="shared" si="116"/>
        <v>893.95987820747814</v>
      </c>
      <c r="BI163" s="60">
        <f ca="1">AVERAGE(OFFSET($BH$3,0,0,'Données projet'!$E$11+1,1))-AVERAGE(OFFSET($H$3,0,0,'Données projet'!$E$11+1,1))</f>
        <v>178.29366134936788</v>
      </c>
      <c r="BJ163" s="60">
        <f t="shared" si="146"/>
        <v>85.818195717787148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31.525202332102022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31.525202332102022</v>
      </c>
      <c r="BT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projet'!$B$12,Paramètres!$A$1:$I$88,3,0)*VLOOKUP('Données projet'!$B$12,Paramètres!$A$1:$I$88,5,0)</f>
        <v>0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104.00159056395933</v>
      </c>
      <c r="CE163" s="60">
        <f t="shared" si="148"/>
        <v>115.86489547584461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20.385953153126959</v>
      </c>
      <c r="CL163" s="23">
        <f>EXP(-LN(2)/25)*CL162+(1-EXP(-LN(2)/25))/(LN(2)/25)*Calculateur!CG163*Calculateur!CI163*VLOOKUP('Données projet'!$B$12,Paramètres!$A$1:$I$88,3,0)*0.475*44/12</f>
        <v>2.0671756959106928</v>
      </c>
      <c r="CM163" s="23">
        <f>EXP(-LN(2)/2)*CM162+(1-EXP(-LN(2)/2))/(LN(2)/2)*CG163*CJ163*VLOOKUP('Données projet'!$B$12,Paramètres!$A$1:$I$88,3,0)*0.475*44/12</f>
        <v>5.4564354175519015E-13</v>
      </c>
      <c r="CN163" s="24">
        <f t="shared" si="172"/>
        <v>22.453128849038198</v>
      </c>
      <c r="CO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projet'!$B$13,Paramètres!$A$1:$I$88,3,0)*VLOOKUP('Données projet'!$B$13,Paramètres!$A$1:$I$88,5,0)</f>
        <v>#N/A</v>
      </c>
      <c r="CV163" s="14" t="e">
        <f t="shared" si="173"/>
        <v>#N/A</v>
      </c>
      <c r="CW163" s="22" t="e">
        <f t="shared" si="174"/>
        <v>#N/A</v>
      </c>
      <c r="CX163" s="60" t="e">
        <f t="shared" si="122"/>
        <v>#N/A</v>
      </c>
      <c r="CY163" s="60" t="e">
        <f ca="1">AVERAGE(OFFSET($CX$3,0,0,'Données projet'!$E$13+1,1))-AVERAGE(OFFSET($H$3,0,0,'Données projet'!$E$13+1,1))</f>
        <v>#N/A</v>
      </c>
      <c r="CZ163" s="60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projet'!$B$13,Paramètres!$A$1:$I$88,3,0)*0.475*44/12</f>
        <v>#N/A</v>
      </c>
      <c r="DG163" s="23" t="e">
        <f>EXP(-LN(2)/25)*DG162+(1-EXP(-LN(2)/25))/(LN(2)/25)*Calculateur!DB163*Calculateur!DD163*VLOOKUP('Données projet'!$B$13,Paramètres!$A$1:$I$88,3,0)*0.475*44/12</f>
        <v>#N/A</v>
      </c>
      <c r="DH163" s="23" t="e">
        <f>EXP(-LN(2)/2)*DH162+(1-EXP(-LN(2)/2))/(LN(2)/2)*DB163*DE163*VLOOKUP('Données projet'!$B$13,Paramètres!$A$1:$I$88,3,0)*0.475*44/12</f>
        <v>#N/A</v>
      </c>
      <c r="DI163" s="24" t="e">
        <f t="shared" si="175"/>
        <v>#N/A</v>
      </c>
      <c r="DJ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0" t="e">
        <f t="shared" si="125"/>
        <v>#N/A</v>
      </c>
      <c r="DT163" s="60" t="e">
        <f ca="1">AVERAGE(OFFSET($DS$3,0,0,'Données projet'!$E$14+1,1))-AVERAGE(OFFSET($H$3,0,0,'Données projet'!$E$14+1,1))</f>
        <v>#N/A</v>
      </c>
      <c r="DU163" s="60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4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143.16120000000004</v>
      </c>
      <c r="D164" s="12">
        <f t="shared" si="140"/>
        <v>37.020248232558458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4.5474735088646412E-13</v>
      </c>
      <c r="O164" s="14">
        <f>N164*VLOOKUP('Données projet'!$B$9,Paramètres!$A$1:$I$88,3,0)*VLOOKUP('Données projet'!$B$9,Paramètres!$A$1:$I$88,5,0)</f>
        <v>2.7193891583010558E-13</v>
      </c>
      <c r="P164" s="14">
        <f t="shared" si="141"/>
        <v>3.6362267729089988E-12</v>
      </c>
      <c r="Q164" s="22">
        <f t="shared" si="162"/>
        <v>6.8067219078872727E-12</v>
      </c>
      <c r="R164" s="60">
        <f t="shared" si="109"/>
        <v>293.33333333334014</v>
      </c>
      <c r="S164" s="60">
        <f ca="1">AVERAGE(OFFSET($R$3,0,0,'Données projet'!$E$9+1,1))-AVERAGE(OFFSET($H$3,0,0,'Données projet'!$E$9+1,1))</f>
        <v>181.84907943028196</v>
      </c>
      <c r="T164" s="60">
        <f t="shared" si="142"/>
        <v>199.66849909069458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17.603980174851557</v>
      </c>
      <c r="AA164" s="23">
        <f>EXP(-LN(2)/25)*AA163+(1-EXP(-LN(2)/25))/(LN(2)/25)*Calculateur!V164*Calculateur!X164*VLOOKUP('Données projet'!$B$9,Paramètres!$A$1:$I$88,3,0)*0.475*44/12</f>
        <v>1.8475946431372618</v>
      </c>
      <c r="AB164" s="23">
        <f>EXP(-LN(2)/2)*AB163+(1-EXP(-LN(2)/2))/(LN(2)/2)*V164*Y164*VLOOKUP('Données projet'!$B$9,Paramètres!$A$1:$I$88,3,0)*0.475*44/12</f>
        <v>1.4930398425844885E-14</v>
      </c>
      <c r="AC164" s="24">
        <f t="shared" si="163"/>
        <v>19.451574817988835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projet'!$B$10,Paramètres!$A$1:$I$88,3,0)*VLOOKUP('Données projet'!$B$10,Paramètres!$A$1:$I$88,5,0)</f>
        <v>0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55.581964048431473</v>
      </c>
      <c r="AO164" s="60">
        <f t="shared" si="144"/>
        <v>91.067506141193803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3.293217079151721</v>
      </c>
      <c r="AV164" s="23">
        <f>EXP(-LN(2)/25)*AV163+(1-EXP(-LN(2)/25))/(LN(2)/25)*Calculateur!AQ164*Calculateur!AS164*VLOOKUP('Données projet'!$B$10,Paramètres!$A$1:$I$88,3,0)*0.475*44/12</f>
        <v>0</v>
      </c>
      <c r="AW164" s="23">
        <f>EXP(-LN(2)/2)*AW163+(1-EXP(-LN(2)/2))/(LN(2)/2)*AQ164*AT164*VLOOKUP('Données projet'!$B$10,Paramètres!$A$1:$I$88,3,0)*0.475*44/12</f>
        <v>0</v>
      </c>
      <c r="AX164" s="23">
        <f t="shared" si="166"/>
        <v>3.293217079151721</v>
      </c>
      <c r="AY164" s="7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4.916666666666667</v>
      </c>
      <c r="BD164" s="13">
        <f>IF('Données projet'!$A$88&gt;35,BD163+BC164-BL163,IF(A164&lt;'Données projet'!$A$88,$BA$205^A164,IF(A164='Données projet'!$A$88,'Données projet'!$B$88,BD163+BC164-BL163)))</f>
        <v>279.33333333333371</v>
      </c>
      <c r="BE164" s="14">
        <f>BD164*VLOOKUP('Données projet'!$B$11,Paramètres!$A$1:$I$88,3,0)*VLOOKUP('Données projet'!$B$11,Paramètres!$A$1:$I$88,5,0)</f>
        <v>283.24400000000043</v>
      </c>
      <c r="BF164" s="14">
        <f t="shared" si="167"/>
        <v>67.652099057101978</v>
      </c>
      <c r="BG164" s="22">
        <f t="shared" si="168"/>
        <v>611.14403919111999</v>
      </c>
      <c r="BH164" s="60">
        <f t="shared" si="116"/>
        <v>904.47737252445336</v>
      </c>
      <c r="BI164" s="60">
        <f ca="1">AVERAGE(OFFSET($BH$3,0,0,'Données projet'!$E$11+1,1))-AVERAGE(OFFSET($H$3,0,0,'Données projet'!$E$11+1,1))</f>
        <v>178.29366134936788</v>
      </c>
      <c r="BJ164" s="60">
        <f t="shared" si="146"/>
        <v>85.818195717787148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30.907012342844268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30.907012342844268</v>
      </c>
      <c r="BT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projet'!$B$12,Paramètres!$A$1:$I$88,3,0)*VLOOKUP('Données projet'!$B$12,Paramètres!$A$1:$I$88,5,0)</f>
        <v>0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104.00159056395933</v>
      </c>
      <c r="CE164" s="60">
        <f t="shared" si="148"/>
        <v>115.86489547584461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19.986197045997788</v>
      </c>
      <c r="CL164" s="23">
        <f>EXP(-LN(2)/25)*CL163+(1-EXP(-LN(2)/25))/(LN(2)/25)*Calculateur!CG164*Calculateur!CI164*VLOOKUP('Données projet'!$B$12,Paramètres!$A$1:$I$88,3,0)*0.475*44/12</f>
        <v>2.0106486677979696</v>
      </c>
      <c r="CM164" s="23">
        <f>EXP(-LN(2)/2)*CM163+(1-EXP(-LN(2)/2))/(LN(2)/2)*CG164*CJ164*VLOOKUP('Données projet'!$B$12,Paramètres!$A$1:$I$88,3,0)*0.475*44/12</f>
        <v>3.8582824848574005E-13</v>
      </c>
      <c r="CN164" s="24">
        <f t="shared" si="172"/>
        <v>21.996845713796144</v>
      </c>
      <c r="CO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projet'!$B$13,Paramètres!$A$1:$I$88,3,0)*VLOOKUP('Données projet'!$B$13,Paramètres!$A$1:$I$88,5,0)</f>
        <v>#N/A</v>
      </c>
      <c r="CV164" s="14" t="e">
        <f t="shared" si="173"/>
        <v>#N/A</v>
      </c>
      <c r="CW164" s="22" t="e">
        <f t="shared" si="174"/>
        <v>#N/A</v>
      </c>
      <c r="CX164" s="60" t="e">
        <f t="shared" si="122"/>
        <v>#N/A</v>
      </c>
      <c r="CY164" s="60" t="e">
        <f ca="1">AVERAGE(OFFSET($CX$3,0,0,'Données projet'!$E$13+1,1))-AVERAGE(OFFSET($H$3,0,0,'Données projet'!$E$13+1,1))</f>
        <v>#N/A</v>
      </c>
      <c r="CZ164" s="60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projet'!$B$13,Paramètres!$A$1:$I$88,3,0)*0.475*44/12</f>
        <v>#N/A</v>
      </c>
      <c r="DG164" s="23" t="e">
        <f>EXP(-LN(2)/25)*DG163+(1-EXP(-LN(2)/25))/(LN(2)/25)*Calculateur!DB164*Calculateur!DD164*VLOOKUP('Données projet'!$B$13,Paramètres!$A$1:$I$88,3,0)*0.475*44/12</f>
        <v>#N/A</v>
      </c>
      <c r="DH164" s="23" t="e">
        <f>EXP(-LN(2)/2)*DH163+(1-EXP(-LN(2)/2))/(LN(2)/2)*DB164*DE164*VLOOKUP('Données projet'!$B$13,Paramètres!$A$1:$I$88,3,0)*0.475*44/12</f>
        <v>#N/A</v>
      </c>
      <c r="DI164" s="24" t="e">
        <f t="shared" si="175"/>
        <v>#N/A</v>
      </c>
      <c r="DJ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0" t="e">
        <f t="shared" si="125"/>
        <v>#N/A</v>
      </c>
      <c r="DT164" s="60" t="e">
        <f ca="1">AVERAGE(OFFSET($DS$3,0,0,'Données projet'!$E$14+1,1))-AVERAGE(OFFSET($H$3,0,0,'Données projet'!$E$14+1,1))</f>
        <v>#N/A</v>
      </c>
      <c r="DU164" s="60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4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144.05040000000002</v>
      </c>
      <c r="D165" s="12">
        <f t="shared" si="140"/>
        <v>37.223349436444416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4.5474735088646412E-13</v>
      </c>
      <c r="O165" s="14">
        <f>N165*VLOOKUP('Données projet'!$B$9,Paramètres!$A$1:$I$88,3,0)*VLOOKUP('Données projet'!$B$9,Paramètres!$A$1:$I$88,5,0)</f>
        <v>2.7193891583010558E-13</v>
      </c>
      <c r="P165" s="14">
        <f t="shared" si="141"/>
        <v>3.6362267729089988E-12</v>
      </c>
      <c r="Q165" s="22">
        <f t="shared" si="162"/>
        <v>6.8067219078872727E-12</v>
      </c>
      <c r="R165" s="60">
        <f t="shared" si="109"/>
        <v>293.33333333334014</v>
      </c>
      <c r="S165" s="60">
        <f ca="1">AVERAGE(OFFSET($R$3,0,0,'Données projet'!$E$9+1,1))-AVERAGE(OFFSET($H$3,0,0,'Données projet'!$E$9+1,1))</f>
        <v>181.84907943028196</v>
      </c>
      <c r="T165" s="60">
        <f t="shared" si="142"/>
        <v>199.66849909069458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17.258776860990398</v>
      </c>
      <c r="AA165" s="23">
        <f>EXP(-LN(2)/25)*AA164+(1-EXP(-LN(2)/25))/(LN(2)/25)*Calculateur!V165*Calculateur!X165*VLOOKUP('Données projet'!$B$9,Paramètres!$A$1:$I$88,3,0)*0.475*44/12</f>
        <v>1.7970720704598939</v>
      </c>
      <c r="AB165" s="23">
        <f>EXP(-LN(2)/2)*AB164+(1-EXP(-LN(2)/2))/(LN(2)/2)*V165*Y165*VLOOKUP('Données projet'!$B$9,Paramètres!$A$1:$I$88,3,0)*0.475*44/12</f>
        <v>1.0557385972731873E-14</v>
      </c>
      <c r="AC165" s="24">
        <f t="shared" si="163"/>
        <v>19.055848931450303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projet'!$B$10,Paramètres!$A$1:$I$88,3,0)*VLOOKUP('Données projet'!$B$10,Paramètres!$A$1:$I$88,5,0)</f>
        <v>0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55.581964048431473</v>
      </c>
      <c r="AO165" s="60">
        <f t="shared" si="144"/>
        <v>91.067506141193803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3.228639100893635</v>
      </c>
      <c r="AV165" s="23">
        <f>EXP(-LN(2)/25)*AV164+(1-EXP(-LN(2)/25))/(LN(2)/25)*Calculateur!AQ165*Calculateur!AS165*VLOOKUP('Données projet'!$B$10,Paramètres!$A$1:$I$88,3,0)*0.475*44/12</f>
        <v>0</v>
      </c>
      <c r="AW165" s="23">
        <f>EXP(-LN(2)/2)*AW164+(1-EXP(-LN(2)/2))/(LN(2)/2)*AQ165*AT165*VLOOKUP('Données projet'!$B$10,Paramètres!$A$1:$I$88,3,0)*0.475*44/12</f>
        <v>0</v>
      </c>
      <c r="AX165" s="23">
        <f t="shared" si="166"/>
        <v>3.228639100893635</v>
      </c>
      <c r="AY165" s="7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4.916666666666667</v>
      </c>
      <c r="BD165" s="13">
        <f>IF('Données projet'!$A$88&gt;35,BD164+BC165-BL164,IF(A165&lt;'Données projet'!$A$88,$BA$205^A165,IF(A165='Données projet'!$A$88,'Données projet'!$B$88,BD164+BC165-BL164)))</f>
        <v>284.2500000000004</v>
      </c>
      <c r="BE165" s="14">
        <f>BD165*VLOOKUP('Données projet'!$B$11,Paramètres!$A$1:$I$88,3,0)*VLOOKUP('Données projet'!$B$11,Paramètres!$A$1:$I$88,5,0)</f>
        <v>288.22950000000043</v>
      </c>
      <c r="BF165" s="14">
        <f t="shared" si="167"/>
        <v>68.703195955155408</v>
      </c>
      <c r="BG165" s="22">
        <f t="shared" si="168"/>
        <v>621.65777878856306</v>
      </c>
      <c r="BH165" s="60">
        <f t="shared" si="116"/>
        <v>914.99111212189632</v>
      </c>
      <c r="BI165" s="60">
        <f ca="1">AVERAGE(OFFSET($BH$3,0,0,'Données projet'!$E$11+1,1))-AVERAGE(OFFSET($H$3,0,0,'Données projet'!$E$11+1,1))</f>
        <v>178.29366134936788</v>
      </c>
      <c r="BJ165" s="60">
        <f t="shared" si="146"/>
        <v>85.818195717787148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30.300944682217199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30.300944682217199</v>
      </c>
      <c r="BT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projet'!$B$12,Paramètres!$A$1:$I$88,3,0)*VLOOKUP('Données projet'!$B$12,Paramètres!$A$1:$I$88,5,0)</f>
        <v>0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104.00159056395933</v>
      </c>
      <c r="CE165" s="60">
        <f t="shared" si="148"/>
        <v>115.86489547584461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19.59427991230227</v>
      </c>
      <c r="CL165" s="23">
        <f>EXP(-LN(2)/25)*CL164+(1-EXP(-LN(2)/25))/(LN(2)/25)*Calculateur!CG165*Calculateur!CI165*VLOOKUP('Données projet'!$B$12,Paramètres!$A$1:$I$88,3,0)*0.475*44/12</f>
        <v>1.955667374241616</v>
      </c>
      <c r="CM165" s="23">
        <f>EXP(-LN(2)/2)*CM164+(1-EXP(-LN(2)/2))/(LN(2)/2)*CG165*CJ165*VLOOKUP('Données projet'!$B$12,Paramètres!$A$1:$I$88,3,0)*0.475*44/12</f>
        <v>2.7282177087759507E-13</v>
      </c>
      <c r="CN165" s="24">
        <f t="shared" si="172"/>
        <v>21.54994728654416</v>
      </c>
      <c r="CO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projet'!$B$13,Paramètres!$A$1:$I$88,3,0)*VLOOKUP('Données projet'!$B$13,Paramètres!$A$1:$I$88,5,0)</f>
        <v>#N/A</v>
      </c>
      <c r="CV165" s="14" t="e">
        <f t="shared" si="173"/>
        <v>#N/A</v>
      </c>
      <c r="CW165" s="22" t="e">
        <f t="shared" si="174"/>
        <v>#N/A</v>
      </c>
      <c r="CX165" s="60" t="e">
        <f t="shared" si="122"/>
        <v>#N/A</v>
      </c>
      <c r="CY165" s="60" t="e">
        <f ca="1">AVERAGE(OFFSET($CX$3,0,0,'Données projet'!$E$13+1,1))-AVERAGE(OFFSET($H$3,0,0,'Données projet'!$E$13+1,1))</f>
        <v>#N/A</v>
      </c>
      <c r="CZ165" s="60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projet'!$B$13,Paramètres!$A$1:$I$88,3,0)*0.475*44/12</f>
        <v>#N/A</v>
      </c>
      <c r="DG165" s="23" t="e">
        <f>EXP(-LN(2)/25)*DG164+(1-EXP(-LN(2)/25))/(LN(2)/25)*Calculateur!DB165*Calculateur!DD165*VLOOKUP('Données projet'!$B$13,Paramètres!$A$1:$I$88,3,0)*0.475*44/12</f>
        <v>#N/A</v>
      </c>
      <c r="DH165" s="23" t="e">
        <f>EXP(-LN(2)/2)*DH164+(1-EXP(-LN(2)/2))/(LN(2)/2)*DB165*DE165*VLOOKUP('Données projet'!$B$13,Paramètres!$A$1:$I$88,3,0)*0.475*44/12</f>
        <v>#N/A</v>
      </c>
      <c r="DI165" s="24" t="e">
        <f t="shared" si="175"/>
        <v>#N/A</v>
      </c>
      <c r="DJ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0" t="e">
        <f t="shared" si="125"/>
        <v>#N/A</v>
      </c>
      <c r="DT165" s="60" t="e">
        <f ca="1">AVERAGE(OFFSET($DS$3,0,0,'Données projet'!$E$14+1,1))-AVERAGE(OFFSET($H$3,0,0,'Données projet'!$E$14+1,1))</f>
        <v>#N/A</v>
      </c>
      <c r="DU165" s="60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4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144.93960000000001</v>
      </c>
      <c r="D166" s="12">
        <f t="shared" si="140"/>
        <v>37.426304759789126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4.5474735088646412E-13</v>
      </c>
      <c r="O166" s="14">
        <f>N166*VLOOKUP('Données projet'!$B$9,Paramètres!$A$1:$I$88,3,0)*VLOOKUP('Données projet'!$B$9,Paramètres!$A$1:$I$88,5,0)</f>
        <v>2.7193891583010558E-13</v>
      </c>
      <c r="P166" s="14">
        <f t="shared" si="141"/>
        <v>3.6362267729089988E-12</v>
      </c>
      <c r="Q166" s="22">
        <f t="shared" si="162"/>
        <v>6.8067219078872727E-12</v>
      </c>
      <c r="R166" s="60">
        <f t="shared" si="109"/>
        <v>293.33333333334014</v>
      </c>
      <c r="S166" s="60">
        <f ca="1">AVERAGE(OFFSET($R$3,0,0,'Données projet'!$E$9+1,1))-AVERAGE(OFFSET($H$3,0,0,'Données projet'!$E$9+1,1))</f>
        <v>181.84907943028196</v>
      </c>
      <c r="T166" s="60">
        <f t="shared" si="142"/>
        <v>199.66849909069458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16.920342773560826</v>
      </c>
      <c r="AA166" s="23">
        <f>EXP(-LN(2)/25)*AA165+(1-EXP(-LN(2)/25))/(LN(2)/25)*Calculateur!V166*Calculateur!X166*VLOOKUP('Données projet'!$B$9,Paramètres!$A$1:$I$88,3,0)*0.475*44/12</f>
        <v>1.7479310401892552</v>
      </c>
      <c r="AB166" s="23">
        <f>EXP(-LN(2)/2)*AB165+(1-EXP(-LN(2)/2))/(LN(2)/2)*V166*Y166*VLOOKUP('Données projet'!$B$9,Paramètres!$A$1:$I$88,3,0)*0.475*44/12</f>
        <v>7.4651992129224425E-15</v>
      </c>
      <c r="AC166" s="24">
        <f t="shared" si="163"/>
        <v>18.668273813750087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projet'!$B$10,Paramètres!$A$1:$I$88,3,0)*VLOOKUP('Données projet'!$B$10,Paramètres!$A$1:$I$88,5,0)</f>
        <v>0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55.581964048431473</v>
      </c>
      <c r="AO166" s="60">
        <f t="shared" si="144"/>
        <v>91.067506141193803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3.1653274574005126</v>
      </c>
      <c r="AV166" s="23">
        <f>EXP(-LN(2)/25)*AV165+(1-EXP(-LN(2)/25))/(LN(2)/25)*Calculateur!AQ166*Calculateur!AS166*VLOOKUP('Données projet'!$B$10,Paramètres!$A$1:$I$88,3,0)*0.475*44/12</f>
        <v>0</v>
      </c>
      <c r="AW166" s="23">
        <f>EXP(-LN(2)/2)*AW165+(1-EXP(-LN(2)/2))/(LN(2)/2)*AQ166*AT166*VLOOKUP('Données projet'!$B$10,Paramètres!$A$1:$I$88,3,0)*0.475*44/12</f>
        <v>0</v>
      </c>
      <c r="AX166" s="23">
        <f t="shared" si="166"/>
        <v>3.1653274574005126</v>
      </c>
      <c r="AY166" s="7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4.916666666666667</v>
      </c>
      <c r="BD166" s="13">
        <f>IF('Données projet'!$A$88&gt;35,BD165+BC166-BL165,IF(A166&lt;'Données projet'!$A$88,$BA$205^A166,IF(A166='Données projet'!$A$88,'Données projet'!$B$88,BD165+BC166-BL165)))</f>
        <v>289.16666666666708</v>
      </c>
      <c r="BE166" s="14">
        <f>BD166*VLOOKUP('Données projet'!$B$11,Paramètres!$A$1:$I$88,3,0)*VLOOKUP('Données projet'!$B$11,Paramètres!$A$1:$I$88,5,0)</f>
        <v>293.21500000000043</v>
      </c>
      <c r="BF166" s="14">
        <f t="shared" si="167"/>
        <v>69.752178625315537</v>
      </c>
      <c r="BG166" s="22">
        <f t="shared" si="168"/>
        <v>632.16783610575862</v>
      </c>
      <c r="BH166" s="60">
        <f t="shared" si="116"/>
        <v>925.50116943909188</v>
      </c>
      <c r="BI166" s="60">
        <f ca="1">AVERAGE(OFFSET($BH$3,0,0,'Données projet'!$E$11+1,1))-AVERAGE(OFFSET($H$3,0,0,'Données projet'!$E$11+1,1))</f>
        <v>178.29366134936788</v>
      </c>
      <c r="BJ166" s="60">
        <f t="shared" si="146"/>
        <v>85.818195717787148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29.706761638750255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29.706761638750255</v>
      </c>
      <c r="BT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projet'!$B$12,Paramètres!$A$1:$I$88,3,0)*VLOOKUP('Données projet'!$B$12,Paramètres!$A$1:$I$88,5,0)</f>
        <v>0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104.00159056395933</v>
      </c>
      <c r="CE166" s="60">
        <f t="shared" si="148"/>
        <v>115.86489547584461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19.210048034552674</v>
      </c>
      <c r="CL166" s="23">
        <f>EXP(-LN(2)/25)*CL165+(1-EXP(-LN(2)/25))/(LN(2)/25)*Calculateur!CG166*Calculateur!CI166*VLOOKUP('Données projet'!$B$12,Paramètres!$A$1:$I$88,3,0)*0.475*44/12</f>
        <v>1.9021895470489014</v>
      </c>
      <c r="CM166" s="23">
        <f>EXP(-LN(2)/2)*CM165+(1-EXP(-LN(2)/2))/(LN(2)/2)*CG166*CJ166*VLOOKUP('Données projet'!$B$12,Paramètres!$A$1:$I$88,3,0)*0.475*44/12</f>
        <v>1.9291412424287002E-13</v>
      </c>
      <c r="CN166" s="24">
        <f t="shared" si="172"/>
        <v>21.112237581601768</v>
      </c>
      <c r="CO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projet'!$B$13,Paramètres!$A$1:$I$88,3,0)*VLOOKUP('Données projet'!$B$13,Paramètres!$A$1:$I$88,5,0)</f>
        <v>#N/A</v>
      </c>
      <c r="CV166" s="14" t="e">
        <f t="shared" si="173"/>
        <v>#N/A</v>
      </c>
      <c r="CW166" s="22" t="e">
        <f t="shared" si="174"/>
        <v>#N/A</v>
      </c>
      <c r="CX166" s="60" t="e">
        <f t="shared" si="122"/>
        <v>#N/A</v>
      </c>
      <c r="CY166" s="60" t="e">
        <f ca="1">AVERAGE(OFFSET($CX$3,0,0,'Données projet'!$E$13+1,1))-AVERAGE(OFFSET($H$3,0,0,'Données projet'!$E$13+1,1))</f>
        <v>#N/A</v>
      </c>
      <c r="CZ166" s="60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projet'!$B$13,Paramètres!$A$1:$I$88,3,0)*0.475*44/12</f>
        <v>#N/A</v>
      </c>
      <c r="DG166" s="23" t="e">
        <f>EXP(-LN(2)/25)*DG165+(1-EXP(-LN(2)/25))/(LN(2)/25)*Calculateur!DB166*Calculateur!DD166*VLOOKUP('Données projet'!$B$13,Paramètres!$A$1:$I$88,3,0)*0.475*44/12</f>
        <v>#N/A</v>
      </c>
      <c r="DH166" s="23" t="e">
        <f>EXP(-LN(2)/2)*DH165+(1-EXP(-LN(2)/2))/(LN(2)/2)*DB166*DE166*VLOOKUP('Données projet'!$B$13,Paramètres!$A$1:$I$88,3,0)*0.475*44/12</f>
        <v>#N/A</v>
      </c>
      <c r="DI166" s="24" t="e">
        <f t="shared" si="175"/>
        <v>#N/A</v>
      </c>
      <c r="DJ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0" t="e">
        <f t="shared" si="125"/>
        <v>#N/A</v>
      </c>
      <c r="DT166" s="60" t="e">
        <f ca="1">AVERAGE(OFFSET($DS$3,0,0,'Données projet'!$E$14+1,1))-AVERAGE(OFFSET($H$3,0,0,'Données projet'!$E$14+1,1))</f>
        <v>#N/A</v>
      </c>
      <c r="DU166" s="60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4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145.8288</v>
      </c>
      <c r="D167" s="12">
        <f t="shared" si="140"/>
        <v>37.629115201395898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4.5474735088646412E-13</v>
      </c>
      <c r="O167" s="14">
        <f>N167*VLOOKUP('Données projet'!$B$9,Paramètres!$A$1:$I$88,3,0)*VLOOKUP('Données projet'!$B$9,Paramètres!$A$1:$I$88,5,0)</f>
        <v>2.7193891583010558E-13</v>
      </c>
      <c r="P167" s="14">
        <f t="shared" si="141"/>
        <v>3.6362267729089988E-12</v>
      </c>
      <c r="Q167" s="22">
        <f t="shared" si="162"/>
        <v>6.8067219078872727E-12</v>
      </c>
      <c r="R167" s="60">
        <f t="shared" si="109"/>
        <v>293.33333333334014</v>
      </c>
      <c r="S167" s="60">
        <f ca="1">AVERAGE(OFFSET($R$3,0,0,'Données projet'!$E$9+1,1))-AVERAGE(OFFSET($H$3,0,0,'Données projet'!$E$9+1,1))</f>
        <v>181.84907943028196</v>
      </c>
      <c r="T167" s="60">
        <f t="shared" si="142"/>
        <v>199.66849909069458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16.588545172161336</v>
      </c>
      <c r="AA167" s="23">
        <f>EXP(-LN(2)/25)*AA166+(1-EXP(-LN(2)/25))/(LN(2)/25)*Calculateur!V167*Calculateur!X167*VLOOKUP('Données projet'!$B$9,Paramètres!$A$1:$I$88,3,0)*0.475*44/12</f>
        <v>1.7001337739755815</v>
      </c>
      <c r="AB167" s="23">
        <f>EXP(-LN(2)/2)*AB166+(1-EXP(-LN(2)/2))/(LN(2)/2)*V167*Y167*VLOOKUP('Données projet'!$B$9,Paramètres!$A$1:$I$88,3,0)*0.475*44/12</f>
        <v>5.2786929863659364E-15</v>
      </c>
      <c r="AC167" s="24">
        <f t="shared" si="163"/>
        <v>18.288678946136923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projet'!$B$10,Paramètres!$A$1:$I$88,3,0)*VLOOKUP('Données projet'!$B$10,Paramètres!$A$1:$I$88,5,0)</f>
        <v>0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55.581964048431473</v>
      </c>
      <c r="AO167" s="60">
        <f t="shared" si="144"/>
        <v>91.067506141193803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3.1032573166200006</v>
      </c>
      <c r="AV167" s="23">
        <f>EXP(-LN(2)/25)*AV166+(1-EXP(-LN(2)/25))/(LN(2)/25)*Calculateur!AQ167*Calculateur!AS167*VLOOKUP('Données projet'!$B$10,Paramètres!$A$1:$I$88,3,0)*0.475*44/12</f>
        <v>0</v>
      </c>
      <c r="AW167" s="23">
        <f>EXP(-LN(2)/2)*AW166+(1-EXP(-LN(2)/2))/(LN(2)/2)*AQ167*AT167*VLOOKUP('Données projet'!$B$10,Paramètres!$A$1:$I$88,3,0)*0.475*44/12</f>
        <v>0</v>
      </c>
      <c r="AX167" s="23">
        <f t="shared" si="166"/>
        <v>3.1032573166200006</v>
      </c>
      <c r="AY167" s="7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4.916666666666667</v>
      </c>
      <c r="BD167" s="13">
        <f>IF('Données projet'!$A$88&gt;35,BD166+BC167-BL166,IF(A167&lt;'Données projet'!$A$88,$BA$205^A167,IF(A167='Données projet'!$A$88,'Données projet'!$B$88,BD166+BC167-BL166)))</f>
        <v>294.08333333333377</v>
      </c>
      <c r="BE167" s="14">
        <f>BD167*VLOOKUP('Données projet'!$B$11,Paramètres!$A$1:$I$88,3,0)*VLOOKUP('Données projet'!$B$11,Paramètres!$A$1:$I$88,5,0)</f>
        <v>298.20050000000043</v>
      </c>
      <c r="BF167" s="14">
        <f t="shared" si="167"/>
        <v>70.799087164099035</v>
      </c>
      <c r="BG167" s="22">
        <f t="shared" si="168"/>
        <v>642.67428097747325</v>
      </c>
      <c r="BH167" s="60">
        <f t="shared" si="116"/>
        <v>936.0076143108065</v>
      </c>
      <c r="BI167" s="60">
        <f ca="1">AVERAGE(OFFSET($BH$3,0,0,'Données projet'!$E$11+1,1))-AVERAGE(OFFSET($H$3,0,0,'Données projet'!$E$11+1,1))</f>
        <v>178.29366134936788</v>
      </c>
      <c r="BJ167" s="60">
        <f t="shared" si="146"/>
        <v>85.818195717787148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29.124230162349825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29.124230162349825</v>
      </c>
      <c r="BT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projet'!$B$12,Paramètres!$A$1:$I$88,3,0)*VLOOKUP('Données projet'!$B$12,Paramètres!$A$1:$I$88,5,0)</f>
        <v>0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104.00159056395933</v>
      </c>
      <c r="CE167" s="60">
        <f t="shared" si="148"/>
        <v>115.86489547584461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18.833350709567441</v>
      </c>
      <c r="CL167" s="23">
        <f>EXP(-LN(2)/25)*CL166+(1-EXP(-LN(2)/25))/(LN(2)/25)*Calculateur!CG167*Calculateur!CI167*VLOOKUP('Données projet'!$B$12,Paramètres!$A$1:$I$88,3,0)*0.475*44/12</f>
        <v>1.8501740738530486</v>
      </c>
      <c r="CM167" s="23">
        <f>EXP(-LN(2)/2)*CM166+(1-EXP(-LN(2)/2))/(LN(2)/2)*CG167*CJ167*VLOOKUP('Données projet'!$B$12,Paramètres!$A$1:$I$88,3,0)*0.475*44/12</f>
        <v>1.3641088543879754E-13</v>
      </c>
      <c r="CN167" s="24">
        <f t="shared" si="172"/>
        <v>20.683524783420623</v>
      </c>
      <c r="CO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projet'!$B$13,Paramètres!$A$1:$I$88,3,0)*VLOOKUP('Données projet'!$B$13,Paramètres!$A$1:$I$88,5,0)</f>
        <v>#N/A</v>
      </c>
      <c r="CV167" s="14" t="e">
        <f t="shared" si="173"/>
        <v>#N/A</v>
      </c>
      <c r="CW167" s="22" t="e">
        <f t="shared" si="174"/>
        <v>#N/A</v>
      </c>
      <c r="CX167" s="60" t="e">
        <f t="shared" si="122"/>
        <v>#N/A</v>
      </c>
      <c r="CY167" s="60" t="e">
        <f ca="1">AVERAGE(OFFSET($CX$3,0,0,'Données projet'!$E$13+1,1))-AVERAGE(OFFSET($H$3,0,0,'Données projet'!$E$13+1,1))</f>
        <v>#N/A</v>
      </c>
      <c r="CZ167" s="60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projet'!$B$13,Paramètres!$A$1:$I$88,3,0)*0.475*44/12</f>
        <v>#N/A</v>
      </c>
      <c r="DG167" s="23" t="e">
        <f>EXP(-LN(2)/25)*DG166+(1-EXP(-LN(2)/25))/(LN(2)/25)*Calculateur!DB167*Calculateur!DD167*VLOOKUP('Données projet'!$B$13,Paramètres!$A$1:$I$88,3,0)*0.475*44/12</f>
        <v>#N/A</v>
      </c>
      <c r="DH167" s="23" t="e">
        <f>EXP(-LN(2)/2)*DH166+(1-EXP(-LN(2)/2))/(LN(2)/2)*DB167*DE167*VLOOKUP('Données projet'!$B$13,Paramètres!$A$1:$I$88,3,0)*0.475*44/12</f>
        <v>#N/A</v>
      </c>
      <c r="DI167" s="24" t="e">
        <f t="shared" si="175"/>
        <v>#N/A</v>
      </c>
      <c r="DJ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0" t="e">
        <f t="shared" si="125"/>
        <v>#N/A</v>
      </c>
      <c r="DT167" s="60" t="e">
        <f ca="1">AVERAGE(OFFSET($DS$3,0,0,'Données projet'!$E$14+1,1))-AVERAGE(OFFSET($H$3,0,0,'Données projet'!$E$14+1,1))</f>
        <v>#N/A</v>
      </c>
      <c r="DU167" s="60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4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146.71799999999999</v>
      </c>
      <c r="D168" s="12">
        <f t="shared" si="140"/>
        <v>37.831781747183037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4.5474735088646412E-13</v>
      </c>
      <c r="O168" s="14">
        <f>N168*VLOOKUP('Données projet'!$B$9,Paramètres!$A$1:$I$88,3,0)*VLOOKUP('Données projet'!$B$9,Paramètres!$A$1:$I$88,5,0)</f>
        <v>2.7193891583010558E-13</v>
      </c>
      <c r="P168" s="14">
        <f t="shared" si="141"/>
        <v>3.6362267729089988E-12</v>
      </c>
      <c r="Q168" s="22">
        <f t="shared" si="162"/>
        <v>6.8067219078872727E-12</v>
      </c>
      <c r="R168" s="60">
        <f t="shared" si="109"/>
        <v>293.33333333334014</v>
      </c>
      <c r="S168" s="60">
        <f ca="1">AVERAGE(OFFSET($R$3,0,0,'Données projet'!$E$9+1,1))-AVERAGE(OFFSET($H$3,0,0,'Données projet'!$E$9+1,1))</f>
        <v>181.84907943028196</v>
      </c>
      <c r="T168" s="60">
        <f t="shared" si="142"/>
        <v>199.66849909069458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16.263253919348735</v>
      </c>
      <c r="AA168" s="23">
        <f>EXP(-LN(2)/25)*AA167+(1-EXP(-LN(2)/25))/(LN(2)/25)*Calculateur!V168*Calculateur!X168*VLOOKUP('Données projet'!$B$9,Paramètres!$A$1:$I$88,3,0)*0.475*44/12</f>
        <v>1.6536435265200697</v>
      </c>
      <c r="AB168" s="23">
        <f>EXP(-LN(2)/2)*AB167+(1-EXP(-LN(2)/2))/(LN(2)/2)*V168*Y168*VLOOKUP('Données projet'!$B$9,Paramètres!$A$1:$I$88,3,0)*0.475*44/12</f>
        <v>3.7325996064612213E-15</v>
      </c>
      <c r="AC168" s="24">
        <f t="shared" si="163"/>
        <v>17.916897445868809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projet'!$B$10,Paramètres!$A$1:$I$88,3,0)*VLOOKUP('Données projet'!$B$10,Paramètres!$A$1:$I$88,5,0)</f>
        <v>0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55.581964048431473</v>
      </c>
      <c r="AO168" s="60">
        <f t="shared" si="144"/>
        <v>91.067506141193803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3.042404333441147</v>
      </c>
      <c r="AV168" s="23">
        <f>EXP(-LN(2)/25)*AV167+(1-EXP(-LN(2)/25))/(LN(2)/25)*Calculateur!AQ168*Calculateur!AS168*VLOOKUP('Données projet'!$B$10,Paramètres!$A$1:$I$88,3,0)*0.475*44/12</f>
        <v>0</v>
      </c>
      <c r="AW168" s="23">
        <f>EXP(-LN(2)/2)*AW167+(1-EXP(-LN(2)/2))/(LN(2)/2)*AQ168*AT168*VLOOKUP('Données projet'!$B$10,Paramètres!$A$1:$I$88,3,0)*0.475*44/12</f>
        <v>0</v>
      </c>
      <c r="AX168" s="23">
        <f t="shared" si="166"/>
        <v>3.042404333441147</v>
      </c>
      <c r="AY168" s="7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>
        <f>VLOOKUP(A168,'Données projet'!$A$87:$I$107,2,0)</f>
        <v>299</v>
      </c>
      <c r="BB168" s="13">
        <f>VLOOKUP(A168,'Données projet'!$A$87:$I$107,9,0)</f>
        <v>4.916666666666667</v>
      </c>
      <c r="BC168" s="13">
        <f t="array" ref="BC168">INDEX(BB:BB,MIN(IF(ISNUMBER(BB168:BB364),ROW(BB168:BB364),"")))</f>
        <v>4.916666666666667</v>
      </c>
      <c r="BD168" s="13">
        <f>IF('Données projet'!$A$88&gt;35,BD167+BC168-BL167,IF(A168&lt;'Données projet'!$A$88,$BA$205^A168,IF(A168='Données projet'!$A$88,'Données projet'!$B$88,BD167+BC168-BL167)))</f>
        <v>299.00000000000045</v>
      </c>
      <c r="BE168" s="14">
        <f>BD168*VLOOKUP('Données projet'!$B$11,Paramètres!$A$1:$I$88,3,0)*VLOOKUP('Données projet'!$B$11,Paramètres!$A$1:$I$88,5,0)</f>
        <v>303.18600000000049</v>
      </c>
      <c r="BF168" s="14">
        <f t="shared" si="167"/>
        <v>71.843960250458494</v>
      </c>
      <c r="BG168" s="22">
        <f t="shared" si="168"/>
        <v>653.17718076954941</v>
      </c>
      <c r="BH168" s="60">
        <f t="shared" si="116"/>
        <v>946.51051410288278</v>
      </c>
      <c r="BI168" s="60">
        <f ca="1">AVERAGE(OFFSET($BH$3,0,0,'Données projet'!$E$11+1,1))-AVERAGE(OFFSET($H$3,0,0,'Données projet'!$E$11+1,1))</f>
        <v>178.29366134936788</v>
      </c>
      <c r="BJ168" s="60">
        <f t="shared" si="146"/>
        <v>85.818195717787148</v>
      </c>
      <c r="BK168" s="16">
        <f>IF(ISNA(VLOOKUP(A168,'Données projet'!$A$87:$I$107,3,0)),0,VLOOKUP(A168,'Données projet'!$A$87:$I$107,3,0))</f>
        <v>12</v>
      </c>
      <c r="BL168" s="16">
        <f>IF(ISNA(VLOOKUP(A168,'Données projet'!$A$87:$I$107,4,0)),0,VLOOKUP(A168,'Données projet'!$A$87:$I$107,4,0))</f>
        <v>40</v>
      </c>
      <c r="BM168" s="17">
        <f>IF(ISNA(VLOOKUP(A168,'Données projet'!$A$87:$I$107,5,0)),0%,VLOOKUP(A168,'Données projet'!$A$87:$I$107,5,0)*VLOOKUP('Données projet'!$B$11,Paramètres!$A$1:$I$88,7,0))</f>
        <v>0.30099999999999999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42.049323229643285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42.049323229643285</v>
      </c>
      <c r="BT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projet'!$B$12,Paramètres!$A$1:$I$88,3,0)*VLOOKUP('Données projet'!$B$12,Paramètres!$A$1:$I$88,5,0)</f>
        <v>0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104.00159056395933</v>
      </c>
      <c r="CE168" s="60">
        <f t="shared" si="148"/>
        <v>115.86489547584461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18.464040189362489</v>
      </c>
      <c r="CL168" s="23">
        <f>EXP(-LN(2)/25)*CL167+(1-EXP(-LN(2)/25))/(LN(2)/25)*Calculateur!CG168*Calculateur!CI168*VLOOKUP('Données projet'!$B$12,Paramètres!$A$1:$I$88,3,0)*0.475*44/12</f>
        <v>1.799580966507111</v>
      </c>
      <c r="CM168" s="23">
        <f>EXP(-LN(2)/2)*CM167+(1-EXP(-LN(2)/2))/(LN(2)/2)*CG168*CJ168*VLOOKUP('Données projet'!$B$12,Paramètres!$A$1:$I$88,3,0)*0.475*44/12</f>
        <v>9.6457062121435012E-14</v>
      </c>
      <c r="CN168" s="24">
        <f t="shared" si="172"/>
        <v>20.263621155869696</v>
      </c>
      <c r="CO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projet'!$B$13,Paramètres!$A$1:$I$88,3,0)*VLOOKUP('Données projet'!$B$13,Paramètres!$A$1:$I$88,5,0)</f>
        <v>#N/A</v>
      </c>
      <c r="CV168" s="14" t="e">
        <f t="shared" si="173"/>
        <v>#N/A</v>
      </c>
      <c r="CW168" s="22" t="e">
        <f t="shared" si="174"/>
        <v>#N/A</v>
      </c>
      <c r="CX168" s="60" t="e">
        <f t="shared" si="122"/>
        <v>#N/A</v>
      </c>
      <c r="CY168" s="60" t="e">
        <f ca="1">AVERAGE(OFFSET($CX$3,0,0,'Données projet'!$E$13+1,1))-AVERAGE(OFFSET($H$3,0,0,'Données projet'!$E$13+1,1))</f>
        <v>#N/A</v>
      </c>
      <c r="CZ168" s="60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projet'!$B$13,Paramètres!$A$1:$I$88,3,0)*0.475*44/12</f>
        <v>#N/A</v>
      </c>
      <c r="DG168" s="23" t="e">
        <f>EXP(-LN(2)/25)*DG167+(1-EXP(-LN(2)/25))/(LN(2)/25)*Calculateur!DB168*Calculateur!DD168*VLOOKUP('Données projet'!$B$13,Paramètres!$A$1:$I$88,3,0)*0.475*44/12</f>
        <v>#N/A</v>
      </c>
      <c r="DH168" s="23" t="e">
        <f>EXP(-LN(2)/2)*DH167+(1-EXP(-LN(2)/2))/(LN(2)/2)*DB168*DE168*VLOOKUP('Données projet'!$B$13,Paramètres!$A$1:$I$88,3,0)*0.475*44/12</f>
        <v>#N/A</v>
      </c>
      <c r="DI168" s="24" t="e">
        <f t="shared" si="175"/>
        <v>#N/A</v>
      </c>
      <c r="DJ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0" t="e">
        <f t="shared" si="125"/>
        <v>#N/A</v>
      </c>
      <c r="DT168" s="60" t="e">
        <f ca="1">AVERAGE(OFFSET($DS$3,0,0,'Données projet'!$E$14+1,1))-AVERAGE(OFFSET($H$3,0,0,'Données projet'!$E$14+1,1))</f>
        <v>#N/A</v>
      </c>
      <c r="DU168" s="60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4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147.60719999999998</v>
      </c>
      <c r="D169" s="12">
        <f t="shared" si="140"/>
        <v>38.034305370426985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4.5474735088646412E-13</v>
      </c>
      <c r="O169" s="14">
        <f>N169*VLOOKUP('Données projet'!$B$9,Paramètres!$A$1:$I$88,3,0)*VLOOKUP('Données projet'!$B$9,Paramètres!$A$1:$I$88,5,0)</f>
        <v>2.7193891583010558E-13</v>
      </c>
      <c r="P169" s="14">
        <f t="shared" si="141"/>
        <v>3.6362267729089988E-12</v>
      </c>
      <c r="Q169" s="22">
        <f t="shared" si="162"/>
        <v>6.8067219078872727E-12</v>
      </c>
      <c r="R169" s="60">
        <f t="shared" si="109"/>
        <v>293.33333333334014</v>
      </c>
      <c r="S169" s="60">
        <f ca="1">AVERAGE(OFFSET($R$3,0,0,'Données projet'!$E$9+1,1))-AVERAGE(OFFSET($H$3,0,0,'Données projet'!$E$9+1,1))</f>
        <v>181.84907943028196</v>
      </c>
      <c r="T169" s="60">
        <f t="shared" si="142"/>
        <v>199.66849909069458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15.944341429595717</v>
      </c>
      <c r="AA169" s="23">
        <f>EXP(-LN(2)/25)*AA168+(1-EXP(-LN(2)/25))/(LN(2)/25)*Calculateur!V169*Calculateur!X169*VLOOKUP('Données projet'!$B$9,Paramètres!$A$1:$I$88,3,0)*0.475*44/12</f>
        <v>1.6084245573260447</v>
      </c>
      <c r="AB169" s="23">
        <f>EXP(-LN(2)/2)*AB168+(1-EXP(-LN(2)/2))/(LN(2)/2)*V169*Y169*VLOOKUP('Données projet'!$B$9,Paramètres!$A$1:$I$88,3,0)*0.475*44/12</f>
        <v>2.6393464931829682E-15</v>
      </c>
      <c r="AC169" s="24">
        <f t="shared" si="163"/>
        <v>17.552765986921766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projet'!$B$10,Paramètres!$A$1:$I$88,3,0)*VLOOKUP('Données projet'!$B$10,Paramètres!$A$1:$I$88,5,0)</f>
        <v>0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55.581964048431473</v>
      </c>
      <c r="AO169" s="60">
        <f t="shared" si="144"/>
        <v>91.067506141193803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2.9827446401457762</v>
      </c>
      <c r="AV169" s="23">
        <f>EXP(-LN(2)/25)*AV168+(1-EXP(-LN(2)/25))/(LN(2)/25)*Calculateur!AQ169*Calculateur!AS169*VLOOKUP('Données projet'!$B$10,Paramètres!$A$1:$I$88,3,0)*0.475*44/12</f>
        <v>0</v>
      </c>
      <c r="AW169" s="23">
        <f>EXP(-LN(2)/2)*AW168+(1-EXP(-LN(2)/2))/(LN(2)/2)*AQ169*AT169*VLOOKUP('Données projet'!$B$10,Paramètres!$A$1:$I$88,3,0)*0.475*44/12</f>
        <v>0</v>
      </c>
      <c r="AX169" s="23">
        <f t="shared" si="166"/>
        <v>2.9827446401457762</v>
      </c>
      <c r="AY169" s="7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5.083333333333333</v>
      </c>
      <c r="BD169" s="13">
        <f>IF('Données projet'!$A$88&gt;35,BD168+BC169-BL168,IF(A169&lt;'Données projet'!$A$88,$BA$205^A169,IF(A169='Données projet'!$A$88,'Données projet'!$B$88,BD168+BC169-BL168)))</f>
        <v>264.08333333333377</v>
      </c>
      <c r="BE169" s="14">
        <f>BD169*VLOOKUP('Données projet'!$B$11,Paramètres!$A$1:$I$88,3,0)*VLOOKUP('Données projet'!$B$11,Paramètres!$A$1:$I$88,5,0)</f>
        <v>267.78050000000047</v>
      </c>
      <c r="BF169" s="14">
        <f t="shared" si="167"/>
        <v>64.3780093243642</v>
      </c>
      <c r="BG169" s="22">
        <f t="shared" si="168"/>
        <v>578.50940373993501</v>
      </c>
      <c r="BH169" s="60">
        <f t="shared" si="116"/>
        <v>871.84273707326838</v>
      </c>
      <c r="BI169" s="60">
        <f ca="1">AVERAGE(OFFSET($BH$3,0,0,'Données projet'!$E$11+1,1))-AVERAGE(OFFSET($H$3,0,0,'Données projet'!$E$11+1,1))</f>
        <v>178.29366134936788</v>
      </c>
      <c r="BJ169" s="60">
        <f t="shared" si="146"/>
        <v>85.818195717787148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41.224761648664668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41.224761648664668</v>
      </c>
      <c r="BT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projet'!$B$12,Paramètres!$A$1:$I$88,3,0)*VLOOKUP('Données projet'!$B$12,Paramètres!$A$1:$I$88,5,0)</f>
        <v>0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104.00159056395933</v>
      </c>
      <c r="CE169" s="60">
        <f t="shared" si="148"/>
        <v>115.86489547584461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18.101971623201582</v>
      </c>
      <c r="CL169" s="23">
        <f>EXP(-LN(2)/25)*CL168+(1-EXP(-LN(2)/25))/(LN(2)/25)*Calculateur!CG169*Calculateur!CI169*VLOOKUP('Données projet'!$B$12,Paramètres!$A$1:$I$88,3,0)*0.475*44/12</f>
        <v>1.750371330342124</v>
      </c>
      <c r="CM169" s="23">
        <f>EXP(-LN(2)/2)*CM168+(1-EXP(-LN(2)/2))/(LN(2)/2)*CG169*CJ169*VLOOKUP('Données projet'!$B$12,Paramètres!$A$1:$I$88,3,0)*0.475*44/12</f>
        <v>6.8205442719398769E-14</v>
      </c>
      <c r="CN169" s="24">
        <f t="shared" si="172"/>
        <v>19.852342953543772</v>
      </c>
      <c r="CO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projet'!$B$13,Paramètres!$A$1:$I$88,3,0)*VLOOKUP('Données projet'!$B$13,Paramètres!$A$1:$I$88,5,0)</f>
        <v>#N/A</v>
      </c>
      <c r="CV169" s="14" t="e">
        <f t="shared" si="173"/>
        <v>#N/A</v>
      </c>
      <c r="CW169" s="22" t="e">
        <f t="shared" si="174"/>
        <v>#N/A</v>
      </c>
      <c r="CX169" s="60" t="e">
        <f t="shared" si="122"/>
        <v>#N/A</v>
      </c>
      <c r="CY169" s="60" t="e">
        <f ca="1">AVERAGE(OFFSET($CX$3,0,0,'Données projet'!$E$13+1,1))-AVERAGE(OFFSET($H$3,0,0,'Données projet'!$E$13+1,1))</f>
        <v>#N/A</v>
      </c>
      <c r="CZ169" s="60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projet'!$B$13,Paramètres!$A$1:$I$88,3,0)*0.475*44/12</f>
        <v>#N/A</v>
      </c>
      <c r="DG169" s="23" t="e">
        <f>EXP(-LN(2)/25)*DG168+(1-EXP(-LN(2)/25))/(LN(2)/25)*Calculateur!DB169*Calculateur!DD169*VLOOKUP('Données projet'!$B$13,Paramètres!$A$1:$I$88,3,0)*0.475*44/12</f>
        <v>#N/A</v>
      </c>
      <c r="DH169" s="23" t="e">
        <f>EXP(-LN(2)/2)*DH168+(1-EXP(-LN(2)/2))/(LN(2)/2)*DB169*DE169*VLOOKUP('Données projet'!$B$13,Paramètres!$A$1:$I$88,3,0)*0.475*44/12</f>
        <v>#N/A</v>
      </c>
      <c r="DI169" s="24" t="e">
        <f t="shared" si="175"/>
        <v>#N/A</v>
      </c>
      <c r="DJ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0" t="e">
        <f t="shared" si="125"/>
        <v>#N/A</v>
      </c>
      <c r="DT169" s="60" t="e">
        <f ca="1">AVERAGE(OFFSET($DS$3,0,0,'Données projet'!$E$14+1,1))-AVERAGE(OFFSET($H$3,0,0,'Données projet'!$E$14+1,1))</f>
        <v>#N/A</v>
      </c>
      <c r="DU169" s="60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4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148.49639999999997</v>
      </c>
      <c r="D170" s="12">
        <f t="shared" si="140"/>
        <v>38.23668703199958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4.5474735088646412E-13</v>
      </c>
      <c r="O170" s="14">
        <f>N170*VLOOKUP('Données projet'!$B$9,Paramètres!$A$1:$I$88,3,0)*VLOOKUP('Données projet'!$B$9,Paramètres!$A$1:$I$88,5,0)</f>
        <v>2.7193891583010558E-13</v>
      </c>
      <c r="P170" s="14">
        <f t="shared" si="141"/>
        <v>3.6362267729089988E-12</v>
      </c>
      <c r="Q170" s="22">
        <f t="shared" si="162"/>
        <v>6.8067219078872727E-12</v>
      </c>
      <c r="R170" s="60">
        <f t="shared" si="109"/>
        <v>293.33333333334014</v>
      </c>
      <c r="S170" s="60">
        <f ca="1">AVERAGE(OFFSET($R$3,0,0,'Données projet'!$E$9+1,1))-AVERAGE(OFFSET($H$3,0,0,'Données projet'!$E$9+1,1))</f>
        <v>181.84907943028196</v>
      </c>
      <c r="T170" s="60">
        <f t="shared" si="142"/>
        <v>199.66849909069458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15.631682619249345</v>
      </c>
      <c r="AA170" s="23">
        <f>EXP(-LN(2)/25)*AA169+(1-EXP(-LN(2)/25))/(LN(2)/25)*Calculateur!V170*Calculateur!X170*VLOOKUP('Données projet'!$B$9,Paramètres!$A$1:$I$88,3,0)*0.475*44/12</f>
        <v>1.5644421032225926</v>
      </c>
      <c r="AB170" s="23">
        <f>EXP(-LN(2)/2)*AB169+(1-EXP(-LN(2)/2))/(LN(2)/2)*V170*Y170*VLOOKUP('Données projet'!$B$9,Paramètres!$A$1:$I$88,3,0)*0.475*44/12</f>
        <v>1.8662998032306106E-15</v>
      </c>
      <c r="AC170" s="24">
        <f t="shared" si="163"/>
        <v>17.196124722471939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projet'!$B$10,Paramètres!$A$1:$I$88,3,0)*VLOOKUP('Données projet'!$B$10,Paramètres!$A$1:$I$88,5,0)</f>
        <v>0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55.581964048431473</v>
      </c>
      <c r="AO170" s="60">
        <f t="shared" si="144"/>
        <v>91.067506141193803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2.9242548370471075</v>
      </c>
      <c r="AV170" s="23">
        <f>EXP(-LN(2)/25)*AV169+(1-EXP(-LN(2)/25))/(LN(2)/25)*Calculateur!AQ170*Calculateur!AS170*VLOOKUP('Données projet'!$B$10,Paramètres!$A$1:$I$88,3,0)*0.475*44/12</f>
        <v>0</v>
      </c>
      <c r="AW170" s="23">
        <f>EXP(-LN(2)/2)*AW169+(1-EXP(-LN(2)/2))/(LN(2)/2)*AQ170*AT170*VLOOKUP('Données projet'!$B$10,Paramètres!$A$1:$I$88,3,0)*0.475*44/12</f>
        <v>0</v>
      </c>
      <c r="AX170" s="23">
        <f t="shared" si="166"/>
        <v>2.9242548370471075</v>
      </c>
      <c r="AY170" s="7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5.083333333333333</v>
      </c>
      <c r="BD170" s="13">
        <f>IF('Données projet'!$A$88&gt;35,BD169+BC170-BL169,IF(A170&lt;'Données projet'!$A$88,$BA$205^A170,IF(A170='Données projet'!$A$88,'Données projet'!$B$88,BD169+BC170-BL169)))</f>
        <v>269.16666666666708</v>
      </c>
      <c r="BE170" s="14">
        <f>BD170*VLOOKUP('Données projet'!$B$11,Paramètres!$A$1:$I$88,3,0)*VLOOKUP('Données projet'!$B$11,Paramètres!$A$1:$I$88,5,0)</f>
        <v>272.9350000000004</v>
      </c>
      <c r="BF170" s="14">
        <f t="shared" si="167"/>
        <v>65.471757878088425</v>
      </c>
      <c r="BG170" s="22">
        <f t="shared" si="168"/>
        <v>589.39176997100469</v>
      </c>
      <c r="BH170" s="60">
        <f t="shared" si="116"/>
        <v>882.72510330433806</v>
      </c>
      <c r="BI170" s="60">
        <f ca="1">AVERAGE(OFFSET($BH$3,0,0,'Données projet'!$E$11+1,1))-AVERAGE(OFFSET($H$3,0,0,'Données projet'!$E$11+1,1))</f>
        <v>178.29366134936788</v>
      </c>
      <c r="BJ170" s="60">
        <f t="shared" si="146"/>
        <v>85.818195717787148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40.416369217356134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40.416369217356134</v>
      </c>
      <c r="BT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projet'!$B$12,Paramètres!$A$1:$I$88,3,0)*VLOOKUP('Données projet'!$B$12,Paramètres!$A$1:$I$88,5,0)</f>
        <v>0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104.00159056395933</v>
      </c>
      <c r="CE170" s="60">
        <f t="shared" si="148"/>
        <v>115.86489547584461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17.747003000783071</v>
      </c>
      <c r="CL170" s="23">
        <f>EXP(-LN(2)/25)*CL169+(1-EXP(-LN(2)/25))/(LN(2)/25)*Calculateur!CG170*Calculateur!CI170*VLOOKUP('Données projet'!$B$12,Paramètres!$A$1:$I$88,3,0)*0.475*44/12</f>
        <v>1.702507334265891</v>
      </c>
      <c r="CM170" s="23">
        <f>EXP(-LN(2)/2)*CM169+(1-EXP(-LN(2)/2))/(LN(2)/2)*CG170*CJ170*VLOOKUP('Données projet'!$B$12,Paramètres!$A$1:$I$88,3,0)*0.475*44/12</f>
        <v>4.8228531060717506E-14</v>
      </c>
      <c r="CN170" s="24">
        <f t="shared" si="172"/>
        <v>19.449510335049013</v>
      </c>
      <c r="CO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projet'!$B$13,Paramètres!$A$1:$I$88,3,0)*VLOOKUP('Données projet'!$B$13,Paramètres!$A$1:$I$88,5,0)</f>
        <v>#N/A</v>
      </c>
      <c r="CV170" s="14" t="e">
        <f t="shared" si="173"/>
        <v>#N/A</v>
      </c>
      <c r="CW170" s="22" t="e">
        <f t="shared" si="174"/>
        <v>#N/A</v>
      </c>
      <c r="CX170" s="60" t="e">
        <f t="shared" si="122"/>
        <v>#N/A</v>
      </c>
      <c r="CY170" s="60" t="e">
        <f ca="1">AVERAGE(OFFSET($CX$3,0,0,'Données projet'!$E$13+1,1))-AVERAGE(OFFSET($H$3,0,0,'Données projet'!$E$13+1,1))</f>
        <v>#N/A</v>
      </c>
      <c r="CZ170" s="60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projet'!$B$13,Paramètres!$A$1:$I$88,3,0)*0.475*44/12</f>
        <v>#N/A</v>
      </c>
      <c r="DG170" s="23" t="e">
        <f>EXP(-LN(2)/25)*DG169+(1-EXP(-LN(2)/25))/(LN(2)/25)*Calculateur!DB170*Calculateur!DD170*VLOOKUP('Données projet'!$B$13,Paramètres!$A$1:$I$88,3,0)*0.475*44/12</f>
        <v>#N/A</v>
      </c>
      <c r="DH170" s="23" t="e">
        <f>EXP(-LN(2)/2)*DH169+(1-EXP(-LN(2)/2))/(LN(2)/2)*DB170*DE170*VLOOKUP('Données projet'!$B$13,Paramètres!$A$1:$I$88,3,0)*0.475*44/12</f>
        <v>#N/A</v>
      </c>
      <c r="DI170" s="24" t="e">
        <f t="shared" si="175"/>
        <v>#N/A</v>
      </c>
      <c r="DJ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0" t="e">
        <f t="shared" si="125"/>
        <v>#N/A</v>
      </c>
      <c r="DT170" s="60" t="e">
        <f ca="1">AVERAGE(OFFSET($DS$3,0,0,'Données projet'!$E$14+1,1))-AVERAGE(OFFSET($H$3,0,0,'Données projet'!$E$14+1,1))</f>
        <v>#N/A</v>
      </c>
      <c r="DU170" s="60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4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149.38559999999995</v>
      </c>
      <c r="D171" s="12">
        <f t="shared" si="140"/>
        <v>38.438927680599591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4.5474735088646412E-13</v>
      </c>
      <c r="O171" s="14">
        <f>N171*VLOOKUP('Données projet'!$B$9,Paramètres!$A$1:$I$88,3,0)*VLOOKUP('Données projet'!$B$9,Paramètres!$A$1:$I$88,5,0)</f>
        <v>2.7193891583010558E-13</v>
      </c>
      <c r="P171" s="14">
        <f t="shared" si="141"/>
        <v>3.6362267729089988E-12</v>
      </c>
      <c r="Q171" s="22">
        <f t="shared" si="162"/>
        <v>6.8067219078872727E-12</v>
      </c>
      <c r="R171" s="60">
        <f t="shared" si="109"/>
        <v>293.33333333334014</v>
      </c>
      <c r="S171" s="60">
        <f ca="1">AVERAGE(OFFSET($R$3,0,0,'Données projet'!$E$9+1,1))-AVERAGE(OFFSET($H$3,0,0,'Données projet'!$E$9+1,1))</f>
        <v>181.84907943028196</v>
      </c>
      <c r="T171" s="60">
        <f t="shared" si="142"/>
        <v>199.66849909069458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15.325154857470821</v>
      </c>
      <c r="AA171" s="23">
        <f>EXP(-LN(2)/25)*AA170+(1-EXP(-LN(2)/25))/(LN(2)/25)*Calculateur!V171*Calculateur!X171*VLOOKUP('Données projet'!$B$9,Paramètres!$A$1:$I$88,3,0)*0.475*44/12</f>
        <v>1.5216623516395362</v>
      </c>
      <c r="AB171" s="23">
        <f>EXP(-LN(2)/2)*AB170+(1-EXP(-LN(2)/2))/(LN(2)/2)*V171*Y171*VLOOKUP('Données projet'!$B$9,Paramètres!$A$1:$I$88,3,0)*0.475*44/12</f>
        <v>1.3196732465914841E-15</v>
      </c>
      <c r="AC171" s="24">
        <f t="shared" si="163"/>
        <v>16.846817209110355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projet'!$B$10,Paramètres!$A$1:$I$88,3,0)*VLOOKUP('Données projet'!$B$10,Paramètres!$A$1:$I$88,5,0)</f>
        <v>0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55.581964048431473</v>
      </c>
      <c r="AO171" s="60">
        <f t="shared" si="144"/>
        <v>91.067506141193803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2.8669119833119465</v>
      </c>
      <c r="AV171" s="23">
        <f>EXP(-LN(2)/25)*AV170+(1-EXP(-LN(2)/25))/(LN(2)/25)*Calculateur!AQ171*Calculateur!AS171*VLOOKUP('Données projet'!$B$10,Paramètres!$A$1:$I$88,3,0)*0.475*44/12</f>
        <v>0</v>
      </c>
      <c r="AW171" s="23">
        <f>EXP(-LN(2)/2)*AW170+(1-EXP(-LN(2)/2))/(LN(2)/2)*AQ171*AT171*VLOOKUP('Données projet'!$B$10,Paramètres!$A$1:$I$88,3,0)*0.475*44/12</f>
        <v>0</v>
      </c>
      <c r="AX171" s="23">
        <f t="shared" si="166"/>
        <v>2.8669119833119465</v>
      </c>
      <c r="AY171" s="7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5.083333333333333</v>
      </c>
      <c r="BD171" s="13">
        <f>IF('Données projet'!$A$88&gt;35,BD170+BC171-BL170,IF(A171&lt;'Données projet'!$A$88,$BA$205^A171,IF(A171='Données projet'!$A$88,'Données projet'!$B$88,BD170+BC171-BL170)))</f>
        <v>274.2500000000004</v>
      </c>
      <c r="BE171" s="14">
        <f>BD171*VLOOKUP('Données projet'!$B$11,Paramètres!$A$1:$I$88,3,0)*VLOOKUP('Données projet'!$B$11,Paramètres!$A$1:$I$88,5,0)</f>
        <v>278.08950000000044</v>
      </c>
      <c r="BF171" s="14">
        <f t="shared" si="167"/>
        <v>66.563104571111609</v>
      </c>
      <c r="BG171" s="22">
        <f t="shared" si="168"/>
        <v>600.26995296135362</v>
      </c>
      <c r="BH171" s="60">
        <f t="shared" si="116"/>
        <v>893.603286294687</v>
      </c>
      <c r="BI171" s="60">
        <f ca="1">AVERAGE(OFFSET($BH$3,0,0,'Données projet'!$E$11+1,1))-AVERAGE(OFFSET($H$3,0,0,'Données projet'!$E$11+1,1))</f>
        <v>178.29366134936788</v>
      </c>
      <c r="BJ171" s="60">
        <f t="shared" si="146"/>
        <v>85.818195717787148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39.623828868554867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39.623828868554867</v>
      </c>
      <c r="BT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projet'!$B$12,Paramètres!$A$1:$I$88,3,0)*VLOOKUP('Données projet'!$B$12,Paramètres!$A$1:$I$88,5,0)</f>
        <v>0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104.00159056395933</v>
      </c>
      <c r="CE171" s="60">
        <f t="shared" si="148"/>
        <v>115.86489547584461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17.398995096540705</v>
      </c>
      <c r="CL171" s="23">
        <f>EXP(-LN(2)/25)*CL170+(1-EXP(-LN(2)/25))/(LN(2)/25)*Calculateur!CG171*Calculateur!CI171*VLOOKUP('Données projet'!$B$12,Paramètres!$A$1:$I$88,3,0)*0.475*44/12</f>
        <v>1.6559521816794205</v>
      </c>
      <c r="CM171" s="23">
        <f>EXP(-LN(2)/2)*CM170+(1-EXP(-LN(2)/2))/(LN(2)/2)*CG171*CJ171*VLOOKUP('Données projet'!$B$12,Paramètres!$A$1:$I$88,3,0)*0.475*44/12</f>
        <v>3.4102721359699384E-14</v>
      </c>
      <c r="CN171" s="24">
        <f t="shared" si="172"/>
        <v>19.054947278220162</v>
      </c>
      <c r="CO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projet'!$B$13,Paramètres!$A$1:$I$88,3,0)*VLOOKUP('Données projet'!$B$13,Paramètres!$A$1:$I$88,5,0)</f>
        <v>#N/A</v>
      </c>
      <c r="CV171" s="14" t="e">
        <f t="shared" si="173"/>
        <v>#N/A</v>
      </c>
      <c r="CW171" s="22" t="e">
        <f t="shared" si="174"/>
        <v>#N/A</v>
      </c>
      <c r="CX171" s="60" t="e">
        <f t="shared" si="122"/>
        <v>#N/A</v>
      </c>
      <c r="CY171" s="60" t="e">
        <f ca="1">AVERAGE(OFFSET($CX$3,0,0,'Données projet'!$E$13+1,1))-AVERAGE(OFFSET($H$3,0,0,'Données projet'!$E$13+1,1))</f>
        <v>#N/A</v>
      </c>
      <c r="CZ171" s="60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projet'!$B$13,Paramètres!$A$1:$I$88,3,0)*0.475*44/12</f>
        <v>#N/A</v>
      </c>
      <c r="DG171" s="23" t="e">
        <f>EXP(-LN(2)/25)*DG170+(1-EXP(-LN(2)/25))/(LN(2)/25)*Calculateur!DB171*Calculateur!DD171*VLOOKUP('Données projet'!$B$13,Paramètres!$A$1:$I$88,3,0)*0.475*44/12</f>
        <v>#N/A</v>
      </c>
      <c r="DH171" s="23" t="e">
        <f>EXP(-LN(2)/2)*DH170+(1-EXP(-LN(2)/2))/(LN(2)/2)*DB171*DE171*VLOOKUP('Données projet'!$B$13,Paramètres!$A$1:$I$88,3,0)*0.475*44/12</f>
        <v>#N/A</v>
      </c>
      <c r="DI171" s="24" t="e">
        <f t="shared" si="175"/>
        <v>#N/A</v>
      </c>
      <c r="DJ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0" t="e">
        <f t="shared" si="125"/>
        <v>#N/A</v>
      </c>
      <c r="DT171" s="60" t="e">
        <f ca="1">AVERAGE(OFFSET($DS$3,0,0,'Données projet'!$E$14+1,1))-AVERAGE(OFFSET($H$3,0,0,'Données projet'!$E$14+1,1))</f>
        <v>#N/A</v>
      </c>
      <c r="DU171" s="60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4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150.27479999999994</v>
      </c>
      <c r="D172" s="12">
        <f t="shared" si="140"/>
        <v>38.641028252978323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4.5474735088646412E-13</v>
      </c>
      <c r="O172" s="14">
        <f>N172*VLOOKUP('Données projet'!$B$9,Paramètres!$A$1:$I$88,3,0)*VLOOKUP('Données projet'!$B$9,Paramètres!$A$1:$I$88,5,0)</f>
        <v>2.7193891583010558E-13</v>
      </c>
      <c r="P172" s="14">
        <f t="shared" si="141"/>
        <v>3.6362267729089988E-12</v>
      </c>
      <c r="Q172" s="22">
        <f t="shared" si="162"/>
        <v>6.8067219078872727E-12</v>
      </c>
      <c r="R172" s="60">
        <f t="shared" si="109"/>
        <v>293.33333333334014</v>
      </c>
      <c r="S172" s="60">
        <f ca="1">AVERAGE(OFFSET($R$3,0,0,'Données projet'!$E$9+1,1))-AVERAGE(OFFSET($H$3,0,0,'Données projet'!$E$9+1,1))</f>
        <v>181.84907943028196</v>
      </c>
      <c r="T172" s="60">
        <f t="shared" si="142"/>
        <v>199.66849909069458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15.0246379181373</v>
      </c>
      <c r="AA172" s="23">
        <f>EXP(-LN(2)/25)*AA171+(1-EXP(-LN(2)/25))/(LN(2)/25)*Calculateur!V172*Calculateur!X172*VLOOKUP('Données projet'!$B$9,Paramètres!$A$1:$I$88,3,0)*0.475*44/12</f>
        <v>1.4800524146132079</v>
      </c>
      <c r="AB172" s="23">
        <f>EXP(-LN(2)/2)*AB171+(1-EXP(-LN(2)/2))/(LN(2)/2)*V172*Y172*VLOOKUP('Données projet'!$B$9,Paramètres!$A$1:$I$88,3,0)*0.475*44/12</f>
        <v>9.3314990161530532E-16</v>
      </c>
      <c r="AC172" s="24">
        <f t="shared" si="163"/>
        <v>16.504690332750506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projet'!$B$10,Paramètres!$A$1:$I$88,3,0)*VLOOKUP('Données projet'!$B$10,Paramètres!$A$1:$I$88,5,0)</f>
        <v>0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55.581964048431473</v>
      </c>
      <c r="AO172" s="60">
        <f t="shared" si="144"/>
        <v>91.067506141193803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2.8106935879628447</v>
      </c>
      <c r="AV172" s="23">
        <f>EXP(-LN(2)/25)*AV171+(1-EXP(-LN(2)/25))/(LN(2)/25)*Calculateur!AQ172*Calculateur!AS172*VLOOKUP('Données projet'!$B$10,Paramètres!$A$1:$I$88,3,0)*0.475*44/12</f>
        <v>0</v>
      </c>
      <c r="AW172" s="23">
        <f>EXP(-LN(2)/2)*AW171+(1-EXP(-LN(2)/2))/(LN(2)/2)*AQ172*AT172*VLOOKUP('Données projet'!$B$10,Paramètres!$A$1:$I$88,3,0)*0.475*44/12</f>
        <v>0</v>
      </c>
      <c r="AX172" s="23">
        <f t="shared" si="166"/>
        <v>2.8106935879628447</v>
      </c>
      <c r="AY172" s="7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5.083333333333333</v>
      </c>
      <c r="BD172" s="13">
        <f>IF('Données projet'!$A$88&gt;35,BD171+BC172-BL171,IF(A172&lt;'Données projet'!$A$88,$BA$205^A172,IF(A172='Données projet'!$A$88,'Données projet'!$B$88,BD171+BC172-BL171)))</f>
        <v>279.33333333333371</v>
      </c>
      <c r="BE172" s="14">
        <f>BD172*VLOOKUP('Données projet'!$B$11,Paramètres!$A$1:$I$88,3,0)*VLOOKUP('Données projet'!$B$11,Paramètres!$A$1:$I$88,5,0)</f>
        <v>283.24400000000043</v>
      </c>
      <c r="BF172" s="14">
        <f t="shared" si="167"/>
        <v>67.652099057101978</v>
      </c>
      <c r="BG172" s="22">
        <f t="shared" si="168"/>
        <v>611.14403919111999</v>
      </c>
      <c r="BH172" s="60">
        <f t="shared" si="116"/>
        <v>904.47737252445336</v>
      </c>
      <c r="BI172" s="60">
        <f ca="1">AVERAGE(OFFSET($BH$3,0,0,'Données projet'!$E$11+1,1))-AVERAGE(OFFSET($H$3,0,0,'Données projet'!$E$11+1,1))</f>
        <v>178.29366134936788</v>
      </c>
      <c r="BJ172" s="60">
        <f t="shared" si="146"/>
        <v>85.818195717787148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38.846829752591709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38.846829752591709</v>
      </c>
      <c r="BT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projet'!$B$12,Paramètres!$A$1:$I$88,3,0)*VLOOKUP('Données projet'!$B$12,Paramètres!$A$1:$I$88,5,0)</f>
        <v>0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104.00159056395933</v>
      </c>
      <c r="CE172" s="60">
        <f t="shared" si="148"/>
        <v>115.86489547584461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17.057811415036671</v>
      </c>
      <c r="CL172" s="23">
        <f>EXP(-LN(2)/25)*CL171+(1-EXP(-LN(2)/25))/(LN(2)/25)*Calculateur!CG172*Calculateur!CI172*VLOOKUP('Données projet'!$B$12,Paramètres!$A$1:$I$88,3,0)*0.475*44/12</f>
        <v>1.6106700821886561</v>
      </c>
      <c r="CM172" s="23">
        <f>EXP(-LN(2)/2)*CM171+(1-EXP(-LN(2)/2))/(LN(2)/2)*CG172*CJ172*VLOOKUP('Données projet'!$B$12,Paramètres!$A$1:$I$88,3,0)*0.475*44/12</f>
        <v>2.4114265530358753E-14</v>
      </c>
      <c r="CN172" s="24">
        <f t="shared" si="172"/>
        <v>18.668481497225351</v>
      </c>
      <c r="CO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projet'!$B$13,Paramètres!$A$1:$I$88,3,0)*VLOOKUP('Données projet'!$B$13,Paramètres!$A$1:$I$88,5,0)</f>
        <v>#N/A</v>
      </c>
      <c r="CV172" s="14" t="e">
        <f t="shared" si="173"/>
        <v>#N/A</v>
      </c>
      <c r="CW172" s="22" t="e">
        <f t="shared" si="174"/>
        <v>#N/A</v>
      </c>
      <c r="CX172" s="60" t="e">
        <f t="shared" si="122"/>
        <v>#N/A</v>
      </c>
      <c r="CY172" s="60" t="e">
        <f ca="1">AVERAGE(OFFSET($CX$3,0,0,'Données projet'!$E$13+1,1))-AVERAGE(OFFSET($H$3,0,0,'Données projet'!$E$13+1,1))</f>
        <v>#N/A</v>
      </c>
      <c r="CZ172" s="60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projet'!$B$13,Paramètres!$A$1:$I$88,3,0)*0.475*44/12</f>
        <v>#N/A</v>
      </c>
      <c r="DG172" s="23" t="e">
        <f>EXP(-LN(2)/25)*DG171+(1-EXP(-LN(2)/25))/(LN(2)/25)*Calculateur!DB172*Calculateur!DD172*VLOOKUP('Données projet'!$B$13,Paramètres!$A$1:$I$88,3,0)*0.475*44/12</f>
        <v>#N/A</v>
      </c>
      <c r="DH172" s="23" t="e">
        <f>EXP(-LN(2)/2)*DH171+(1-EXP(-LN(2)/2))/(LN(2)/2)*DB172*DE172*VLOOKUP('Données projet'!$B$13,Paramètres!$A$1:$I$88,3,0)*0.475*44/12</f>
        <v>#N/A</v>
      </c>
      <c r="DI172" s="24" t="e">
        <f t="shared" si="175"/>
        <v>#N/A</v>
      </c>
      <c r="DJ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0" t="e">
        <f t="shared" si="125"/>
        <v>#N/A</v>
      </c>
      <c r="DT172" s="60" t="e">
        <f ca="1">AVERAGE(OFFSET($DS$3,0,0,'Données projet'!$E$14+1,1))-AVERAGE(OFFSET($H$3,0,0,'Données projet'!$E$14+1,1))</f>
        <v>#N/A</v>
      </c>
      <c r="DU172" s="60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4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151.16399999999993</v>
      </c>
      <c r="D173" s="12">
        <f t="shared" si="140"/>
        <v>38.842989674159945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4.5474735088646412E-13</v>
      </c>
      <c r="O173" s="14">
        <f>N173*VLOOKUP('Données projet'!$B$9,Paramètres!$A$1:$I$88,3,0)*VLOOKUP('Données projet'!$B$9,Paramètres!$A$1:$I$88,5,0)</f>
        <v>2.7193891583010558E-13</v>
      </c>
      <c r="P173" s="14">
        <f t="shared" si="141"/>
        <v>3.6362267729089988E-12</v>
      </c>
      <c r="Q173" s="22">
        <f t="shared" si="162"/>
        <v>6.8067219078872727E-12</v>
      </c>
      <c r="R173" s="60">
        <f t="shared" si="109"/>
        <v>293.33333333334014</v>
      </c>
      <c r="S173" s="60">
        <f ca="1">AVERAGE(OFFSET($R$3,0,0,'Données projet'!$E$9+1,1))-AVERAGE(OFFSET($H$3,0,0,'Données projet'!$E$9+1,1))</f>
        <v>181.84907943028196</v>
      </c>
      <c r="T173" s="60">
        <f t="shared" si="142"/>
        <v>199.66849909069458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14.730013932686875</v>
      </c>
      <c r="AA173" s="23">
        <f>EXP(-LN(2)/25)*AA172+(1-EXP(-LN(2)/25))/(LN(2)/25)*Calculateur!V173*Calculateur!X173*VLOOKUP('Données projet'!$B$9,Paramètres!$A$1:$I$88,3,0)*0.475*44/12</f>
        <v>1.4395803035030359</v>
      </c>
      <c r="AB173" s="23">
        <f>EXP(-LN(2)/2)*AB172+(1-EXP(-LN(2)/2))/(LN(2)/2)*V173*Y173*VLOOKUP('Données projet'!$B$9,Paramètres!$A$1:$I$88,3,0)*0.475*44/12</f>
        <v>6.5983662329574205E-16</v>
      </c>
      <c r="AC173" s="24">
        <f t="shared" si="163"/>
        <v>16.169594236189912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projet'!$B$10,Paramètres!$A$1:$I$88,3,0)*VLOOKUP('Données projet'!$B$10,Paramètres!$A$1:$I$88,5,0)</f>
        <v>0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55.581964048431473</v>
      </c>
      <c r="AO173" s="60">
        <f t="shared" si="144"/>
        <v>91.067506141193803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2.7555776010567037</v>
      </c>
      <c r="AV173" s="23">
        <f>EXP(-LN(2)/25)*AV172+(1-EXP(-LN(2)/25))/(LN(2)/25)*Calculateur!AQ173*Calculateur!AS173*VLOOKUP('Données projet'!$B$10,Paramètres!$A$1:$I$88,3,0)*0.475*44/12</f>
        <v>0</v>
      </c>
      <c r="AW173" s="23">
        <f>EXP(-LN(2)/2)*AW172+(1-EXP(-LN(2)/2))/(LN(2)/2)*AQ173*AT173*VLOOKUP('Données projet'!$B$10,Paramètres!$A$1:$I$88,3,0)*0.475*44/12</f>
        <v>0</v>
      </c>
      <c r="AX173" s="23">
        <f t="shared" si="166"/>
        <v>2.7555776010567037</v>
      </c>
      <c r="AY173" s="7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5.083333333333333</v>
      </c>
      <c r="BD173" s="13">
        <f>IF('Données projet'!$A$88&gt;35,BD172+BC173-BL172,IF(A173&lt;'Données projet'!$A$88,$BA$205^A173,IF(A173='Données projet'!$A$88,'Données projet'!$B$88,BD172+BC173-BL172)))</f>
        <v>284.41666666666703</v>
      </c>
      <c r="BE173" s="14">
        <f>BD173*VLOOKUP('Données projet'!$B$11,Paramètres!$A$1:$I$88,3,0)*VLOOKUP('Données projet'!$B$11,Paramètres!$A$1:$I$88,5,0)</f>
        <v>288.39850000000035</v>
      </c>
      <c r="BF173" s="14">
        <f t="shared" si="167"/>
        <v>68.738789079053035</v>
      </c>
      <c r="BG173" s="22">
        <f t="shared" si="168"/>
        <v>622.01411181268463</v>
      </c>
      <c r="BH173" s="60">
        <f t="shared" si="116"/>
        <v>915.34744514601789</v>
      </c>
      <c r="BI173" s="60">
        <f ca="1">AVERAGE(OFFSET($BH$3,0,0,'Données projet'!$E$11+1,1))-AVERAGE(OFFSET($H$3,0,0,'Données projet'!$E$11+1,1))</f>
        <v>178.29366134936788</v>
      </c>
      <c r="BJ173" s="60">
        <f t="shared" si="146"/>
        <v>85.818195717787148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38.085067115369924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38.085067115369924</v>
      </c>
      <c r="BT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projet'!$B$12,Paramètres!$A$1:$I$88,3,0)*VLOOKUP('Données projet'!$B$12,Paramètres!$A$1:$I$88,5,0)</f>
        <v>0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104.00159056395933</v>
      </c>
      <c r="CE173" s="60">
        <f t="shared" si="148"/>
        <v>115.86489547584461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16.72331813742543</v>
      </c>
      <c r="CL173" s="23">
        <f>EXP(-LN(2)/25)*CL172+(1-EXP(-LN(2)/25))/(LN(2)/25)*Calculateur!CG173*Calculateur!CI173*VLOOKUP('Données projet'!$B$12,Paramètres!$A$1:$I$88,3,0)*0.475*44/12</f>
        <v>1.5666262240897491</v>
      </c>
      <c r="CM173" s="23">
        <f>EXP(-LN(2)/2)*CM172+(1-EXP(-LN(2)/2))/(LN(2)/2)*CG173*CJ173*VLOOKUP('Données projet'!$B$12,Paramètres!$A$1:$I$88,3,0)*0.475*44/12</f>
        <v>1.7051360679849692E-14</v>
      </c>
      <c r="CN173" s="24">
        <f t="shared" si="172"/>
        <v>18.289944361515197</v>
      </c>
      <c r="CO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projet'!$B$13,Paramètres!$A$1:$I$88,3,0)*VLOOKUP('Données projet'!$B$13,Paramètres!$A$1:$I$88,5,0)</f>
        <v>#N/A</v>
      </c>
      <c r="CV173" s="14" t="e">
        <f t="shared" si="173"/>
        <v>#N/A</v>
      </c>
      <c r="CW173" s="22" t="e">
        <f t="shared" si="174"/>
        <v>#N/A</v>
      </c>
      <c r="CX173" s="60" t="e">
        <f t="shared" si="122"/>
        <v>#N/A</v>
      </c>
      <c r="CY173" s="60" t="e">
        <f ca="1">AVERAGE(OFFSET($CX$3,0,0,'Données projet'!$E$13+1,1))-AVERAGE(OFFSET($H$3,0,0,'Données projet'!$E$13+1,1))</f>
        <v>#N/A</v>
      </c>
      <c r="CZ173" s="60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projet'!$B$13,Paramètres!$A$1:$I$88,3,0)*0.475*44/12</f>
        <v>#N/A</v>
      </c>
      <c r="DG173" s="23" t="e">
        <f>EXP(-LN(2)/25)*DG172+(1-EXP(-LN(2)/25))/(LN(2)/25)*Calculateur!DB173*Calculateur!DD173*VLOOKUP('Données projet'!$B$13,Paramètres!$A$1:$I$88,3,0)*0.475*44/12</f>
        <v>#N/A</v>
      </c>
      <c r="DH173" s="23" t="e">
        <f>EXP(-LN(2)/2)*DH172+(1-EXP(-LN(2)/2))/(LN(2)/2)*DB173*DE173*VLOOKUP('Données projet'!$B$13,Paramètres!$A$1:$I$88,3,0)*0.475*44/12</f>
        <v>#N/A</v>
      </c>
      <c r="DI173" s="24" t="e">
        <f t="shared" si="175"/>
        <v>#N/A</v>
      </c>
      <c r="DJ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0" t="e">
        <f t="shared" si="125"/>
        <v>#N/A</v>
      </c>
      <c r="DT173" s="60" t="e">
        <f ca="1">AVERAGE(OFFSET($DS$3,0,0,'Données projet'!$E$14+1,1))-AVERAGE(OFFSET($H$3,0,0,'Données projet'!$E$14+1,1))</f>
        <v>#N/A</v>
      </c>
      <c r="DU173" s="60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4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152.05319999999992</v>
      </c>
      <c r="D174" s="12">
        <f t="shared" si="140"/>
        <v>39.044812857656339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4.5474735088646412E-13</v>
      </c>
      <c r="O174" s="14">
        <f>N174*VLOOKUP('Données projet'!$B$9,Paramètres!$A$1:$I$88,3,0)*VLOOKUP('Données projet'!$B$9,Paramètres!$A$1:$I$88,5,0)</f>
        <v>2.7193891583010558E-13</v>
      </c>
      <c r="P174" s="14">
        <f t="shared" si="141"/>
        <v>3.6362267729089988E-12</v>
      </c>
      <c r="Q174" s="22">
        <f t="shared" si="162"/>
        <v>6.8067219078872727E-12</v>
      </c>
      <c r="R174" s="60">
        <f t="shared" si="109"/>
        <v>293.33333333334014</v>
      </c>
      <c r="S174" s="60">
        <f ca="1">AVERAGE(OFFSET($R$3,0,0,'Données projet'!$E$9+1,1))-AVERAGE(OFFSET($H$3,0,0,'Données projet'!$E$9+1,1))</f>
        <v>181.84907943028196</v>
      </c>
      <c r="T174" s="60">
        <f t="shared" si="142"/>
        <v>199.66849909069458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14.441167343888246</v>
      </c>
      <c r="AA174" s="23">
        <f>EXP(-LN(2)/25)*AA173+(1-EXP(-LN(2)/25))/(LN(2)/25)*Calculateur!V174*Calculateur!X174*VLOOKUP('Données projet'!$B$9,Paramètres!$A$1:$I$88,3,0)*0.475*44/12</f>
        <v>1.4002149043995074</v>
      </c>
      <c r="AB174" s="23">
        <f>EXP(-LN(2)/2)*AB173+(1-EXP(-LN(2)/2))/(LN(2)/2)*V174*Y174*VLOOKUP('Données projet'!$B$9,Paramètres!$A$1:$I$88,3,0)*0.475*44/12</f>
        <v>4.6657495080765266E-16</v>
      </c>
      <c r="AC174" s="24">
        <f t="shared" si="163"/>
        <v>15.841382248287754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projet'!$B$10,Paramètres!$A$1:$I$88,3,0)*VLOOKUP('Données projet'!$B$10,Paramètres!$A$1:$I$88,5,0)</f>
        <v>0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55.581964048431473</v>
      </c>
      <c r="AO174" s="60">
        <f t="shared" si="144"/>
        <v>91.067506141193803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2.7015424050363595</v>
      </c>
      <c r="AV174" s="23">
        <f>EXP(-LN(2)/25)*AV173+(1-EXP(-LN(2)/25))/(LN(2)/25)*Calculateur!AQ174*Calculateur!AS174*VLOOKUP('Données projet'!$B$10,Paramètres!$A$1:$I$88,3,0)*0.475*44/12</f>
        <v>0</v>
      </c>
      <c r="AW174" s="23">
        <f>EXP(-LN(2)/2)*AW173+(1-EXP(-LN(2)/2))/(LN(2)/2)*AQ174*AT174*VLOOKUP('Données projet'!$B$10,Paramètres!$A$1:$I$88,3,0)*0.475*44/12</f>
        <v>0</v>
      </c>
      <c r="AX174" s="23">
        <f t="shared" si="166"/>
        <v>2.7015424050363595</v>
      </c>
      <c r="AY174" s="7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5.083333333333333</v>
      </c>
      <c r="BD174" s="13">
        <f>IF('Données projet'!$A$88&gt;35,BD173+BC174-BL173,IF(A174&lt;'Données projet'!$A$88,$BA$205^A174,IF(A174='Données projet'!$A$88,'Données projet'!$B$88,BD173+BC174-BL173)))</f>
        <v>289.50000000000034</v>
      </c>
      <c r="BE174" s="14">
        <f>BD174*VLOOKUP('Données projet'!$B$11,Paramètres!$A$1:$I$88,3,0)*VLOOKUP('Données projet'!$B$11,Paramètres!$A$1:$I$88,5,0)</f>
        <v>293.5530000000004</v>
      </c>
      <c r="BF174" s="14">
        <f t="shared" si="167"/>
        <v>69.823220575617782</v>
      </c>
      <c r="BG174" s="22">
        <f t="shared" si="168"/>
        <v>632.88025083586831</v>
      </c>
      <c r="BH174" s="60">
        <f t="shared" si="116"/>
        <v>926.21358416920157</v>
      </c>
      <c r="BI174" s="60">
        <f ca="1">AVERAGE(OFFSET($BH$3,0,0,'Données projet'!$E$11+1,1))-AVERAGE(OFFSET($H$3,0,0,'Données projet'!$E$11+1,1))</f>
        <v>178.29366134936788</v>
      </c>
      <c r="BJ174" s="60">
        <f t="shared" si="146"/>
        <v>85.818195717787148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37.338242178834726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37.338242178834726</v>
      </c>
      <c r="BT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projet'!$B$12,Paramètres!$A$1:$I$88,3,0)*VLOOKUP('Données projet'!$B$12,Paramètres!$A$1:$I$88,5,0)</f>
        <v>0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104.00159056395933</v>
      </c>
      <c r="CE174" s="60">
        <f t="shared" si="148"/>
        <v>115.86489547584461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16.395384068967392</v>
      </c>
      <c r="CL174" s="23">
        <f>EXP(-LN(2)/25)*CL173+(1-EXP(-LN(2)/25))/(LN(2)/25)*Calculateur!CG174*Calculateur!CI174*VLOOKUP('Données projet'!$B$12,Paramètres!$A$1:$I$88,3,0)*0.475*44/12</f>
        <v>1.5237867476067224</v>
      </c>
      <c r="CM174" s="23">
        <f>EXP(-LN(2)/2)*CM173+(1-EXP(-LN(2)/2))/(LN(2)/2)*CG174*CJ174*VLOOKUP('Données projet'!$B$12,Paramètres!$A$1:$I$88,3,0)*0.475*44/12</f>
        <v>1.2057132765179377E-14</v>
      </c>
      <c r="CN174" s="24">
        <f t="shared" si="172"/>
        <v>17.919170816574123</v>
      </c>
      <c r="CO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projet'!$B$13,Paramètres!$A$1:$I$88,3,0)*VLOOKUP('Données projet'!$B$13,Paramètres!$A$1:$I$88,5,0)</f>
        <v>#N/A</v>
      </c>
      <c r="CV174" s="14" t="e">
        <f t="shared" si="173"/>
        <v>#N/A</v>
      </c>
      <c r="CW174" s="22" t="e">
        <f t="shared" si="174"/>
        <v>#N/A</v>
      </c>
      <c r="CX174" s="60" t="e">
        <f t="shared" si="122"/>
        <v>#N/A</v>
      </c>
      <c r="CY174" s="60" t="e">
        <f ca="1">AVERAGE(OFFSET($CX$3,0,0,'Données projet'!$E$13+1,1))-AVERAGE(OFFSET($H$3,0,0,'Données projet'!$E$13+1,1))</f>
        <v>#N/A</v>
      </c>
      <c r="CZ174" s="60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projet'!$B$13,Paramètres!$A$1:$I$88,3,0)*0.475*44/12</f>
        <v>#N/A</v>
      </c>
      <c r="DG174" s="23" t="e">
        <f>EXP(-LN(2)/25)*DG173+(1-EXP(-LN(2)/25))/(LN(2)/25)*Calculateur!DB174*Calculateur!DD174*VLOOKUP('Données projet'!$B$13,Paramètres!$A$1:$I$88,3,0)*0.475*44/12</f>
        <v>#N/A</v>
      </c>
      <c r="DH174" s="23" t="e">
        <f>EXP(-LN(2)/2)*DH173+(1-EXP(-LN(2)/2))/(LN(2)/2)*DB174*DE174*VLOOKUP('Données projet'!$B$13,Paramètres!$A$1:$I$88,3,0)*0.475*44/12</f>
        <v>#N/A</v>
      </c>
      <c r="DI174" s="24" t="e">
        <f t="shared" si="175"/>
        <v>#N/A</v>
      </c>
      <c r="DJ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0" t="e">
        <f t="shared" si="125"/>
        <v>#N/A</v>
      </c>
      <c r="DT174" s="60" t="e">
        <f ca="1">AVERAGE(OFFSET($DS$3,0,0,'Données projet'!$E$14+1,1))-AVERAGE(OFFSET($H$3,0,0,'Données projet'!$E$14+1,1))</f>
        <v>#N/A</v>
      </c>
      <c r="DU174" s="60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4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152.94239999999991</v>
      </c>
      <c r="D175" s="12">
        <f t="shared" si="140"/>
        <v>39.246498705676842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4.5474735088646412E-13</v>
      </c>
      <c r="O175" s="14">
        <f>N175*VLOOKUP('Données projet'!$B$9,Paramètres!$A$1:$I$88,3,0)*VLOOKUP('Données projet'!$B$9,Paramètres!$A$1:$I$88,5,0)</f>
        <v>2.7193891583010558E-13</v>
      </c>
      <c r="P175" s="14">
        <f t="shared" si="141"/>
        <v>3.6362267729089988E-12</v>
      </c>
      <c r="Q175" s="22">
        <f t="shared" si="162"/>
        <v>6.8067219078872727E-12</v>
      </c>
      <c r="R175" s="60">
        <f t="shared" si="109"/>
        <v>293.33333333334014</v>
      </c>
      <c r="S175" s="60">
        <f ca="1">AVERAGE(OFFSET($R$3,0,0,'Données projet'!$E$9+1,1))-AVERAGE(OFFSET($H$3,0,0,'Données projet'!$E$9+1,1))</f>
        <v>181.84907943028196</v>
      </c>
      <c r="T175" s="60">
        <f t="shared" si="142"/>
        <v>199.66849909069458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14.157984860516935</v>
      </c>
      <c r="AA175" s="23">
        <f>EXP(-LN(2)/25)*AA174+(1-EXP(-LN(2)/25))/(LN(2)/25)*Calculateur!V175*Calculateur!X175*VLOOKUP('Données projet'!$B$9,Paramètres!$A$1:$I$88,3,0)*0.475*44/12</f>
        <v>1.3619259542046012</v>
      </c>
      <c r="AB175" s="23">
        <f>EXP(-LN(2)/2)*AB174+(1-EXP(-LN(2)/2))/(LN(2)/2)*V175*Y175*VLOOKUP('Données projet'!$B$9,Paramètres!$A$1:$I$88,3,0)*0.475*44/12</f>
        <v>3.2991831164787102E-16</v>
      </c>
      <c r="AC175" s="24">
        <f t="shared" si="163"/>
        <v>15.519910814721536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projet'!$B$10,Paramètres!$A$1:$I$88,3,0)*VLOOKUP('Données projet'!$B$10,Paramètres!$A$1:$I$88,5,0)</f>
        <v>0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55.581964048431473</v>
      </c>
      <c r="AO175" s="60">
        <f t="shared" si="144"/>
        <v>91.067506141193803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2.6485668062517589</v>
      </c>
      <c r="AV175" s="23">
        <f>EXP(-LN(2)/25)*AV174+(1-EXP(-LN(2)/25))/(LN(2)/25)*Calculateur!AQ175*Calculateur!AS175*VLOOKUP('Données projet'!$B$10,Paramètres!$A$1:$I$88,3,0)*0.475*44/12</f>
        <v>0</v>
      </c>
      <c r="AW175" s="23">
        <f>EXP(-LN(2)/2)*AW174+(1-EXP(-LN(2)/2))/(LN(2)/2)*AQ175*AT175*VLOOKUP('Données projet'!$B$10,Paramètres!$A$1:$I$88,3,0)*0.475*44/12</f>
        <v>0</v>
      </c>
      <c r="AX175" s="23">
        <f t="shared" si="166"/>
        <v>2.6485668062517589</v>
      </c>
      <c r="AY175" s="7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5.083333333333333</v>
      </c>
      <c r="BD175" s="13">
        <f>IF('Données projet'!$A$88&gt;35,BD174+BC175-BL174,IF(A175&lt;'Données projet'!$A$88,$BA$205^A175,IF(A175='Données projet'!$A$88,'Données projet'!$B$88,BD174+BC175-BL174)))</f>
        <v>294.58333333333366</v>
      </c>
      <c r="BE175" s="14">
        <f>BD175*VLOOKUP('Données projet'!$B$11,Paramètres!$A$1:$I$88,3,0)*VLOOKUP('Données projet'!$B$11,Paramètres!$A$1:$I$88,5,0)</f>
        <v>298.70750000000032</v>
      </c>
      <c r="BF175" s="14">
        <f t="shared" si="167"/>
        <v>70.905437779763375</v>
      </c>
      <c r="BG175" s="22">
        <f t="shared" si="168"/>
        <v>643.74253329975511</v>
      </c>
      <c r="BH175" s="60">
        <f t="shared" si="116"/>
        <v>937.07586663308848</v>
      </c>
      <c r="BI175" s="60">
        <f ca="1">AVERAGE(OFFSET($BH$3,0,0,'Données projet'!$E$11+1,1))-AVERAGE(OFFSET($H$3,0,0,'Données projet'!$E$11+1,1))</f>
        <v>178.29366134936788</v>
      </c>
      <c r="BJ175" s="60">
        <f t="shared" si="146"/>
        <v>85.818195717787148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36.606062023786755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36.606062023786755</v>
      </c>
      <c r="BT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projet'!$B$12,Paramètres!$A$1:$I$88,3,0)*VLOOKUP('Données projet'!$B$12,Paramètres!$A$1:$I$88,5,0)</f>
        <v>0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104.00159056395933</v>
      </c>
      <c r="CE175" s="60">
        <f t="shared" si="148"/>
        <v>115.86489547584461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16.073880587571786</v>
      </c>
      <c r="CL175" s="23">
        <f>EXP(-LN(2)/25)*CL174+(1-EXP(-LN(2)/25))/(LN(2)/25)*Calculateur!CG175*Calculateur!CI175*VLOOKUP('Données projet'!$B$12,Paramètres!$A$1:$I$88,3,0)*0.475*44/12</f>
        <v>1.4821187188609541</v>
      </c>
      <c r="CM175" s="23">
        <f>EXP(-LN(2)/2)*CM174+(1-EXP(-LN(2)/2))/(LN(2)/2)*CG175*CJ175*VLOOKUP('Données projet'!$B$12,Paramètres!$A$1:$I$88,3,0)*0.475*44/12</f>
        <v>8.5256803399248461E-15</v>
      </c>
      <c r="CN175" s="24">
        <f t="shared" si="172"/>
        <v>17.555999306432746</v>
      </c>
      <c r="CO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projet'!$B$13,Paramètres!$A$1:$I$88,3,0)*VLOOKUP('Données projet'!$B$13,Paramètres!$A$1:$I$88,5,0)</f>
        <v>#N/A</v>
      </c>
      <c r="CV175" s="14" t="e">
        <f t="shared" si="173"/>
        <v>#N/A</v>
      </c>
      <c r="CW175" s="22" t="e">
        <f t="shared" si="174"/>
        <v>#N/A</v>
      </c>
      <c r="CX175" s="60" t="e">
        <f t="shared" si="122"/>
        <v>#N/A</v>
      </c>
      <c r="CY175" s="60" t="e">
        <f ca="1">AVERAGE(OFFSET($CX$3,0,0,'Données projet'!$E$13+1,1))-AVERAGE(OFFSET($H$3,0,0,'Données projet'!$E$13+1,1))</f>
        <v>#N/A</v>
      </c>
      <c r="CZ175" s="60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projet'!$B$13,Paramètres!$A$1:$I$88,3,0)*0.475*44/12</f>
        <v>#N/A</v>
      </c>
      <c r="DG175" s="23" t="e">
        <f>EXP(-LN(2)/25)*DG174+(1-EXP(-LN(2)/25))/(LN(2)/25)*Calculateur!DB175*Calculateur!DD175*VLOOKUP('Données projet'!$B$13,Paramètres!$A$1:$I$88,3,0)*0.475*44/12</f>
        <v>#N/A</v>
      </c>
      <c r="DH175" s="23" t="e">
        <f>EXP(-LN(2)/2)*DH174+(1-EXP(-LN(2)/2))/(LN(2)/2)*DB175*DE175*VLOOKUP('Données projet'!$B$13,Paramètres!$A$1:$I$88,3,0)*0.475*44/12</f>
        <v>#N/A</v>
      </c>
      <c r="DI175" s="24" t="e">
        <f t="shared" si="175"/>
        <v>#N/A</v>
      </c>
      <c r="DJ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0" t="e">
        <f t="shared" si="125"/>
        <v>#N/A</v>
      </c>
      <c r="DT175" s="60" t="e">
        <f ca="1">AVERAGE(OFFSET($DS$3,0,0,'Données projet'!$E$14+1,1))-AVERAGE(OFFSET($H$3,0,0,'Données projet'!$E$14+1,1))</f>
        <v>#N/A</v>
      </c>
      <c r="DU175" s="60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4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153.8315999999999</v>
      </c>
      <c r="D176" s="12">
        <f t="shared" si="140"/>
        <v>39.448048109333072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4.5474735088646412E-13</v>
      </c>
      <c r="O176" s="14">
        <f>N176*VLOOKUP('Données projet'!$B$9,Paramètres!$A$1:$I$88,3,0)*VLOOKUP('Données projet'!$B$9,Paramètres!$A$1:$I$88,5,0)</f>
        <v>2.7193891583010558E-13</v>
      </c>
      <c r="P176" s="14">
        <f t="shared" si="141"/>
        <v>3.6362267729089988E-12</v>
      </c>
      <c r="Q176" s="22">
        <f t="shared" si="162"/>
        <v>6.8067219078872727E-12</v>
      </c>
      <c r="R176" s="60">
        <f t="shared" si="109"/>
        <v>293.33333333334014</v>
      </c>
      <c r="S176" s="60">
        <f ca="1">AVERAGE(OFFSET($R$3,0,0,'Données projet'!$E$9+1,1))-AVERAGE(OFFSET($H$3,0,0,'Données projet'!$E$9+1,1))</f>
        <v>181.84907943028196</v>
      </c>
      <c r="T176" s="60">
        <f t="shared" si="142"/>
        <v>199.66849909069458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13.880355412920276</v>
      </c>
      <c r="AA176" s="23">
        <f>EXP(-LN(2)/25)*AA175+(1-EXP(-LN(2)/25))/(LN(2)/25)*Calculateur!V176*Calculateur!X176*VLOOKUP('Données projet'!$B$9,Paramètres!$A$1:$I$88,3,0)*0.475*44/12</f>
        <v>1.324684017366303</v>
      </c>
      <c r="AB176" s="23">
        <f>EXP(-LN(2)/2)*AB175+(1-EXP(-LN(2)/2))/(LN(2)/2)*V176*Y176*VLOOKUP('Données projet'!$B$9,Paramètres!$A$1:$I$88,3,0)*0.475*44/12</f>
        <v>2.3328747540382633E-16</v>
      </c>
      <c r="AC176" s="24">
        <f t="shared" si="163"/>
        <v>15.205039430286579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projet'!$B$10,Paramètres!$A$1:$I$88,3,0)*VLOOKUP('Données projet'!$B$10,Paramètres!$A$1:$I$88,5,0)</f>
        <v>0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55.581964048431473</v>
      </c>
      <c r="AO176" s="60">
        <f t="shared" si="144"/>
        <v>91.067506141193803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2.5966300266473996</v>
      </c>
      <c r="AV176" s="23">
        <f>EXP(-LN(2)/25)*AV175+(1-EXP(-LN(2)/25))/(LN(2)/25)*Calculateur!AQ176*Calculateur!AS176*VLOOKUP('Données projet'!$B$10,Paramètres!$A$1:$I$88,3,0)*0.475*44/12</f>
        <v>0</v>
      </c>
      <c r="AW176" s="23">
        <f>EXP(-LN(2)/2)*AW175+(1-EXP(-LN(2)/2))/(LN(2)/2)*AQ176*AT176*VLOOKUP('Données projet'!$B$10,Paramètres!$A$1:$I$88,3,0)*0.475*44/12</f>
        <v>0</v>
      </c>
      <c r="AX176" s="23">
        <f t="shared" si="166"/>
        <v>2.5966300266473996</v>
      </c>
      <c r="AY176" s="7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5.083333333333333</v>
      </c>
      <c r="BD176" s="13">
        <f>IF('Données projet'!$A$88&gt;35,BD175+BC176-BL175,IF(A176&lt;'Données projet'!$A$88,$BA$205^A176,IF(A176='Données projet'!$A$88,'Données projet'!$B$88,BD175+BC176-BL175)))</f>
        <v>299.66666666666697</v>
      </c>
      <c r="BE176" s="14">
        <f>BD176*VLOOKUP('Données projet'!$B$11,Paramètres!$A$1:$I$88,3,0)*VLOOKUP('Données projet'!$B$11,Paramètres!$A$1:$I$88,5,0)</f>
        <v>303.86200000000031</v>
      </c>
      <c r="BF176" s="14">
        <f t="shared" si="167"/>
        <v>71.985483310423106</v>
      </c>
      <c r="BG176" s="22">
        <f t="shared" si="168"/>
        <v>654.60103343232061</v>
      </c>
      <c r="BH176" s="60">
        <f t="shared" si="116"/>
        <v>947.93436676565398</v>
      </c>
      <c r="BI176" s="60">
        <f ca="1">AVERAGE(OFFSET($BH$3,0,0,'Données projet'!$E$11+1,1))-AVERAGE(OFFSET($H$3,0,0,'Données projet'!$E$11+1,1))</f>
        <v>178.29366134936788</v>
      </c>
      <c r="BJ176" s="60">
        <f t="shared" si="146"/>
        <v>85.818195717787148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35.888239474993476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35.888239474993476</v>
      </c>
      <c r="BT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projet'!$B$12,Paramètres!$A$1:$I$88,3,0)*VLOOKUP('Données projet'!$B$12,Paramètres!$A$1:$I$88,5,0)</f>
        <v>0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104.00159056395933</v>
      </c>
      <c r="CE176" s="60">
        <f t="shared" si="148"/>
        <v>115.86489547584461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15.758681593348587</v>
      </c>
      <c r="CL176" s="23">
        <f>EXP(-LN(2)/25)*CL175+(1-EXP(-LN(2)/25))/(LN(2)/25)*Calculateur!CG176*Calculateur!CI176*VLOOKUP('Données projet'!$B$12,Paramètres!$A$1:$I$88,3,0)*0.475*44/12</f>
        <v>1.4415901045524653</v>
      </c>
      <c r="CM176" s="23">
        <f>EXP(-LN(2)/2)*CM175+(1-EXP(-LN(2)/2))/(LN(2)/2)*CG176*CJ176*VLOOKUP('Données projet'!$B$12,Paramètres!$A$1:$I$88,3,0)*0.475*44/12</f>
        <v>6.0285663825896883E-15</v>
      </c>
      <c r="CN176" s="24">
        <f t="shared" si="172"/>
        <v>17.200271697901059</v>
      </c>
      <c r="CO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projet'!$B$13,Paramètres!$A$1:$I$88,3,0)*VLOOKUP('Données projet'!$B$13,Paramètres!$A$1:$I$88,5,0)</f>
        <v>#N/A</v>
      </c>
      <c r="CV176" s="14" t="e">
        <f t="shared" si="173"/>
        <v>#N/A</v>
      </c>
      <c r="CW176" s="22" t="e">
        <f t="shared" si="174"/>
        <v>#N/A</v>
      </c>
      <c r="CX176" s="60" t="e">
        <f t="shared" si="122"/>
        <v>#N/A</v>
      </c>
      <c r="CY176" s="60" t="e">
        <f ca="1">AVERAGE(OFFSET($CX$3,0,0,'Données projet'!$E$13+1,1))-AVERAGE(OFFSET($H$3,0,0,'Données projet'!$E$13+1,1))</f>
        <v>#N/A</v>
      </c>
      <c r="CZ176" s="60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projet'!$B$13,Paramètres!$A$1:$I$88,3,0)*0.475*44/12</f>
        <v>#N/A</v>
      </c>
      <c r="DG176" s="23" t="e">
        <f>EXP(-LN(2)/25)*DG175+(1-EXP(-LN(2)/25))/(LN(2)/25)*Calculateur!DB176*Calculateur!DD176*VLOOKUP('Données projet'!$B$13,Paramètres!$A$1:$I$88,3,0)*0.475*44/12</f>
        <v>#N/A</v>
      </c>
      <c r="DH176" s="23" t="e">
        <f>EXP(-LN(2)/2)*DH175+(1-EXP(-LN(2)/2))/(LN(2)/2)*DB176*DE176*VLOOKUP('Données projet'!$B$13,Paramètres!$A$1:$I$88,3,0)*0.475*44/12</f>
        <v>#N/A</v>
      </c>
      <c r="DI176" s="24" t="e">
        <f t="shared" si="175"/>
        <v>#N/A</v>
      </c>
      <c r="DJ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0" t="e">
        <f t="shared" si="125"/>
        <v>#N/A</v>
      </c>
      <c r="DT176" s="60" t="e">
        <f ca="1">AVERAGE(OFFSET($DS$3,0,0,'Données projet'!$E$14+1,1))-AVERAGE(OFFSET($H$3,0,0,'Données projet'!$E$14+1,1))</f>
        <v>#N/A</v>
      </c>
      <c r="DU176" s="60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4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154.72079999999988</v>
      </c>
      <c r="D177" s="12">
        <f t="shared" si="140"/>
        <v>39.649461948838557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4.5474735088646412E-13</v>
      </c>
      <c r="O177" s="14">
        <f>N177*VLOOKUP('Données projet'!$B$9,Paramètres!$A$1:$I$88,3,0)*VLOOKUP('Données projet'!$B$9,Paramètres!$A$1:$I$88,5,0)</f>
        <v>2.7193891583010558E-13</v>
      </c>
      <c r="P177" s="14">
        <f t="shared" si="141"/>
        <v>3.6362267729089988E-12</v>
      </c>
      <c r="Q177" s="22">
        <f t="shared" si="162"/>
        <v>6.8067219078872727E-12</v>
      </c>
      <c r="R177" s="60">
        <f t="shared" si="109"/>
        <v>293.33333333334014</v>
      </c>
      <c r="S177" s="60">
        <f ca="1">AVERAGE(OFFSET($R$3,0,0,'Données projet'!$E$9+1,1))-AVERAGE(OFFSET($H$3,0,0,'Données projet'!$E$9+1,1))</f>
        <v>181.84907943028196</v>
      </c>
      <c r="T177" s="60">
        <f t="shared" si="142"/>
        <v>199.66849909069458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13.608170109453745</v>
      </c>
      <c r="AA177" s="23">
        <f>EXP(-LN(2)/25)*AA176+(1-EXP(-LN(2)/25))/(LN(2)/25)*Calculateur!V177*Calculateur!X177*VLOOKUP('Données projet'!$B$9,Paramètres!$A$1:$I$88,3,0)*0.475*44/12</f>
        <v>1.2884604632493166</v>
      </c>
      <c r="AB177" s="23">
        <f>EXP(-LN(2)/2)*AB176+(1-EXP(-LN(2)/2))/(LN(2)/2)*V177*Y177*VLOOKUP('Données projet'!$B$9,Paramètres!$A$1:$I$88,3,0)*0.475*44/12</f>
        <v>1.6495915582393551E-16</v>
      </c>
      <c r="AC177" s="24">
        <f t="shared" si="163"/>
        <v>14.896630572703062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projet'!$B$10,Paramètres!$A$1:$I$88,3,0)*VLOOKUP('Données projet'!$B$10,Paramètres!$A$1:$I$88,5,0)</f>
        <v>0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55.581964048431473</v>
      </c>
      <c r="AO177" s="60">
        <f t="shared" si="144"/>
        <v>91.067506141193803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2.5457116956127743</v>
      </c>
      <c r="AV177" s="23">
        <f>EXP(-LN(2)/25)*AV176+(1-EXP(-LN(2)/25))/(LN(2)/25)*Calculateur!AQ177*Calculateur!AS177*VLOOKUP('Données projet'!$B$10,Paramètres!$A$1:$I$88,3,0)*0.475*44/12</f>
        <v>0</v>
      </c>
      <c r="AW177" s="23">
        <f>EXP(-LN(2)/2)*AW176+(1-EXP(-LN(2)/2))/(LN(2)/2)*AQ177*AT177*VLOOKUP('Données projet'!$B$10,Paramètres!$A$1:$I$88,3,0)*0.475*44/12</f>
        <v>0</v>
      </c>
      <c r="AX177" s="23">
        <f t="shared" si="166"/>
        <v>2.5457116956127743</v>
      </c>
      <c r="AY177" s="7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5.083333333333333</v>
      </c>
      <c r="BD177" s="13">
        <f>IF('Données projet'!$A$88&gt;35,BD176+BC177-BL176,IF(A177&lt;'Données projet'!$A$88,$BA$205^A177,IF(A177='Données projet'!$A$88,'Données projet'!$B$88,BD176+BC177-BL176)))</f>
        <v>304.75000000000028</v>
      </c>
      <c r="BE177" s="14">
        <f>BD177*VLOOKUP('Données projet'!$B$11,Paramètres!$A$1:$I$88,3,0)*VLOOKUP('Données projet'!$B$11,Paramètres!$A$1:$I$88,5,0)</f>
        <v>309.01650000000035</v>
      </c>
      <c r="BF177" s="14">
        <f t="shared" si="167"/>
        <v>73.063398257753391</v>
      </c>
      <c r="BG177" s="22">
        <f t="shared" si="168"/>
        <v>665.45582279892108</v>
      </c>
      <c r="BH177" s="60">
        <f t="shared" si="116"/>
        <v>958.78915613225445</v>
      </c>
      <c r="BI177" s="60">
        <f ca="1">AVERAGE(OFFSET($BH$3,0,0,'Données projet'!$E$11+1,1))-AVERAGE(OFFSET($H$3,0,0,'Données projet'!$E$11+1,1))</f>
        <v>178.29366134936788</v>
      </c>
      <c r="BJ177" s="60">
        <f t="shared" si="146"/>
        <v>85.818195717787148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35.184492988553508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35.184492988553508</v>
      </c>
      <c r="BT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projet'!$B$12,Paramètres!$A$1:$I$88,3,0)*VLOOKUP('Données projet'!$B$12,Paramètres!$A$1:$I$88,5,0)</f>
        <v>0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104.00159056395933</v>
      </c>
      <c r="CE177" s="60">
        <f t="shared" si="148"/>
        <v>115.86489547584461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15.449663459149702</v>
      </c>
      <c r="CL177" s="23">
        <f>EXP(-LN(2)/25)*CL176+(1-EXP(-LN(2)/25))/(LN(2)/25)*Calculateur!CG177*Calculateur!CI177*VLOOKUP('Données projet'!$B$12,Paramètres!$A$1:$I$88,3,0)*0.475*44/12</f>
        <v>1.4021697473335493</v>
      </c>
      <c r="CM177" s="23">
        <f>EXP(-LN(2)/2)*CM176+(1-EXP(-LN(2)/2))/(LN(2)/2)*CG177*CJ177*VLOOKUP('Données projet'!$B$12,Paramètres!$A$1:$I$88,3,0)*0.475*44/12</f>
        <v>4.262840169962423E-15</v>
      </c>
      <c r="CN177" s="24">
        <f t="shared" si="172"/>
        <v>16.851833206483256</v>
      </c>
      <c r="CO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projet'!$B$13,Paramètres!$A$1:$I$88,3,0)*VLOOKUP('Données projet'!$B$13,Paramètres!$A$1:$I$88,5,0)</f>
        <v>#N/A</v>
      </c>
      <c r="CV177" s="14" t="e">
        <f t="shared" si="173"/>
        <v>#N/A</v>
      </c>
      <c r="CW177" s="22" t="e">
        <f t="shared" si="174"/>
        <v>#N/A</v>
      </c>
      <c r="CX177" s="60" t="e">
        <f t="shared" si="122"/>
        <v>#N/A</v>
      </c>
      <c r="CY177" s="60" t="e">
        <f ca="1">AVERAGE(OFFSET($CX$3,0,0,'Données projet'!$E$13+1,1))-AVERAGE(OFFSET($H$3,0,0,'Données projet'!$E$13+1,1))</f>
        <v>#N/A</v>
      </c>
      <c r="CZ177" s="60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projet'!$B$13,Paramètres!$A$1:$I$88,3,0)*0.475*44/12</f>
        <v>#N/A</v>
      </c>
      <c r="DG177" s="23" t="e">
        <f>EXP(-LN(2)/25)*DG176+(1-EXP(-LN(2)/25))/(LN(2)/25)*Calculateur!DB177*Calculateur!DD177*VLOOKUP('Données projet'!$B$13,Paramètres!$A$1:$I$88,3,0)*0.475*44/12</f>
        <v>#N/A</v>
      </c>
      <c r="DH177" s="23" t="e">
        <f>EXP(-LN(2)/2)*DH176+(1-EXP(-LN(2)/2))/(LN(2)/2)*DB177*DE177*VLOOKUP('Données projet'!$B$13,Paramètres!$A$1:$I$88,3,0)*0.475*44/12</f>
        <v>#N/A</v>
      </c>
      <c r="DI177" s="24" t="e">
        <f t="shared" si="175"/>
        <v>#N/A</v>
      </c>
      <c r="DJ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0" t="e">
        <f t="shared" si="125"/>
        <v>#N/A</v>
      </c>
      <c r="DT177" s="60" t="e">
        <f ca="1">AVERAGE(OFFSET($DS$3,0,0,'Données projet'!$E$14+1,1))-AVERAGE(OFFSET($H$3,0,0,'Données projet'!$E$14+1,1))</f>
        <v>#N/A</v>
      </c>
      <c r="DU177" s="60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4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155.60999999999987</v>
      </c>
      <c r="D178" s="12">
        <f t="shared" si="140"/>
        <v>39.850741093704151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4.5474735088646412E-13</v>
      </c>
      <c r="O178" s="14">
        <f>N178*VLOOKUP('Données projet'!$B$9,Paramètres!$A$1:$I$88,3,0)*VLOOKUP('Données projet'!$B$9,Paramètres!$A$1:$I$88,5,0)</f>
        <v>2.7193891583010558E-13</v>
      </c>
      <c r="P178" s="14">
        <f t="shared" si="141"/>
        <v>3.6362267729089988E-12</v>
      </c>
      <c r="Q178" s="22">
        <f t="shared" si="162"/>
        <v>6.8067219078872727E-12</v>
      </c>
      <c r="R178" s="60">
        <f t="shared" si="109"/>
        <v>293.33333333334014</v>
      </c>
      <c r="S178" s="60">
        <f ca="1">AVERAGE(OFFSET($R$3,0,0,'Données projet'!$E$9+1,1))-AVERAGE(OFFSET($H$3,0,0,'Données projet'!$E$9+1,1))</f>
        <v>181.84907943028196</v>
      </c>
      <c r="T178" s="60">
        <f t="shared" si="142"/>
        <v>199.66849909069458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13.341322193771552</v>
      </c>
      <c r="AA178" s="23">
        <f>EXP(-LN(2)/25)*AA177+(1-EXP(-LN(2)/25))/(LN(2)/25)*Calculateur!V178*Calculateur!X178*VLOOKUP('Données projet'!$B$9,Paramètres!$A$1:$I$88,3,0)*0.475*44/12</f>
        <v>1.2532274441245732</v>
      </c>
      <c r="AB178" s="23">
        <f>EXP(-LN(2)/2)*AB177+(1-EXP(-LN(2)/2))/(LN(2)/2)*V178*Y178*VLOOKUP('Données projet'!$B$9,Paramètres!$A$1:$I$88,3,0)*0.475*44/12</f>
        <v>1.1664373770191316E-16</v>
      </c>
      <c r="AC178" s="24">
        <f t="shared" si="163"/>
        <v>14.594549637896124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projet'!$B$10,Paramètres!$A$1:$I$88,3,0)*VLOOKUP('Données projet'!$B$10,Paramètres!$A$1:$I$88,5,0)</f>
        <v>0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55.581964048431473</v>
      </c>
      <c r="AO178" s="60">
        <f t="shared" si="144"/>
        <v>91.067506141193803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2.4957918419926228</v>
      </c>
      <c r="AV178" s="23">
        <f>EXP(-LN(2)/25)*AV177+(1-EXP(-LN(2)/25))/(LN(2)/25)*Calculateur!AQ178*Calculateur!AS178*VLOOKUP('Données projet'!$B$10,Paramètres!$A$1:$I$88,3,0)*0.475*44/12</f>
        <v>0</v>
      </c>
      <c r="AW178" s="23">
        <f>EXP(-LN(2)/2)*AW177+(1-EXP(-LN(2)/2))/(LN(2)/2)*AQ178*AT178*VLOOKUP('Données projet'!$B$10,Paramètres!$A$1:$I$88,3,0)*0.475*44/12</f>
        <v>0</v>
      </c>
      <c r="AX178" s="23">
        <f t="shared" si="166"/>
        <v>2.4957918419926228</v>
      </c>
      <c r="AY178" s="7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5.083333333333333</v>
      </c>
      <c r="BD178" s="13">
        <f>IF('Données projet'!$A$88&gt;35,BD177+BC178-BL177,IF(A178&lt;'Données projet'!$A$88,$BA$205^A178,IF(A178='Données projet'!$A$88,'Données projet'!$B$88,BD177+BC178-BL177)))</f>
        <v>309.8333333333336</v>
      </c>
      <c r="BE178" s="14">
        <f>BD178*VLOOKUP('Données projet'!$B$11,Paramètres!$A$1:$I$88,3,0)*VLOOKUP('Données projet'!$B$11,Paramètres!$A$1:$I$88,5,0)</f>
        <v>314.17100000000028</v>
      </c>
      <c r="BF178" s="14">
        <f t="shared" si="167"/>
        <v>74.13922226254148</v>
      </c>
      <c r="BG178" s="22">
        <f t="shared" si="168"/>
        <v>676.30697044059355</v>
      </c>
      <c r="BH178" s="60">
        <f t="shared" si="116"/>
        <v>969.64030377392692</v>
      </c>
      <c r="BI178" s="60">
        <f ca="1">AVERAGE(OFFSET($BH$3,0,0,'Données projet'!$E$11+1,1))-AVERAGE(OFFSET($H$3,0,0,'Données projet'!$E$11+1,1))</f>
        <v>178.29366134936788</v>
      </c>
      <c r="BJ178" s="60">
        <f t="shared" si="146"/>
        <v>85.818195717787148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34.494546541469653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34.494546541469653</v>
      </c>
      <c r="BT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projet'!$B$12,Paramètres!$A$1:$I$88,3,0)*VLOOKUP('Données projet'!$B$12,Paramètres!$A$1:$I$88,5,0)</f>
        <v>0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104.00159056395933</v>
      </c>
      <c r="CE178" s="60">
        <f t="shared" si="148"/>
        <v>115.86489547584461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15.146704982080006</v>
      </c>
      <c r="CL178" s="23">
        <f>EXP(-LN(2)/25)*CL177+(1-EXP(-LN(2)/25))/(LN(2)/25)*Calculateur!CG178*Calculateur!CI178*VLOOKUP('Données projet'!$B$12,Paramètres!$A$1:$I$88,3,0)*0.475*44/12</f>
        <v>1.3638273418558111</v>
      </c>
      <c r="CM178" s="23">
        <f>EXP(-LN(2)/2)*CM177+(1-EXP(-LN(2)/2))/(LN(2)/2)*CG178*CJ178*VLOOKUP('Données projet'!$B$12,Paramètres!$A$1:$I$88,3,0)*0.475*44/12</f>
        <v>3.0142831912948441E-15</v>
      </c>
      <c r="CN178" s="24">
        <f t="shared" si="172"/>
        <v>16.51053232393582</v>
      </c>
      <c r="CO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projet'!$B$13,Paramètres!$A$1:$I$88,3,0)*VLOOKUP('Données projet'!$B$13,Paramètres!$A$1:$I$88,5,0)</f>
        <v>#N/A</v>
      </c>
      <c r="CV178" s="14" t="e">
        <f t="shared" si="173"/>
        <v>#N/A</v>
      </c>
      <c r="CW178" s="22" t="e">
        <f t="shared" si="174"/>
        <v>#N/A</v>
      </c>
      <c r="CX178" s="60" t="e">
        <f t="shared" si="122"/>
        <v>#N/A</v>
      </c>
      <c r="CY178" s="60" t="e">
        <f ca="1">AVERAGE(OFFSET($CX$3,0,0,'Données projet'!$E$13+1,1))-AVERAGE(OFFSET($H$3,0,0,'Données projet'!$E$13+1,1))</f>
        <v>#N/A</v>
      </c>
      <c r="CZ178" s="60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projet'!$B$13,Paramètres!$A$1:$I$88,3,0)*0.475*44/12</f>
        <v>#N/A</v>
      </c>
      <c r="DG178" s="23" t="e">
        <f>EXP(-LN(2)/25)*DG177+(1-EXP(-LN(2)/25))/(LN(2)/25)*Calculateur!DB178*Calculateur!DD178*VLOOKUP('Données projet'!$B$13,Paramètres!$A$1:$I$88,3,0)*0.475*44/12</f>
        <v>#N/A</v>
      </c>
      <c r="DH178" s="23" t="e">
        <f>EXP(-LN(2)/2)*DH177+(1-EXP(-LN(2)/2))/(LN(2)/2)*DB178*DE178*VLOOKUP('Données projet'!$B$13,Paramètres!$A$1:$I$88,3,0)*0.475*44/12</f>
        <v>#N/A</v>
      </c>
      <c r="DI178" s="24" t="e">
        <f t="shared" si="175"/>
        <v>#N/A</v>
      </c>
      <c r="DJ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0" t="e">
        <f t="shared" si="125"/>
        <v>#N/A</v>
      </c>
      <c r="DT178" s="60" t="e">
        <f ca="1">AVERAGE(OFFSET($DS$3,0,0,'Données projet'!$E$14+1,1))-AVERAGE(OFFSET($H$3,0,0,'Données projet'!$E$14+1,1))</f>
        <v>#N/A</v>
      </c>
      <c r="DU178" s="60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4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156.49919999999986</v>
      </c>
      <c r="D179" s="12">
        <f t="shared" si="140"/>
        <v>40.051886402928353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4.5474735088646412E-13</v>
      </c>
      <c r="O179" s="14">
        <f>N179*VLOOKUP('Données projet'!$B$9,Paramètres!$A$1:$I$88,3,0)*VLOOKUP('Données projet'!$B$9,Paramètres!$A$1:$I$88,5,0)</f>
        <v>2.7193891583010558E-13</v>
      </c>
      <c r="P179" s="14">
        <f t="shared" si="141"/>
        <v>3.6362267729089988E-12</v>
      </c>
      <c r="Q179" s="22">
        <f t="shared" si="162"/>
        <v>6.8067219078872727E-12</v>
      </c>
      <c r="R179" s="60">
        <f t="shared" si="109"/>
        <v>293.33333333334014</v>
      </c>
      <c r="S179" s="60">
        <f ca="1">AVERAGE(OFFSET($R$3,0,0,'Données projet'!$E$9+1,1))-AVERAGE(OFFSET($H$3,0,0,'Données projet'!$E$9+1,1))</f>
        <v>181.84907943028196</v>
      </c>
      <c r="T179" s="60">
        <f t="shared" si="142"/>
        <v>199.66849909069458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13.079707002954727</v>
      </c>
      <c r="AA179" s="23">
        <f>EXP(-LN(2)/25)*AA178+(1-EXP(-LN(2)/25))/(LN(2)/25)*Calculateur!V179*Calculateur!X179*VLOOKUP('Données projet'!$B$9,Paramètres!$A$1:$I$88,3,0)*0.475*44/12</f>
        <v>1.2189578737606197</v>
      </c>
      <c r="AB179" s="23">
        <f>EXP(-LN(2)/2)*AB178+(1-EXP(-LN(2)/2))/(LN(2)/2)*V179*Y179*VLOOKUP('Données projet'!$B$9,Paramètres!$A$1:$I$88,3,0)*0.475*44/12</f>
        <v>8.2479577911967756E-17</v>
      </c>
      <c r="AC179" s="24">
        <f t="shared" si="163"/>
        <v>14.298664876715346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projet'!$B$10,Paramètres!$A$1:$I$88,3,0)*VLOOKUP('Données projet'!$B$10,Paramètres!$A$1:$I$88,5,0)</f>
        <v>0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55.581964048431473</v>
      </c>
      <c r="AO179" s="60">
        <f t="shared" si="144"/>
        <v>91.067506141193803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2.4468508862538583</v>
      </c>
      <c r="AV179" s="23">
        <f>EXP(-LN(2)/25)*AV178+(1-EXP(-LN(2)/25))/(LN(2)/25)*Calculateur!AQ179*Calculateur!AS179*VLOOKUP('Données projet'!$B$10,Paramètres!$A$1:$I$88,3,0)*0.475*44/12</f>
        <v>0</v>
      </c>
      <c r="AW179" s="23">
        <f>EXP(-LN(2)/2)*AW178+(1-EXP(-LN(2)/2))/(LN(2)/2)*AQ179*AT179*VLOOKUP('Données projet'!$B$10,Paramètres!$A$1:$I$88,3,0)*0.475*44/12</f>
        <v>0</v>
      </c>
      <c r="AX179" s="23">
        <f t="shared" si="166"/>
        <v>2.4468508862538583</v>
      </c>
      <c r="AY179" s="7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5.083333333333333</v>
      </c>
      <c r="BD179" s="13">
        <f>IF('Données projet'!$A$88&gt;35,BD178+BC179-BL178,IF(A179&lt;'Données projet'!$A$88,$BA$205^A179,IF(A179='Données projet'!$A$88,'Données projet'!$B$88,BD178+BC179-BL178)))</f>
        <v>314.91666666666691</v>
      </c>
      <c r="BE179" s="14">
        <f>BD179*VLOOKUP('Données projet'!$B$11,Paramètres!$A$1:$I$88,3,0)*VLOOKUP('Données projet'!$B$11,Paramètres!$A$1:$I$88,5,0)</f>
        <v>319.32550000000026</v>
      </c>
      <c r="BF179" s="14">
        <f t="shared" si="167"/>
        <v>75.212993590253248</v>
      </c>
      <c r="BG179" s="22">
        <f t="shared" si="168"/>
        <v>687.15454300302474</v>
      </c>
      <c r="BH179" s="60">
        <f t="shared" si="116"/>
        <v>980.48787633635811</v>
      </c>
      <c r="BI179" s="60">
        <f ca="1">AVERAGE(OFFSET($BH$3,0,0,'Données projet'!$E$11+1,1))-AVERAGE(OFFSET($H$3,0,0,'Données projet'!$E$11+1,1))</f>
        <v>178.29366134936788</v>
      </c>
      <c r="BJ179" s="60">
        <f t="shared" si="146"/>
        <v>85.818195717787148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33.818129523387334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33.818129523387334</v>
      </c>
      <c r="BT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projet'!$B$12,Paramètres!$A$1:$I$88,3,0)*VLOOKUP('Données projet'!$B$12,Paramètres!$A$1:$I$88,5,0)</f>
        <v>0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104.00159056395933</v>
      </c>
      <c r="CE179" s="60">
        <f t="shared" si="148"/>
        <v>115.86489547584461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14.849687335959223</v>
      </c>
      <c r="CL179" s="23">
        <f>EXP(-LN(2)/25)*CL178+(1-EXP(-LN(2)/25))/(LN(2)/25)*Calculateur!CG179*Calculateur!CI179*VLOOKUP('Données projet'!$B$12,Paramètres!$A$1:$I$88,3,0)*0.475*44/12</f>
        <v>1.3265334114722012</v>
      </c>
      <c r="CM179" s="23">
        <f>EXP(-LN(2)/2)*CM178+(1-EXP(-LN(2)/2))/(LN(2)/2)*CG179*CJ179*VLOOKUP('Données projet'!$B$12,Paramètres!$A$1:$I$88,3,0)*0.475*44/12</f>
        <v>2.1314200849812115E-15</v>
      </c>
      <c r="CN179" s="24">
        <f t="shared" si="172"/>
        <v>16.176220747431426</v>
      </c>
      <c r="CO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projet'!$B$13,Paramètres!$A$1:$I$88,3,0)*VLOOKUP('Données projet'!$B$13,Paramètres!$A$1:$I$88,5,0)</f>
        <v>#N/A</v>
      </c>
      <c r="CV179" s="14" t="e">
        <f t="shared" si="173"/>
        <v>#N/A</v>
      </c>
      <c r="CW179" s="22" t="e">
        <f t="shared" si="174"/>
        <v>#N/A</v>
      </c>
      <c r="CX179" s="60" t="e">
        <f t="shared" si="122"/>
        <v>#N/A</v>
      </c>
      <c r="CY179" s="60" t="e">
        <f ca="1">AVERAGE(OFFSET($CX$3,0,0,'Données projet'!$E$13+1,1))-AVERAGE(OFFSET($H$3,0,0,'Données projet'!$E$13+1,1))</f>
        <v>#N/A</v>
      </c>
      <c r="CZ179" s="60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projet'!$B$13,Paramètres!$A$1:$I$88,3,0)*0.475*44/12</f>
        <v>#N/A</v>
      </c>
      <c r="DG179" s="23" t="e">
        <f>EXP(-LN(2)/25)*DG178+(1-EXP(-LN(2)/25))/(LN(2)/25)*Calculateur!DB179*Calculateur!DD179*VLOOKUP('Données projet'!$B$13,Paramètres!$A$1:$I$88,3,0)*0.475*44/12</f>
        <v>#N/A</v>
      </c>
      <c r="DH179" s="23" t="e">
        <f>EXP(-LN(2)/2)*DH178+(1-EXP(-LN(2)/2))/(LN(2)/2)*DB179*DE179*VLOOKUP('Données projet'!$B$13,Paramètres!$A$1:$I$88,3,0)*0.475*44/12</f>
        <v>#N/A</v>
      </c>
      <c r="DI179" s="24" t="e">
        <f t="shared" si="175"/>
        <v>#N/A</v>
      </c>
      <c r="DJ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0" t="e">
        <f t="shared" si="125"/>
        <v>#N/A</v>
      </c>
      <c r="DT179" s="60" t="e">
        <f ca="1">AVERAGE(OFFSET($DS$3,0,0,'Données projet'!$E$14+1,1))-AVERAGE(OFFSET($H$3,0,0,'Données projet'!$E$14+1,1))</f>
        <v>#N/A</v>
      </c>
      <c r="DU179" s="60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4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157.38839999999985</v>
      </c>
      <c r="D180" s="12">
        <f t="shared" si="140"/>
        <v>40.252898725183421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4.5474735088646412E-13</v>
      </c>
      <c r="O180" s="14">
        <f>N180*VLOOKUP('Données projet'!$B$9,Paramètres!$A$1:$I$88,3,0)*VLOOKUP('Données projet'!$B$9,Paramètres!$A$1:$I$88,5,0)</f>
        <v>2.7193891583010558E-13</v>
      </c>
      <c r="P180" s="14">
        <f t="shared" si="141"/>
        <v>3.6362267729089988E-12</v>
      </c>
      <c r="Q180" s="22">
        <f t="shared" si="162"/>
        <v>6.8067219078872727E-12</v>
      </c>
      <c r="R180" s="60">
        <f t="shared" si="109"/>
        <v>293.33333333334014</v>
      </c>
      <c r="S180" s="60">
        <f ca="1">AVERAGE(OFFSET($R$3,0,0,'Données projet'!$E$9+1,1))-AVERAGE(OFFSET($H$3,0,0,'Données projet'!$E$9+1,1))</f>
        <v>181.84907943028196</v>
      </c>
      <c r="T180" s="60">
        <f t="shared" si="142"/>
        <v>199.66849909069458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12.823221926460311</v>
      </c>
      <c r="AA180" s="23">
        <f>EXP(-LN(2)/25)*AA179+(1-EXP(-LN(2)/25))/(LN(2)/25)*Calculateur!V180*Calculateur!X180*VLOOKUP('Données projet'!$B$9,Paramètres!$A$1:$I$88,3,0)*0.475*44/12</f>
        <v>1.185625406600427</v>
      </c>
      <c r="AB180" s="23">
        <f>EXP(-LN(2)/2)*AB179+(1-EXP(-LN(2)/2))/(LN(2)/2)*V180*Y180*VLOOKUP('Données projet'!$B$9,Paramètres!$A$1:$I$88,3,0)*0.475*44/12</f>
        <v>5.8321868850956582E-17</v>
      </c>
      <c r="AC180" s="24">
        <f t="shared" si="163"/>
        <v>14.008847333060739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projet'!$B$10,Paramètres!$A$1:$I$88,3,0)*VLOOKUP('Données projet'!$B$10,Paramètres!$A$1:$I$88,5,0)</f>
        <v>0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55.581964048431473</v>
      </c>
      <c r="AO180" s="60">
        <f t="shared" si="144"/>
        <v>91.067506141193803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2.3988696328060954</v>
      </c>
      <c r="AV180" s="23">
        <f>EXP(-LN(2)/25)*AV179+(1-EXP(-LN(2)/25))/(LN(2)/25)*Calculateur!AQ180*Calculateur!AS180*VLOOKUP('Données projet'!$B$10,Paramètres!$A$1:$I$88,3,0)*0.475*44/12</f>
        <v>0</v>
      </c>
      <c r="AW180" s="23">
        <f>EXP(-LN(2)/2)*AW179+(1-EXP(-LN(2)/2))/(LN(2)/2)*AQ180*AT180*VLOOKUP('Données projet'!$B$10,Paramètres!$A$1:$I$88,3,0)*0.475*44/12</f>
        <v>0</v>
      </c>
      <c r="AX180" s="23">
        <f t="shared" si="166"/>
        <v>2.3988696328060954</v>
      </c>
      <c r="AY180" s="7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>
        <f>VLOOKUP(A180,'Données projet'!$A$87:$I$107,2,0)</f>
        <v>320</v>
      </c>
      <c r="BB180" s="13">
        <f>VLOOKUP(A180,'Données projet'!$A$87:$I$107,9,0)</f>
        <v>5.083333333333333</v>
      </c>
      <c r="BC180" s="13">
        <f t="array" ref="BC180">INDEX(BB:BB,MIN(IF(ISNUMBER(BB180:BB376),ROW(BB180:BB376),"")))</f>
        <v>5.083333333333333</v>
      </c>
      <c r="BD180" s="13">
        <f>IF('Données projet'!$A$88&gt;35,BD179+BC180-BL179,IF(A180&lt;'Données projet'!$A$88,$BA$205^A180,IF(A180='Données projet'!$A$88,'Données projet'!$B$88,BD179+BC180-BL179)))</f>
        <v>320.00000000000023</v>
      </c>
      <c r="BE180" s="14">
        <f>BD180*VLOOKUP('Données projet'!$B$11,Paramètres!$A$1:$I$88,3,0)*VLOOKUP('Données projet'!$B$11,Paramètres!$A$1:$I$88,5,0)</f>
        <v>324.48000000000025</v>
      </c>
      <c r="BF180" s="14">
        <f t="shared" si="167"/>
        <v>76.284749200165578</v>
      </c>
      <c r="BG180" s="22">
        <f t="shared" si="168"/>
        <v>697.99860485695547</v>
      </c>
      <c r="BH180" s="60">
        <f t="shared" si="116"/>
        <v>991.33193819028884</v>
      </c>
      <c r="BI180" s="60">
        <f ca="1">AVERAGE(OFFSET($BH$3,0,0,'Données projet'!$E$11+1,1))-AVERAGE(OFFSET($H$3,0,0,'Données projet'!$E$11+1,1))</f>
        <v>178.29366134936788</v>
      </c>
      <c r="BJ180" s="60">
        <f t="shared" si="146"/>
        <v>85.818195717787148</v>
      </c>
      <c r="BK180" s="16">
        <f>IF(ISNA(VLOOKUP(A180,'Données projet'!$A$87:$I$107,3,0)),0,VLOOKUP(A180,'Données projet'!$A$87:$I$107,3,0))</f>
        <v>13</v>
      </c>
      <c r="BL180" s="16">
        <f>IF(ISNA(VLOOKUP(A180,'Données projet'!$A$87:$I$107,4,0)),0,VLOOKUP(A180,'Données projet'!$A$87:$I$107,4,0))</f>
        <v>39</v>
      </c>
      <c r="BM180" s="17">
        <f>IF(ISNA(VLOOKUP(A180,'Données projet'!$A$87:$I$107,5,0)),0%,VLOOKUP(A180,'Données projet'!$A$87:$I$107,5,0)*VLOOKUP('Données projet'!$B$11,Paramètres!$A$1:$I$88,7,0))</f>
        <v>0.30099999999999999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46.313773050787994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46.313773050787994</v>
      </c>
      <c r="BT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projet'!$B$12,Paramètres!$A$1:$I$88,3,0)*VLOOKUP('Données projet'!$B$12,Paramètres!$A$1:$I$88,5,0)</f>
        <v>0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104.00159056395933</v>
      </c>
      <c r="CE180" s="60">
        <f t="shared" si="148"/>
        <v>115.86489547584461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14.558494024715992</v>
      </c>
      <c r="CL180" s="23">
        <f>EXP(-LN(2)/25)*CL179+(1-EXP(-LN(2)/25))/(LN(2)/25)*Calculateur!CG180*Calculateur!CI180*VLOOKUP('Données projet'!$B$12,Paramètres!$A$1:$I$88,3,0)*0.475*44/12</f>
        <v>1.2902592855761335</v>
      </c>
      <c r="CM180" s="23">
        <f>EXP(-LN(2)/2)*CM179+(1-EXP(-LN(2)/2))/(LN(2)/2)*CG180*CJ180*VLOOKUP('Données projet'!$B$12,Paramètres!$A$1:$I$88,3,0)*0.475*44/12</f>
        <v>1.5071415956474221E-15</v>
      </c>
      <c r="CN180" s="24">
        <f t="shared" si="172"/>
        <v>15.848753310292128</v>
      </c>
      <c r="CO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projet'!$B$13,Paramètres!$A$1:$I$88,3,0)*VLOOKUP('Données projet'!$B$13,Paramètres!$A$1:$I$88,5,0)</f>
        <v>#N/A</v>
      </c>
      <c r="CV180" s="14" t="e">
        <f t="shared" si="173"/>
        <v>#N/A</v>
      </c>
      <c r="CW180" s="22" t="e">
        <f t="shared" si="174"/>
        <v>#N/A</v>
      </c>
      <c r="CX180" s="60" t="e">
        <f t="shared" si="122"/>
        <v>#N/A</v>
      </c>
      <c r="CY180" s="60" t="e">
        <f ca="1">AVERAGE(OFFSET($CX$3,0,0,'Données projet'!$E$13+1,1))-AVERAGE(OFFSET($H$3,0,0,'Données projet'!$E$13+1,1))</f>
        <v>#N/A</v>
      </c>
      <c r="CZ180" s="60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projet'!$B$13,Paramètres!$A$1:$I$88,3,0)*0.475*44/12</f>
        <v>#N/A</v>
      </c>
      <c r="DG180" s="23" t="e">
        <f>EXP(-LN(2)/25)*DG179+(1-EXP(-LN(2)/25))/(LN(2)/25)*Calculateur!DB180*Calculateur!DD180*VLOOKUP('Données projet'!$B$13,Paramètres!$A$1:$I$88,3,0)*0.475*44/12</f>
        <v>#N/A</v>
      </c>
      <c r="DH180" s="23" t="e">
        <f>EXP(-LN(2)/2)*DH179+(1-EXP(-LN(2)/2))/(LN(2)/2)*DB180*DE180*VLOOKUP('Données projet'!$B$13,Paramètres!$A$1:$I$88,3,0)*0.475*44/12</f>
        <v>#N/A</v>
      </c>
      <c r="DI180" s="24" t="e">
        <f t="shared" si="175"/>
        <v>#N/A</v>
      </c>
      <c r="DJ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0" t="e">
        <f t="shared" si="125"/>
        <v>#N/A</v>
      </c>
      <c r="DT180" s="60" t="e">
        <f ca="1">AVERAGE(OFFSET($DS$3,0,0,'Données projet'!$E$14+1,1))-AVERAGE(OFFSET($H$3,0,0,'Données projet'!$E$14+1,1))</f>
        <v>#N/A</v>
      </c>
      <c r="DU180" s="60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4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158.27759999999984</v>
      </c>
      <c r="D181" s="12">
        <f t="shared" si="140"/>
        <v>40.45377889899725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4.5474735088646412E-13</v>
      </c>
      <c r="O181" s="14">
        <f>N181*VLOOKUP('Données projet'!$B$9,Paramètres!$A$1:$I$88,3,0)*VLOOKUP('Données projet'!$B$9,Paramètres!$A$1:$I$88,5,0)</f>
        <v>2.7193891583010558E-13</v>
      </c>
      <c r="P181" s="14">
        <f t="shared" si="141"/>
        <v>3.6362267729089988E-12</v>
      </c>
      <c r="Q181" s="22">
        <f t="shared" si="162"/>
        <v>6.8067219078872727E-12</v>
      </c>
      <c r="R181" s="60">
        <f t="shared" si="109"/>
        <v>293.33333333334014</v>
      </c>
      <c r="S181" s="60">
        <f ca="1">AVERAGE(OFFSET($R$3,0,0,'Données projet'!$E$9+1,1))-AVERAGE(OFFSET($H$3,0,0,'Données projet'!$E$9+1,1))</f>
        <v>181.84907943028196</v>
      </c>
      <c r="T181" s="60">
        <f t="shared" si="142"/>
        <v>199.66849909069458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12.571766365875501</v>
      </c>
      <c r="AA181" s="23">
        <f>EXP(-LN(2)/25)*AA180+(1-EXP(-LN(2)/25))/(LN(2)/25)*Calculateur!V181*Calculateur!X181*VLOOKUP('Données projet'!$B$9,Paramètres!$A$1:$I$88,3,0)*0.475*44/12</f>
        <v>1.1532044175076079</v>
      </c>
      <c r="AB181" s="23">
        <f>EXP(-LN(2)/2)*AB180+(1-EXP(-LN(2)/2))/(LN(2)/2)*V181*Y181*VLOOKUP('Données projet'!$B$9,Paramètres!$A$1:$I$88,3,0)*0.475*44/12</f>
        <v>4.1239788955983878E-17</v>
      </c>
      <c r="AC181" s="24">
        <f t="shared" si="163"/>
        <v>13.724970783383108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projet'!$B$10,Paramètres!$A$1:$I$88,3,0)*VLOOKUP('Données projet'!$B$10,Paramètres!$A$1:$I$88,5,0)</f>
        <v>0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55.581964048431473</v>
      </c>
      <c r="AO181" s="60">
        <f t="shared" si="144"/>
        <v>91.067506141193803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2.3518292624727684</v>
      </c>
      <c r="AV181" s="23">
        <f>EXP(-LN(2)/25)*AV180+(1-EXP(-LN(2)/25))/(LN(2)/25)*Calculateur!AQ181*Calculateur!AS181*VLOOKUP('Données projet'!$B$10,Paramètres!$A$1:$I$88,3,0)*0.475*44/12</f>
        <v>0</v>
      </c>
      <c r="AW181" s="23">
        <f>EXP(-LN(2)/2)*AW180+(1-EXP(-LN(2)/2))/(LN(2)/2)*AQ181*AT181*VLOOKUP('Données projet'!$B$10,Paramètres!$A$1:$I$88,3,0)*0.475*44/12</f>
        <v>0</v>
      </c>
      <c r="AX181" s="23">
        <f t="shared" si="166"/>
        <v>2.3518292624727684</v>
      </c>
      <c r="AY181" s="7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26.333333333333332</v>
      </c>
      <c r="BD181" s="13">
        <f>IF('Données projet'!$A$88&gt;35,BD180+BC181-BL180,IF(A181&lt;'Données projet'!$A$88,$BA$205^A181,IF(A181='Données projet'!$A$88,'Données projet'!$B$88,BD180+BC181-BL180)))</f>
        <v>307.33333333333354</v>
      </c>
      <c r="BE181" s="14">
        <f>BD181*VLOOKUP('Données projet'!$B$11,Paramètres!$A$1:$I$88,3,0)*VLOOKUP('Données projet'!$B$11,Paramètres!$A$1:$I$88,5,0)</f>
        <v>311.63600000000025</v>
      </c>
      <c r="BF181" s="14">
        <f t="shared" si="167"/>
        <v>73.610387351868226</v>
      </c>
      <c r="BG181" s="22">
        <f t="shared" si="168"/>
        <v>670.97079130450425</v>
      </c>
      <c r="BH181" s="60">
        <f t="shared" si="116"/>
        <v>964.3041246378375</v>
      </c>
      <c r="BI181" s="60">
        <f ca="1">AVERAGE(OFFSET($BH$3,0,0,'Données projet'!$E$11+1,1))-AVERAGE(OFFSET($H$3,0,0,'Données projet'!$E$11+1,1))</f>
        <v>178.29366134936788</v>
      </c>
      <c r="BJ181" s="60">
        <f t="shared" si="146"/>
        <v>85.818195717787148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45.405588209874281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45.405588209874281</v>
      </c>
      <c r="BT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projet'!$B$12,Paramètres!$A$1:$I$88,3,0)*VLOOKUP('Données projet'!$B$12,Paramètres!$A$1:$I$88,5,0)</f>
        <v>0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104.00159056395933</v>
      </c>
      <c r="CE181" s="60">
        <f t="shared" si="148"/>
        <v>115.86489547584461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14.273010836695859</v>
      </c>
      <c r="CL181" s="23">
        <f>EXP(-LN(2)/25)*CL180+(1-EXP(-LN(2)/25))/(LN(2)/25)*Calculateur!CG181*Calculateur!CI181*VLOOKUP('Données projet'!$B$12,Paramètres!$A$1:$I$88,3,0)*0.475*44/12</f>
        <v>1.2549770775602671</v>
      </c>
      <c r="CM181" s="23">
        <f>EXP(-LN(2)/2)*CM180+(1-EXP(-LN(2)/2))/(LN(2)/2)*CG181*CJ181*VLOOKUP('Données projet'!$B$12,Paramètres!$A$1:$I$88,3,0)*0.475*44/12</f>
        <v>1.0657100424906058E-15</v>
      </c>
      <c r="CN181" s="24">
        <f t="shared" si="172"/>
        <v>15.527987914256128</v>
      </c>
      <c r="CO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projet'!$B$13,Paramètres!$A$1:$I$88,3,0)*VLOOKUP('Données projet'!$B$13,Paramètres!$A$1:$I$88,5,0)</f>
        <v>#N/A</v>
      </c>
      <c r="CV181" s="14" t="e">
        <f t="shared" si="173"/>
        <v>#N/A</v>
      </c>
      <c r="CW181" s="22" t="e">
        <f t="shared" si="174"/>
        <v>#N/A</v>
      </c>
      <c r="CX181" s="60" t="e">
        <f t="shared" si="122"/>
        <v>#N/A</v>
      </c>
      <c r="CY181" s="60" t="e">
        <f ca="1">AVERAGE(OFFSET($CX$3,0,0,'Données projet'!$E$13+1,1))-AVERAGE(OFFSET($H$3,0,0,'Données projet'!$E$13+1,1))</f>
        <v>#N/A</v>
      </c>
      <c r="CZ181" s="60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projet'!$B$13,Paramètres!$A$1:$I$88,3,0)*0.475*44/12</f>
        <v>#N/A</v>
      </c>
      <c r="DG181" s="23" t="e">
        <f>EXP(-LN(2)/25)*DG180+(1-EXP(-LN(2)/25))/(LN(2)/25)*Calculateur!DB181*Calculateur!DD181*VLOOKUP('Données projet'!$B$13,Paramètres!$A$1:$I$88,3,0)*0.475*44/12</f>
        <v>#N/A</v>
      </c>
      <c r="DH181" s="23" t="e">
        <f>EXP(-LN(2)/2)*DH180+(1-EXP(-LN(2)/2))/(LN(2)/2)*DB181*DE181*VLOOKUP('Données projet'!$B$13,Paramètres!$A$1:$I$88,3,0)*0.475*44/12</f>
        <v>#N/A</v>
      </c>
      <c r="DI181" s="24" t="e">
        <f t="shared" si="175"/>
        <v>#N/A</v>
      </c>
      <c r="DJ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0" t="e">
        <f t="shared" si="125"/>
        <v>#N/A</v>
      </c>
      <c r="DT181" s="60" t="e">
        <f ca="1">AVERAGE(OFFSET($DS$3,0,0,'Données projet'!$E$14+1,1))-AVERAGE(OFFSET($H$3,0,0,'Données projet'!$E$14+1,1))</f>
        <v>#N/A</v>
      </c>
      <c r="DU181" s="60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4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159.16679999999982</v>
      </c>
      <c r="D182" s="12">
        <f t="shared" si="140"/>
        <v>40.654527752930711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4.5474735088646412E-13</v>
      </c>
      <c r="O182" s="14">
        <f>N182*VLOOKUP('Données projet'!$B$9,Paramètres!$A$1:$I$88,3,0)*VLOOKUP('Données projet'!$B$9,Paramètres!$A$1:$I$88,5,0)</f>
        <v>2.7193891583010558E-13</v>
      </c>
      <c r="P182" s="14">
        <f t="shared" si="141"/>
        <v>3.6362267729089988E-12</v>
      </c>
      <c r="Q182" s="22">
        <f t="shared" si="162"/>
        <v>6.8067219078872727E-12</v>
      </c>
      <c r="R182" s="60">
        <f t="shared" si="109"/>
        <v>293.33333333334014</v>
      </c>
      <c r="S182" s="60">
        <f ca="1">AVERAGE(OFFSET($R$3,0,0,'Données projet'!$E$9+1,1))-AVERAGE(OFFSET($H$3,0,0,'Données projet'!$E$9+1,1))</f>
        <v>181.84907943028196</v>
      </c>
      <c r="T182" s="60">
        <f t="shared" si="142"/>
        <v>199.66849909069458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12.325241695461012</v>
      </c>
      <c r="AA182" s="23">
        <f>EXP(-LN(2)/25)*AA181+(1-EXP(-LN(2)/25))/(LN(2)/25)*Calculateur!V182*Calculateur!X182*VLOOKUP('Données projet'!$B$9,Paramètres!$A$1:$I$88,3,0)*0.475*44/12</f>
        <v>1.1216699820664777</v>
      </c>
      <c r="AB182" s="23">
        <f>EXP(-LN(2)/2)*AB181+(1-EXP(-LN(2)/2))/(LN(2)/2)*V182*Y182*VLOOKUP('Données projet'!$B$9,Paramètres!$A$1:$I$88,3,0)*0.475*44/12</f>
        <v>2.9160934425478291E-17</v>
      </c>
      <c r="AC182" s="24">
        <f t="shared" si="163"/>
        <v>13.446911677527488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projet'!$B$10,Paramètres!$A$1:$I$88,3,0)*VLOOKUP('Données projet'!$B$10,Paramètres!$A$1:$I$88,5,0)</f>
        <v>0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55.581964048431473</v>
      </c>
      <c r="AO182" s="60">
        <f t="shared" si="144"/>
        <v>91.067506141193803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2.3057113251098849</v>
      </c>
      <c r="AV182" s="23">
        <f>EXP(-LN(2)/25)*AV181+(1-EXP(-LN(2)/25))/(LN(2)/25)*Calculateur!AQ182*Calculateur!AS182*VLOOKUP('Données projet'!$B$10,Paramètres!$A$1:$I$88,3,0)*0.475*44/12</f>
        <v>0</v>
      </c>
      <c r="AW182" s="23">
        <f>EXP(-LN(2)/2)*AW181+(1-EXP(-LN(2)/2))/(LN(2)/2)*AQ182*AT182*VLOOKUP('Données projet'!$B$10,Paramètres!$A$1:$I$88,3,0)*0.475*44/12</f>
        <v>0</v>
      </c>
      <c r="AX182" s="23">
        <f t="shared" si="166"/>
        <v>2.3057113251098849</v>
      </c>
      <c r="AY182" s="7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26.333333333333332</v>
      </c>
      <c r="BD182" s="13">
        <f>IF('Données projet'!$A$88&gt;35,BD181+BC182-BL181,IF(A182&lt;'Données projet'!$A$88,$BA$205^A182,IF(A182='Données projet'!$A$88,'Données projet'!$B$88,BD181+BC182-BL181)))</f>
        <v>333.66666666666686</v>
      </c>
      <c r="BE182" s="14">
        <f>BD182*VLOOKUP('Données projet'!$B$11,Paramètres!$A$1:$I$88,3,0)*VLOOKUP('Données projet'!$B$11,Paramètres!$A$1:$I$88,5,0)</f>
        <v>338.33800000000025</v>
      </c>
      <c r="BF182" s="14">
        <f t="shared" si="167"/>
        <v>79.156468831013697</v>
      </c>
      <c r="BG182" s="22">
        <f t="shared" si="168"/>
        <v>727.13619988068251</v>
      </c>
      <c r="BH182" s="60">
        <f t="shared" si="116"/>
        <v>1020.4695332140159</v>
      </c>
      <c r="BI182" s="60">
        <f ca="1">AVERAGE(OFFSET($BH$3,0,0,'Données projet'!$E$11+1,1))-AVERAGE(OFFSET($H$3,0,0,'Données projet'!$E$11+1,1))</f>
        <v>178.29366134936788</v>
      </c>
      <c r="BJ182" s="60">
        <f t="shared" si="146"/>
        <v>85.818195717787148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44.515212319752834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44.515212319752834</v>
      </c>
      <c r="BT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projet'!$B$12,Paramètres!$A$1:$I$88,3,0)*VLOOKUP('Données projet'!$B$12,Paramètres!$A$1:$I$88,5,0)</f>
        <v>0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104.00159056395933</v>
      </c>
      <c r="CE182" s="60">
        <f t="shared" si="148"/>
        <v>115.86489547584461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13.993125799865249</v>
      </c>
      <c r="CL182" s="23">
        <f>EXP(-LN(2)/25)*CL181+(1-EXP(-LN(2)/25))/(LN(2)/25)*Calculateur!CG182*Calculateur!CI182*VLOOKUP('Données projet'!$B$12,Paramètres!$A$1:$I$88,3,0)*0.475*44/12</f>
        <v>1.2206596633780054</v>
      </c>
      <c r="CM182" s="23">
        <f>EXP(-LN(2)/2)*CM181+(1-EXP(-LN(2)/2))/(LN(2)/2)*CG182*CJ182*VLOOKUP('Données projet'!$B$12,Paramètres!$A$1:$I$88,3,0)*0.475*44/12</f>
        <v>7.5357079782371104E-16</v>
      </c>
      <c r="CN182" s="24">
        <f t="shared" si="172"/>
        <v>15.213785463243255</v>
      </c>
      <c r="CO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projet'!$B$13,Paramètres!$A$1:$I$88,3,0)*VLOOKUP('Données projet'!$B$13,Paramètres!$A$1:$I$88,5,0)</f>
        <v>#N/A</v>
      </c>
      <c r="CV182" s="14" t="e">
        <f t="shared" si="173"/>
        <v>#N/A</v>
      </c>
      <c r="CW182" s="22" t="e">
        <f t="shared" si="174"/>
        <v>#N/A</v>
      </c>
      <c r="CX182" s="60" t="e">
        <f t="shared" si="122"/>
        <v>#N/A</v>
      </c>
      <c r="CY182" s="60" t="e">
        <f ca="1">AVERAGE(OFFSET($CX$3,0,0,'Données projet'!$E$13+1,1))-AVERAGE(OFFSET($H$3,0,0,'Données projet'!$E$13+1,1))</f>
        <v>#N/A</v>
      </c>
      <c r="CZ182" s="60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projet'!$B$13,Paramètres!$A$1:$I$88,3,0)*0.475*44/12</f>
        <v>#N/A</v>
      </c>
      <c r="DG182" s="23" t="e">
        <f>EXP(-LN(2)/25)*DG181+(1-EXP(-LN(2)/25))/(LN(2)/25)*Calculateur!DB182*Calculateur!DD182*VLOOKUP('Données projet'!$B$13,Paramètres!$A$1:$I$88,3,0)*0.475*44/12</f>
        <v>#N/A</v>
      </c>
      <c r="DH182" s="23" t="e">
        <f>EXP(-LN(2)/2)*DH181+(1-EXP(-LN(2)/2))/(LN(2)/2)*DB182*DE182*VLOOKUP('Données projet'!$B$13,Paramètres!$A$1:$I$88,3,0)*0.475*44/12</f>
        <v>#N/A</v>
      </c>
      <c r="DI182" s="24" t="e">
        <f t="shared" si="175"/>
        <v>#N/A</v>
      </c>
      <c r="DJ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0" t="e">
        <f t="shared" si="125"/>
        <v>#N/A</v>
      </c>
      <c r="DT182" s="60" t="e">
        <f ca="1">AVERAGE(OFFSET($DS$3,0,0,'Données projet'!$E$14+1,1))-AVERAGE(OFFSET($H$3,0,0,'Données projet'!$E$14+1,1))</f>
        <v>#N/A</v>
      </c>
      <c r="DU182" s="60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4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160.05599999999981</v>
      </c>
      <c r="D183" s="12">
        <f t="shared" si="140"/>
        <v>40.855146105751388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4.5474735088646412E-13</v>
      </c>
      <c r="O183" s="14">
        <f>N183*VLOOKUP('Données projet'!$B$9,Paramètres!$A$1:$I$88,3,0)*VLOOKUP('Données projet'!$B$9,Paramètres!$A$1:$I$88,5,0)</f>
        <v>2.7193891583010558E-13</v>
      </c>
      <c r="P183" s="14">
        <f t="shared" si="141"/>
        <v>3.6362267729089988E-12</v>
      </c>
      <c r="Q183" s="22">
        <f t="shared" si="162"/>
        <v>6.8067219078872727E-12</v>
      </c>
      <c r="R183" s="60">
        <f t="shared" si="109"/>
        <v>293.33333333334014</v>
      </c>
      <c r="S183" s="60">
        <f ca="1">AVERAGE(OFFSET($R$3,0,0,'Données projet'!$E$9+1,1))-AVERAGE(OFFSET($H$3,0,0,'Données projet'!$E$9+1,1))</f>
        <v>181.84907943028196</v>
      </c>
      <c r="T183" s="60">
        <f t="shared" si="142"/>
        <v>199.66849909069458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12.083551223468149</v>
      </c>
      <c r="AA183" s="23">
        <f>EXP(-LN(2)/25)*AA182+(1-EXP(-LN(2)/25))/(LN(2)/25)*Calculateur!V183*Calculateur!X183*VLOOKUP('Données projet'!$B$9,Paramètres!$A$1:$I$88,3,0)*0.475*44/12</f>
        <v>1.0909978574208092</v>
      </c>
      <c r="AB183" s="23">
        <f>EXP(-LN(2)/2)*AB182+(1-EXP(-LN(2)/2))/(LN(2)/2)*V183*Y183*VLOOKUP('Données projet'!$B$9,Paramètres!$A$1:$I$88,3,0)*0.475*44/12</f>
        <v>2.0619894477991939E-17</v>
      </c>
      <c r="AC183" s="24">
        <f t="shared" si="163"/>
        <v>13.174549080888958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projet'!$B$10,Paramètres!$A$1:$I$88,3,0)*VLOOKUP('Données projet'!$B$10,Paramètres!$A$1:$I$88,5,0)</f>
        <v>0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55.581964048431473</v>
      </c>
      <c r="AO183" s="60">
        <f t="shared" si="144"/>
        <v>91.067506141193803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2.2604977323695232</v>
      </c>
      <c r="AV183" s="23">
        <f>EXP(-LN(2)/25)*AV182+(1-EXP(-LN(2)/25))/(LN(2)/25)*Calculateur!AQ183*Calculateur!AS183*VLOOKUP('Données projet'!$B$10,Paramètres!$A$1:$I$88,3,0)*0.475*44/12</f>
        <v>0</v>
      </c>
      <c r="AW183" s="23">
        <f>EXP(-LN(2)/2)*AW182+(1-EXP(-LN(2)/2))/(LN(2)/2)*AQ183*AT183*VLOOKUP('Données projet'!$B$10,Paramètres!$A$1:$I$88,3,0)*0.475*44/12</f>
        <v>0</v>
      </c>
      <c r="AX183" s="23">
        <f t="shared" si="166"/>
        <v>2.2604977323695232</v>
      </c>
      <c r="AY183" s="7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>
        <f>VLOOKUP(A183,'Données projet'!$A$87:$I$107,2,0)</f>
        <v>360</v>
      </c>
      <c r="BB183" s="13">
        <f>VLOOKUP(A183,'Données projet'!$A$87:$I$107,9,0)</f>
        <v>26.333333333333332</v>
      </c>
      <c r="BC183" s="13">
        <f t="array" ref="BC183">INDEX(BB:BB,MIN(IF(ISNUMBER(BB183:BB379),ROW(BB183:BB379),"")))</f>
        <v>26.333333333333332</v>
      </c>
      <c r="BD183" s="13">
        <f>IF('Données projet'!$A$88&gt;35,BD182+BC183-BL182,IF(A183&lt;'Données projet'!$A$88,$BA$205^A183,IF(A183='Données projet'!$A$88,'Données projet'!$B$88,BD182+BC183-BL182)))</f>
        <v>360.00000000000017</v>
      </c>
      <c r="BE183" s="14">
        <f>BD183*VLOOKUP('Données projet'!$B$11,Paramètres!$A$1:$I$88,3,0)*VLOOKUP('Données projet'!$B$11,Paramètres!$A$1:$I$88,5,0)</f>
        <v>365.04000000000019</v>
      </c>
      <c r="BF183" s="14">
        <f t="shared" si="167"/>
        <v>84.651779413976413</v>
      </c>
      <c r="BG183" s="22">
        <f t="shared" si="168"/>
        <v>783.21318247934266</v>
      </c>
      <c r="BH183" s="60">
        <f t="shared" si="116"/>
        <v>1076.546515812676</v>
      </c>
      <c r="BI183" s="60">
        <f ca="1">AVERAGE(OFFSET($BH$3,0,0,'Données projet'!$E$11+1,1))-AVERAGE(OFFSET($H$3,0,0,'Données projet'!$E$11+1,1))</f>
        <v>178.29366134936788</v>
      </c>
      <c r="BJ183" s="60">
        <f t="shared" si="146"/>
        <v>85.818195717787148</v>
      </c>
      <c r="BK183" s="16">
        <f>IF(ISNA(VLOOKUP(A183,'Données projet'!$A$87:$I$107,3,0)),0,VLOOKUP(A183,'Données projet'!$A$87:$I$107,3,0))</f>
        <v>14</v>
      </c>
      <c r="BL183" s="16">
        <f>IF(ISNA(VLOOKUP(A183,'Données projet'!$A$87:$I$107,4,0)),0,VLOOKUP(A183,'Données projet'!$A$87:$I$107,4,0))</f>
        <v>399</v>
      </c>
      <c r="BM183" s="17">
        <f>IF(ISNA(VLOOKUP(A183,'Données projet'!$A$87:$I$107,5,0)),0%,VLOOKUP(A183,'Données projet'!$A$87:$I$107,5,0)*VLOOKUP('Données projet'!$B$11,Paramètres!$A$1:$I$88,7,0))</f>
        <v>0.34400000000000003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197.49899276472004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197.49899276472004</v>
      </c>
      <c r="BT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projet'!$B$12,Paramètres!$A$1:$I$88,3,0)*VLOOKUP('Données projet'!$B$12,Paramètres!$A$1:$I$88,5,0)</f>
        <v>0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104.00159056395933</v>
      </c>
      <c r="CE183" s="60">
        <f t="shared" si="148"/>
        <v>115.86489547584461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13.718729137893872</v>
      </c>
      <c r="CL183" s="23">
        <f>EXP(-LN(2)/25)*CL182+(1-EXP(-LN(2)/25))/(LN(2)/25)*Calculateur!CG183*Calculateur!CI183*VLOOKUP('Données projet'!$B$12,Paramètres!$A$1:$I$88,3,0)*0.475*44/12</f>
        <v>1.1872806606912321</v>
      </c>
      <c r="CM183" s="23">
        <f>EXP(-LN(2)/2)*CM182+(1-EXP(-LN(2)/2))/(LN(2)/2)*CG183*CJ183*VLOOKUP('Données projet'!$B$12,Paramètres!$A$1:$I$88,3,0)*0.475*44/12</f>
        <v>5.3285502124530288E-16</v>
      </c>
      <c r="CN183" s="24">
        <f t="shared" si="172"/>
        <v>14.906009798585105</v>
      </c>
      <c r="CO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projet'!$B$13,Paramètres!$A$1:$I$88,3,0)*VLOOKUP('Données projet'!$B$13,Paramètres!$A$1:$I$88,5,0)</f>
        <v>#N/A</v>
      </c>
      <c r="CV183" s="14" t="e">
        <f t="shared" si="173"/>
        <v>#N/A</v>
      </c>
      <c r="CW183" s="22" t="e">
        <f t="shared" si="174"/>
        <v>#N/A</v>
      </c>
      <c r="CX183" s="60" t="e">
        <f t="shared" si="122"/>
        <v>#N/A</v>
      </c>
      <c r="CY183" s="60" t="e">
        <f ca="1">AVERAGE(OFFSET($CX$3,0,0,'Données projet'!$E$13+1,1))-AVERAGE(OFFSET($H$3,0,0,'Données projet'!$E$13+1,1))</f>
        <v>#N/A</v>
      </c>
      <c r="CZ183" s="60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projet'!$B$13,Paramètres!$A$1:$I$88,3,0)*0.475*44/12</f>
        <v>#N/A</v>
      </c>
      <c r="DG183" s="23" t="e">
        <f>EXP(-LN(2)/25)*DG182+(1-EXP(-LN(2)/25))/(LN(2)/25)*Calculateur!DB183*Calculateur!DD183*VLOOKUP('Données projet'!$B$13,Paramètres!$A$1:$I$88,3,0)*0.475*44/12</f>
        <v>#N/A</v>
      </c>
      <c r="DH183" s="23" t="e">
        <f>EXP(-LN(2)/2)*DH182+(1-EXP(-LN(2)/2))/(LN(2)/2)*DB183*DE183*VLOOKUP('Données projet'!$B$13,Paramètres!$A$1:$I$88,3,0)*0.475*44/12</f>
        <v>#N/A</v>
      </c>
      <c r="DI183" s="24" t="e">
        <f t="shared" si="175"/>
        <v>#N/A</v>
      </c>
      <c r="DJ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0" t="e">
        <f t="shared" si="125"/>
        <v>#N/A</v>
      </c>
      <c r="DT183" s="60" t="e">
        <f ca="1">AVERAGE(OFFSET($DS$3,0,0,'Données projet'!$E$14+1,1))-AVERAGE(OFFSET($H$3,0,0,'Données projet'!$E$14+1,1))</f>
        <v>#N/A</v>
      </c>
      <c r="DU183" s="60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4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160.9451999999998</v>
      </c>
      <c r="D184" s="12">
        <f t="shared" si="140"/>
        <v>41.055634766602871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4.5474735088646412E-13</v>
      </c>
      <c r="O184" s="14">
        <f>N184*VLOOKUP('Données projet'!$B$9,Paramètres!$A$1:$I$88,3,0)*VLOOKUP('Données projet'!$B$9,Paramètres!$A$1:$I$88,5,0)</f>
        <v>2.7193891583010558E-13</v>
      </c>
      <c r="P184" s="14">
        <f t="shared" si="141"/>
        <v>3.6362267729089988E-12</v>
      </c>
      <c r="Q184" s="22">
        <f t="shared" si="162"/>
        <v>6.8067219078872727E-12</v>
      </c>
      <c r="R184" s="60">
        <f t="shared" si="109"/>
        <v>293.33333333334014</v>
      </c>
      <c r="S184" s="60">
        <f ca="1">AVERAGE(OFFSET($R$3,0,0,'Données projet'!$E$9+1,1))-AVERAGE(OFFSET($H$3,0,0,'Données projet'!$E$9+1,1))</f>
        <v>181.84907943028196</v>
      </c>
      <c r="T184" s="60">
        <f t="shared" si="142"/>
        <v>199.66849909069458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11.846600154214434</v>
      </c>
      <c r="AA184" s="23">
        <f>EXP(-LN(2)/25)*AA183+(1-EXP(-LN(2)/25))/(LN(2)/25)*Calculateur!V184*Calculateur!X184*VLOOKUP('Données projet'!$B$9,Paramètres!$A$1:$I$88,3,0)*0.475*44/12</f>
        <v>1.0611644636365534</v>
      </c>
      <c r="AB184" s="23">
        <f>EXP(-LN(2)/2)*AB183+(1-EXP(-LN(2)/2))/(LN(2)/2)*V184*Y184*VLOOKUP('Données projet'!$B$9,Paramètres!$A$1:$I$88,3,0)*0.475*44/12</f>
        <v>1.4580467212739146E-17</v>
      </c>
      <c r="AC184" s="24">
        <f t="shared" si="163"/>
        <v>12.907764617850987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projet'!$B$10,Paramètres!$A$1:$I$88,3,0)*VLOOKUP('Données projet'!$B$10,Paramètres!$A$1:$I$88,5,0)</f>
        <v>0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55.581964048431473</v>
      </c>
      <c r="AO184" s="60">
        <f t="shared" si="144"/>
        <v>91.067506141193803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2.2161707506052317</v>
      </c>
      <c r="AV184" s="23">
        <f>EXP(-LN(2)/25)*AV183+(1-EXP(-LN(2)/25))/(LN(2)/25)*Calculateur!AQ184*Calculateur!AS184*VLOOKUP('Données projet'!$B$10,Paramètres!$A$1:$I$88,3,0)*0.475*44/12</f>
        <v>0</v>
      </c>
      <c r="AW184" s="23">
        <f>EXP(-LN(2)/2)*AW183+(1-EXP(-LN(2)/2))/(LN(2)/2)*AQ184*AT184*VLOOKUP('Données projet'!$B$10,Paramètres!$A$1:$I$88,3,0)*0.475*44/12</f>
        <v>0</v>
      </c>
      <c r="AX184" s="23">
        <f t="shared" si="166"/>
        <v>2.2161707506052317</v>
      </c>
      <c r="AY184" s="7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-38.999999999999829</v>
      </c>
      <c r="BE184" s="14">
        <f>BD184*VLOOKUP('Données projet'!$B$11,Paramètres!$A$1:$I$88,3,0)*VLOOKUP('Données projet'!$B$11,Paramètres!$A$1:$I$88,5,0)</f>
        <v>-39.545999999999829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178.29366134936788</v>
      </c>
      <c r="BJ184" s="60">
        <f t="shared" si="146"/>
        <v>85.818195717787148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193.62615797909478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193.62615797909478</v>
      </c>
      <c r="BT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projet'!$B$12,Paramètres!$A$1:$I$88,3,0)*VLOOKUP('Données projet'!$B$12,Paramètres!$A$1:$I$88,5,0)</f>
        <v>0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104.00159056395933</v>
      </c>
      <c r="CE184" s="60">
        <f t="shared" si="148"/>
        <v>115.86489547584461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13.449713227098316</v>
      </c>
      <c r="CL184" s="23">
        <f>EXP(-LN(2)/25)*CL183+(1-EXP(-LN(2)/25))/(LN(2)/25)*Calculateur!CG184*Calculateur!CI184*VLOOKUP('Données projet'!$B$12,Paramètres!$A$1:$I$88,3,0)*0.475*44/12</f>
        <v>1.1548144085882539</v>
      </c>
      <c r="CM184" s="23">
        <f>EXP(-LN(2)/2)*CM183+(1-EXP(-LN(2)/2))/(LN(2)/2)*CG184*CJ184*VLOOKUP('Données projet'!$B$12,Paramètres!$A$1:$I$88,3,0)*0.475*44/12</f>
        <v>3.7678539891185552E-16</v>
      </c>
      <c r="CN184" s="24">
        <f t="shared" si="172"/>
        <v>14.604527635686569</v>
      </c>
      <c r="CO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projet'!$B$13,Paramètres!$A$1:$I$88,3,0)*VLOOKUP('Données projet'!$B$13,Paramètres!$A$1:$I$88,5,0)</f>
        <v>#N/A</v>
      </c>
      <c r="CV184" s="14" t="e">
        <f t="shared" si="173"/>
        <v>#N/A</v>
      </c>
      <c r="CW184" s="22" t="e">
        <f t="shared" si="174"/>
        <v>#N/A</v>
      </c>
      <c r="CX184" s="60" t="e">
        <f t="shared" si="122"/>
        <v>#N/A</v>
      </c>
      <c r="CY184" s="60" t="e">
        <f ca="1">AVERAGE(OFFSET($CX$3,0,0,'Données projet'!$E$13+1,1))-AVERAGE(OFFSET($H$3,0,0,'Données projet'!$E$13+1,1))</f>
        <v>#N/A</v>
      </c>
      <c r="CZ184" s="60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projet'!$B$13,Paramètres!$A$1:$I$88,3,0)*0.475*44/12</f>
        <v>#N/A</v>
      </c>
      <c r="DG184" s="23" t="e">
        <f>EXP(-LN(2)/25)*DG183+(1-EXP(-LN(2)/25))/(LN(2)/25)*Calculateur!DB184*Calculateur!DD184*VLOOKUP('Données projet'!$B$13,Paramètres!$A$1:$I$88,3,0)*0.475*44/12</f>
        <v>#N/A</v>
      </c>
      <c r="DH184" s="23" t="e">
        <f>EXP(-LN(2)/2)*DH183+(1-EXP(-LN(2)/2))/(LN(2)/2)*DB184*DE184*VLOOKUP('Données projet'!$B$13,Paramètres!$A$1:$I$88,3,0)*0.475*44/12</f>
        <v>#N/A</v>
      </c>
      <c r="DI184" s="24" t="e">
        <f t="shared" si="175"/>
        <v>#N/A</v>
      </c>
      <c r="DJ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0" t="e">
        <f t="shared" si="125"/>
        <v>#N/A</v>
      </c>
      <c r="DT184" s="60" t="e">
        <f ca="1">AVERAGE(OFFSET($DS$3,0,0,'Données projet'!$E$14+1,1))-AVERAGE(OFFSET($H$3,0,0,'Données projet'!$E$14+1,1))</f>
        <v>#N/A</v>
      </c>
      <c r="DU184" s="60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4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161.83439999999979</v>
      </c>
      <c r="D185" s="12">
        <f t="shared" si="140"/>
        <v>41.255994535170444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4.5474735088646412E-13</v>
      </c>
      <c r="O185" s="14">
        <f>N185*VLOOKUP('Données projet'!$B$9,Paramètres!$A$1:$I$88,3,0)*VLOOKUP('Données projet'!$B$9,Paramètres!$A$1:$I$88,5,0)</f>
        <v>2.7193891583010558E-13</v>
      </c>
      <c r="P185" s="14">
        <f t="shared" si="141"/>
        <v>3.6362267729089988E-12</v>
      </c>
      <c r="Q185" s="22">
        <f t="shared" si="162"/>
        <v>6.8067219078872727E-12</v>
      </c>
      <c r="R185" s="60">
        <f t="shared" si="109"/>
        <v>293.33333333334014</v>
      </c>
      <c r="S185" s="60">
        <f ca="1">AVERAGE(OFFSET($R$3,0,0,'Données projet'!$E$9+1,1))-AVERAGE(OFFSET($H$3,0,0,'Données projet'!$E$9+1,1))</f>
        <v>181.84907943028196</v>
      </c>
      <c r="T185" s="60">
        <f t="shared" si="142"/>
        <v>199.66849909069458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11.614295550902902</v>
      </c>
      <c r="AA185" s="23">
        <f>EXP(-LN(2)/25)*AA184+(1-EXP(-LN(2)/25))/(LN(2)/25)*Calculateur!V185*Calculateur!X185*VLOOKUP('Données projet'!$B$9,Paramètres!$A$1:$I$88,3,0)*0.475*44/12</f>
        <v>1.0321468655741981</v>
      </c>
      <c r="AB185" s="23">
        <f>EXP(-LN(2)/2)*AB184+(1-EXP(-LN(2)/2))/(LN(2)/2)*V185*Y185*VLOOKUP('Données projet'!$B$9,Paramètres!$A$1:$I$88,3,0)*0.475*44/12</f>
        <v>1.0309947238995969E-17</v>
      </c>
      <c r="AC185" s="24">
        <f t="shared" si="163"/>
        <v>12.6464424164771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projet'!$B$10,Paramètres!$A$1:$I$88,3,0)*VLOOKUP('Données projet'!$B$10,Paramètres!$A$1:$I$88,5,0)</f>
        <v>0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55.581964048431473</v>
      </c>
      <c r="AO185" s="60">
        <f t="shared" si="144"/>
        <v>91.067506141193803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2.1727129939165488</v>
      </c>
      <c r="AV185" s="23">
        <f>EXP(-LN(2)/25)*AV184+(1-EXP(-LN(2)/25))/(LN(2)/25)*Calculateur!AQ185*Calculateur!AS185*VLOOKUP('Données projet'!$B$10,Paramètres!$A$1:$I$88,3,0)*0.475*44/12</f>
        <v>0</v>
      </c>
      <c r="AW185" s="23">
        <f>EXP(-LN(2)/2)*AW184+(1-EXP(-LN(2)/2))/(LN(2)/2)*AQ185*AT185*VLOOKUP('Données projet'!$B$10,Paramètres!$A$1:$I$88,3,0)*0.475*44/12</f>
        <v>0</v>
      </c>
      <c r="AX185" s="23">
        <f t="shared" si="166"/>
        <v>2.1727129939165488</v>
      </c>
      <c r="AY185" s="7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-38.999999999999829</v>
      </c>
      <c r="BE185" s="14">
        <f>BD185*VLOOKUP('Données projet'!$B$11,Paramètres!$A$1:$I$88,3,0)*VLOOKUP('Données projet'!$B$11,Paramètres!$A$1:$I$88,5,0)</f>
        <v>-39.545999999999829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178.29366134936788</v>
      </c>
      <c r="BJ185" s="60">
        <f t="shared" si="146"/>
        <v>85.818195717787148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189.82926712141966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189.82926712141966</v>
      </c>
      <c r="BT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projet'!$B$12,Paramètres!$A$1:$I$88,3,0)*VLOOKUP('Données projet'!$B$12,Paramètres!$A$1:$I$88,5,0)</f>
        <v>0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104.00159056395933</v>
      </c>
      <c r="CE185" s="60">
        <f t="shared" si="148"/>
        <v>115.86489547584461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13.185972554229958</v>
      </c>
      <c r="CL185" s="23">
        <f>EXP(-LN(2)/25)*CL184+(1-EXP(-LN(2)/25))/(LN(2)/25)*Calculateur!CG185*Calculateur!CI185*VLOOKUP('Données projet'!$B$12,Paramètres!$A$1:$I$88,3,0)*0.475*44/12</f>
        <v>1.1232359478563576</v>
      </c>
      <c r="CM185" s="23">
        <f>EXP(-LN(2)/2)*CM184+(1-EXP(-LN(2)/2))/(LN(2)/2)*CG185*CJ185*VLOOKUP('Données projet'!$B$12,Paramètres!$A$1:$I$88,3,0)*0.475*44/12</f>
        <v>2.6642751062265144E-16</v>
      </c>
      <c r="CN185" s="24">
        <f t="shared" si="172"/>
        <v>14.309208502086316</v>
      </c>
      <c r="CO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projet'!$B$13,Paramètres!$A$1:$I$88,3,0)*VLOOKUP('Données projet'!$B$13,Paramètres!$A$1:$I$88,5,0)</f>
        <v>#N/A</v>
      </c>
      <c r="CV185" s="14" t="e">
        <f t="shared" si="173"/>
        <v>#N/A</v>
      </c>
      <c r="CW185" s="22" t="e">
        <f t="shared" si="174"/>
        <v>#N/A</v>
      </c>
      <c r="CX185" s="60" t="e">
        <f t="shared" si="122"/>
        <v>#N/A</v>
      </c>
      <c r="CY185" s="60" t="e">
        <f ca="1">AVERAGE(OFFSET($CX$3,0,0,'Données projet'!$E$13+1,1))-AVERAGE(OFFSET($H$3,0,0,'Données projet'!$E$13+1,1))</f>
        <v>#N/A</v>
      </c>
      <c r="CZ185" s="60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projet'!$B$13,Paramètres!$A$1:$I$88,3,0)*0.475*44/12</f>
        <v>#N/A</v>
      </c>
      <c r="DG185" s="23" t="e">
        <f>EXP(-LN(2)/25)*DG184+(1-EXP(-LN(2)/25))/(LN(2)/25)*Calculateur!DB185*Calculateur!DD185*VLOOKUP('Données projet'!$B$13,Paramètres!$A$1:$I$88,3,0)*0.475*44/12</f>
        <v>#N/A</v>
      </c>
      <c r="DH185" s="23" t="e">
        <f>EXP(-LN(2)/2)*DH184+(1-EXP(-LN(2)/2))/(LN(2)/2)*DB185*DE185*VLOOKUP('Données projet'!$B$13,Paramètres!$A$1:$I$88,3,0)*0.475*44/12</f>
        <v>#N/A</v>
      </c>
      <c r="DI185" s="24" t="e">
        <f t="shared" si="175"/>
        <v>#N/A</v>
      </c>
      <c r="DJ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0" t="e">
        <f t="shared" si="125"/>
        <v>#N/A</v>
      </c>
      <c r="DT185" s="60" t="e">
        <f ca="1">AVERAGE(OFFSET($DS$3,0,0,'Données projet'!$E$14+1,1))-AVERAGE(OFFSET($H$3,0,0,'Données projet'!$E$14+1,1))</f>
        <v>#N/A</v>
      </c>
      <c r="DU185" s="60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4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162.72359999999978</v>
      </c>
      <c r="D186" s="12">
        <f t="shared" si="140"/>
        <v>41.456226201843137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4.5474735088646412E-13</v>
      </c>
      <c r="O186" s="14">
        <f>N186*VLOOKUP('Données projet'!$B$9,Paramètres!$A$1:$I$88,3,0)*VLOOKUP('Données projet'!$B$9,Paramètres!$A$1:$I$88,5,0)</f>
        <v>2.7193891583010558E-13</v>
      </c>
      <c r="P186" s="14">
        <f t="shared" si="141"/>
        <v>3.6362267729089988E-12</v>
      </c>
      <c r="Q186" s="22">
        <f t="shared" si="162"/>
        <v>6.8067219078872727E-12</v>
      </c>
      <c r="R186" s="60">
        <f t="shared" si="109"/>
        <v>293.33333333334014</v>
      </c>
      <c r="S186" s="60">
        <f ca="1">AVERAGE(OFFSET($R$3,0,0,'Données projet'!$E$9+1,1))-AVERAGE(OFFSET($H$3,0,0,'Données projet'!$E$9+1,1))</f>
        <v>181.84907943028196</v>
      </c>
      <c r="T186" s="60">
        <f t="shared" si="142"/>
        <v>199.66849909069458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11.386546299170494</v>
      </c>
      <c r="AA186" s="23">
        <f>EXP(-LN(2)/25)*AA185+(1-EXP(-LN(2)/25))/(LN(2)/25)*Calculateur!V186*Calculateur!X186*VLOOKUP('Données projet'!$B$9,Paramètres!$A$1:$I$88,3,0)*0.475*44/12</f>
        <v>1.0039227552568271</v>
      </c>
      <c r="AB186" s="23">
        <f>EXP(-LN(2)/2)*AB185+(1-EXP(-LN(2)/2))/(LN(2)/2)*V186*Y186*VLOOKUP('Données projet'!$B$9,Paramètres!$A$1:$I$88,3,0)*0.475*44/12</f>
        <v>7.2902336063695728E-18</v>
      </c>
      <c r="AC186" s="24">
        <f t="shared" si="163"/>
        <v>12.390469054427321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projet'!$B$10,Paramètres!$A$1:$I$88,3,0)*VLOOKUP('Données projet'!$B$10,Paramètres!$A$1:$I$88,5,0)</f>
        <v>0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55.581964048431473</v>
      </c>
      <c r="AO186" s="60">
        <f t="shared" si="144"/>
        <v>91.067506141193803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2.1301074173299166</v>
      </c>
      <c r="AV186" s="23">
        <f>EXP(-LN(2)/25)*AV185+(1-EXP(-LN(2)/25))/(LN(2)/25)*Calculateur!AQ186*Calculateur!AS186*VLOOKUP('Données projet'!$B$10,Paramètres!$A$1:$I$88,3,0)*0.475*44/12</f>
        <v>0</v>
      </c>
      <c r="AW186" s="23">
        <f>EXP(-LN(2)/2)*AW185+(1-EXP(-LN(2)/2))/(LN(2)/2)*AQ186*AT186*VLOOKUP('Données projet'!$B$10,Paramètres!$A$1:$I$88,3,0)*0.475*44/12</f>
        <v>0</v>
      </c>
      <c r="AX186" s="23">
        <f t="shared" si="166"/>
        <v>2.1301074173299166</v>
      </c>
      <c r="AY186" s="7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-38.999999999999829</v>
      </c>
      <c r="BE186" s="14">
        <f>BD186*VLOOKUP('Données projet'!$B$11,Paramètres!$A$1:$I$88,3,0)*VLOOKUP('Données projet'!$B$11,Paramètres!$A$1:$I$88,5,0)</f>
        <v>-39.545999999999829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178.29366134936788</v>
      </c>
      <c r="BJ186" s="60">
        <f t="shared" si="146"/>
        <v>85.818195717787148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186.1068309775888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186.1068309775888</v>
      </c>
      <c r="BT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projet'!$B$12,Paramètres!$A$1:$I$88,3,0)*VLOOKUP('Données projet'!$B$12,Paramètres!$A$1:$I$88,5,0)</f>
        <v>0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104.00159056395933</v>
      </c>
      <c r="CE186" s="60">
        <f t="shared" si="148"/>
        <v>115.86489547584461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12.92740367509062</v>
      </c>
      <c r="CL186" s="23">
        <f>EXP(-LN(2)/25)*CL185+(1-EXP(-LN(2)/25))/(LN(2)/25)*Calculateur!CG186*Calculateur!CI186*VLOOKUP('Données projet'!$B$12,Paramètres!$A$1:$I$88,3,0)*0.475*44/12</f>
        <v>1.0925210017938143</v>
      </c>
      <c r="CM186" s="23">
        <f>EXP(-LN(2)/2)*CM185+(1-EXP(-LN(2)/2))/(LN(2)/2)*CG186*CJ186*VLOOKUP('Données projet'!$B$12,Paramètres!$A$1:$I$88,3,0)*0.475*44/12</f>
        <v>1.8839269945592776E-16</v>
      </c>
      <c r="CN186" s="24">
        <f t="shared" si="172"/>
        <v>14.019924676884434</v>
      </c>
      <c r="CO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projet'!$B$13,Paramètres!$A$1:$I$88,3,0)*VLOOKUP('Données projet'!$B$13,Paramètres!$A$1:$I$88,5,0)</f>
        <v>#N/A</v>
      </c>
      <c r="CV186" s="14" t="e">
        <f t="shared" si="173"/>
        <v>#N/A</v>
      </c>
      <c r="CW186" s="22" t="e">
        <f t="shared" si="174"/>
        <v>#N/A</v>
      </c>
      <c r="CX186" s="60" t="e">
        <f t="shared" si="122"/>
        <v>#N/A</v>
      </c>
      <c r="CY186" s="60" t="e">
        <f ca="1">AVERAGE(OFFSET($CX$3,0,0,'Données projet'!$E$13+1,1))-AVERAGE(OFFSET($H$3,0,0,'Données projet'!$E$13+1,1))</f>
        <v>#N/A</v>
      </c>
      <c r="CZ186" s="60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projet'!$B$13,Paramètres!$A$1:$I$88,3,0)*0.475*44/12</f>
        <v>#N/A</v>
      </c>
      <c r="DG186" s="23" t="e">
        <f>EXP(-LN(2)/25)*DG185+(1-EXP(-LN(2)/25))/(LN(2)/25)*Calculateur!DB186*Calculateur!DD186*VLOOKUP('Données projet'!$B$13,Paramètres!$A$1:$I$88,3,0)*0.475*44/12</f>
        <v>#N/A</v>
      </c>
      <c r="DH186" s="23" t="e">
        <f>EXP(-LN(2)/2)*DH185+(1-EXP(-LN(2)/2))/(LN(2)/2)*DB186*DE186*VLOOKUP('Données projet'!$B$13,Paramètres!$A$1:$I$88,3,0)*0.475*44/12</f>
        <v>#N/A</v>
      </c>
      <c r="DI186" s="24" t="e">
        <f t="shared" si="175"/>
        <v>#N/A</v>
      </c>
      <c r="DJ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0" t="e">
        <f t="shared" si="125"/>
        <v>#N/A</v>
      </c>
      <c r="DT186" s="60" t="e">
        <f ca="1">AVERAGE(OFFSET($DS$3,0,0,'Données projet'!$E$14+1,1))-AVERAGE(OFFSET($H$3,0,0,'Données projet'!$E$14+1,1))</f>
        <v>#N/A</v>
      </c>
      <c r="DU186" s="60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4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163.61279999999977</v>
      </c>
      <c r="D187" s="12">
        <f t="shared" si="140"/>
        <v>41.656330547871768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4.5474735088646412E-13</v>
      </c>
      <c r="O187" s="14">
        <f>N187*VLOOKUP('Données projet'!$B$9,Paramètres!$A$1:$I$88,3,0)*VLOOKUP('Données projet'!$B$9,Paramètres!$A$1:$I$88,5,0)</f>
        <v>2.7193891583010558E-13</v>
      </c>
      <c r="P187" s="14">
        <f t="shared" si="141"/>
        <v>3.6362267729089988E-12</v>
      </c>
      <c r="Q187" s="22">
        <f t="shared" si="162"/>
        <v>6.8067219078872727E-12</v>
      </c>
      <c r="R187" s="60">
        <f t="shared" si="109"/>
        <v>293.33333333334014</v>
      </c>
      <c r="S187" s="60">
        <f ca="1">AVERAGE(OFFSET($R$3,0,0,'Données projet'!$E$9+1,1))-AVERAGE(OFFSET($H$3,0,0,'Données projet'!$E$9+1,1))</f>
        <v>181.84907943028196</v>
      </c>
      <c r="T187" s="60">
        <f t="shared" si="142"/>
        <v>199.66849909069458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11.163263071351231</v>
      </c>
      <c r="AA187" s="23">
        <f>EXP(-LN(2)/25)*AA186+(1-EXP(-LN(2)/25))/(LN(2)/25)*Calculateur!V187*Calculateur!X187*VLOOKUP('Données projet'!$B$9,Paramètres!$A$1:$I$88,3,0)*0.475*44/12</f>
        <v>0.97647043472032591</v>
      </c>
      <c r="AB187" s="23">
        <f>EXP(-LN(2)/2)*AB186+(1-EXP(-LN(2)/2))/(LN(2)/2)*V187*Y187*VLOOKUP('Données projet'!$B$9,Paramètres!$A$1:$I$88,3,0)*0.475*44/12</f>
        <v>5.1549736194979847E-18</v>
      </c>
      <c r="AC187" s="24">
        <f t="shared" si="163"/>
        <v>12.139733506071558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projet'!$B$10,Paramètres!$A$1:$I$88,3,0)*VLOOKUP('Données projet'!$B$10,Paramètres!$A$1:$I$88,5,0)</f>
        <v>0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55.581964048431473</v>
      </c>
      <c r="AO187" s="60">
        <f t="shared" si="144"/>
        <v>91.067506141193803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2.0883373101133125</v>
      </c>
      <c r="AV187" s="23">
        <f>EXP(-LN(2)/25)*AV186+(1-EXP(-LN(2)/25))/(LN(2)/25)*Calculateur!AQ187*Calculateur!AS187*VLOOKUP('Données projet'!$B$10,Paramètres!$A$1:$I$88,3,0)*0.475*44/12</f>
        <v>0</v>
      </c>
      <c r="AW187" s="23">
        <f>EXP(-LN(2)/2)*AW186+(1-EXP(-LN(2)/2))/(LN(2)/2)*AQ187*AT187*VLOOKUP('Données projet'!$B$10,Paramètres!$A$1:$I$88,3,0)*0.475*44/12</f>
        <v>0</v>
      </c>
      <c r="AX187" s="23">
        <f t="shared" si="166"/>
        <v>2.0883373101133125</v>
      </c>
      <c r="AY187" s="7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-38.999999999999829</v>
      </c>
      <c r="BE187" s="14">
        <f>BD187*VLOOKUP('Données projet'!$B$11,Paramètres!$A$1:$I$88,3,0)*VLOOKUP('Données projet'!$B$11,Paramètres!$A$1:$I$88,5,0)</f>
        <v>-39.545999999999829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178.29366134936788</v>
      </c>
      <c r="BJ187" s="60">
        <f t="shared" si="146"/>
        <v>85.818195717787148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182.45738953607662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182.45738953607662</v>
      </c>
      <c r="BT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projet'!$B$12,Paramètres!$A$1:$I$88,3,0)*VLOOKUP('Données projet'!$B$12,Paramètres!$A$1:$I$88,5,0)</f>
        <v>0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104.00159056395933</v>
      </c>
      <c r="CE187" s="60">
        <f t="shared" si="148"/>
        <v>115.86489547584461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12.673905173959762</v>
      </c>
      <c r="CL187" s="23">
        <f>EXP(-LN(2)/25)*CL186+(1-EXP(-LN(2)/25))/(LN(2)/25)*Calculateur!CG187*Calculateur!CI187*VLOOKUP('Données projet'!$B$12,Paramètres!$A$1:$I$88,3,0)*0.475*44/12</f>
        <v>1.0626459575465799</v>
      </c>
      <c r="CM187" s="23">
        <f>EXP(-LN(2)/2)*CM186+(1-EXP(-LN(2)/2))/(LN(2)/2)*CG187*CJ187*VLOOKUP('Données projet'!$B$12,Paramètres!$A$1:$I$88,3,0)*0.475*44/12</f>
        <v>1.3321375531132572E-16</v>
      </c>
      <c r="CN187" s="24">
        <f t="shared" si="172"/>
        <v>13.736551131506342</v>
      </c>
      <c r="CO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projet'!$B$13,Paramètres!$A$1:$I$88,3,0)*VLOOKUP('Données projet'!$B$13,Paramètres!$A$1:$I$88,5,0)</f>
        <v>#N/A</v>
      </c>
      <c r="CV187" s="14" t="e">
        <f t="shared" si="173"/>
        <v>#N/A</v>
      </c>
      <c r="CW187" s="22" t="e">
        <f t="shared" si="174"/>
        <v>#N/A</v>
      </c>
      <c r="CX187" s="60" t="e">
        <f t="shared" si="122"/>
        <v>#N/A</v>
      </c>
      <c r="CY187" s="60" t="e">
        <f ca="1">AVERAGE(OFFSET($CX$3,0,0,'Données projet'!$E$13+1,1))-AVERAGE(OFFSET($H$3,0,0,'Données projet'!$E$13+1,1))</f>
        <v>#N/A</v>
      </c>
      <c r="CZ187" s="60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projet'!$B$13,Paramètres!$A$1:$I$88,3,0)*0.475*44/12</f>
        <v>#N/A</v>
      </c>
      <c r="DG187" s="23" t="e">
        <f>EXP(-LN(2)/25)*DG186+(1-EXP(-LN(2)/25))/(LN(2)/25)*Calculateur!DB187*Calculateur!DD187*VLOOKUP('Données projet'!$B$13,Paramètres!$A$1:$I$88,3,0)*0.475*44/12</f>
        <v>#N/A</v>
      </c>
      <c r="DH187" s="23" t="e">
        <f>EXP(-LN(2)/2)*DH186+(1-EXP(-LN(2)/2))/(LN(2)/2)*DB187*DE187*VLOOKUP('Données projet'!$B$13,Paramètres!$A$1:$I$88,3,0)*0.475*44/12</f>
        <v>#N/A</v>
      </c>
      <c r="DI187" s="24" t="e">
        <f t="shared" si="175"/>
        <v>#N/A</v>
      </c>
      <c r="DJ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0" t="e">
        <f t="shared" si="125"/>
        <v>#N/A</v>
      </c>
      <c r="DT187" s="60" t="e">
        <f ca="1">AVERAGE(OFFSET($DS$3,0,0,'Données projet'!$E$14+1,1))-AVERAGE(OFFSET($H$3,0,0,'Données projet'!$E$14+1,1))</f>
        <v>#N/A</v>
      </c>
      <c r="DU187" s="60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4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164.50199999999975</v>
      </c>
      <c r="D188" s="12">
        <f t="shared" si="140"/>
        <v>41.856308345523843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4.5474735088646412E-13</v>
      </c>
      <c r="O188" s="14">
        <f>N188*VLOOKUP('Données projet'!$B$9,Paramètres!$A$1:$I$88,3,0)*VLOOKUP('Données projet'!$B$9,Paramètres!$A$1:$I$88,5,0)</f>
        <v>2.7193891583010558E-13</v>
      </c>
      <c r="P188" s="14">
        <f t="shared" si="141"/>
        <v>3.6362267729089988E-12</v>
      </c>
      <c r="Q188" s="22">
        <f t="shared" si="162"/>
        <v>6.8067219078872727E-12</v>
      </c>
      <c r="R188" s="60">
        <f t="shared" si="109"/>
        <v>293.33333333334014</v>
      </c>
      <c r="S188" s="60">
        <f ca="1">AVERAGE(OFFSET($R$3,0,0,'Données projet'!$E$9+1,1))-AVERAGE(OFFSET($H$3,0,0,'Données projet'!$E$9+1,1))</f>
        <v>181.84907943028196</v>
      </c>
      <c r="T188" s="60">
        <f t="shared" si="142"/>
        <v>199.66849909069458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10.944358291440182</v>
      </c>
      <c r="AA188" s="23">
        <f>EXP(-LN(2)/25)*AA187+(1-EXP(-LN(2)/25))/(LN(2)/25)*Calculateur!V188*Calculateur!X188*VLOOKUP('Données projet'!$B$9,Paramètres!$A$1:$I$88,3,0)*0.475*44/12</f>
        <v>0.94976879933255021</v>
      </c>
      <c r="AB188" s="23">
        <f>EXP(-LN(2)/2)*AB187+(1-EXP(-LN(2)/2))/(LN(2)/2)*V188*Y188*VLOOKUP('Données projet'!$B$9,Paramètres!$A$1:$I$88,3,0)*0.475*44/12</f>
        <v>3.6451168031847864E-18</v>
      </c>
      <c r="AC188" s="24">
        <f t="shared" si="163"/>
        <v>11.894127090772733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projet'!$B$10,Paramètres!$A$1:$I$88,3,0)*VLOOKUP('Données projet'!$B$10,Paramètres!$A$1:$I$88,5,0)</f>
        <v>0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55.581964048431473</v>
      </c>
      <c r="AO188" s="60">
        <f t="shared" si="144"/>
        <v>91.067506141193803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2.0473862892219761</v>
      </c>
      <c r="AV188" s="23">
        <f>EXP(-LN(2)/25)*AV187+(1-EXP(-LN(2)/25))/(LN(2)/25)*Calculateur!AQ188*Calculateur!AS188*VLOOKUP('Données projet'!$B$10,Paramètres!$A$1:$I$88,3,0)*0.475*44/12</f>
        <v>0</v>
      </c>
      <c r="AW188" s="23">
        <f>EXP(-LN(2)/2)*AW187+(1-EXP(-LN(2)/2))/(LN(2)/2)*AQ188*AT188*VLOOKUP('Données projet'!$B$10,Paramètres!$A$1:$I$88,3,0)*0.475*44/12</f>
        <v>0</v>
      </c>
      <c r="AX188" s="23">
        <f t="shared" si="166"/>
        <v>2.0473862892219761</v>
      </c>
      <c r="AY188" s="7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-38.999999999999829</v>
      </c>
      <c r="BE188" s="14">
        <f>BD188*VLOOKUP('Données projet'!$B$11,Paramètres!$A$1:$I$88,3,0)*VLOOKUP('Données projet'!$B$11,Paramètres!$A$1:$I$88,5,0)</f>
        <v>-39.545999999999829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178.29366134936788</v>
      </c>
      <c r="BJ188" s="60">
        <f t="shared" si="146"/>
        <v>85.818195717787148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178.879511415293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178.879511415293</v>
      </c>
      <c r="BT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projet'!$B$12,Paramètres!$A$1:$I$88,3,0)*VLOOKUP('Données projet'!$B$12,Paramètres!$A$1:$I$88,5,0)</f>
        <v>0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104.00159056395933</v>
      </c>
      <c r="CE188" s="60">
        <f t="shared" si="148"/>
        <v>115.86489547584461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12.425377623817262</v>
      </c>
      <c r="CL188" s="23">
        <f>EXP(-LN(2)/25)*CL187+(1-EXP(-LN(2)/25))/(LN(2)/25)*Calculateur!CG188*Calculateur!CI188*VLOOKUP('Données projet'!$B$12,Paramètres!$A$1:$I$88,3,0)*0.475*44/12</f>
        <v>1.0335878479553464</v>
      </c>
      <c r="CM188" s="23">
        <f>EXP(-LN(2)/2)*CM187+(1-EXP(-LN(2)/2))/(LN(2)/2)*CG188*CJ188*VLOOKUP('Données projet'!$B$12,Paramètres!$A$1:$I$88,3,0)*0.475*44/12</f>
        <v>9.4196349727963879E-17</v>
      </c>
      <c r="CN188" s="24">
        <f t="shared" si="172"/>
        <v>13.458965471772608</v>
      </c>
      <c r="CO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projet'!$B$13,Paramètres!$A$1:$I$88,3,0)*VLOOKUP('Données projet'!$B$13,Paramètres!$A$1:$I$88,5,0)</f>
        <v>#N/A</v>
      </c>
      <c r="CV188" s="14" t="e">
        <f t="shared" si="173"/>
        <v>#N/A</v>
      </c>
      <c r="CW188" s="22" t="e">
        <f t="shared" si="174"/>
        <v>#N/A</v>
      </c>
      <c r="CX188" s="60" t="e">
        <f t="shared" si="122"/>
        <v>#N/A</v>
      </c>
      <c r="CY188" s="60" t="e">
        <f ca="1">AVERAGE(OFFSET($CX$3,0,0,'Données projet'!$E$13+1,1))-AVERAGE(OFFSET($H$3,0,0,'Données projet'!$E$13+1,1))</f>
        <v>#N/A</v>
      </c>
      <c r="CZ188" s="60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projet'!$B$13,Paramètres!$A$1:$I$88,3,0)*0.475*44/12</f>
        <v>#N/A</v>
      </c>
      <c r="DG188" s="23" t="e">
        <f>EXP(-LN(2)/25)*DG187+(1-EXP(-LN(2)/25))/(LN(2)/25)*Calculateur!DB188*Calculateur!DD188*VLOOKUP('Données projet'!$B$13,Paramètres!$A$1:$I$88,3,0)*0.475*44/12</f>
        <v>#N/A</v>
      </c>
      <c r="DH188" s="23" t="e">
        <f>EXP(-LN(2)/2)*DH187+(1-EXP(-LN(2)/2))/(LN(2)/2)*DB188*DE188*VLOOKUP('Données projet'!$B$13,Paramètres!$A$1:$I$88,3,0)*0.475*44/12</f>
        <v>#N/A</v>
      </c>
      <c r="DI188" s="24" t="e">
        <f t="shared" si="175"/>
        <v>#N/A</v>
      </c>
      <c r="DJ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0" t="e">
        <f t="shared" si="125"/>
        <v>#N/A</v>
      </c>
      <c r="DT188" s="60" t="e">
        <f ca="1">AVERAGE(OFFSET($DS$3,0,0,'Données projet'!$E$14+1,1))-AVERAGE(OFFSET($H$3,0,0,'Données projet'!$E$14+1,1))</f>
        <v>#N/A</v>
      </c>
      <c r="DU188" s="60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4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165.39119999999974</v>
      </c>
      <c r="D189" s="12">
        <f t="shared" si="140"/>
        <v>42.056160358234798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4.5474735088646412E-13</v>
      </c>
      <c r="O189" s="14">
        <f>N189*VLOOKUP('Données projet'!$B$9,Paramètres!$A$1:$I$88,3,0)*VLOOKUP('Données projet'!$B$9,Paramètres!$A$1:$I$88,5,0)</f>
        <v>2.7193891583010558E-13</v>
      </c>
      <c r="P189" s="14">
        <f t="shared" si="141"/>
        <v>3.6362267729089988E-12</v>
      </c>
      <c r="Q189" s="22">
        <f t="shared" si="162"/>
        <v>6.8067219078872727E-12</v>
      </c>
      <c r="R189" s="60">
        <f t="shared" si="109"/>
        <v>293.33333333334014</v>
      </c>
      <c r="S189" s="60">
        <f ca="1">AVERAGE(OFFSET($R$3,0,0,'Données projet'!$E$9+1,1))-AVERAGE(OFFSET($H$3,0,0,'Données projet'!$E$9+1,1))</f>
        <v>181.84907943028196</v>
      </c>
      <c r="T189" s="60">
        <f t="shared" si="142"/>
        <v>199.66849909069458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10.729746100744457</v>
      </c>
      <c r="AA189" s="23">
        <f>EXP(-LN(2)/25)*AA188+(1-EXP(-LN(2)/25))/(LN(2)/25)*Calculateur!V189*Calculateur!X189*VLOOKUP('Données projet'!$B$9,Paramètres!$A$1:$I$88,3,0)*0.475*44/12</f>
        <v>0.92379732156863115</v>
      </c>
      <c r="AB189" s="23">
        <f>EXP(-LN(2)/2)*AB188+(1-EXP(-LN(2)/2))/(LN(2)/2)*V189*Y189*VLOOKUP('Données projet'!$B$9,Paramètres!$A$1:$I$88,3,0)*0.475*44/12</f>
        <v>2.5774868097489924E-18</v>
      </c>
      <c r="AC189" s="24">
        <f t="shared" si="163"/>
        <v>11.653543422313088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projet'!$B$10,Paramètres!$A$1:$I$88,3,0)*VLOOKUP('Données projet'!$B$10,Paramètres!$A$1:$I$88,5,0)</f>
        <v>0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55.581964048431473</v>
      </c>
      <c r="AO189" s="60">
        <f t="shared" si="144"/>
        <v>91.067506141193803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2.0072382928726626</v>
      </c>
      <c r="AV189" s="23">
        <f>EXP(-LN(2)/25)*AV188+(1-EXP(-LN(2)/25))/(LN(2)/25)*Calculateur!AQ189*Calculateur!AS189*VLOOKUP('Données projet'!$B$10,Paramètres!$A$1:$I$88,3,0)*0.475*44/12</f>
        <v>0</v>
      </c>
      <c r="AW189" s="23">
        <f>EXP(-LN(2)/2)*AW188+(1-EXP(-LN(2)/2))/(LN(2)/2)*AQ189*AT189*VLOOKUP('Données projet'!$B$10,Paramètres!$A$1:$I$88,3,0)*0.475*44/12</f>
        <v>0</v>
      </c>
      <c r="AX189" s="23">
        <f t="shared" si="166"/>
        <v>2.0072382928726626</v>
      </c>
      <c r="AY189" s="7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-38.999999999999829</v>
      </c>
      <c r="BE189" s="14">
        <f>BD189*VLOOKUP('Données projet'!$B$11,Paramètres!$A$1:$I$88,3,0)*VLOOKUP('Données projet'!$B$11,Paramètres!$A$1:$I$88,5,0)</f>
        <v>-39.545999999999829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178.29366134936788</v>
      </c>
      <c r="BJ189" s="60">
        <f t="shared" si="146"/>
        <v>85.818195717787148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175.37179330216776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175.37179330216776</v>
      </c>
      <c r="BT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projet'!$B$12,Paramètres!$A$1:$I$88,3,0)*VLOOKUP('Données projet'!$B$12,Paramètres!$A$1:$I$88,5,0)</f>
        <v>0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104.00159056395933</v>
      </c>
      <c r="CE189" s="60">
        <f t="shared" si="148"/>
        <v>115.86489547584461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12.181723547346218</v>
      </c>
      <c r="CL189" s="23">
        <f>EXP(-LN(2)/25)*CL188+(1-EXP(-LN(2)/25))/(LN(2)/25)*Calculateur!CG189*Calculateur!CI189*VLOOKUP('Données projet'!$B$12,Paramètres!$A$1:$I$88,3,0)*0.475*44/12</f>
        <v>1.0053243338989848</v>
      </c>
      <c r="CM189" s="23">
        <f>EXP(-LN(2)/2)*CM188+(1-EXP(-LN(2)/2))/(LN(2)/2)*CG189*CJ189*VLOOKUP('Données projet'!$B$12,Paramètres!$A$1:$I$88,3,0)*0.475*44/12</f>
        <v>6.660687765566286E-17</v>
      </c>
      <c r="CN189" s="24">
        <f t="shared" si="172"/>
        <v>13.187047881245203</v>
      </c>
      <c r="CO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projet'!$B$13,Paramètres!$A$1:$I$88,3,0)*VLOOKUP('Données projet'!$B$13,Paramètres!$A$1:$I$88,5,0)</f>
        <v>#N/A</v>
      </c>
      <c r="CV189" s="14" t="e">
        <f t="shared" si="173"/>
        <v>#N/A</v>
      </c>
      <c r="CW189" s="22" t="e">
        <f t="shared" si="174"/>
        <v>#N/A</v>
      </c>
      <c r="CX189" s="60" t="e">
        <f t="shared" si="122"/>
        <v>#N/A</v>
      </c>
      <c r="CY189" s="60" t="e">
        <f ca="1">AVERAGE(OFFSET($CX$3,0,0,'Données projet'!$E$13+1,1))-AVERAGE(OFFSET($H$3,0,0,'Données projet'!$E$13+1,1))</f>
        <v>#N/A</v>
      </c>
      <c r="CZ189" s="60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projet'!$B$13,Paramètres!$A$1:$I$88,3,0)*0.475*44/12</f>
        <v>#N/A</v>
      </c>
      <c r="DG189" s="23" t="e">
        <f>EXP(-LN(2)/25)*DG188+(1-EXP(-LN(2)/25))/(LN(2)/25)*Calculateur!DB189*Calculateur!DD189*VLOOKUP('Données projet'!$B$13,Paramètres!$A$1:$I$88,3,0)*0.475*44/12</f>
        <v>#N/A</v>
      </c>
      <c r="DH189" s="23" t="e">
        <f>EXP(-LN(2)/2)*DH188+(1-EXP(-LN(2)/2))/(LN(2)/2)*DB189*DE189*VLOOKUP('Données projet'!$B$13,Paramètres!$A$1:$I$88,3,0)*0.475*44/12</f>
        <v>#N/A</v>
      </c>
      <c r="DI189" s="24" t="e">
        <f t="shared" si="175"/>
        <v>#N/A</v>
      </c>
      <c r="DJ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0" t="e">
        <f t="shared" si="125"/>
        <v>#N/A</v>
      </c>
      <c r="DT189" s="60" t="e">
        <f ca="1">AVERAGE(OFFSET($DS$3,0,0,'Données projet'!$E$14+1,1))-AVERAGE(OFFSET($H$3,0,0,'Données projet'!$E$14+1,1))</f>
        <v>#N/A</v>
      </c>
      <c r="DU189" s="60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4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166.28039999999973</v>
      </c>
      <c r="D190" s="12">
        <f t="shared" si="140"/>
        <v>42.255887340755834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4.5474735088646412E-13</v>
      </c>
      <c r="O190" s="14">
        <f>N190*VLOOKUP('Données projet'!$B$9,Paramètres!$A$1:$I$88,3,0)*VLOOKUP('Données projet'!$B$9,Paramètres!$A$1:$I$88,5,0)</f>
        <v>2.7193891583010558E-13</v>
      </c>
      <c r="P190" s="14">
        <f t="shared" si="141"/>
        <v>3.6362267729089988E-12</v>
      </c>
      <c r="Q190" s="22">
        <f t="shared" si="162"/>
        <v>6.8067219078872727E-12</v>
      </c>
      <c r="R190" s="60">
        <f t="shared" si="109"/>
        <v>293.33333333334014</v>
      </c>
      <c r="S190" s="60">
        <f ca="1">AVERAGE(OFFSET($R$3,0,0,'Données projet'!$E$9+1,1))-AVERAGE(OFFSET($H$3,0,0,'Données projet'!$E$9+1,1))</f>
        <v>181.84907943028196</v>
      </c>
      <c r="T190" s="60">
        <f t="shared" si="142"/>
        <v>199.66849909069458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10.519342324207765</v>
      </c>
      <c r="AA190" s="23">
        <f>EXP(-LN(2)/25)*AA189+(1-EXP(-LN(2)/25))/(LN(2)/25)*Calculateur!V190*Calculateur!X190*VLOOKUP('Données projet'!$B$9,Paramètres!$A$1:$I$88,3,0)*0.475*44/12</f>
        <v>0.89853603522994718</v>
      </c>
      <c r="AB190" s="23">
        <f>EXP(-LN(2)/2)*AB189+(1-EXP(-LN(2)/2))/(LN(2)/2)*V190*Y190*VLOOKUP('Données projet'!$B$9,Paramètres!$A$1:$I$88,3,0)*0.475*44/12</f>
        <v>1.8225584015923932E-18</v>
      </c>
      <c r="AC190" s="24">
        <f t="shared" si="163"/>
        <v>11.417878359437712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projet'!$B$10,Paramètres!$A$1:$I$88,3,0)*VLOOKUP('Données projet'!$B$10,Paramètres!$A$1:$I$88,5,0)</f>
        <v>0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55.581964048431473</v>
      </c>
      <c r="AO190" s="60">
        <f t="shared" si="144"/>
        <v>91.067506141193803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1.9678775742438994</v>
      </c>
      <c r="AV190" s="23">
        <f>EXP(-LN(2)/25)*AV189+(1-EXP(-LN(2)/25))/(LN(2)/25)*Calculateur!AQ190*Calculateur!AS190*VLOOKUP('Données projet'!$B$10,Paramètres!$A$1:$I$88,3,0)*0.475*44/12</f>
        <v>0</v>
      </c>
      <c r="AW190" s="23">
        <f>EXP(-LN(2)/2)*AW189+(1-EXP(-LN(2)/2))/(LN(2)/2)*AQ190*AT190*VLOOKUP('Données projet'!$B$10,Paramètres!$A$1:$I$88,3,0)*0.475*44/12</f>
        <v>0</v>
      </c>
      <c r="AX190" s="23">
        <f t="shared" si="166"/>
        <v>1.9678775742438994</v>
      </c>
      <c r="AY190" s="7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-38.999999999999829</v>
      </c>
      <c r="BE190" s="14">
        <f>BD190*VLOOKUP('Données projet'!$B$11,Paramètres!$A$1:$I$88,3,0)*VLOOKUP('Données projet'!$B$11,Paramètres!$A$1:$I$88,5,0)</f>
        <v>-39.545999999999829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178.29366134936788</v>
      </c>
      <c r="BJ190" s="60">
        <f t="shared" si="146"/>
        <v>85.818195717787148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171.93285940174414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171.93285940174414</v>
      </c>
      <c r="BT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projet'!$B$12,Paramètres!$A$1:$I$88,3,0)*VLOOKUP('Données projet'!$B$12,Paramètres!$A$1:$I$88,5,0)</f>
        <v>0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104.00159056395933</v>
      </c>
      <c r="CE190" s="60">
        <f t="shared" si="148"/>
        <v>115.86489547584461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11.94284737870046</v>
      </c>
      <c r="CL190" s="23">
        <f>EXP(-LN(2)/25)*CL189+(1-EXP(-LN(2)/25))/(LN(2)/25)*Calculateur!CG190*Calculateur!CI190*VLOOKUP('Données projet'!$B$12,Paramètres!$A$1:$I$88,3,0)*0.475*44/12</f>
        <v>0.97783368712080798</v>
      </c>
      <c r="CM190" s="23">
        <f>EXP(-LN(2)/2)*CM189+(1-EXP(-LN(2)/2))/(LN(2)/2)*CG190*CJ190*VLOOKUP('Données projet'!$B$12,Paramètres!$A$1:$I$88,3,0)*0.475*44/12</f>
        <v>4.709817486398194E-17</v>
      </c>
      <c r="CN190" s="24">
        <f t="shared" si="172"/>
        <v>12.920681065821269</v>
      </c>
      <c r="CO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projet'!$B$13,Paramètres!$A$1:$I$88,3,0)*VLOOKUP('Données projet'!$B$13,Paramètres!$A$1:$I$88,5,0)</f>
        <v>#N/A</v>
      </c>
      <c r="CV190" s="14" t="e">
        <f t="shared" si="173"/>
        <v>#N/A</v>
      </c>
      <c r="CW190" s="22" t="e">
        <f t="shared" si="174"/>
        <v>#N/A</v>
      </c>
      <c r="CX190" s="60" t="e">
        <f t="shared" si="122"/>
        <v>#N/A</v>
      </c>
      <c r="CY190" s="60" t="e">
        <f ca="1">AVERAGE(OFFSET($CX$3,0,0,'Données projet'!$E$13+1,1))-AVERAGE(OFFSET($H$3,0,0,'Données projet'!$E$13+1,1))</f>
        <v>#N/A</v>
      </c>
      <c r="CZ190" s="60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projet'!$B$13,Paramètres!$A$1:$I$88,3,0)*0.475*44/12</f>
        <v>#N/A</v>
      </c>
      <c r="DG190" s="23" t="e">
        <f>EXP(-LN(2)/25)*DG189+(1-EXP(-LN(2)/25))/(LN(2)/25)*Calculateur!DB190*Calculateur!DD190*VLOOKUP('Données projet'!$B$13,Paramètres!$A$1:$I$88,3,0)*0.475*44/12</f>
        <v>#N/A</v>
      </c>
      <c r="DH190" s="23" t="e">
        <f>EXP(-LN(2)/2)*DH189+(1-EXP(-LN(2)/2))/(LN(2)/2)*DB190*DE190*VLOOKUP('Données projet'!$B$13,Paramètres!$A$1:$I$88,3,0)*0.475*44/12</f>
        <v>#N/A</v>
      </c>
      <c r="DI190" s="24" t="e">
        <f t="shared" si="175"/>
        <v>#N/A</v>
      </c>
      <c r="DJ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0" t="e">
        <f t="shared" si="125"/>
        <v>#N/A</v>
      </c>
      <c r="DT190" s="60" t="e">
        <f ca="1">AVERAGE(OFFSET($DS$3,0,0,'Données projet'!$E$14+1,1))-AVERAGE(OFFSET($H$3,0,0,'Données projet'!$E$14+1,1))</f>
        <v>#N/A</v>
      </c>
      <c r="DU190" s="60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4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167.16959999999972</v>
      </c>
      <c r="D191" s="12">
        <f t="shared" si="140"/>
        <v>42.455490039298816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4.5474735088646412E-13</v>
      </c>
      <c r="O191" s="14">
        <f>N191*VLOOKUP('Données projet'!$B$9,Paramètres!$A$1:$I$88,3,0)*VLOOKUP('Données projet'!$B$9,Paramètres!$A$1:$I$88,5,0)</f>
        <v>2.7193891583010558E-13</v>
      </c>
      <c r="P191" s="14">
        <f t="shared" si="141"/>
        <v>3.6362267729089988E-12</v>
      </c>
      <c r="Q191" s="22">
        <f t="shared" si="162"/>
        <v>6.8067219078872727E-12</v>
      </c>
      <c r="R191" s="60">
        <f t="shared" si="109"/>
        <v>293.33333333334014</v>
      </c>
      <c r="S191" s="60">
        <f ca="1">AVERAGE(OFFSET($R$3,0,0,'Données projet'!$E$9+1,1))-AVERAGE(OFFSET($H$3,0,0,'Données projet'!$E$9+1,1))</f>
        <v>181.84907943028196</v>
      </c>
      <c r="T191" s="60">
        <f t="shared" si="142"/>
        <v>199.66849909069458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10.313064437395324</v>
      </c>
      <c r="AA191" s="23">
        <f>EXP(-LN(2)/25)*AA190+(1-EXP(-LN(2)/25))/(LN(2)/25)*Calculateur!V191*Calculateur!X191*VLOOKUP('Données projet'!$B$9,Paramètres!$A$1:$I$88,3,0)*0.475*44/12</f>
        <v>0.8739655200946278</v>
      </c>
      <c r="AB191" s="23">
        <f>EXP(-LN(2)/2)*AB190+(1-EXP(-LN(2)/2))/(LN(2)/2)*V191*Y191*VLOOKUP('Données projet'!$B$9,Paramètres!$A$1:$I$88,3,0)*0.475*44/12</f>
        <v>1.2887434048744962E-18</v>
      </c>
      <c r="AC191" s="24">
        <f t="shared" si="163"/>
        <v>11.187029957489951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projet'!$B$10,Paramètres!$A$1:$I$88,3,0)*VLOOKUP('Données projet'!$B$10,Paramètres!$A$1:$I$88,5,0)</f>
        <v>0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55.581964048431473</v>
      </c>
      <c r="AO191" s="60">
        <f t="shared" si="144"/>
        <v>91.067506141193803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1.9292886952997783</v>
      </c>
      <c r="AV191" s="23">
        <f>EXP(-LN(2)/25)*AV190+(1-EXP(-LN(2)/25))/(LN(2)/25)*Calculateur!AQ191*Calculateur!AS191*VLOOKUP('Données projet'!$B$10,Paramètres!$A$1:$I$88,3,0)*0.475*44/12</f>
        <v>0</v>
      </c>
      <c r="AW191" s="23">
        <f>EXP(-LN(2)/2)*AW190+(1-EXP(-LN(2)/2))/(LN(2)/2)*AQ191*AT191*VLOOKUP('Données projet'!$B$10,Paramètres!$A$1:$I$88,3,0)*0.475*44/12</f>
        <v>0</v>
      </c>
      <c r="AX191" s="23">
        <f t="shared" si="166"/>
        <v>1.9292886952997783</v>
      </c>
      <c r="AY191" s="7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-38.999999999999829</v>
      </c>
      <c r="BE191" s="14">
        <f>BD191*VLOOKUP('Données projet'!$B$11,Paramètres!$A$1:$I$88,3,0)*VLOOKUP('Données projet'!$B$11,Paramètres!$A$1:$I$88,5,0)</f>
        <v>-39.545999999999829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178.29366134936788</v>
      </c>
      <c r="BJ191" s="60">
        <f t="shared" si="146"/>
        <v>85.818195717787148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168.56136089756524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168.56136089756524</v>
      </c>
      <c r="BT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projet'!$B$12,Paramètres!$A$1:$I$88,3,0)*VLOOKUP('Données projet'!$B$12,Paramètres!$A$1:$I$88,5,0)</f>
        <v>0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104.00159056395933</v>
      </c>
      <c r="CE191" s="60">
        <f t="shared" si="148"/>
        <v>115.86489547584461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11.708655426021769</v>
      </c>
      <c r="CL191" s="23">
        <f>EXP(-LN(2)/25)*CL190+(1-EXP(-LN(2)/25))/(LN(2)/25)*Calculateur!CG191*Calculateur!CI191*VLOOKUP('Données projet'!$B$12,Paramètres!$A$1:$I$88,3,0)*0.475*44/12</f>
        <v>0.95109477352445071</v>
      </c>
      <c r="CM191" s="23">
        <f>EXP(-LN(2)/2)*CM190+(1-EXP(-LN(2)/2))/(LN(2)/2)*CG191*CJ191*VLOOKUP('Données projet'!$B$12,Paramètres!$A$1:$I$88,3,0)*0.475*44/12</f>
        <v>3.330343882783143E-17</v>
      </c>
      <c r="CN191" s="24">
        <f t="shared" si="172"/>
        <v>12.65975019954622</v>
      </c>
      <c r="CO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projet'!$B$13,Paramètres!$A$1:$I$88,3,0)*VLOOKUP('Données projet'!$B$13,Paramètres!$A$1:$I$88,5,0)</f>
        <v>#N/A</v>
      </c>
      <c r="CV191" s="14" t="e">
        <f t="shared" si="173"/>
        <v>#N/A</v>
      </c>
      <c r="CW191" s="22" t="e">
        <f t="shared" si="174"/>
        <v>#N/A</v>
      </c>
      <c r="CX191" s="60" t="e">
        <f t="shared" si="122"/>
        <v>#N/A</v>
      </c>
      <c r="CY191" s="60" t="e">
        <f ca="1">AVERAGE(OFFSET($CX$3,0,0,'Données projet'!$E$13+1,1))-AVERAGE(OFFSET($H$3,0,0,'Données projet'!$E$13+1,1))</f>
        <v>#N/A</v>
      </c>
      <c r="CZ191" s="60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projet'!$B$13,Paramètres!$A$1:$I$88,3,0)*0.475*44/12</f>
        <v>#N/A</v>
      </c>
      <c r="DG191" s="23" t="e">
        <f>EXP(-LN(2)/25)*DG190+(1-EXP(-LN(2)/25))/(LN(2)/25)*Calculateur!DB191*Calculateur!DD191*VLOOKUP('Données projet'!$B$13,Paramètres!$A$1:$I$88,3,0)*0.475*44/12</f>
        <v>#N/A</v>
      </c>
      <c r="DH191" s="23" t="e">
        <f>EXP(-LN(2)/2)*DH190+(1-EXP(-LN(2)/2))/(LN(2)/2)*DB191*DE191*VLOOKUP('Données projet'!$B$13,Paramètres!$A$1:$I$88,3,0)*0.475*44/12</f>
        <v>#N/A</v>
      </c>
      <c r="DI191" s="24" t="e">
        <f t="shared" si="175"/>
        <v>#N/A</v>
      </c>
      <c r="DJ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0" t="e">
        <f t="shared" si="125"/>
        <v>#N/A</v>
      </c>
      <c r="DT191" s="60" t="e">
        <f ca="1">AVERAGE(OFFSET($DS$3,0,0,'Données projet'!$E$14+1,1))-AVERAGE(OFFSET($H$3,0,0,'Données projet'!$E$14+1,1))</f>
        <v>#N/A</v>
      </c>
      <c r="DU191" s="60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4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168.05879999999971</v>
      </c>
      <c r="D192" s="12">
        <f t="shared" si="140"/>
        <v>42.65496919167748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4.5474735088646412E-13</v>
      </c>
      <c r="O192" s="14">
        <f>N192*VLOOKUP('Données projet'!$B$9,Paramètres!$A$1:$I$88,3,0)*VLOOKUP('Données projet'!$B$9,Paramètres!$A$1:$I$88,5,0)</f>
        <v>2.7193891583010558E-13</v>
      </c>
      <c r="P192" s="14">
        <f t="shared" si="141"/>
        <v>3.6362267729089988E-12</v>
      </c>
      <c r="Q192" s="22">
        <f t="shared" si="162"/>
        <v>6.8067219078872727E-12</v>
      </c>
      <c r="R192" s="60">
        <f t="shared" si="109"/>
        <v>293.33333333334014</v>
      </c>
      <c r="S192" s="60">
        <f ca="1">AVERAGE(OFFSET($R$3,0,0,'Données projet'!$E$9+1,1))-AVERAGE(OFFSET($H$3,0,0,'Données projet'!$E$9+1,1))</f>
        <v>181.84907943028196</v>
      </c>
      <c r="T192" s="60">
        <f t="shared" si="142"/>
        <v>199.66849909069458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10.110831534126188</v>
      </c>
      <c r="AA192" s="23">
        <f>EXP(-LN(2)/25)*AA191+(1-EXP(-LN(2)/25))/(LN(2)/25)*Calculateur!V192*Calculateur!X192*VLOOKUP('Données projet'!$B$9,Paramètres!$A$1:$I$88,3,0)*0.475*44/12</f>
        <v>0.85006688698779098</v>
      </c>
      <c r="AB192" s="23">
        <f>EXP(-LN(2)/2)*AB191+(1-EXP(-LN(2)/2))/(LN(2)/2)*V192*Y192*VLOOKUP('Données projet'!$B$9,Paramètres!$A$1:$I$88,3,0)*0.475*44/12</f>
        <v>9.112792007961966E-19</v>
      </c>
      <c r="AC192" s="24">
        <f t="shared" si="163"/>
        <v>10.960898421113979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projet'!$B$10,Paramètres!$A$1:$I$88,3,0)*VLOOKUP('Données projet'!$B$10,Paramètres!$A$1:$I$88,5,0)</f>
        <v>0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55.581964048431473</v>
      </c>
      <c r="AO192" s="60">
        <f t="shared" si="144"/>
        <v>91.067506141193803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1.8914565207348595</v>
      </c>
      <c r="AV192" s="23">
        <f>EXP(-LN(2)/25)*AV191+(1-EXP(-LN(2)/25))/(LN(2)/25)*Calculateur!AQ192*Calculateur!AS192*VLOOKUP('Données projet'!$B$10,Paramètres!$A$1:$I$88,3,0)*0.475*44/12</f>
        <v>0</v>
      </c>
      <c r="AW192" s="23">
        <f>EXP(-LN(2)/2)*AW191+(1-EXP(-LN(2)/2))/(LN(2)/2)*AQ192*AT192*VLOOKUP('Données projet'!$B$10,Paramètres!$A$1:$I$88,3,0)*0.475*44/12</f>
        <v>0</v>
      </c>
      <c r="AX192" s="23">
        <f t="shared" si="166"/>
        <v>1.8914565207348595</v>
      </c>
      <c r="AY192" s="7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-38.999999999999829</v>
      </c>
      <c r="BE192" s="14">
        <f>BD192*VLOOKUP('Données projet'!$B$11,Paramètres!$A$1:$I$88,3,0)*VLOOKUP('Données projet'!$B$11,Paramètres!$A$1:$I$88,5,0)</f>
        <v>-39.545999999999829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178.29366134936788</v>
      </c>
      <c r="BJ192" s="60">
        <f t="shared" si="146"/>
        <v>85.818195717787148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165.25597542264225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165.25597542264225</v>
      </c>
      <c r="BT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projet'!$B$12,Paramètres!$A$1:$I$88,3,0)*VLOOKUP('Données projet'!$B$12,Paramètres!$A$1:$I$88,5,0)</f>
        <v>0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104.00159056395933</v>
      </c>
      <c r="CE192" s="60">
        <f t="shared" si="148"/>
        <v>115.86489547584461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11.479055834692121</v>
      </c>
      <c r="CL192" s="23">
        <f>EXP(-LN(2)/25)*CL191+(1-EXP(-LN(2)/25))/(LN(2)/25)*Calculateur!CG192*Calculateur!CI192*VLOOKUP('Données projet'!$B$12,Paramètres!$A$1:$I$88,3,0)*0.475*44/12</f>
        <v>0.92508703692652428</v>
      </c>
      <c r="CM192" s="23">
        <f>EXP(-LN(2)/2)*CM191+(1-EXP(-LN(2)/2))/(LN(2)/2)*CG192*CJ192*VLOOKUP('Données projet'!$B$12,Paramètres!$A$1:$I$88,3,0)*0.475*44/12</f>
        <v>2.354908743199097E-17</v>
      </c>
      <c r="CN192" s="24">
        <f t="shared" si="172"/>
        <v>12.404142871618644</v>
      </c>
      <c r="CO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projet'!$B$13,Paramètres!$A$1:$I$88,3,0)*VLOOKUP('Données projet'!$B$13,Paramètres!$A$1:$I$88,5,0)</f>
        <v>#N/A</v>
      </c>
      <c r="CV192" s="14" t="e">
        <f t="shared" si="173"/>
        <v>#N/A</v>
      </c>
      <c r="CW192" s="22" t="e">
        <f t="shared" si="174"/>
        <v>#N/A</v>
      </c>
      <c r="CX192" s="60" t="e">
        <f t="shared" si="122"/>
        <v>#N/A</v>
      </c>
      <c r="CY192" s="60" t="e">
        <f ca="1">AVERAGE(OFFSET($CX$3,0,0,'Données projet'!$E$13+1,1))-AVERAGE(OFFSET($H$3,0,0,'Données projet'!$E$13+1,1))</f>
        <v>#N/A</v>
      </c>
      <c r="CZ192" s="60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projet'!$B$13,Paramètres!$A$1:$I$88,3,0)*0.475*44/12</f>
        <v>#N/A</v>
      </c>
      <c r="DG192" s="23" t="e">
        <f>EXP(-LN(2)/25)*DG191+(1-EXP(-LN(2)/25))/(LN(2)/25)*Calculateur!DB192*Calculateur!DD192*VLOOKUP('Données projet'!$B$13,Paramètres!$A$1:$I$88,3,0)*0.475*44/12</f>
        <v>#N/A</v>
      </c>
      <c r="DH192" s="23" t="e">
        <f>EXP(-LN(2)/2)*DH191+(1-EXP(-LN(2)/2))/(LN(2)/2)*DB192*DE192*VLOOKUP('Données projet'!$B$13,Paramètres!$A$1:$I$88,3,0)*0.475*44/12</f>
        <v>#N/A</v>
      </c>
      <c r="DI192" s="24" t="e">
        <f t="shared" si="175"/>
        <v>#N/A</v>
      </c>
      <c r="DJ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0" t="e">
        <f t="shared" si="125"/>
        <v>#N/A</v>
      </c>
      <c r="DT192" s="60" t="e">
        <f ca="1">AVERAGE(OFFSET($DS$3,0,0,'Données projet'!$E$14+1,1))-AVERAGE(OFFSET($H$3,0,0,'Données projet'!$E$14+1,1))</f>
        <v>#N/A</v>
      </c>
      <c r="DU192" s="60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4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168.94799999999969</v>
      </c>
      <c r="D193" s="12">
        <f t="shared" si="140"/>
        <v>42.8543255274462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4.5474735088646412E-13</v>
      </c>
      <c r="O193" s="14">
        <f>N193*VLOOKUP('Données projet'!$B$9,Paramètres!$A$1:$I$88,3,0)*VLOOKUP('Données projet'!$B$9,Paramètres!$A$1:$I$88,5,0)</f>
        <v>2.7193891583010558E-13</v>
      </c>
      <c r="P193" s="14">
        <f t="shared" si="141"/>
        <v>3.6362267729089988E-12</v>
      </c>
      <c r="Q193" s="22">
        <f t="shared" si="162"/>
        <v>6.8067219078872727E-12</v>
      </c>
      <c r="R193" s="60">
        <f t="shared" si="109"/>
        <v>293.33333333334014</v>
      </c>
      <c r="S193" s="60">
        <f ca="1">AVERAGE(OFFSET($R$3,0,0,'Données projet'!$E$9+1,1))-AVERAGE(OFFSET($H$3,0,0,'Données projet'!$E$9+1,1))</f>
        <v>181.84907943028196</v>
      </c>
      <c r="T193" s="60">
        <f t="shared" si="142"/>
        <v>199.66849909069458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9.9125642947402692</v>
      </c>
      <c r="AA193" s="23">
        <f>EXP(-LN(2)/25)*AA192+(1-EXP(-LN(2)/25))/(LN(2)/25)*Calculateur!V193*Calculateur!X193*VLOOKUP('Données projet'!$B$9,Paramètres!$A$1:$I$88,3,0)*0.475*44/12</f>
        <v>0.82682176326003509</v>
      </c>
      <c r="AB193" s="23">
        <f>EXP(-LN(2)/2)*AB192+(1-EXP(-LN(2)/2))/(LN(2)/2)*V193*Y193*VLOOKUP('Données projet'!$B$9,Paramètres!$A$1:$I$88,3,0)*0.475*44/12</f>
        <v>6.4437170243724809E-19</v>
      </c>
      <c r="AC193" s="24">
        <f t="shared" si="163"/>
        <v>10.739386058000305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projet'!$B$10,Paramètres!$A$1:$I$88,3,0)*VLOOKUP('Données projet'!$B$10,Paramètres!$A$1:$I$88,5,0)</f>
        <v>0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55.581964048431473</v>
      </c>
      <c r="AO193" s="60">
        <f t="shared" si="144"/>
        <v>91.067506141193803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1.8543662120378106</v>
      </c>
      <c r="AV193" s="23">
        <f>EXP(-LN(2)/25)*AV192+(1-EXP(-LN(2)/25))/(LN(2)/25)*Calculateur!AQ193*Calculateur!AS193*VLOOKUP('Données projet'!$B$10,Paramètres!$A$1:$I$88,3,0)*0.475*44/12</f>
        <v>0</v>
      </c>
      <c r="AW193" s="23">
        <f>EXP(-LN(2)/2)*AW192+(1-EXP(-LN(2)/2))/(LN(2)/2)*AQ193*AT193*VLOOKUP('Données projet'!$B$10,Paramètres!$A$1:$I$88,3,0)*0.475*44/12</f>
        <v>0</v>
      </c>
      <c r="AX193" s="23">
        <f t="shared" si="166"/>
        <v>1.8543662120378106</v>
      </c>
      <c r="AY193" s="7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-38.999999999999829</v>
      </c>
      <c r="BE193" s="14">
        <f>BD193*VLOOKUP('Données projet'!$B$11,Paramètres!$A$1:$I$88,3,0)*VLOOKUP('Données projet'!$B$11,Paramètres!$A$1:$I$88,5,0)</f>
        <v>-39.545999999999829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178.29366134936788</v>
      </c>
      <c r="BJ193" s="60">
        <f t="shared" si="146"/>
        <v>85.818195717787148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162.01540654079645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162.01540654079645</v>
      </c>
      <c r="BT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projet'!$B$12,Paramètres!$A$1:$I$88,3,0)*VLOOKUP('Données projet'!$B$12,Paramètres!$A$1:$I$88,5,0)</f>
        <v>0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104.00159056395933</v>
      </c>
      <c r="CE193" s="60">
        <f t="shared" si="148"/>
        <v>115.86489547584461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11.253958551306523</v>
      </c>
      <c r="CL193" s="23">
        <f>EXP(-LN(2)/25)*CL192+(1-EXP(-LN(2)/25))/(LN(2)/25)*Calculateur!CG193*Calculateur!CI193*VLOOKUP('Données projet'!$B$12,Paramètres!$A$1:$I$88,3,0)*0.475*44/12</f>
        <v>0.89979048325355548</v>
      </c>
      <c r="CM193" s="23">
        <f>EXP(-LN(2)/2)*CM192+(1-EXP(-LN(2)/2))/(LN(2)/2)*CG193*CJ193*VLOOKUP('Données projet'!$B$12,Paramètres!$A$1:$I$88,3,0)*0.475*44/12</f>
        <v>1.6651719413915715E-17</v>
      </c>
      <c r="CN193" s="24">
        <f t="shared" si="172"/>
        <v>12.153749034560079</v>
      </c>
      <c r="CO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projet'!$B$13,Paramètres!$A$1:$I$88,3,0)*VLOOKUP('Données projet'!$B$13,Paramètres!$A$1:$I$88,5,0)</f>
        <v>#N/A</v>
      </c>
      <c r="CV193" s="14" t="e">
        <f t="shared" si="173"/>
        <v>#N/A</v>
      </c>
      <c r="CW193" s="22" t="e">
        <f t="shared" si="174"/>
        <v>#N/A</v>
      </c>
      <c r="CX193" s="60" t="e">
        <f t="shared" si="122"/>
        <v>#N/A</v>
      </c>
      <c r="CY193" s="60" t="e">
        <f ca="1">AVERAGE(OFFSET($CX$3,0,0,'Données projet'!$E$13+1,1))-AVERAGE(OFFSET($H$3,0,0,'Données projet'!$E$13+1,1))</f>
        <v>#N/A</v>
      </c>
      <c r="CZ193" s="60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projet'!$B$13,Paramètres!$A$1:$I$88,3,0)*0.475*44/12</f>
        <v>#N/A</v>
      </c>
      <c r="DG193" s="23" t="e">
        <f>EXP(-LN(2)/25)*DG192+(1-EXP(-LN(2)/25))/(LN(2)/25)*Calculateur!DB193*Calculateur!DD193*VLOOKUP('Données projet'!$B$13,Paramètres!$A$1:$I$88,3,0)*0.475*44/12</f>
        <v>#N/A</v>
      </c>
      <c r="DH193" s="23" t="e">
        <f>EXP(-LN(2)/2)*DH192+(1-EXP(-LN(2)/2))/(LN(2)/2)*DB193*DE193*VLOOKUP('Données projet'!$B$13,Paramètres!$A$1:$I$88,3,0)*0.475*44/12</f>
        <v>#N/A</v>
      </c>
      <c r="DI193" s="24" t="e">
        <f t="shared" si="175"/>
        <v>#N/A</v>
      </c>
      <c r="DJ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0" t="e">
        <f t="shared" si="125"/>
        <v>#N/A</v>
      </c>
      <c r="DT193" s="60" t="e">
        <f ca="1">AVERAGE(OFFSET($DS$3,0,0,'Données projet'!$E$14+1,1))-AVERAGE(OFFSET($H$3,0,0,'Données projet'!$E$14+1,1))</f>
        <v>#N/A</v>
      </c>
      <c r="DU193" s="60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4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169.83719999999968</v>
      </c>
      <c r="D194" s="12">
        <f t="shared" si="140"/>
        <v>43.053559768035143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4.5474735088646412E-13</v>
      </c>
      <c r="O194" s="14">
        <f>N194*VLOOKUP('Données projet'!$B$9,Paramètres!$A$1:$I$88,3,0)*VLOOKUP('Données projet'!$B$9,Paramètres!$A$1:$I$88,5,0)</f>
        <v>2.7193891583010558E-13</v>
      </c>
      <c r="P194" s="14">
        <f t="shared" si="141"/>
        <v>3.6362267729089988E-12</v>
      </c>
      <c r="Q194" s="22">
        <f t="shared" si="162"/>
        <v>6.8067219078872727E-12</v>
      </c>
      <c r="R194" s="60">
        <f t="shared" si="109"/>
        <v>293.33333333334014</v>
      </c>
      <c r="S194" s="60">
        <f ca="1">AVERAGE(OFFSET($R$3,0,0,'Données projet'!$E$9+1,1))-AVERAGE(OFFSET($H$3,0,0,'Données projet'!$E$9+1,1))</f>
        <v>181.84907943028196</v>
      </c>
      <c r="T194" s="60">
        <f t="shared" si="142"/>
        <v>199.66849909069458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9.7181849549876329</v>
      </c>
      <c r="AA194" s="23">
        <f>EXP(-LN(2)/25)*AA193+(1-EXP(-LN(2)/25))/(LN(2)/25)*Calculateur!V194*Calculateur!X194*VLOOKUP('Données projet'!$B$9,Paramètres!$A$1:$I$88,3,0)*0.475*44/12</f>
        <v>0.80421227866302258</v>
      </c>
      <c r="AB194" s="23">
        <f>EXP(-LN(2)/2)*AB193+(1-EXP(-LN(2)/2))/(LN(2)/2)*V194*Y194*VLOOKUP('Données projet'!$B$9,Paramètres!$A$1:$I$88,3,0)*0.475*44/12</f>
        <v>4.556396003980983E-19</v>
      </c>
      <c r="AC194" s="24">
        <f t="shared" si="163"/>
        <v>10.522397233650656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projet'!$B$10,Paramètres!$A$1:$I$88,3,0)*VLOOKUP('Données projet'!$B$10,Paramètres!$A$1:$I$88,5,0)</f>
        <v>0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55.581964048431473</v>
      </c>
      <c r="AO194" s="60">
        <f t="shared" si="144"/>
        <v>91.067506141193803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1.8180032216714563</v>
      </c>
      <c r="AV194" s="23">
        <f>EXP(-LN(2)/25)*AV193+(1-EXP(-LN(2)/25))/(LN(2)/25)*Calculateur!AQ194*Calculateur!AS194*VLOOKUP('Données projet'!$B$10,Paramètres!$A$1:$I$88,3,0)*0.475*44/12</f>
        <v>0</v>
      </c>
      <c r="AW194" s="23">
        <f>EXP(-LN(2)/2)*AW193+(1-EXP(-LN(2)/2))/(LN(2)/2)*AQ194*AT194*VLOOKUP('Données projet'!$B$10,Paramètres!$A$1:$I$88,3,0)*0.475*44/12</f>
        <v>0</v>
      </c>
      <c r="AX194" s="23">
        <f t="shared" si="166"/>
        <v>1.8180032216714563</v>
      </c>
      <c r="AY194" s="7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-38.999999999999829</v>
      </c>
      <c r="BE194" s="14">
        <f>BD194*VLOOKUP('Données projet'!$B$11,Paramètres!$A$1:$I$88,3,0)*VLOOKUP('Données projet'!$B$11,Paramètres!$A$1:$I$88,5,0)</f>
        <v>-39.545999999999829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178.29366134936788</v>
      </c>
      <c r="BJ194" s="60">
        <f t="shared" si="146"/>
        <v>85.818195717787148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158.83838323817179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158.83838323817179</v>
      </c>
      <c r="BT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projet'!$B$12,Paramètres!$A$1:$I$88,3,0)*VLOOKUP('Données projet'!$B$12,Paramètres!$A$1:$I$88,5,0)</f>
        <v>0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104.00159056395933</v>
      </c>
      <c r="CE194" s="60">
        <f t="shared" si="148"/>
        <v>115.86489547584461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11.033275288352332</v>
      </c>
      <c r="CL194" s="23">
        <f>EXP(-LN(2)/25)*CL193+(1-EXP(-LN(2)/25))/(LN(2)/25)*Calculateur!CG194*Calculateur!CI194*VLOOKUP('Données projet'!$B$12,Paramètres!$A$1:$I$88,3,0)*0.475*44/12</f>
        <v>0.875185665171062</v>
      </c>
      <c r="CM194" s="23">
        <f>EXP(-LN(2)/2)*CM193+(1-EXP(-LN(2)/2))/(LN(2)/2)*CG194*CJ194*VLOOKUP('Données projet'!$B$12,Paramètres!$A$1:$I$88,3,0)*0.475*44/12</f>
        <v>1.1774543715995485E-17</v>
      </c>
      <c r="CN194" s="24">
        <f t="shared" si="172"/>
        <v>11.908460953523393</v>
      </c>
      <c r="CO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projet'!$B$13,Paramètres!$A$1:$I$88,3,0)*VLOOKUP('Données projet'!$B$13,Paramètres!$A$1:$I$88,5,0)</f>
        <v>#N/A</v>
      </c>
      <c r="CV194" s="14" t="e">
        <f t="shared" si="173"/>
        <v>#N/A</v>
      </c>
      <c r="CW194" s="22" t="e">
        <f t="shared" si="174"/>
        <v>#N/A</v>
      </c>
      <c r="CX194" s="60" t="e">
        <f t="shared" si="122"/>
        <v>#N/A</v>
      </c>
      <c r="CY194" s="60" t="e">
        <f ca="1">AVERAGE(OFFSET($CX$3,0,0,'Données projet'!$E$13+1,1))-AVERAGE(OFFSET($H$3,0,0,'Données projet'!$E$13+1,1))</f>
        <v>#N/A</v>
      </c>
      <c r="CZ194" s="60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projet'!$B$13,Paramètres!$A$1:$I$88,3,0)*0.475*44/12</f>
        <v>#N/A</v>
      </c>
      <c r="DG194" s="23" t="e">
        <f>EXP(-LN(2)/25)*DG193+(1-EXP(-LN(2)/25))/(LN(2)/25)*Calculateur!DB194*Calculateur!DD194*VLOOKUP('Données projet'!$B$13,Paramètres!$A$1:$I$88,3,0)*0.475*44/12</f>
        <v>#N/A</v>
      </c>
      <c r="DH194" s="23" t="e">
        <f>EXP(-LN(2)/2)*DH193+(1-EXP(-LN(2)/2))/(LN(2)/2)*DB194*DE194*VLOOKUP('Données projet'!$B$13,Paramètres!$A$1:$I$88,3,0)*0.475*44/12</f>
        <v>#N/A</v>
      </c>
      <c r="DI194" s="24" t="e">
        <f t="shared" si="175"/>
        <v>#N/A</v>
      </c>
      <c r="DJ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0" t="e">
        <f t="shared" si="125"/>
        <v>#N/A</v>
      </c>
      <c r="DT194" s="60" t="e">
        <f ca="1">AVERAGE(OFFSET($DS$3,0,0,'Données projet'!$E$14+1,1))-AVERAGE(OFFSET($H$3,0,0,'Données projet'!$E$14+1,1))</f>
        <v>#N/A</v>
      </c>
      <c r="DU194" s="60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4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170.72639999999967</v>
      </c>
      <c r="D195" s="12">
        <f t="shared" si="140"/>
        <v>43.252672626882983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4.5474735088646412E-13</v>
      </c>
      <c r="O195" s="14">
        <f>N195*VLOOKUP('Données projet'!$B$9,Paramètres!$A$1:$I$88,3,0)*VLOOKUP('Données projet'!$B$9,Paramètres!$A$1:$I$88,5,0)</f>
        <v>2.7193891583010558E-13</v>
      </c>
      <c r="P195" s="14">
        <f t="shared" si="141"/>
        <v>3.6362267729089988E-12</v>
      </c>
      <c r="Q195" s="22">
        <f t="shared" si="162"/>
        <v>6.8067219078872727E-12</v>
      </c>
      <c r="R195" s="60">
        <f t="shared" ref="R195:R203" si="191">Q195+(I195+J195)*44/12</f>
        <v>293.33333333334014</v>
      </c>
      <c r="S195" s="60">
        <f ca="1">AVERAGE(OFFSET($R$3,0,0,'Données projet'!$E$9+1,1))-AVERAGE(OFFSET($H$3,0,0,'Données projet'!$E$9+1,1))</f>
        <v>181.84907943028196</v>
      </c>
      <c r="T195" s="60">
        <f t="shared" si="142"/>
        <v>199.66849909069458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9.5276172755278559</v>
      </c>
      <c r="AA195" s="23">
        <f>EXP(-LN(2)/25)*AA194+(1-EXP(-LN(2)/25))/(LN(2)/25)*Calculateur!V195*Calculateur!X195*VLOOKUP('Données projet'!$B$9,Paramètres!$A$1:$I$88,3,0)*0.475*44/12</f>
        <v>0.78222105161129651</v>
      </c>
      <c r="AB195" s="23">
        <f>EXP(-LN(2)/2)*AB194+(1-EXP(-LN(2)/2))/(LN(2)/2)*V195*Y195*VLOOKUP('Données projet'!$B$9,Paramètres!$A$1:$I$88,3,0)*0.475*44/12</f>
        <v>3.2218585121862405E-19</v>
      </c>
      <c r="AC195" s="24">
        <f t="shared" si="163"/>
        <v>10.309838327139152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projet'!$B$10,Paramètres!$A$1:$I$88,3,0)*VLOOKUP('Données projet'!$B$10,Paramètres!$A$1:$I$88,5,0)</f>
        <v>0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55.581964048431473</v>
      </c>
      <c r="AO195" s="60">
        <f t="shared" si="144"/>
        <v>91.067506141193803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1.7823532873669523</v>
      </c>
      <c r="AV195" s="23">
        <f>EXP(-LN(2)/25)*AV194+(1-EXP(-LN(2)/25))/(LN(2)/25)*Calculateur!AQ195*Calculateur!AS195*VLOOKUP('Données projet'!$B$10,Paramètres!$A$1:$I$88,3,0)*0.475*44/12</f>
        <v>0</v>
      </c>
      <c r="AW195" s="23">
        <f>EXP(-LN(2)/2)*AW194+(1-EXP(-LN(2)/2))/(LN(2)/2)*AQ195*AT195*VLOOKUP('Données projet'!$B$10,Paramètres!$A$1:$I$88,3,0)*0.475*44/12</f>
        <v>0</v>
      </c>
      <c r="AX195" s="23">
        <f t="shared" si="166"/>
        <v>1.7823532873669523</v>
      </c>
      <c r="AY195" s="7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-38.999999999999829</v>
      </c>
      <c r="BE195" s="14">
        <f>BD195*VLOOKUP('Données projet'!$B$11,Paramètres!$A$1:$I$88,3,0)*VLOOKUP('Données projet'!$B$11,Paramètres!$A$1:$I$88,5,0)</f>
        <v>-39.545999999999829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178.29366134936788</v>
      </c>
      <c r="BJ195" s="60">
        <f t="shared" si="146"/>
        <v>85.818195717787148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155.72365942471873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155.72365942471873</v>
      </c>
      <c r="BT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projet'!$B$12,Paramètres!$A$1:$I$88,3,0)*VLOOKUP('Données projet'!$B$12,Paramètres!$A$1:$I$88,5,0)</f>
        <v>0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104.00159056395933</v>
      </c>
      <c r="CE195" s="60">
        <f t="shared" si="148"/>
        <v>115.86489547584461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10.816919489581172</v>
      </c>
      <c r="CL195" s="23">
        <f>EXP(-LN(2)/25)*CL194+(1-EXP(-LN(2)/25))/(LN(2)/25)*Calculateur!CG195*Calculateur!CI195*VLOOKUP('Données projet'!$B$12,Paramètres!$A$1:$I$88,3,0)*0.475*44/12</f>
        <v>0.85125366713294548</v>
      </c>
      <c r="CM195" s="23">
        <f>EXP(-LN(2)/2)*CM194+(1-EXP(-LN(2)/2))/(LN(2)/2)*CG195*CJ195*VLOOKUP('Données projet'!$B$12,Paramètres!$A$1:$I$88,3,0)*0.475*44/12</f>
        <v>8.3258597069578575E-18</v>
      </c>
      <c r="CN195" s="24">
        <f t="shared" si="172"/>
        <v>11.668173156714118</v>
      </c>
      <c r="CO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projet'!$B$13,Paramètres!$A$1:$I$88,3,0)*VLOOKUP('Données projet'!$B$13,Paramètres!$A$1:$I$88,5,0)</f>
        <v>#N/A</v>
      </c>
      <c r="CV195" s="14" t="e">
        <f t="shared" si="173"/>
        <v>#N/A</v>
      </c>
      <c r="CW195" s="22" t="e">
        <f t="shared" si="174"/>
        <v>#N/A</v>
      </c>
      <c r="CX195" s="60" t="e">
        <f t="shared" si="122"/>
        <v>#N/A</v>
      </c>
      <c r="CY195" s="60" t="e">
        <f ca="1">AVERAGE(OFFSET($CX$3,0,0,'Données projet'!$E$13+1,1))-AVERAGE(OFFSET($H$3,0,0,'Données projet'!$E$13+1,1))</f>
        <v>#N/A</v>
      </c>
      <c r="CZ195" s="60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projet'!$B$13,Paramètres!$A$1:$I$88,3,0)*0.475*44/12</f>
        <v>#N/A</v>
      </c>
      <c r="DG195" s="23" t="e">
        <f>EXP(-LN(2)/25)*DG194+(1-EXP(-LN(2)/25))/(LN(2)/25)*Calculateur!DB195*Calculateur!DD195*VLOOKUP('Données projet'!$B$13,Paramètres!$A$1:$I$88,3,0)*0.475*44/12</f>
        <v>#N/A</v>
      </c>
      <c r="DH195" s="23" t="e">
        <f>EXP(-LN(2)/2)*DH194+(1-EXP(-LN(2)/2))/(LN(2)/2)*DB195*DE195*VLOOKUP('Données projet'!$B$13,Paramètres!$A$1:$I$88,3,0)*0.475*44/12</f>
        <v>#N/A</v>
      </c>
      <c r="DI195" s="24" t="e">
        <f t="shared" si="175"/>
        <v>#N/A</v>
      </c>
      <c r="DJ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0" t="e">
        <f t="shared" si="125"/>
        <v>#N/A</v>
      </c>
      <c r="DT195" s="60" t="e">
        <f ca="1">AVERAGE(OFFSET($DS$3,0,0,'Données projet'!$E$14+1,1))-AVERAGE(OFFSET($H$3,0,0,'Données projet'!$E$14+1,1))</f>
        <v>#N/A</v>
      </c>
      <c r="DU195" s="60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4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171.61559999999966</v>
      </c>
      <c r="D196" s="12">
        <f t="shared" si="140"/>
        <v>43.451664809566452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4.5474735088646412E-13</v>
      </c>
      <c r="O196" s="14">
        <f>N196*VLOOKUP('Données projet'!$B$9,Paramètres!$A$1:$I$88,3,0)*VLOOKUP('Données projet'!$B$9,Paramètres!$A$1:$I$88,5,0)</f>
        <v>2.7193891583010558E-13</v>
      </c>
      <c r="P196" s="14">
        <f t="shared" si="141"/>
        <v>3.6362267729089988E-12</v>
      </c>
      <c r="Q196" s="22">
        <f t="shared" si="162"/>
        <v>6.8067219078872727E-12</v>
      </c>
      <c r="R196" s="60">
        <f t="shared" si="191"/>
        <v>293.33333333334014</v>
      </c>
      <c r="S196" s="60">
        <f ca="1">AVERAGE(OFFSET($R$3,0,0,'Données projet'!$E$9+1,1))-AVERAGE(OFFSET($H$3,0,0,'Données projet'!$E$9+1,1))</f>
        <v>181.84907943028196</v>
      </c>
      <c r="T196" s="60">
        <f t="shared" si="142"/>
        <v>199.66849909069458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9.3407865120274778</v>
      </c>
      <c r="AA196" s="23">
        <f>EXP(-LN(2)/25)*AA195+(1-EXP(-LN(2)/25))/(LN(2)/25)*Calculateur!V196*Calculateur!X196*VLOOKUP('Données projet'!$B$9,Paramètres!$A$1:$I$88,3,0)*0.475*44/12</f>
        <v>0.76083117581976833</v>
      </c>
      <c r="AB196" s="23">
        <f>EXP(-LN(2)/2)*AB195+(1-EXP(-LN(2)/2))/(LN(2)/2)*V196*Y196*VLOOKUP('Données projet'!$B$9,Paramètres!$A$1:$I$88,3,0)*0.475*44/12</f>
        <v>2.2781980019904915E-19</v>
      </c>
      <c r="AC196" s="24">
        <f t="shared" si="163"/>
        <v>10.101617687847247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projet'!$B$10,Paramètres!$A$1:$I$88,3,0)*VLOOKUP('Données projet'!$B$10,Paramètres!$A$1:$I$88,5,0)</f>
        <v>0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55.581964048431473</v>
      </c>
      <c r="AO196" s="60">
        <f t="shared" si="144"/>
        <v>91.067506141193803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1.7474024265298467</v>
      </c>
      <c r="AV196" s="23">
        <f>EXP(-LN(2)/25)*AV195+(1-EXP(-LN(2)/25))/(LN(2)/25)*Calculateur!AQ196*Calculateur!AS196*VLOOKUP('Données projet'!$B$10,Paramètres!$A$1:$I$88,3,0)*0.475*44/12</f>
        <v>0</v>
      </c>
      <c r="AW196" s="23">
        <f>EXP(-LN(2)/2)*AW195+(1-EXP(-LN(2)/2))/(LN(2)/2)*AQ196*AT196*VLOOKUP('Données projet'!$B$10,Paramètres!$A$1:$I$88,3,0)*0.475*44/12</f>
        <v>0</v>
      </c>
      <c r="AX196" s="23">
        <f t="shared" si="166"/>
        <v>1.7474024265298467</v>
      </c>
      <c r="AY196" s="7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-38.999999999999829</v>
      </c>
      <c r="BE196" s="14">
        <f>BD196*VLOOKUP('Données projet'!$B$11,Paramètres!$A$1:$I$88,3,0)*VLOOKUP('Données projet'!$B$11,Paramètres!$A$1:$I$88,5,0)</f>
        <v>-39.545999999999829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178.29366134936788</v>
      </c>
      <c r="BJ196" s="60">
        <f t="shared" si="146"/>
        <v>85.818195717787148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152.67001344545355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152.67001344545355</v>
      </c>
      <c r="BT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projet'!$B$12,Paramètres!$A$1:$I$88,3,0)*VLOOKUP('Données projet'!$B$12,Paramètres!$A$1:$I$88,5,0)</f>
        <v>0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104.00159056395933</v>
      </c>
      <c r="CE196" s="60">
        <f t="shared" si="148"/>
        <v>115.86489547584461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10.604806296059909</v>
      </c>
      <c r="CL196" s="23">
        <f>EXP(-LN(2)/25)*CL195+(1-EXP(-LN(2)/25))/(LN(2)/25)*Calculateur!CG196*Calculateur!CI196*VLOOKUP('Données projet'!$B$12,Paramètres!$A$1:$I$88,3,0)*0.475*44/12</f>
        <v>0.82797609083971024</v>
      </c>
      <c r="CM196" s="23">
        <f>EXP(-LN(2)/2)*CM195+(1-EXP(-LN(2)/2))/(LN(2)/2)*CG196*CJ196*VLOOKUP('Données projet'!$B$12,Paramètres!$A$1:$I$88,3,0)*0.475*44/12</f>
        <v>5.8872718579977425E-18</v>
      </c>
      <c r="CN196" s="24">
        <f t="shared" si="172"/>
        <v>11.432782386899619</v>
      </c>
      <c r="CO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projet'!$B$13,Paramètres!$A$1:$I$88,3,0)*VLOOKUP('Données projet'!$B$13,Paramètres!$A$1:$I$88,5,0)</f>
        <v>#N/A</v>
      </c>
      <c r="CV196" s="14" t="e">
        <f t="shared" si="173"/>
        <v>#N/A</v>
      </c>
      <c r="CW196" s="22" t="e">
        <f t="shared" si="174"/>
        <v>#N/A</v>
      </c>
      <c r="CX196" s="60" t="e">
        <f t="shared" ref="CX196:CX203" si="196">CW196+(CO196+CP196)*44/12</f>
        <v>#N/A</v>
      </c>
      <c r="CY196" s="60" t="e">
        <f ca="1">AVERAGE(OFFSET($CX$3,0,0,'Données projet'!$E$13+1,1))-AVERAGE(OFFSET($H$3,0,0,'Données projet'!$E$13+1,1))</f>
        <v>#N/A</v>
      </c>
      <c r="CZ196" s="60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projet'!$B$13,Paramètres!$A$1:$I$88,3,0)*0.475*44/12</f>
        <v>#N/A</v>
      </c>
      <c r="DG196" s="23" t="e">
        <f>EXP(-LN(2)/25)*DG195+(1-EXP(-LN(2)/25))/(LN(2)/25)*Calculateur!DB196*Calculateur!DD196*VLOOKUP('Données projet'!$B$13,Paramètres!$A$1:$I$88,3,0)*0.475*44/12</f>
        <v>#N/A</v>
      </c>
      <c r="DH196" s="23" t="e">
        <f>EXP(-LN(2)/2)*DH195+(1-EXP(-LN(2)/2))/(LN(2)/2)*DB196*DE196*VLOOKUP('Données projet'!$B$13,Paramètres!$A$1:$I$88,3,0)*0.475*44/12</f>
        <v>#N/A</v>
      </c>
      <c r="DI196" s="24" t="e">
        <f t="shared" si="175"/>
        <v>#N/A</v>
      </c>
      <c r="DJ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0" t="e">
        <f t="shared" ref="DS196:DS203" si="197">DR196+(DJ196+DK196)*44/12</f>
        <v>#N/A</v>
      </c>
      <c r="DT196" s="60" t="e">
        <f ca="1">AVERAGE(OFFSET($DS$3,0,0,'Données projet'!$E$14+1,1))-AVERAGE(OFFSET($H$3,0,0,'Données projet'!$E$14+1,1))</f>
        <v>#N/A</v>
      </c>
      <c r="DU196" s="60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4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172.50479999999965</v>
      </c>
      <c r="D197" s="12">
        <f t="shared" ref="D197:D203" si="202">IFERROR(EXP(-1.0587+0.8836*LN(C197)+0.284),0)</f>
        <v>43.650537013927277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4.5474735088646412E-13</v>
      </c>
      <c r="O197" s="14">
        <f>N197*VLOOKUP('Données projet'!$B$9,Paramètres!$A$1:$I$88,3,0)*VLOOKUP('Données projet'!$B$9,Paramètres!$A$1:$I$88,5,0)</f>
        <v>2.7193891583010558E-13</v>
      </c>
      <c r="P197" s="14">
        <f t="shared" ref="P197:P203" si="203">EXP(-1.0587+0.8836*LN(O197)+0.284)</f>
        <v>3.6362267729089988E-12</v>
      </c>
      <c r="Q197" s="22">
        <f t="shared" si="162"/>
        <v>6.8067219078872727E-12</v>
      </c>
      <c r="R197" s="60">
        <f t="shared" si="191"/>
        <v>293.33333333334014</v>
      </c>
      <c r="S197" s="60">
        <f ca="1">AVERAGE(OFFSET($R$3,0,0,'Données projet'!$E$9+1,1))-AVERAGE(OFFSET($H$3,0,0,'Données projet'!$E$9+1,1))</f>
        <v>181.84907943028196</v>
      </c>
      <c r="T197" s="60">
        <f t="shared" ref="T197:T203" si="204">$T$3</f>
        <v>199.66849909069458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9.1576193858438284</v>
      </c>
      <c r="AA197" s="23">
        <f>EXP(-LN(2)/25)*AA196+(1-EXP(-LN(2)/25))/(LN(2)/25)*Calculateur!V197*Calculateur!X197*VLOOKUP('Données projet'!$B$9,Paramètres!$A$1:$I$88,3,0)*0.475*44/12</f>
        <v>0.74002620730660418</v>
      </c>
      <c r="AB197" s="23">
        <f>EXP(-LN(2)/2)*AB196+(1-EXP(-LN(2)/2))/(LN(2)/2)*V197*Y197*VLOOKUP('Données projet'!$B$9,Paramètres!$A$1:$I$88,3,0)*0.475*44/12</f>
        <v>1.6109292560931202E-19</v>
      </c>
      <c r="AC197" s="24">
        <f t="shared" si="163"/>
        <v>9.8976455931504326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projet'!$B$10,Paramètres!$A$1:$I$88,3,0)*VLOOKUP('Données projet'!$B$10,Paramètres!$A$1:$I$88,5,0)</f>
        <v>0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55.581964048431473</v>
      </c>
      <c r="AO197" s="60">
        <f t="shared" ref="AO197:AO203" si="205">$AO$3</f>
        <v>91.067506141193803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1.7131369307558366</v>
      </c>
      <c r="AV197" s="23">
        <f>EXP(-LN(2)/25)*AV196+(1-EXP(-LN(2)/25))/(LN(2)/25)*Calculateur!AQ197*Calculateur!AS197*VLOOKUP('Données projet'!$B$10,Paramètres!$A$1:$I$88,3,0)*0.475*44/12</f>
        <v>0</v>
      </c>
      <c r="AW197" s="23">
        <f>EXP(-LN(2)/2)*AW196+(1-EXP(-LN(2)/2))/(LN(2)/2)*AQ197*AT197*VLOOKUP('Données projet'!$B$10,Paramètres!$A$1:$I$88,3,0)*0.475*44/12</f>
        <v>0</v>
      </c>
      <c r="AX197" s="23">
        <f t="shared" si="166"/>
        <v>1.7131369307558366</v>
      </c>
      <c r="AY197" s="7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-38.999999999999829</v>
      </c>
      <c r="BE197" s="14">
        <f>BD197*VLOOKUP('Données projet'!$B$11,Paramètres!$A$1:$I$88,3,0)*VLOOKUP('Données projet'!$B$11,Paramètres!$A$1:$I$88,5,0)</f>
        <v>-39.545999999999829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178.29366134936788</v>
      </c>
      <c r="BJ197" s="60">
        <f t="shared" ref="BJ197:BJ203" si="206">$BJ$3</f>
        <v>85.818195717787148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149.67624760130161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149.67624760130161</v>
      </c>
      <c r="BT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projet'!$B$12,Paramètres!$A$1:$I$88,3,0)*VLOOKUP('Données projet'!$B$12,Paramètres!$A$1:$I$88,5,0)</f>
        <v>0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104.00159056395933</v>
      </c>
      <c r="CE197" s="60">
        <f t="shared" ref="CE197:CE203" si="207">$CE$3</f>
        <v>115.86489547584461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10.396852512887325</v>
      </c>
      <c r="CL197" s="23">
        <f>EXP(-LN(2)/25)*CL196+(1-EXP(-LN(2)/25))/(LN(2)/25)*Calculateur!CG197*Calculateur!CI197*VLOOKUP('Données projet'!$B$12,Paramètres!$A$1:$I$88,3,0)*0.475*44/12</f>
        <v>0.80533504109432807</v>
      </c>
      <c r="CM197" s="23">
        <f>EXP(-LN(2)/2)*CM196+(1-EXP(-LN(2)/2))/(LN(2)/2)*CG197*CJ197*VLOOKUP('Données projet'!$B$12,Paramètres!$A$1:$I$88,3,0)*0.475*44/12</f>
        <v>4.1629298534789287E-18</v>
      </c>
      <c r="CN197" s="24">
        <f t="shared" si="172"/>
        <v>11.202187553981652</v>
      </c>
      <c r="CO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projet'!$B$13,Paramètres!$A$1:$I$88,3,0)*VLOOKUP('Données projet'!$B$13,Paramètres!$A$1:$I$88,5,0)</f>
        <v>#N/A</v>
      </c>
      <c r="CV197" s="14" t="e">
        <f t="shared" si="173"/>
        <v>#N/A</v>
      </c>
      <c r="CW197" s="22" t="e">
        <f t="shared" si="174"/>
        <v>#N/A</v>
      </c>
      <c r="CX197" s="60" t="e">
        <f t="shared" si="196"/>
        <v>#N/A</v>
      </c>
      <c r="CY197" s="60" t="e">
        <f ca="1">AVERAGE(OFFSET($CX$3,0,0,'Données projet'!$E$13+1,1))-AVERAGE(OFFSET($H$3,0,0,'Données projet'!$E$13+1,1))</f>
        <v>#N/A</v>
      </c>
      <c r="CZ197" s="60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projet'!$B$13,Paramètres!$A$1:$I$88,3,0)*0.475*44/12</f>
        <v>#N/A</v>
      </c>
      <c r="DG197" s="23" t="e">
        <f>EXP(-LN(2)/25)*DG196+(1-EXP(-LN(2)/25))/(LN(2)/25)*Calculateur!DB197*Calculateur!DD197*VLOOKUP('Données projet'!$B$13,Paramètres!$A$1:$I$88,3,0)*0.475*44/12</f>
        <v>#N/A</v>
      </c>
      <c r="DH197" s="23" t="e">
        <f>EXP(-LN(2)/2)*DH196+(1-EXP(-LN(2)/2))/(LN(2)/2)*DB197*DE197*VLOOKUP('Données projet'!$B$13,Paramètres!$A$1:$I$88,3,0)*0.475*44/12</f>
        <v>#N/A</v>
      </c>
      <c r="DI197" s="24" t="e">
        <f t="shared" si="175"/>
        <v>#N/A</v>
      </c>
      <c r="DJ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0" t="e">
        <f t="shared" si="197"/>
        <v>#N/A</v>
      </c>
      <c r="DT197" s="60" t="e">
        <f ca="1">AVERAGE(OFFSET($DS$3,0,0,'Données projet'!$E$14+1,1))-AVERAGE(OFFSET($H$3,0,0,'Données projet'!$E$14+1,1))</f>
        <v>#N/A</v>
      </c>
      <c r="DU197" s="60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4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173.39399999999964</v>
      </c>
      <c r="D198" s="12">
        <f t="shared" si="202"/>
        <v>43.849289930196555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4.5474735088646412E-13</v>
      </c>
      <c r="O198" s="14">
        <f>N198*VLOOKUP('Données projet'!$B$9,Paramètres!$A$1:$I$88,3,0)*VLOOKUP('Données projet'!$B$9,Paramètres!$A$1:$I$88,5,0)</f>
        <v>2.7193891583010558E-13</v>
      </c>
      <c r="P198" s="14">
        <f t="shared" si="203"/>
        <v>3.6362267729089988E-12</v>
      </c>
      <c r="Q198" s="22">
        <f t="shared" si="162"/>
        <v>6.8067219078872727E-12</v>
      </c>
      <c r="R198" s="60">
        <f t="shared" si="191"/>
        <v>293.33333333334014</v>
      </c>
      <c r="S198" s="60">
        <f ca="1">AVERAGE(OFFSET($R$3,0,0,'Données projet'!$E$9+1,1))-AVERAGE(OFFSET($H$3,0,0,'Données projet'!$E$9+1,1))</f>
        <v>181.84907943028196</v>
      </c>
      <c r="T198" s="60">
        <f t="shared" si="204"/>
        <v>199.66849909069458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8.9780440552837248</v>
      </c>
      <c r="AA198" s="23">
        <f>EXP(-LN(2)/25)*AA197+(1-EXP(-LN(2)/25))/(LN(2)/25)*Calculateur!V198*Calculateur!X198*VLOOKUP('Données projet'!$B$9,Paramètres!$A$1:$I$88,3,0)*0.475*44/12</f>
        <v>0.71979015175151817</v>
      </c>
      <c r="AB198" s="23">
        <f>EXP(-LN(2)/2)*AB197+(1-EXP(-LN(2)/2))/(LN(2)/2)*V198*Y198*VLOOKUP('Données projet'!$B$9,Paramètres!$A$1:$I$88,3,0)*0.475*44/12</f>
        <v>1.1390990009952458E-19</v>
      </c>
      <c r="AC198" s="24">
        <f t="shared" si="163"/>
        <v>9.6978342070352426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projet'!$B$10,Paramètres!$A$1:$I$88,3,0)*VLOOKUP('Données projet'!$B$10,Paramètres!$A$1:$I$88,5,0)</f>
        <v>0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55.581964048431473</v>
      </c>
      <c r="AO198" s="60">
        <f t="shared" si="205"/>
        <v>91.067506141193803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1.6795433604540662</v>
      </c>
      <c r="AV198" s="23">
        <f>EXP(-LN(2)/25)*AV197+(1-EXP(-LN(2)/25))/(LN(2)/25)*Calculateur!AQ198*Calculateur!AS198*VLOOKUP('Données projet'!$B$10,Paramètres!$A$1:$I$88,3,0)*0.475*44/12</f>
        <v>0</v>
      </c>
      <c r="AW198" s="23">
        <f>EXP(-LN(2)/2)*AW197+(1-EXP(-LN(2)/2))/(LN(2)/2)*AQ198*AT198*VLOOKUP('Données projet'!$B$10,Paramètres!$A$1:$I$88,3,0)*0.475*44/12</f>
        <v>0</v>
      </c>
      <c r="AX198" s="23">
        <f t="shared" si="166"/>
        <v>1.6795433604540662</v>
      </c>
      <c r="AY198" s="7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-38.999999999999829</v>
      </c>
      <c r="BE198" s="14">
        <f>BD198*VLOOKUP('Données projet'!$B$11,Paramètres!$A$1:$I$88,3,0)*VLOOKUP('Données projet'!$B$11,Paramètres!$A$1:$I$88,5,0)</f>
        <v>-39.545999999999829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178.29366134936788</v>
      </c>
      <c r="BJ198" s="60">
        <f t="shared" si="206"/>
        <v>85.818195717787148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146.74118767933663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146.74118767933663</v>
      </c>
      <c r="BT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projet'!$B$12,Paramètres!$A$1:$I$88,3,0)*VLOOKUP('Données projet'!$B$12,Paramètres!$A$1:$I$88,5,0)</f>
        <v>0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104.00159056395933</v>
      </c>
      <c r="CE198" s="60">
        <f t="shared" si="207"/>
        <v>115.86489547584461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10.192976576563471</v>
      </c>
      <c r="CL198" s="23">
        <f>EXP(-LN(2)/25)*CL197+(1-EXP(-LN(2)/25))/(LN(2)/25)*Calculateur!CG198*Calculateur!CI198*VLOOKUP('Données projet'!$B$12,Paramètres!$A$1:$I$88,3,0)*0.475*44/12</f>
        <v>0.78331311204487453</v>
      </c>
      <c r="CM198" s="23">
        <f>EXP(-LN(2)/2)*CM197+(1-EXP(-LN(2)/2))/(LN(2)/2)*CG198*CJ198*VLOOKUP('Données projet'!$B$12,Paramètres!$A$1:$I$88,3,0)*0.475*44/12</f>
        <v>2.9436359289988712E-18</v>
      </c>
      <c r="CN198" s="24">
        <f t="shared" si="172"/>
        <v>10.976289688608345</v>
      </c>
      <c r="CO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projet'!$B$13,Paramètres!$A$1:$I$88,3,0)*VLOOKUP('Données projet'!$B$13,Paramètres!$A$1:$I$88,5,0)</f>
        <v>#N/A</v>
      </c>
      <c r="CV198" s="14" t="e">
        <f t="shared" si="173"/>
        <v>#N/A</v>
      </c>
      <c r="CW198" s="22" t="e">
        <f t="shared" si="174"/>
        <v>#N/A</v>
      </c>
      <c r="CX198" s="60" t="e">
        <f t="shared" si="196"/>
        <v>#N/A</v>
      </c>
      <c r="CY198" s="60" t="e">
        <f ca="1">AVERAGE(OFFSET($CX$3,0,0,'Données projet'!$E$13+1,1))-AVERAGE(OFFSET($H$3,0,0,'Données projet'!$E$13+1,1))</f>
        <v>#N/A</v>
      </c>
      <c r="CZ198" s="60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projet'!$B$13,Paramètres!$A$1:$I$88,3,0)*0.475*44/12</f>
        <v>#N/A</v>
      </c>
      <c r="DG198" s="23" t="e">
        <f>EXP(-LN(2)/25)*DG197+(1-EXP(-LN(2)/25))/(LN(2)/25)*Calculateur!DB198*Calculateur!DD198*VLOOKUP('Données projet'!$B$13,Paramètres!$A$1:$I$88,3,0)*0.475*44/12</f>
        <v>#N/A</v>
      </c>
      <c r="DH198" s="23" t="e">
        <f>EXP(-LN(2)/2)*DH197+(1-EXP(-LN(2)/2))/(LN(2)/2)*DB198*DE198*VLOOKUP('Données projet'!$B$13,Paramètres!$A$1:$I$88,3,0)*0.475*44/12</f>
        <v>#N/A</v>
      </c>
      <c r="DI198" s="24" t="e">
        <f t="shared" si="175"/>
        <v>#N/A</v>
      </c>
      <c r="DJ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0" t="e">
        <f t="shared" si="197"/>
        <v>#N/A</v>
      </c>
      <c r="DT198" s="60" t="e">
        <f ca="1">AVERAGE(OFFSET($DS$3,0,0,'Données projet'!$E$14+1,1))-AVERAGE(OFFSET($H$3,0,0,'Données projet'!$E$14+1,1))</f>
        <v>#N/A</v>
      </c>
      <c r="DU198" s="60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4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174.28319999999962</v>
      </c>
      <c r="D199" s="12">
        <f t="shared" si="202"/>
        <v>44.047924241116036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4.5474735088646412E-13</v>
      </c>
      <c r="O199" s="14">
        <f>N199*VLOOKUP('Données projet'!$B$9,Paramètres!$A$1:$I$88,3,0)*VLOOKUP('Données projet'!$B$9,Paramètres!$A$1:$I$88,5,0)</f>
        <v>2.7193891583010558E-13</v>
      </c>
      <c r="P199" s="14">
        <f t="shared" si="203"/>
        <v>3.6362267729089988E-12</v>
      </c>
      <c r="Q199" s="22">
        <f t="shared" si="162"/>
        <v>6.8067219078872727E-12</v>
      </c>
      <c r="R199" s="60">
        <f t="shared" si="191"/>
        <v>293.33333333334014</v>
      </c>
      <c r="S199" s="60">
        <f ca="1">AVERAGE(OFFSET($R$3,0,0,'Données projet'!$E$9+1,1))-AVERAGE(OFFSET($H$3,0,0,'Données projet'!$E$9+1,1))</f>
        <v>181.84907943028196</v>
      </c>
      <c r="T199" s="60">
        <f t="shared" si="204"/>
        <v>199.66849909069458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8.8019900874257679</v>
      </c>
      <c r="AA199" s="23">
        <f>EXP(-LN(2)/25)*AA198+(1-EXP(-LN(2)/25))/(LN(2)/25)*Calculateur!V199*Calculateur!X199*VLOOKUP('Données projet'!$B$9,Paramètres!$A$1:$I$88,3,0)*0.475*44/12</f>
        <v>0.7001074521997539</v>
      </c>
      <c r="AB199" s="23">
        <f>EXP(-LN(2)/2)*AB198+(1-EXP(-LN(2)/2))/(LN(2)/2)*V199*Y199*VLOOKUP('Données projet'!$B$9,Paramètres!$A$1:$I$88,3,0)*0.475*44/12</f>
        <v>8.0546462804656012E-20</v>
      </c>
      <c r="AC199" s="24">
        <f t="shared" si="163"/>
        <v>9.5020975396255221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projet'!$B$10,Paramètres!$A$1:$I$88,3,0)*VLOOKUP('Données projet'!$B$10,Paramètres!$A$1:$I$88,5,0)</f>
        <v>0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55.581964048431473</v>
      </c>
      <c r="AO199" s="60">
        <f t="shared" si="205"/>
        <v>91.067506141193803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1.6466085395758587</v>
      </c>
      <c r="AV199" s="23">
        <f>EXP(-LN(2)/25)*AV198+(1-EXP(-LN(2)/25))/(LN(2)/25)*Calculateur!AQ199*Calculateur!AS199*VLOOKUP('Données projet'!$B$10,Paramètres!$A$1:$I$88,3,0)*0.475*44/12</f>
        <v>0</v>
      </c>
      <c r="AW199" s="23">
        <f>EXP(-LN(2)/2)*AW198+(1-EXP(-LN(2)/2))/(LN(2)/2)*AQ199*AT199*VLOOKUP('Données projet'!$B$10,Paramètres!$A$1:$I$88,3,0)*0.475*44/12</f>
        <v>0</v>
      </c>
      <c r="AX199" s="23">
        <f t="shared" si="166"/>
        <v>1.6466085395758587</v>
      </c>
      <c r="AY199" s="7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-38.999999999999829</v>
      </c>
      <c r="BE199" s="14">
        <f>BD199*VLOOKUP('Données projet'!$B$11,Paramètres!$A$1:$I$88,3,0)*VLOOKUP('Données projet'!$B$11,Paramètres!$A$1:$I$88,5,0)</f>
        <v>-39.545999999999829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178.29366134936788</v>
      </c>
      <c r="BJ199" s="60">
        <f t="shared" si="206"/>
        <v>85.818195717787148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143.86368249223162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143.86368249223162</v>
      </c>
      <c r="BT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projet'!$B$12,Paramètres!$A$1:$I$88,3,0)*VLOOKUP('Données projet'!$B$12,Paramètres!$A$1:$I$88,5,0)</f>
        <v>0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104.00159056395933</v>
      </c>
      <c r="CE199" s="60">
        <f t="shared" si="207"/>
        <v>115.86489547584461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9.9930985229988849</v>
      </c>
      <c r="CL199" s="23">
        <f>EXP(-LN(2)/25)*CL198+(1-EXP(-LN(2)/25))/(LN(2)/25)*Calculateur!CG199*Calculateur!CI199*VLOOKUP('Données projet'!$B$12,Paramètres!$A$1:$I$88,3,0)*0.475*44/12</f>
        <v>0.7618933738033612</v>
      </c>
      <c r="CM199" s="23">
        <f>EXP(-LN(2)/2)*CM198+(1-EXP(-LN(2)/2))/(LN(2)/2)*CG199*CJ199*VLOOKUP('Données projet'!$B$12,Paramètres!$A$1:$I$88,3,0)*0.475*44/12</f>
        <v>2.0814649267394644E-18</v>
      </c>
      <c r="CN199" s="24">
        <f t="shared" si="172"/>
        <v>10.754991896802245</v>
      </c>
      <c r="CO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projet'!$B$13,Paramètres!$A$1:$I$88,3,0)*VLOOKUP('Données projet'!$B$13,Paramètres!$A$1:$I$88,5,0)</f>
        <v>#N/A</v>
      </c>
      <c r="CV199" s="14" t="e">
        <f t="shared" si="173"/>
        <v>#N/A</v>
      </c>
      <c r="CW199" s="22" t="e">
        <f t="shared" si="174"/>
        <v>#N/A</v>
      </c>
      <c r="CX199" s="60" t="e">
        <f t="shared" si="196"/>
        <v>#N/A</v>
      </c>
      <c r="CY199" s="60" t="e">
        <f ca="1">AVERAGE(OFFSET($CX$3,0,0,'Données projet'!$E$13+1,1))-AVERAGE(OFFSET($H$3,0,0,'Données projet'!$E$13+1,1))</f>
        <v>#N/A</v>
      </c>
      <c r="CZ199" s="60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projet'!$B$13,Paramètres!$A$1:$I$88,3,0)*0.475*44/12</f>
        <v>#N/A</v>
      </c>
      <c r="DG199" s="23" t="e">
        <f>EXP(-LN(2)/25)*DG198+(1-EXP(-LN(2)/25))/(LN(2)/25)*Calculateur!DB199*Calculateur!DD199*VLOOKUP('Données projet'!$B$13,Paramètres!$A$1:$I$88,3,0)*0.475*44/12</f>
        <v>#N/A</v>
      </c>
      <c r="DH199" s="23" t="e">
        <f>EXP(-LN(2)/2)*DH198+(1-EXP(-LN(2)/2))/(LN(2)/2)*DB199*DE199*VLOOKUP('Données projet'!$B$13,Paramètres!$A$1:$I$88,3,0)*0.475*44/12</f>
        <v>#N/A</v>
      </c>
      <c r="DI199" s="24" t="e">
        <f t="shared" si="175"/>
        <v>#N/A</v>
      </c>
      <c r="DJ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0" t="e">
        <f t="shared" si="197"/>
        <v>#N/A</v>
      </c>
      <c r="DT199" s="60" t="e">
        <f ca="1">AVERAGE(OFFSET($DS$3,0,0,'Données projet'!$E$14+1,1))-AVERAGE(OFFSET($H$3,0,0,'Données projet'!$E$14+1,1))</f>
        <v>#N/A</v>
      </c>
      <c r="DU199" s="60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4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175.17239999999961</v>
      </c>
      <c r="D200" s="12">
        <f t="shared" si="202"/>
        <v>44.246440622057428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4.5474735088646412E-13</v>
      </c>
      <c r="O200" s="14">
        <f>N200*VLOOKUP('Données projet'!$B$9,Paramètres!$A$1:$I$88,3,0)*VLOOKUP('Données projet'!$B$9,Paramètres!$A$1:$I$88,5,0)</f>
        <v>2.7193891583010558E-13</v>
      </c>
      <c r="P200" s="14">
        <f t="shared" si="203"/>
        <v>3.6362267729089988E-12</v>
      </c>
      <c r="Q200" s="22">
        <f t="shared" si="162"/>
        <v>6.8067219078872727E-12</v>
      </c>
      <c r="R200" s="60">
        <f t="shared" si="191"/>
        <v>293.33333333334014</v>
      </c>
      <c r="S200" s="60">
        <f ca="1">AVERAGE(OFFSET($R$3,0,0,'Données projet'!$E$9+1,1))-AVERAGE(OFFSET($H$3,0,0,'Données projet'!$E$9+1,1))</f>
        <v>181.84907943028196</v>
      </c>
      <c r="T200" s="60">
        <f t="shared" si="204"/>
        <v>199.66849909069458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8.6293884304951884</v>
      </c>
      <c r="AA200" s="23">
        <f>EXP(-LN(2)/25)*AA199+(1-EXP(-LN(2)/25))/(LN(2)/25)*Calculateur!V200*Calculateur!X200*VLOOKUP('Données projet'!$B$9,Paramètres!$A$1:$I$88,3,0)*0.475*44/12</f>
        <v>0.6809629771023008</v>
      </c>
      <c r="AB200" s="23">
        <f>EXP(-LN(2)/2)*AB199+(1-EXP(-LN(2)/2))/(LN(2)/2)*V200*Y200*VLOOKUP('Données projet'!$B$9,Paramètres!$A$1:$I$88,3,0)*0.475*44/12</f>
        <v>5.6954950049762288E-20</v>
      </c>
      <c r="AC200" s="24">
        <f t="shared" si="163"/>
        <v>9.3103514075974889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projet'!$B$10,Paramètres!$A$1:$I$88,3,0)*VLOOKUP('Données projet'!$B$10,Paramètres!$A$1:$I$88,5,0)</f>
        <v>0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55.581964048431473</v>
      </c>
      <c r="AO200" s="60">
        <f t="shared" si="205"/>
        <v>91.067506141193803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1.6143195504468157</v>
      </c>
      <c r="AV200" s="23">
        <f>EXP(-LN(2)/25)*AV199+(1-EXP(-LN(2)/25))/(LN(2)/25)*Calculateur!AQ200*Calculateur!AS200*VLOOKUP('Données projet'!$B$10,Paramètres!$A$1:$I$88,3,0)*0.475*44/12</f>
        <v>0</v>
      </c>
      <c r="AW200" s="23">
        <f>EXP(-LN(2)/2)*AW199+(1-EXP(-LN(2)/2))/(LN(2)/2)*AQ200*AT200*VLOOKUP('Données projet'!$B$10,Paramètres!$A$1:$I$88,3,0)*0.475*44/12</f>
        <v>0</v>
      </c>
      <c r="AX200" s="23">
        <f t="shared" si="166"/>
        <v>1.6143195504468157</v>
      </c>
      <c r="AY200" s="7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-38.999999999999829</v>
      </c>
      <c r="BE200" s="14">
        <f>BD200*VLOOKUP('Données projet'!$B$11,Paramètres!$A$1:$I$88,3,0)*VLOOKUP('Données projet'!$B$11,Paramètres!$A$1:$I$88,5,0)</f>
        <v>-39.545999999999829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178.29366134936788</v>
      </c>
      <c r="BJ200" s="60">
        <f t="shared" si="206"/>
        <v>85.818195717787148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141.04260342674087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141.04260342674087</v>
      </c>
      <c r="BT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projet'!$B$12,Paramètres!$A$1:$I$88,3,0)*VLOOKUP('Données projet'!$B$12,Paramètres!$A$1:$I$88,5,0)</f>
        <v>0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104.00159056395933</v>
      </c>
      <c r="CE200" s="60">
        <f t="shared" si="207"/>
        <v>115.86489547584461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9.7971399561511259</v>
      </c>
      <c r="CL200" s="23">
        <f>EXP(-LN(2)/25)*CL199+(1-EXP(-LN(2)/25))/(LN(2)/25)*Calculateur!CG200*Calculateur!CI200*VLOOKUP('Données projet'!$B$12,Paramètres!$A$1:$I$88,3,0)*0.475*44/12</f>
        <v>0.74105935943047707</v>
      </c>
      <c r="CM200" s="23">
        <f>EXP(-LN(2)/2)*CM199+(1-EXP(-LN(2)/2))/(LN(2)/2)*CG200*CJ200*VLOOKUP('Données projet'!$B$12,Paramètres!$A$1:$I$88,3,0)*0.475*44/12</f>
        <v>1.4718179644994356E-18</v>
      </c>
      <c r="CN200" s="24">
        <f t="shared" si="172"/>
        <v>10.538199315581602</v>
      </c>
      <c r="CO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projet'!$B$13,Paramètres!$A$1:$I$88,3,0)*VLOOKUP('Données projet'!$B$13,Paramètres!$A$1:$I$88,5,0)</f>
        <v>#N/A</v>
      </c>
      <c r="CV200" s="14" t="e">
        <f t="shared" si="173"/>
        <v>#N/A</v>
      </c>
      <c r="CW200" s="22" t="e">
        <f t="shared" si="174"/>
        <v>#N/A</v>
      </c>
      <c r="CX200" s="60" t="e">
        <f t="shared" si="196"/>
        <v>#N/A</v>
      </c>
      <c r="CY200" s="60" t="e">
        <f ca="1">AVERAGE(OFFSET($CX$3,0,0,'Données projet'!$E$13+1,1))-AVERAGE(OFFSET($H$3,0,0,'Données projet'!$E$13+1,1))</f>
        <v>#N/A</v>
      </c>
      <c r="CZ200" s="60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projet'!$B$13,Paramètres!$A$1:$I$88,3,0)*0.475*44/12</f>
        <v>#N/A</v>
      </c>
      <c r="DG200" s="23" t="e">
        <f>EXP(-LN(2)/25)*DG199+(1-EXP(-LN(2)/25))/(LN(2)/25)*Calculateur!DB200*Calculateur!DD200*VLOOKUP('Données projet'!$B$13,Paramètres!$A$1:$I$88,3,0)*0.475*44/12</f>
        <v>#N/A</v>
      </c>
      <c r="DH200" s="23" t="e">
        <f>EXP(-LN(2)/2)*DH199+(1-EXP(-LN(2)/2))/(LN(2)/2)*DB200*DE200*VLOOKUP('Données projet'!$B$13,Paramètres!$A$1:$I$88,3,0)*0.475*44/12</f>
        <v>#N/A</v>
      </c>
      <c r="DI200" s="24" t="e">
        <f t="shared" si="175"/>
        <v>#N/A</v>
      </c>
      <c r="DJ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0" t="e">
        <f t="shared" si="197"/>
        <v>#N/A</v>
      </c>
      <c r="DT200" s="60" t="e">
        <f ca="1">AVERAGE(OFFSET($DS$3,0,0,'Données projet'!$E$14+1,1))-AVERAGE(OFFSET($H$3,0,0,'Données projet'!$E$14+1,1))</f>
        <v>#N/A</v>
      </c>
      <c r="DU200" s="60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4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176.0615999999996</v>
      </c>
      <c r="D201" s="12">
        <f t="shared" si="202"/>
        <v>44.44483974113885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4.5474735088646412E-13</v>
      </c>
      <c r="O201" s="14">
        <f>N201*VLOOKUP('Données projet'!$B$9,Paramètres!$A$1:$I$88,3,0)*VLOOKUP('Données projet'!$B$9,Paramètres!$A$1:$I$88,5,0)</f>
        <v>2.7193891583010558E-13</v>
      </c>
      <c r="P201" s="14">
        <f t="shared" si="203"/>
        <v>3.6362267729089988E-12</v>
      </c>
      <c r="Q201" s="22">
        <f t="shared" si="162"/>
        <v>6.8067219078872727E-12</v>
      </c>
      <c r="R201" s="60">
        <f t="shared" si="191"/>
        <v>293.33333333334014</v>
      </c>
      <c r="S201" s="60">
        <f ca="1">AVERAGE(OFFSET($R$3,0,0,'Données projet'!$E$9+1,1))-AVERAGE(OFFSET($H$3,0,0,'Données projet'!$E$9+1,1))</f>
        <v>181.84907943028196</v>
      </c>
      <c r="T201" s="60">
        <f t="shared" si="204"/>
        <v>199.66849909069458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8.4601713867804023</v>
      </c>
      <c r="AA201" s="23">
        <f>EXP(-LN(2)/25)*AA200+(1-EXP(-LN(2)/25))/(LN(2)/25)*Calculateur!V201*Calculateur!X201*VLOOKUP('Données projet'!$B$9,Paramètres!$A$1:$I$88,3,0)*0.475*44/12</f>
        <v>0.66234200868315174</v>
      </c>
      <c r="AB201" s="23">
        <f>EXP(-LN(2)/2)*AB200+(1-EXP(-LN(2)/2))/(LN(2)/2)*V201*Y201*VLOOKUP('Données projet'!$B$9,Paramètres!$A$1:$I$88,3,0)*0.475*44/12</f>
        <v>4.0273231402328006E-20</v>
      </c>
      <c r="AC201" s="24">
        <f t="shared" si="163"/>
        <v>9.1225133954635531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projet'!$B$10,Paramètres!$A$1:$I$88,3,0)*VLOOKUP('Données projet'!$B$10,Paramètres!$A$1:$I$88,5,0)</f>
        <v>0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55.581964048431473</v>
      </c>
      <c r="AO201" s="60">
        <f t="shared" si="205"/>
        <v>91.067506141193803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1.5826637287002545</v>
      </c>
      <c r="AV201" s="23">
        <f>EXP(-LN(2)/25)*AV200+(1-EXP(-LN(2)/25))/(LN(2)/25)*Calculateur!AQ201*Calculateur!AS201*VLOOKUP('Données projet'!$B$10,Paramètres!$A$1:$I$88,3,0)*0.475*44/12</f>
        <v>0</v>
      </c>
      <c r="AW201" s="23">
        <f>EXP(-LN(2)/2)*AW200+(1-EXP(-LN(2)/2))/(LN(2)/2)*AQ201*AT201*VLOOKUP('Données projet'!$B$10,Paramètres!$A$1:$I$88,3,0)*0.475*44/12</f>
        <v>0</v>
      </c>
      <c r="AX201" s="23">
        <f t="shared" si="166"/>
        <v>1.5826637287002545</v>
      </c>
      <c r="AY201" s="7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-38.999999999999829</v>
      </c>
      <c r="BE201" s="14">
        <f>BD201*VLOOKUP('Données projet'!$B$11,Paramètres!$A$1:$I$88,3,0)*VLOOKUP('Données projet'!$B$11,Paramètres!$A$1:$I$88,5,0)</f>
        <v>-39.545999999999829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178.29366134936788</v>
      </c>
      <c r="BJ201" s="60">
        <f t="shared" si="206"/>
        <v>85.818195717787148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138.27684400103607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138.27684400103607</v>
      </c>
      <c r="BT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projet'!$B$12,Paramètres!$A$1:$I$88,3,0)*VLOOKUP('Données projet'!$B$12,Paramètres!$A$1:$I$88,5,0)</f>
        <v>0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104.00159056395933</v>
      </c>
      <c r="CE201" s="60">
        <f t="shared" si="207"/>
        <v>115.86489547584461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9.6050240172763282</v>
      </c>
      <c r="CL201" s="23">
        <f>EXP(-LN(2)/25)*CL200+(1-EXP(-LN(2)/25))/(LN(2)/25)*Calculateur!CG201*Calculateur!CI201*VLOOKUP('Données projet'!$B$12,Paramètres!$A$1:$I$88,3,0)*0.475*44/12</f>
        <v>0.72079505227623264</v>
      </c>
      <c r="CM201" s="23">
        <f>EXP(-LN(2)/2)*CM200+(1-EXP(-LN(2)/2))/(LN(2)/2)*CG201*CJ201*VLOOKUP('Données projet'!$B$12,Paramètres!$A$1:$I$88,3,0)*0.475*44/12</f>
        <v>1.0407324633697322E-18</v>
      </c>
      <c r="CN201" s="24">
        <f t="shared" si="172"/>
        <v>10.32581906955256</v>
      </c>
      <c r="CO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projet'!$B$13,Paramètres!$A$1:$I$88,3,0)*VLOOKUP('Données projet'!$B$13,Paramètres!$A$1:$I$88,5,0)</f>
        <v>#N/A</v>
      </c>
      <c r="CV201" s="14" t="e">
        <f t="shared" si="173"/>
        <v>#N/A</v>
      </c>
      <c r="CW201" s="22" t="e">
        <f t="shared" si="174"/>
        <v>#N/A</v>
      </c>
      <c r="CX201" s="60" t="e">
        <f t="shared" si="196"/>
        <v>#N/A</v>
      </c>
      <c r="CY201" s="60" t="e">
        <f ca="1">AVERAGE(OFFSET($CX$3,0,0,'Données projet'!$E$13+1,1))-AVERAGE(OFFSET($H$3,0,0,'Données projet'!$E$13+1,1))</f>
        <v>#N/A</v>
      </c>
      <c r="CZ201" s="60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projet'!$B$13,Paramètres!$A$1:$I$88,3,0)*0.475*44/12</f>
        <v>#N/A</v>
      </c>
      <c r="DG201" s="23" t="e">
        <f>EXP(-LN(2)/25)*DG200+(1-EXP(-LN(2)/25))/(LN(2)/25)*Calculateur!DB201*Calculateur!DD201*VLOOKUP('Données projet'!$B$13,Paramètres!$A$1:$I$88,3,0)*0.475*44/12</f>
        <v>#N/A</v>
      </c>
      <c r="DH201" s="23" t="e">
        <f>EXP(-LN(2)/2)*DH200+(1-EXP(-LN(2)/2))/(LN(2)/2)*DB201*DE201*VLOOKUP('Données projet'!$B$13,Paramètres!$A$1:$I$88,3,0)*0.475*44/12</f>
        <v>#N/A</v>
      </c>
      <c r="DI201" s="24" t="e">
        <f t="shared" si="175"/>
        <v>#N/A</v>
      </c>
      <c r="DJ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0" t="e">
        <f t="shared" si="197"/>
        <v>#N/A</v>
      </c>
      <c r="DT201" s="60" t="e">
        <f ca="1">AVERAGE(OFFSET($DS$3,0,0,'Données projet'!$E$14+1,1))-AVERAGE(OFFSET($H$3,0,0,'Données projet'!$E$14+1,1))</f>
        <v>#N/A</v>
      </c>
      <c r="DU201" s="60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4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176.95079999999959</v>
      </c>
      <c r="D202" s="12">
        <f t="shared" si="202"/>
        <v>44.643122259339037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4.5474735088646412E-13</v>
      </c>
      <c r="O202" s="14">
        <f>N202*VLOOKUP('Données projet'!$B$9,Paramètres!$A$1:$I$88,3,0)*VLOOKUP('Données projet'!$B$9,Paramètres!$A$1:$I$88,5,0)</f>
        <v>2.7193891583010558E-13</v>
      </c>
      <c r="P202" s="14">
        <f t="shared" si="203"/>
        <v>3.6362267729089988E-12</v>
      </c>
      <c r="Q202" s="22">
        <f t="shared" si="162"/>
        <v>6.8067219078872727E-12</v>
      </c>
      <c r="R202" s="60">
        <f t="shared" si="191"/>
        <v>293.33333333334014</v>
      </c>
      <c r="S202" s="60">
        <f ca="1">AVERAGE(OFFSET($R$3,0,0,'Données projet'!$E$9+1,1))-AVERAGE(OFFSET($H$3,0,0,'Données projet'!$E$9+1,1))</f>
        <v>181.84907943028196</v>
      </c>
      <c r="T202" s="60">
        <f t="shared" si="204"/>
        <v>199.66849909069458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8.2942725860806572</v>
      </c>
      <c r="AA202" s="23">
        <f>EXP(-LN(2)/25)*AA201+(1-EXP(-LN(2)/25))/(LN(2)/25)*Calculateur!V202*Calculateur!X202*VLOOKUP('Données projet'!$B$9,Paramètres!$A$1:$I$88,3,0)*0.475*44/12</f>
        <v>0.64423023162465853</v>
      </c>
      <c r="AB202" s="23">
        <f>EXP(-LN(2)/2)*AB201+(1-EXP(-LN(2)/2))/(LN(2)/2)*V202*Y202*VLOOKUP('Données projet'!$B$9,Paramètres!$A$1:$I$88,3,0)*0.475*44/12</f>
        <v>2.8477475024881144E-20</v>
      </c>
      <c r="AC202" s="24">
        <f t="shared" si="163"/>
        <v>8.9385028177053165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projet'!$B$10,Paramètres!$A$1:$I$88,3,0)*VLOOKUP('Données projet'!$B$10,Paramètres!$A$1:$I$88,5,0)</f>
        <v>0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55.581964048431473</v>
      </c>
      <c r="AO202" s="60">
        <f t="shared" si="205"/>
        <v>91.067506141193803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1.5516286583099987</v>
      </c>
      <c r="AV202" s="23">
        <f>EXP(-LN(2)/25)*AV201+(1-EXP(-LN(2)/25))/(LN(2)/25)*Calculateur!AQ202*Calculateur!AS202*VLOOKUP('Données projet'!$B$10,Paramètres!$A$1:$I$88,3,0)*0.475*44/12</f>
        <v>0</v>
      </c>
      <c r="AW202" s="23">
        <f>EXP(-LN(2)/2)*AW201+(1-EXP(-LN(2)/2))/(LN(2)/2)*AQ202*AT202*VLOOKUP('Données projet'!$B$10,Paramètres!$A$1:$I$88,3,0)*0.475*44/12</f>
        <v>0</v>
      </c>
      <c r="AX202" s="23">
        <f t="shared" si="166"/>
        <v>1.5516286583099987</v>
      </c>
      <c r="AY202" s="7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-38.999999999999829</v>
      </c>
      <c r="BE202" s="14">
        <f>BD202*VLOOKUP('Données projet'!$B$11,Paramètres!$A$1:$I$88,3,0)*VLOOKUP('Données projet'!$B$11,Paramètres!$A$1:$I$88,5,0)</f>
        <v>-39.545999999999829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178.29366134936788</v>
      </c>
      <c r="BJ202" s="60">
        <f t="shared" si="206"/>
        <v>85.818195717787148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135.56531943072267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135.56531943072267</v>
      </c>
      <c r="BT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projet'!$B$12,Paramètres!$A$1:$I$88,3,0)*VLOOKUP('Données projet'!$B$12,Paramètres!$A$1:$I$88,5,0)</f>
        <v>0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104.00159056395933</v>
      </c>
      <c r="CE202" s="60">
        <f t="shared" si="207"/>
        <v>115.86489547584461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9.4166753547837132</v>
      </c>
      <c r="CL202" s="23">
        <f>EXP(-LN(2)/25)*CL201+(1-EXP(-LN(2)/25))/(LN(2)/25)*Calculateur!CG202*Calculateur!CI202*VLOOKUP('Données projet'!$B$12,Paramètres!$A$1:$I$88,3,0)*0.475*44/12</f>
        <v>0.70108487366677463</v>
      </c>
      <c r="CM202" s="23">
        <f>EXP(-LN(2)/2)*CM201+(1-EXP(-LN(2)/2))/(LN(2)/2)*CG202*CJ202*VLOOKUP('Données projet'!$B$12,Paramètres!$A$1:$I$88,3,0)*0.475*44/12</f>
        <v>7.3590898224971781E-19</v>
      </c>
      <c r="CN202" s="24">
        <f t="shared" si="172"/>
        <v>10.117760228450488</v>
      </c>
      <c r="CO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projet'!$B$13,Paramètres!$A$1:$I$88,3,0)*VLOOKUP('Données projet'!$B$13,Paramètres!$A$1:$I$88,5,0)</f>
        <v>#N/A</v>
      </c>
      <c r="CV202" s="14" t="e">
        <f t="shared" si="173"/>
        <v>#N/A</v>
      </c>
      <c r="CW202" s="22" t="e">
        <f t="shared" si="174"/>
        <v>#N/A</v>
      </c>
      <c r="CX202" s="60" t="e">
        <f t="shared" si="196"/>
        <v>#N/A</v>
      </c>
      <c r="CY202" s="60" t="e">
        <f ca="1">AVERAGE(OFFSET($CX$3,0,0,'Données projet'!$E$13+1,1))-AVERAGE(OFFSET($H$3,0,0,'Données projet'!$E$13+1,1))</f>
        <v>#N/A</v>
      </c>
      <c r="CZ202" s="60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projet'!$B$13,Paramètres!$A$1:$I$88,3,0)*0.475*44/12</f>
        <v>#N/A</v>
      </c>
      <c r="DG202" s="23" t="e">
        <f>EXP(-LN(2)/25)*DG201+(1-EXP(-LN(2)/25))/(LN(2)/25)*Calculateur!DB202*Calculateur!DD202*VLOOKUP('Données projet'!$B$13,Paramètres!$A$1:$I$88,3,0)*0.475*44/12</f>
        <v>#N/A</v>
      </c>
      <c r="DH202" s="23" t="e">
        <f>EXP(-LN(2)/2)*DH201+(1-EXP(-LN(2)/2))/(LN(2)/2)*DB202*DE202*VLOOKUP('Données projet'!$B$13,Paramètres!$A$1:$I$88,3,0)*0.475*44/12</f>
        <v>#N/A</v>
      </c>
      <c r="DI202" s="24" t="e">
        <f t="shared" si="175"/>
        <v>#N/A</v>
      </c>
      <c r="DJ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0" t="e">
        <f t="shared" si="197"/>
        <v>#N/A</v>
      </c>
      <c r="DT202" s="60" t="e">
        <f ca="1">AVERAGE(OFFSET($DS$3,0,0,'Données projet'!$E$14+1,1))-AVERAGE(OFFSET($H$3,0,0,'Données projet'!$E$14+1,1))</f>
        <v>#N/A</v>
      </c>
      <c r="DU202" s="60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4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177.83999999999958</v>
      </c>
      <c r="D203" s="12">
        <f t="shared" si="202"/>
        <v>44.841288830609059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4.5474735088646412E-13</v>
      </c>
      <c r="O203" s="14">
        <f>N203*VLOOKUP('Données projet'!$B$9,Paramètres!$A$1:$I$88,3,0)*VLOOKUP('Données projet'!$B$9,Paramètres!$A$1:$I$88,5,0)</f>
        <v>2.7193891583010558E-13</v>
      </c>
      <c r="P203" s="14">
        <f t="shared" si="203"/>
        <v>3.6362267729089988E-12</v>
      </c>
      <c r="Q203" s="22">
        <f t="shared" si="162"/>
        <v>6.8067219078872727E-12</v>
      </c>
      <c r="R203" s="60">
        <f t="shared" si="191"/>
        <v>293.33333333334014</v>
      </c>
      <c r="S203" s="60">
        <f ca="1">AVERAGE(OFFSET($R$3,0,0,'Données projet'!$E$9+1,1))-AVERAGE(OFFSET($H$3,0,0,'Données projet'!$E$9+1,1))</f>
        <v>181.84907943028196</v>
      </c>
      <c r="T203" s="60">
        <f t="shared" si="204"/>
        <v>199.66849909069458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8.1316269596743584</v>
      </c>
      <c r="AA203" s="23">
        <f>EXP(-LN(2)/25)*AA202+(1-EXP(-LN(2)/25))/(LN(2)/25)*Calculateur!V203*Calculateur!X203*VLOOKUP('Données projet'!$B$9,Paramètres!$A$1:$I$88,3,0)*0.475*44/12</f>
        <v>0.62661372206228683</v>
      </c>
      <c r="AB203" s="23">
        <f>EXP(-LN(2)/2)*AB202+(1-EXP(-LN(2)/2))/(LN(2)/2)*V203*Y203*VLOOKUP('Données projet'!$B$9,Paramètres!$A$1:$I$88,3,0)*0.475*44/12</f>
        <v>2.0136615701164003E-20</v>
      </c>
      <c r="AC203" s="24">
        <f t="shared" si="163"/>
        <v>8.7582406817366447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projet'!$B$10,Paramètres!$A$1:$I$88,3,0)*VLOOKUP('Données projet'!$B$10,Paramètres!$A$1:$I$88,5,0)</f>
        <v>0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55.581964048431473</v>
      </c>
      <c r="AO203" s="60">
        <f t="shared" si="205"/>
        <v>91.067506141193803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1.521202166720572</v>
      </c>
      <c r="AV203" s="23">
        <f>EXP(-LN(2)/25)*AV202+(1-EXP(-LN(2)/25))/(LN(2)/25)*Calculateur!AQ203*Calculateur!AS203*VLOOKUP('Données projet'!$B$10,Paramètres!$A$1:$I$88,3,0)*0.475*44/12</f>
        <v>0</v>
      </c>
      <c r="AW203" s="23">
        <f>EXP(-LN(2)/2)*AW202+(1-EXP(-LN(2)/2))/(LN(2)/2)*AQ203*AT203*VLOOKUP('Données projet'!$B$10,Paramètres!$A$1:$I$88,3,0)*0.475*44/12</f>
        <v>0</v>
      </c>
      <c r="AX203" s="23">
        <f t="shared" si="166"/>
        <v>1.521202166720572</v>
      </c>
      <c r="AY203" s="7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-38.999999999999829</v>
      </c>
      <c r="BE203" s="14">
        <f>BD203*VLOOKUP('Données projet'!$B$11,Paramètres!$A$1:$I$88,3,0)*VLOOKUP('Données projet'!$B$11,Paramètres!$A$1:$I$88,5,0)</f>
        <v>-39.545999999999829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178.29366134936788</v>
      </c>
      <c r="BJ203" s="60">
        <f t="shared" si="206"/>
        <v>85.818195717787148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132.90696620336641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132.90696620336641</v>
      </c>
      <c r="BT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projet'!$B$12,Paramètres!$A$1:$I$88,3,0)*VLOOKUP('Données projet'!$B$12,Paramètres!$A$1:$I$88,5,0)</f>
        <v>0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104.00159056395933</v>
      </c>
      <c r="CE203" s="60">
        <f t="shared" si="207"/>
        <v>115.86489547584461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9.2320200946812374</v>
      </c>
      <c r="CL203" s="23">
        <f>EXP(-LN(2)/25)*CL202+(1-EXP(-LN(2)/25))/(LN(2)/25)*Calculateur!CG203*Calculateur!CI203*VLOOKUP('Données projet'!$B$12,Paramètres!$A$1:$I$88,3,0)*0.475*44/12</f>
        <v>0.68191367092790556</v>
      </c>
      <c r="CM203" s="23">
        <f>EXP(-LN(2)/2)*CM202+(1-EXP(-LN(2)/2))/(LN(2)/2)*CG203*CJ203*VLOOKUP('Données projet'!$B$12,Paramètres!$A$1:$I$88,3,0)*0.475*44/12</f>
        <v>5.2036623168486609E-19</v>
      </c>
      <c r="CN203" s="24">
        <f t="shared" si="172"/>
        <v>9.9139337656091424</v>
      </c>
      <c r="CO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projet'!$B$13,Paramètres!$A$1:$I$88,3,0)*VLOOKUP('Données projet'!$B$13,Paramètres!$A$1:$I$88,5,0)</f>
        <v>#N/A</v>
      </c>
      <c r="CV203" s="14" t="e">
        <f t="shared" si="173"/>
        <v>#N/A</v>
      </c>
      <c r="CW203" s="22" t="e">
        <f t="shared" si="174"/>
        <v>#N/A</v>
      </c>
      <c r="CX203" s="60" t="e">
        <f t="shared" si="196"/>
        <v>#N/A</v>
      </c>
      <c r="CY203" s="60" t="e">
        <f ca="1">AVERAGE(OFFSET($CX$3,0,0,'Données projet'!$E$13+1,1))-AVERAGE(OFFSET($H$3,0,0,'Données projet'!$E$13+1,1))</f>
        <v>#N/A</v>
      </c>
      <c r="CZ203" s="60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projet'!$B$13,Paramètres!$A$1:$I$88,3,0)*0.475*44/12</f>
        <v>#N/A</v>
      </c>
      <c r="DG203" s="23" t="e">
        <f>EXP(-LN(2)/25)*DG202+(1-EXP(-LN(2)/25))/(LN(2)/25)*Calculateur!DB203*Calculateur!DD203*VLOOKUP('Données projet'!$B$13,Paramètres!$A$1:$I$88,3,0)*0.475*44/12</f>
        <v>#N/A</v>
      </c>
      <c r="DH203" s="23" t="e">
        <f>EXP(-LN(2)/2)*DH202+(1-EXP(-LN(2)/2))/(LN(2)/2)*DB203*DE203*VLOOKUP('Données projet'!$B$13,Paramètres!$A$1:$I$88,3,0)*0.475*44/12</f>
        <v>#N/A</v>
      </c>
      <c r="DI203" s="24" t="e">
        <f t="shared" si="175"/>
        <v>#N/A</v>
      </c>
      <c r="DJ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0" t="e">
        <f t="shared" si="197"/>
        <v>#N/A</v>
      </c>
      <c r="DT203" s="60" t="e">
        <f ca="1">AVERAGE(OFFSET($DS$3,0,0,'Données projet'!$E$14+1,1))-AVERAGE(OFFSET($H$3,0,0,'Données projet'!$E$14+1,1))</f>
        <v>#N/A</v>
      </c>
      <c r="DU203" s="60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" thickBot="1" x14ac:dyDescent="0.35">
      <c r="B204" s="80"/>
      <c r="C204" s="78"/>
      <c r="D204" s="79"/>
      <c r="E204" s="79"/>
      <c r="F204" s="79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8"/>
      <c r="I204" s="78"/>
      <c r="J204" s="78"/>
      <c r="K204" s="87" t="s">
        <v>294</v>
      </c>
      <c r="L204" s="81"/>
      <c r="M204" s="81"/>
      <c r="N204" s="81"/>
      <c r="O204" s="78"/>
      <c r="P204" s="78"/>
      <c r="Q204" s="79"/>
      <c r="R204" s="82"/>
      <c r="S204" s="82"/>
      <c r="T204" s="82"/>
      <c r="U204" s="81"/>
      <c r="V204" s="81"/>
      <c r="W204" s="83"/>
      <c r="X204" s="83"/>
      <c r="Y204" s="83"/>
      <c r="Z204" s="78"/>
      <c r="AA204" s="78"/>
      <c r="AB204" s="78"/>
      <c r="AC204" s="78"/>
      <c r="AD204" s="78"/>
      <c r="AE204" s="78"/>
      <c r="AF204" s="84" t="s">
        <v>294</v>
      </c>
      <c r="BA204" s="84" t="s">
        <v>294</v>
      </c>
      <c r="BV204" s="84" t="s">
        <v>294</v>
      </c>
      <c r="CQ204" s="84" t="s">
        <v>294</v>
      </c>
      <c r="DL204" s="84" t="s">
        <v>294</v>
      </c>
      <c r="EG204" s="84" t="s">
        <v>294</v>
      </c>
      <c r="FB204" s="84" t="s">
        <v>294</v>
      </c>
      <c r="FW204" s="84" t="s">
        <v>294</v>
      </c>
      <c r="GR204" s="84" t="s">
        <v>294</v>
      </c>
    </row>
    <row r="205" spans="1:218" ht="15" thickBot="1" x14ac:dyDescent="0.35">
      <c r="B205" s="80"/>
      <c r="C205" s="78"/>
      <c r="D205" s="79"/>
      <c r="E205" s="79"/>
      <c r="F205" s="79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8"/>
      <c r="I205" s="78"/>
      <c r="J205" s="78"/>
      <c r="K205" s="85">
        <f>EXP(LN('Données projet'!B36)/'Données projet'!A36)</f>
        <v>1.3556619776599483</v>
      </c>
      <c r="L205" s="81"/>
      <c r="M205" s="81"/>
      <c r="N205" s="81"/>
      <c r="O205" s="78"/>
      <c r="P205" s="78"/>
      <c r="Q205" s="79"/>
      <c r="R205" s="82"/>
      <c r="S205" s="82"/>
      <c r="T205" s="82"/>
      <c r="U205" s="81"/>
      <c r="V205" s="81"/>
      <c r="W205" s="83"/>
      <c r="X205" s="83"/>
      <c r="Y205" s="83"/>
      <c r="Z205" s="78"/>
      <c r="AA205" s="78"/>
      <c r="AB205" s="78"/>
      <c r="AC205" s="78"/>
      <c r="AD205" s="78"/>
      <c r="AE205" s="78"/>
      <c r="AF205" s="86">
        <f>EXP(LN('Données projet'!B62)/'Données projet'!A62)</f>
        <v>1.2599210498948732</v>
      </c>
      <c r="BA205" s="85">
        <f>EXP(LN('Données projet'!B88)/'Données projet'!A88)</f>
        <v>1.0894131065611496</v>
      </c>
      <c r="BV205" s="85">
        <f>EXP(LN('Données projet'!B114)/'Données projet'!A114)</f>
        <v>1.1867200975826817</v>
      </c>
      <c r="CQ205" s="85" t="e">
        <f>EXP(LN('Données projet'!B140)/'Données projet'!A140)</f>
        <v>#NUM!</v>
      </c>
      <c r="DL205" s="85" t="e">
        <f>EXP(LN('Données projet'!B166)/'Données projet'!A166)</f>
        <v>#NUM!</v>
      </c>
      <c r="EG205" s="85" t="e">
        <f>EXP(LN('Données projet'!B192)/'Données projet'!A192)</f>
        <v>#NUM!</v>
      </c>
      <c r="FB205" s="85" t="e">
        <f>EXP(LN('Données projet'!B218)/'Données projet'!A218)</f>
        <v>#NUM!</v>
      </c>
      <c r="FW205" s="85" t="e">
        <f>EXP(LN('Données projet'!B244)/'Données projet'!A244)</f>
        <v>#NUM!</v>
      </c>
      <c r="GR205" s="85" t="e">
        <f>EXP(LN('Données projet'!B270)/'Données projet'!A270)</f>
        <v>#NUM!</v>
      </c>
    </row>
  </sheetData>
  <sheetProtection algorithmName="SHA-512" hashValue="pijpqe0Ylsjs9EpvAY4m52gXTBEEy40gXYONLP605lBROE4I+gEWLO8HbzDEOY09qTOgOqydyeGgVqRPK8zZ3g==" saltValue="1tsCNl6Hms155TjQS5tvm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workbookViewId="0">
      <selection activeCell="E10" sqref="E10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6" t="s">
        <v>0</v>
      </c>
      <c r="B1" s="117" t="s">
        <v>106</v>
      </c>
      <c r="C1" s="118" t="s">
        <v>144</v>
      </c>
      <c r="D1" s="117" t="s">
        <v>100</v>
      </c>
      <c r="E1" s="118" t="s">
        <v>145</v>
      </c>
      <c r="F1" s="118" t="s">
        <v>100</v>
      </c>
      <c r="G1" s="118" t="s">
        <v>146</v>
      </c>
      <c r="H1" s="118" t="s">
        <v>100</v>
      </c>
      <c r="I1" s="119" t="s">
        <v>147</v>
      </c>
      <c r="J1" s="96"/>
      <c r="K1" s="96"/>
      <c r="L1" s="96"/>
      <c r="M1" s="96"/>
      <c r="N1" s="96"/>
    </row>
    <row r="2" spans="1:16" x14ac:dyDescent="0.3">
      <c r="A2" s="120" t="s">
        <v>1</v>
      </c>
      <c r="B2" s="121" t="s">
        <v>53</v>
      </c>
      <c r="C2" s="122">
        <v>0.62</v>
      </c>
      <c r="D2" s="122" t="s">
        <v>161</v>
      </c>
      <c r="E2" s="122">
        <v>1.56</v>
      </c>
      <c r="F2" s="122" t="s">
        <v>274</v>
      </c>
      <c r="G2" s="123">
        <v>0.43</v>
      </c>
      <c r="H2" s="124" t="s">
        <v>278</v>
      </c>
      <c r="I2" s="125">
        <v>0.25</v>
      </c>
      <c r="J2" s="96"/>
      <c r="K2" s="96"/>
      <c r="L2" s="96"/>
      <c r="M2" s="96"/>
      <c r="N2" s="96"/>
      <c r="O2" s="321" t="s">
        <v>238</v>
      </c>
      <c r="P2" s="126">
        <v>0</v>
      </c>
    </row>
    <row r="3" spans="1:16" ht="15" thickBot="1" x14ac:dyDescent="0.35">
      <c r="A3" s="127" t="s">
        <v>2</v>
      </c>
      <c r="B3" s="128" t="s">
        <v>54</v>
      </c>
      <c r="C3" s="129">
        <v>0.64</v>
      </c>
      <c r="D3" s="129" t="s">
        <v>161</v>
      </c>
      <c r="E3" s="129">
        <v>1.56</v>
      </c>
      <c r="F3" s="130" t="s">
        <v>274</v>
      </c>
      <c r="G3" s="131">
        <v>0.43</v>
      </c>
      <c r="H3" s="129" t="s">
        <v>278</v>
      </c>
      <c r="I3" s="132">
        <v>0.25</v>
      </c>
      <c r="J3" s="96"/>
      <c r="K3" s="96"/>
      <c r="L3" s="96"/>
      <c r="M3" s="96"/>
      <c r="N3" s="96"/>
      <c r="O3" s="322"/>
      <c r="P3" s="133">
        <v>0.2</v>
      </c>
    </row>
    <row r="4" spans="1:16" ht="15" thickBot="1" x14ac:dyDescent="0.35">
      <c r="A4" s="127" t="s">
        <v>98</v>
      </c>
      <c r="B4" s="128" t="s">
        <v>99</v>
      </c>
      <c r="C4" s="129">
        <v>0.42</v>
      </c>
      <c r="D4" s="129" t="s">
        <v>161</v>
      </c>
      <c r="E4" s="129">
        <v>1.56</v>
      </c>
      <c r="F4" s="130" t="s">
        <v>274</v>
      </c>
      <c r="G4" s="131">
        <v>0.43</v>
      </c>
      <c r="H4" s="129" t="s">
        <v>278</v>
      </c>
      <c r="I4" s="132">
        <v>0.25</v>
      </c>
      <c r="J4" s="96"/>
      <c r="K4" s="96"/>
      <c r="L4" s="96"/>
      <c r="M4" s="96"/>
      <c r="N4" s="96"/>
    </row>
    <row r="5" spans="1:16" x14ac:dyDescent="0.3">
      <c r="A5" s="127" t="s">
        <v>4</v>
      </c>
      <c r="B5" s="128" t="s">
        <v>55</v>
      </c>
      <c r="C5" s="129">
        <v>0.42</v>
      </c>
      <c r="D5" s="129" t="s">
        <v>161</v>
      </c>
      <c r="E5" s="129">
        <v>1.56</v>
      </c>
      <c r="F5" s="130" t="s">
        <v>274</v>
      </c>
      <c r="G5" s="131">
        <v>0.43</v>
      </c>
      <c r="H5" s="129" t="s">
        <v>278</v>
      </c>
      <c r="I5" s="132">
        <v>0.25</v>
      </c>
      <c r="J5" s="96"/>
      <c r="K5" s="96"/>
      <c r="L5" s="96"/>
      <c r="M5" s="96"/>
      <c r="N5" s="96"/>
      <c r="O5" s="321" t="s">
        <v>237</v>
      </c>
      <c r="P5" s="126">
        <v>0</v>
      </c>
    </row>
    <row r="6" spans="1:16" x14ac:dyDescent="0.3">
      <c r="A6" s="127" t="s">
        <v>3</v>
      </c>
      <c r="B6" s="128" t="s">
        <v>97</v>
      </c>
      <c r="C6" s="129">
        <v>0.42</v>
      </c>
      <c r="D6" s="129" t="s">
        <v>161</v>
      </c>
      <c r="E6" s="129">
        <v>1.56</v>
      </c>
      <c r="F6" s="130" t="s">
        <v>274</v>
      </c>
      <c r="G6" s="131">
        <v>0.43</v>
      </c>
      <c r="H6" s="129" t="s">
        <v>278</v>
      </c>
      <c r="I6" s="132">
        <v>0.25</v>
      </c>
      <c r="J6" s="96"/>
      <c r="K6" s="96"/>
      <c r="L6" s="96"/>
      <c r="M6" s="96"/>
      <c r="N6" s="96"/>
      <c r="O6" s="323"/>
      <c r="P6" s="134">
        <v>0.05</v>
      </c>
    </row>
    <row r="7" spans="1:16" x14ac:dyDescent="0.3">
      <c r="A7" s="127" t="s">
        <v>5</v>
      </c>
      <c r="B7" s="128" t="s">
        <v>56</v>
      </c>
      <c r="C7" s="129">
        <v>0.52</v>
      </c>
      <c r="D7" s="129" t="s">
        <v>161</v>
      </c>
      <c r="E7" s="129">
        <v>1.56</v>
      </c>
      <c r="F7" s="130" t="s">
        <v>274</v>
      </c>
      <c r="G7" s="131">
        <v>0.43</v>
      </c>
      <c r="H7" s="129" t="s">
        <v>278</v>
      </c>
      <c r="I7" s="132">
        <v>0.25</v>
      </c>
      <c r="J7" s="96"/>
      <c r="K7" s="96"/>
      <c r="L7" s="96"/>
      <c r="M7" s="96"/>
      <c r="N7" s="96"/>
      <c r="O7" s="323"/>
      <c r="P7" s="134">
        <v>0.1</v>
      </c>
    </row>
    <row r="8" spans="1:16" ht="15" thickBot="1" x14ac:dyDescent="0.35">
      <c r="A8" s="127" t="s">
        <v>164</v>
      </c>
      <c r="B8" s="128" t="s">
        <v>57</v>
      </c>
      <c r="C8" s="129">
        <v>0.36</v>
      </c>
      <c r="D8" s="129" t="s">
        <v>161</v>
      </c>
      <c r="E8" s="129">
        <v>1.3</v>
      </c>
      <c r="F8" s="130" t="s">
        <v>274</v>
      </c>
      <c r="G8" s="131">
        <v>0.55000000000000004</v>
      </c>
      <c r="H8" s="129" t="s">
        <v>153</v>
      </c>
      <c r="I8" s="132">
        <v>0.43</v>
      </c>
      <c r="J8" s="96"/>
      <c r="K8" s="96"/>
      <c r="L8" s="96"/>
      <c r="M8" s="96"/>
      <c r="N8" s="96"/>
      <c r="O8" s="322"/>
      <c r="P8" s="133">
        <v>0.15</v>
      </c>
    </row>
    <row r="9" spans="1:16" ht="15" thickBot="1" x14ac:dyDescent="0.35">
      <c r="A9" s="127" t="s">
        <v>6</v>
      </c>
      <c r="B9" s="128" t="s">
        <v>58</v>
      </c>
      <c r="C9" s="129">
        <v>0.61</v>
      </c>
      <c r="D9" s="129" t="s">
        <v>161</v>
      </c>
      <c r="E9" s="129">
        <v>1.56</v>
      </c>
      <c r="F9" s="130" t="s">
        <v>274</v>
      </c>
      <c r="G9" s="131">
        <v>0.43</v>
      </c>
      <c r="H9" s="129" t="s">
        <v>278</v>
      </c>
      <c r="I9" s="132">
        <v>0.25</v>
      </c>
      <c r="J9" s="96"/>
      <c r="K9" s="96"/>
      <c r="L9" s="96"/>
      <c r="M9" s="96"/>
      <c r="N9" s="96"/>
    </row>
    <row r="10" spans="1:16" x14ac:dyDescent="0.3">
      <c r="A10" s="127" t="s">
        <v>7</v>
      </c>
      <c r="B10" s="128" t="s">
        <v>59</v>
      </c>
      <c r="C10" s="129">
        <v>0.66</v>
      </c>
      <c r="D10" s="129" t="s">
        <v>161</v>
      </c>
      <c r="E10" s="129">
        <v>1.56</v>
      </c>
      <c r="F10" s="130" t="s">
        <v>274</v>
      </c>
      <c r="G10" s="131">
        <v>0.43</v>
      </c>
      <c r="H10" s="129" t="s">
        <v>278</v>
      </c>
      <c r="I10" s="132">
        <v>0.25</v>
      </c>
      <c r="J10" s="96"/>
      <c r="K10" s="96"/>
      <c r="L10" s="96"/>
      <c r="M10" s="96"/>
      <c r="N10" s="96"/>
      <c r="O10" s="321" t="s">
        <v>236</v>
      </c>
      <c r="P10" s="126">
        <v>0</v>
      </c>
    </row>
    <row r="11" spans="1:16" ht="15" thickBot="1" x14ac:dyDescent="0.35">
      <c r="A11" s="127" t="s">
        <v>8</v>
      </c>
      <c r="B11" s="128" t="s">
        <v>60</v>
      </c>
      <c r="C11" s="129">
        <v>0.47</v>
      </c>
      <c r="D11" s="129" t="s">
        <v>161</v>
      </c>
      <c r="E11" s="129">
        <v>1.56</v>
      </c>
      <c r="F11" s="130" t="s">
        <v>274</v>
      </c>
      <c r="G11" s="131">
        <v>0.43</v>
      </c>
      <c r="H11" s="129" t="s">
        <v>278</v>
      </c>
      <c r="I11" s="132">
        <v>0.25</v>
      </c>
      <c r="J11" s="96"/>
      <c r="K11" s="96"/>
      <c r="L11" s="96"/>
      <c r="M11" s="96"/>
      <c r="N11" s="96"/>
      <c r="O11" s="322"/>
      <c r="P11" s="133">
        <v>0.1</v>
      </c>
    </row>
    <row r="12" spans="1:16" x14ac:dyDescent="0.3">
      <c r="A12" s="127" t="s">
        <v>9</v>
      </c>
      <c r="B12" s="128" t="s">
        <v>61</v>
      </c>
      <c r="C12" s="129">
        <v>0.67</v>
      </c>
      <c r="D12" s="129" t="s">
        <v>161</v>
      </c>
      <c r="E12" s="129">
        <v>1.56</v>
      </c>
      <c r="F12" s="130" t="s">
        <v>274</v>
      </c>
      <c r="G12" s="131">
        <v>0.43</v>
      </c>
      <c r="H12" s="129" t="s">
        <v>152</v>
      </c>
      <c r="I12" s="132">
        <v>0.25</v>
      </c>
      <c r="J12" s="96"/>
      <c r="K12" s="96"/>
      <c r="L12" s="96"/>
      <c r="M12" s="96"/>
      <c r="N12" s="96"/>
    </row>
    <row r="13" spans="1:16" x14ac:dyDescent="0.3">
      <c r="A13" s="127" t="s">
        <v>10</v>
      </c>
      <c r="B13" s="128" t="s">
        <v>62</v>
      </c>
      <c r="C13" s="129">
        <v>0.7</v>
      </c>
      <c r="D13" s="129" t="s">
        <v>161</v>
      </c>
      <c r="E13" s="129">
        <v>1.56</v>
      </c>
      <c r="F13" s="130" t="s">
        <v>274</v>
      </c>
      <c r="G13" s="131">
        <v>0.43</v>
      </c>
      <c r="H13" s="129" t="s">
        <v>152</v>
      </c>
      <c r="I13" s="132">
        <v>0.25</v>
      </c>
      <c r="J13" s="96"/>
      <c r="K13" s="96"/>
      <c r="L13" s="96"/>
      <c r="M13" s="96"/>
      <c r="N13" s="96"/>
    </row>
    <row r="14" spans="1:16" x14ac:dyDescent="0.3">
      <c r="A14" s="127" t="s">
        <v>11</v>
      </c>
      <c r="B14" s="128" t="s">
        <v>63</v>
      </c>
      <c r="C14" s="129">
        <v>0.54</v>
      </c>
      <c r="D14" s="129" t="s">
        <v>161</v>
      </c>
      <c r="E14" s="129">
        <v>1.56</v>
      </c>
      <c r="F14" s="130" t="s">
        <v>274</v>
      </c>
      <c r="G14" s="131">
        <v>0.43</v>
      </c>
      <c r="H14" s="129" t="s">
        <v>152</v>
      </c>
      <c r="I14" s="132">
        <v>0.25</v>
      </c>
      <c r="J14" s="96"/>
      <c r="K14" s="96"/>
      <c r="L14" s="96"/>
      <c r="M14" s="96"/>
      <c r="N14" s="96"/>
    </row>
    <row r="15" spans="1:16" x14ac:dyDescent="0.3">
      <c r="A15" s="127" t="s">
        <v>12</v>
      </c>
      <c r="B15" s="128" t="s">
        <v>64</v>
      </c>
      <c r="C15" s="129">
        <v>0.65</v>
      </c>
      <c r="D15" s="129" t="s">
        <v>161</v>
      </c>
      <c r="E15" s="129">
        <v>1.56</v>
      </c>
      <c r="F15" s="130" t="s">
        <v>274</v>
      </c>
      <c r="G15" s="131">
        <v>0.43</v>
      </c>
      <c r="H15" s="129" t="s">
        <v>152</v>
      </c>
      <c r="I15" s="132">
        <v>0.25</v>
      </c>
      <c r="J15" s="96"/>
      <c r="K15" s="96"/>
      <c r="L15" s="96"/>
      <c r="M15" s="96"/>
      <c r="N15" s="96"/>
    </row>
    <row r="16" spans="1:16" x14ac:dyDescent="0.3">
      <c r="A16" s="127" t="s">
        <v>13</v>
      </c>
      <c r="B16" s="128" t="s">
        <v>65</v>
      </c>
      <c r="C16" s="129">
        <v>0.56000000000000005</v>
      </c>
      <c r="D16" s="129" t="s">
        <v>161</v>
      </c>
      <c r="E16" s="129">
        <v>1.56</v>
      </c>
      <c r="F16" s="130" t="s">
        <v>274</v>
      </c>
      <c r="G16" s="131">
        <v>0.43</v>
      </c>
      <c r="H16" s="129" t="s">
        <v>152</v>
      </c>
      <c r="I16" s="132">
        <v>0.25</v>
      </c>
      <c r="J16" s="96"/>
      <c r="K16" s="96"/>
      <c r="L16" s="96"/>
      <c r="M16" s="96"/>
      <c r="N16" s="96"/>
    </row>
    <row r="17" spans="1:14" x14ac:dyDescent="0.3">
      <c r="A17" s="127" t="s">
        <v>14</v>
      </c>
      <c r="B17" s="128" t="s">
        <v>66</v>
      </c>
      <c r="C17" s="129">
        <v>0.57999999999999996</v>
      </c>
      <c r="D17" s="129" t="s">
        <v>161</v>
      </c>
      <c r="E17" s="129">
        <v>1.56</v>
      </c>
      <c r="F17" s="130" t="s">
        <v>274</v>
      </c>
      <c r="G17" s="131">
        <v>0.43</v>
      </c>
      <c r="H17" s="129" t="s">
        <v>152</v>
      </c>
      <c r="I17" s="132">
        <v>0.25</v>
      </c>
      <c r="J17" s="96"/>
      <c r="K17" s="96"/>
      <c r="L17" s="96"/>
      <c r="M17" s="96"/>
      <c r="N17" s="96"/>
    </row>
    <row r="18" spans="1:14" x14ac:dyDescent="0.3">
      <c r="A18" s="127" t="s">
        <v>15</v>
      </c>
      <c r="B18" s="128" t="s">
        <v>67</v>
      </c>
      <c r="C18" s="129">
        <v>0.64</v>
      </c>
      <c r="D18" s="129" t="s">
        <v>161</v>
      </c>
      <c r="E18" s="129">
        <v>1.56</v>
      </c>
      <c r="F18" s="130" t="s">
        <v>274</v>
      </c>
      <c r="G18" s="131">
        <v>0.43</v>
      </c>
      <c r="H18" s="129" t="s">
        <v>152</v>
      </c>
      <c r="I18" s="132">
        <v>0.25</v>
      </c>
      <c r="J18" s="96"/>
      <c r="K18" s="96"/>
      <c r="L18" s="96"/>
      <c r="M18" s="96"/>
      <c r="N18" s="96"/>
    </row>
    <row r="19" spans="1:14" x14ac:dyDescent="0.3">
      <c r="A19" s="127" t="s">
        <v>16</v>
      </c>
      <c r="B19" s="128" t="s">
        <v>68</v>
      </c>
      <c r="C19" s="129">
        <v>0.73</v>
      </c>
      <c r="D19" s="129" t="s">
        <v>161</v>
      </c>
      <c r="E19" s="129">
        <v>1.56</v>
      </c>
      <c r="F19" s="130" t="s">
        <v>274</v>
      </c>
      <c r="G19" s="131">
        <v>0.43</v>
      </c>
      <c r="H19" s="129" t="s">
        <v>152</v>
      </c>
      <c r="I19" s="132">
        <v>0.25</v>
      </c>
      <c r="J19" s="96"/>
      <c r="K19" s="96"/>
      <c r="L19" s="96"/>
      <c r="M19" s="96"/>
      <c r="N19" s="96"/>
    </row>
    <row r="20" spans="1:14" x14ac:dyDescent="0.3">
      <c r="A20" s="127" t="s">
        <v>52</v>
      </c>
      <c r="B20" s="128" t="s">
        <v>69</v>
      </c>
      <c r="C20" s="129">
        <v>0.69</v>
      </c>
      <c r="D20" s="129" t="s">
        <v>131</v>
      </c>
      <c r="E20" s="129">
        <v>1.56</v>
      </c>
      <c r="F20" s="130" t="s">
        <v>274</v>
      </c>
      <c r="G20" s="131">
        <v>0.43</v>
      </c>
      <c r="H20" s="129" t="s">
        <v>282</v>
      </c>
      <c r="I20" s="132">
        <v>0.25</v>
      </c>
      <c r="J20" s="96"/>
      <c r="K20" s="96"/>
      <c r="L20" s="96"/>
      <c r="M20" s="96"/>
      <c r="N20" s="96"/>
    </row>
    <row r="21" spans="1:14" x14ac:dyDescent="0.3">
      <c r="A21" s="127" t="s">
        <v>154</v>
      </c>
      <c r="B21" s="128" t="s">
        <v>155</v>
      </c>
      <c r="C21" s="129">
        <v>0.36</v>
      </c>
      <c r="D21" s="129" t="s">
        <v>161</v>
      </c>
      <c r="E21" s="129">
        <v>1.3</v>
      </c>
      <c r="F21" s="130" t="s">
        <v>274</v>
      </c>
      <c r="G21" s="131">
        <v>0.55000000000000004</v>
      </c>
      <c r="H21" s="129" t="s">
        <v>153</v>
      </c>
      <c r="I21" s="132">
        <v>0.43</v>
      </c>
      <c r="J21" s="96"/>
      <c r="K21" s="96"/>
      <c r="L21" s="96"/>
      <c r="M21" s="96"/>
      <c r="N21" s="96"/>
    </row>
    <row r="22" spans="1:14" x14ac:dyDescent="0.3">
      <c r="A22" s="127" t="s">
        <v>17</v>
      </c>
      <c r="B22" s="128" t="s">
        <v>70</v>
      </c>
      <c r="C22" s="129">
        <v>0.4</v>
      </c>
      <c r="D22" s="129" t="s">
        <v>161</v>
      </c>
      <c r="E22" s="129">
        <v>1.3</v>
      </c>
      <c r="F22" s="130" t="s">
        <v>274</v>
      </c>
      <c r="G22" s="131">
        <v>0.55000000000000004</v>
      </c>
      <c r="H22" s="129" t="s">
        <v>153</v>
      </c>
      <c r="I22" s="132">
        <v>0.43</v>
      </c>
      <c r="J22" s="96"/>
      <c r="K22" s="96"/>
      <c r="L22" s="96"/>
      <c r="M22" s="96"/>
      <c r="N22" s="96"/>
    </row>
    <row r="23" spans="1:14" x14ac:dyDescent="0.3">
      <c r="A23" s="127" t="s">
        <v>18</v>
      </c>
      <c r="B23" s="128" t="s">
        <v>71</v>
      </c>
      <c r="C23" s="129">
        <v>0.43</v>
      </c>
      <c r="D23" s="129" t="s">
        <v>161</v>
      </c>
      <c r="E23" s="129">
        <v>1.3</v>
      </c>
      <c r="F23" s="130" t="s">
        <v>274</v>
      </c>
      <c r="G23" s="131">
        <v>0.55000000000000004</v>
      </c>
      <c r="H23" s="129" t="s">
        <v>153</v>
      </c>
      <c r="I23" s="132">
        <v>0.43</v>
      </c>
      <c r="J23" s="96"/>
      <c r="K23" s="96"/>
      <c r="L23" s="96"/>
      <c r="M23" s="96"/>
      <c r="N23" s="96"/>
    </row>
    <row r="24" spans="1:14" x14ac:dyDescent="0.3">
      <c r="A24" s="127" t="s">
        <v>19</v>
      </c>
      <c r="B24" s="128" t="s">
        <v>72</v>
      </c>
      <c r="C24" s="129">
        <v>0.37</v>
      </c>
      <c r="D24" s="129" t="s">
        <v>161</v>
      </c>
      <c r="E24" s="129">
        <v>1.3</v>
      </c>
      <c r="F24" s="130" t="s">
        <v>274</v>
      </c>
      <c r="G24" s="131">
        <v>0.55000000000000004</v>
      </c>
      <c r="H24" s="129" t="s">
        <v>152</v>
      </c>
      <c r="I24" s="132">
        <v>0.43</v>
      </c>
      <c r="J24" s="96"/>
      <c r="K24" s="96"/>
      <c r="L24" s="96"/>
      <c r="M24" s="96"/>
      <c r="N24" s="96"/>
    </row>
    <row r="25" spans="1:14" x14ac:dyDescent="0.3">
      <c r="A25" s="127" t="s">
        <v>20</v>
      </c>
      <c r="B25" s="128" t="s">
        <v>73</v>
      </c>
      <c r="C25" s="129">
        <v>0.36</v>
      </c>
      <c r="D25" s="129" t="s">
        <v>161</v>
      </c>
      <c r="E25" s="129">
        <v>1.3</v>
      </c>
      <c r="F25" s="130" t="s">
        <v>274</v>
      </c>
      <c r="G25" s="131">
        <v>0.55000000000000004</v>
      </c>
      <c r="H25" s="129" t="s">
        <v>152</v>
      </c>
      <c r="I25" s="132">
        <v>0.43</v>
      </c>
      <c r="J25" s="96"/>
      <c r="K25" s="96"/>
      <c r="L25" s="96"/>
      <c r="M25" s="96"/>
      <c r="N25" s="96"/>
    </row>
    <row r="26" spans="1:14" x14ac:dyDescent="0.3">
      <c r="A26" s="127" t="s">
        <v>21</v>
      </c>
      <c r="B26" s="128" t="s">
        <v>74</v>
      </c>
      <c r="C26" s="129">
        <v>0.56000000000000005</v>
      </c>
      <c r="D26" s="129" t="s">
        <v>161</v>
      </c>
      <c r="E26" s="129">
        <v>1.56</v>
      </c>
      <c r="F26" s="130" t="s">
        <v>274</v>
      </c>
      <c r="G26" s="131">
        <v>0.53</v>
      </c>
      <c r="H26" s="129" t="s">
        <v>275</v>
      </c>
      <c r="I26" s="132">
        <v>0.25</v>
      </c>
      <c r="J26" s="96"/>
      <c r="K26" s="96"/>
      <c r="L26" s="96"/>
      <c r="M26" s="96"/>
      <c r="N26" s="96"/>
    </row>
    <row r="27" spans="1:14" x14ac:dyDescent="0.3">
      <c r="A27" s="127" t="s">
        <v>22</v>
      </c>
      <c r="B27" s="128" t="s">
        <v>75</v>
      </c>
      <c r="C27" s="129">
        <v>0.51</v>
      </c>
      <c r="D27" s="129" t="s">
        <v>161</v>
      </c>
      <c r="E27" s="129">
        <v>1.56</v>
      </c>
      <c r="F27" s="130" t="s">
        <v>274</v>
      </c>
      <c r="G27" s="131">
        <v>0.53</v>
      </c>
      <c r="H27" s="129" t="s">
        <v>275</v>
      </c>
      <c r="I27" s="132">
        <v>0.25</v>
      </c>
      <c r="J27" s="96"/>
      <c r="K27" s="96"/>
      <c r="L27" s="96"/>
      <c r="M27" s="96"/>
      <c r="N27" s="96"/>
    </row>
    <row r="28" spans="1:14" x14ac:dyDescent="0.3">
      <c r="A28" s="127" t="s">
        <v>23</v>
      </c>
      <c r="B28" s="128" t="s">
        <v>76</v>
      </c>
      <c r="C28" s="129">
        <v>0.51</v>
      </c>
      <c r="D28" s="129" t="s">
        <v>161</v>
      </c>
      <c r="E28" s="129">
        <v>1.56</v>
      </c>
      <c r="F28" s="130" t="s">
        <v>274</v>
      </c>
      <c r="G28" s="131">
        <v>0.53</v>
      </c>
      <c r="H28" s="129" t="s">
        <v>275</v>
      </c>
      <c r="I28" s="132">
        <v>0.25</v>
      </c>
      <c r="J28" s="96"/>
      <c r="K28" s="96"/>
      <c r="L28" s="96"/>
      <c r="M28" s="96"/>
      <c r="N28" s="96"/>
    </row>
    <row r="29" spans="1:14" x14ac:dyDescent="0.3">
      <c r="A29" s="127" t="s">
        <v>24</v>
      </c>
      <c r="B29" s="128" t="s">
        <v>24</v>
      </c>
      <c r="C29" s="129">
        <v>0.56000000000000005</v>
      </c>
      <c r="D29" s="129" t="s">
        <v>161</v>
      </c>
      <c r="E29" s="129">
        <v>1.56</v>
      </c>
      <c r="F29" s="130" t="s">
        <v>274</v>
      </c>
      <c r="G29" s="131">
        <v>0.53</v>
      </c>
      <c r="H29" s="129" t="s">
        <v>275</v>
      </c>
      <c r="I29" s="132">
        <v>0.25</v>
      </c>
      <c r="J29" s="96"/>
      <c r="K29" s="96"/>
      <c r="L29" s="96"/>
      <c r="M29" s="96"/>
      <c r="N29" s="96"/>
    </row>
    <row r="30" spans="1:14" x14ac:dyDescent="0.3">
      <c r="A30" s="127" t="s">
        <v>25</v>
      </c>
      <c r="B30" s="128" t="s">
        <v>77</v>
      </c>
      <c r="C30" s="129">
        <v>0.55000000000000004</v>
      </c>
      <c r="D30" s="129" t="s">
        <v>161</v>
      </c>
      <c r="E30" s="129">
        <v>1.56</v>
      </c>
      <c r="F30" s="130" t="s">
        <v>274</v>
      </c>
      <c r="G30" s="131">
        <v>0.53</v>
      </c>
      <c r="H30" s="129" t="s">
        <v>152</v>
      </c>
      <c r="I30" s="132">
        <v>0.25</v>
      </c>
      <c r="J30" s="96"/>
      <c r="K30" s="96"/>
      <c r="L30" s="96"/>
      <c r="M30" s="96"/>
      <c r="N30" s="96"/>
    </row>
    <row r="31" spans="1:14" x14ac:dyDescent="0.3">
      <c r="A31" s="127" t="s">
        <v>26</v>
      </c>
      <c r="B31" s="128" t="s">
        <v>78</v>
      </c>
      <c r="C31" s="129">
        <v>0.56000000000000005</v>
      </c>
      <c r="D31" s="129" t="s">
        <v>161</v>
      </c>
      <c r="E31" s="129">
        <v>1.56</v>
      </c>
      <c r="F31" s="130" t="s">
        <v>274</v>
      </c>
      <c r="G31" s="131">
        <v>0.43</v>
      </c>
      <c r="H31" s="129" t="s">
        <v>278</v>
      </c>
      <c r="I31" s="132">
        <v>0.25</v>
      </c>
      <c r="J31" s="96"/>
      <c r="K31" s="96"/>
      <c r="L31" s="96"/>
      <c r="M31" s="96"/>
      <c r="N31" s="96"/>
    </row>
    <row r="32" spans="1:14" x14ac:dyDescent="0.3">
      <c r="A32" s="127" t="s">
        <v>27</v>
      </c>
      <c r="B32" s="128" t="s">
        <v>79</v>
      </c>
      <c r="C32" s="129">
        <v>0.48</v>
      </c>
      <c r="D32" s="129" t="s">
        <v>161</v>
      </c>
      <c r="E32" s="129">
        <v>1.3</v>
      </c>
      <c r="F32" s="130" t="s">
        <v>274</v>
      </c>
      <c r="G32" s="131">
        <v>0.6</v>
      </c>
      <c r="H32" s="129" t="s">
        <v>281</v>
      </c>
      <c r="I32" s="132">
        <v>0.43</v>
      </c>
      <c r="J32" s="96"/>
      <c r="K32" s="96"/>
      <c r="L32" s="96"/>
      <c r="M32" s="96"/>
      <c r="N32" s="96"/>
    </row>
    <row r="33" spans="1:14" x14ac:dyDescent="0.3">
      <c r="A33" s="127" t="s">
        <v>28</v>
      </c>
      <c r="B33" s="128" t="s">
        <v>80</v>
      </c>
      <c r="C33" s="129">
        <v>0.42</v>
      </c>
      <c r="D33" s="129" t="s">
        <v>161</v>
      </c>
      <c r="E33" s="129">
        <v>1.3</v>
      </c>
      <c r="F33" s="130" t="s">
        <v>274</v>
      </c>
      <c r="G33" s="131">
        <v>0.6</v>
      </c>
      <c r="H33" s="129" t="s">
        <v>281</v>
      </c>
      <c r="I33" s="132">
        <v>0.43</v>
      </c>
      <c r="J33" s="96"/>
      <c r="K33" s="96"/>
      <c r="L33" s="96"/>
      <c r="M33" s="96"/>
      <c r="N33" s="96"/>
    </row>
    <row r="34" spans="1:14" x14ac:dyDescent="0.3">
      <c r="A34" s="127" t="s">
        <v>81</v>
      </c>
      <c r="B34" s="128" t="s">
        <v>163</v>
      </c>
      <c r="C34" s="129">
        <v>0.42</v>
      </c>
      <c r="D34" s="129" t="s">
        <v>103</v>
      </c>
      <c r="E34" s="129">
        <v>1.3</v>
      </c>
      <c r="F34" s="130" t="s">
        <v>274</v>
      </c>
      <c r="G34" s="131">
        <v>0.6</v>
      </c>
      <c r="H34" s="128" t="s">
        <v>280</v>
      </c>
      <c r="I34" s="132">
        <v>0.43</v>
      </c>
      <c r="J34" s="96"/>
      <c r="K34" s="96"/>
      <c r="L34" s="96"/>
      <c r="M34" s="96"/>
      <c r="N34" s="96"/>
    </row>
    <row r="35" spans="1:14" x14ac:dyDescent="0.3">
      <c r="A35" s="127" t="s">
        <v>29</v>
      </c>
      <c r="B35" s="128" t="s">
        <v>82</v>
      </c>
      <c r="C35" s="129">
        <v>0.5</v>
      </c>
      <c r="D35" s="129" t="s">
        <v>161</v>
      </c>
      <c r="E35" s="129">
        <v>1.56</v>
      </c>
      <c r="F35" s="130" t="s">
        <v>274</v>
      </c>
      <c r="G35" s="131">
        <v>0.43</v>
      </c>
      <c r="H35" s="129" t="s">
        <v>278</v>
      </c>
      <c r="I35" s="132">
        <v>0.25</v>
      </c>
      <c r="J35" s="96"/>
      <c r="K35" s="96"/>
      <c r="L35" s="96"/>
      <c r="M35" s="96"/>
      <c r="N35" s="96"/>
    </row>
    <row r="36" spans="1:14" x14ac:dyDescent="0.3">
      <c r="A36" s="127" t="s">
        <v>102</v>
      </c>
      <c r="B36" s="128" t="s">
        <v>101</v>
      </c>
      <c r="C36" s="129">
        <v>0.55000000000000004</v>
      </c>
      <c r="D36" s="129" t="s">
        <v>161</v>
      </c>
      <c r="E36" s="129">
        <v>1.56</v>
      </c>
      <c r="F36" s="130" t="s">
        <v>274</v>
      </c>
      <c r="G36" s="131">
        <v>0.53</v>
      </c>
      <c r="H36" s="129" t="s">
        <v>275</v>
      </c>
      <c r="I36" s="132">
        <v>0.25</v>
      </c>
      <c r="J36" s="96"/>
      <c r="K36" s="96"/>
      <c r="L36" s="96"/>
      <c r="M36" s="96"/>
      <c r="N36" s="96"/>
    </row>
    <row r="37" spans="1:14" x14ac:dyDescent="0.3">
      <c r="A37" s="127" t="s">
        <v>30</v>
      </c>
      <c r="B37" s="128" t="s">
        <v>104</v>
      </c>
      <c r="C37" s="129">
        <v>0.52</v>
      </c>
      <c r="D37" s="129" t="s">
        <v>161</v>
      </c>
      <c r="E37" s="129">
        <v>1.56</v>
      </c>
      <c r="F37" s="130" t="s">
        <v>274</v>
      </c>
      <c r="G37" s="131">
        <v>0.53</v>
      </c>
      <c r="H37" s="129" t="s">
        <v>275</v>
      </c>
      <c r="I37" s="132">
        <v>0.25</v>
      </c>
      <c r="J37" s="96"/>
      <c r="K37" s="96"/>
      <c r="L37" s="96"/>
      <c r="M37" s="96"/>
      <c r="N37" s="96"/>
    </row>
    <row r="38" spans="1:14" x14ac:dyDescent="0.3">
      <c r="A38" s="127" t="s">
        <v>31</v>
      </c>
      <c r="B38" s="128" t="s">
        <v>105</v>
      </c>
      <c r="C38" s="129">
        <v>0.52</v>
      </c>
      <c r="D38" s="129" t="s">
        <v>161</v>
      </c>
      <c r="E38" s="129">
        <v>1.56</v>
      </c>
      <c r="F38" s="130" t="s">
        <v>274</v>
      </c>
      <c r="G38" s="131">
        <v>0.43</v>
      </c>
      <c r="H38" s="129" t="s">
        <v>278</v>
      </c>
      <c r="I38" s="132">
        <v>0.25</v>
      </c>
      <c r="J38" s="96"/>
      <c r="K38" s="96"/>
      <c r="L38" s="96"/>
      <c r="M38" s="96"/>
      <c r="N38" s="96"/>
    </row>
    <row r="39" spans="1:14" x14ac:dyDescent="0.3">
      <c r="A39" s="127" t="s">
        <v>107</v>
      </c>
      <c r="B39" s="128" t="s">
        <v>132</v>
      </c>
      <c r="C39" s="129">
        <v>0.313</v>
      </c>
      <c r="D39" s="129" t="s">
        <v>130</v>
      </c>
      <c r="E39" s="129">
        <v>1.56</v>
      </c>
      <c r="F39" s="130" t="s">
        <v>274</v>
      </c>
      <c r="G39" s="131">
        <v>0.6</v>
      </c>
      <c r="H39" s="129" t="s">
        <v>283</v>
      </c>
      <c r="I39" s="132">
        <v>1.03</v>
      </c>
      <c r="J39" s="96"/>
      <c r="K39" s="96"/>
      <c r="L39" s="96"/>
      <c r="M39" s="96"/>
      <c r="N39" s="96"/>
    </row>
    <row r="40" spans="1:14" x14ac:dyDescent="0.3">
      <c r="A40" s="127" t="s">
        <v>108</v>
      </c>
      <c r="B40" s="128" t="s">
        <v>132</v>
      </c>
      <c r="C40" s="129">
        <v>0.35199999999999998</v>
      </c>
      <c r="D40" s="129" t="s">
        <v>130</v>
      </c>
      <c r="E40" s="129">
        <v>1.56</v>
      </c>
      <c r="F40" s="130" t="s">
        <v>274</v>
      </c>
      <c r="G40" s="131">
        <v>0.6</v>
      </c>
      <c r="H40" s="129" t="s">
        <v>283</v>
      </c>
      <c r="I40" s="132">
        <v>1.03</v>
      </c>
      <c r="J40" s="96"/>
      <c r="K40" s="96"/>
      <c r="L40" s="96"/>
      <c r="M40" s="96"/>
      <c r="N40" s="96"/>
    </row>
    <row r="41" spans="1:14" x14ac:dyDescent="0.3">
      <c r="A41" s="127" t="s">
        <v>121</v>
      </c>
      <c r="B41" s="128" t="s">
        <v>132</v>
      </c>
      <c r="C41" s="129">
        <v>0.32200000000000001</v>
      </c>
      <c r="D41" s="129" t="s">
        <v>130</v>
      </c>
      <c r="E41" s="129">
        <v>1.56</v>
      </c>
      <c r="F41" s="130" t="s">
        <v>274</v>
      </c>
      <c r="G41" s="131">
        <v>0.6</v>
      </c>
      <c r="H41" s="129" t="s">
        <v>283</v>
      </c>
      <c r="I41" s="132">
        <v>1.03</v>
      </c>
      <c r="J41" s="96"/>
      <c r="K41" s="96"/>
      <c r="L41" s="96"/>
      <c r="M41" s="96"/>
      <c r="N41" s="96"/>
    </row>
    <row r="42" spans="1:14" x14ac:dyDescent="0.3">
      <c r="A42" s="127" t="s">
        <v>122</v>
      </c>
      <c r="B42" s="128" t="s">
        <v>132</v>
      </c>
      <c r="C42" s="129">
        <v>0.311</v>
      </c>
      <c r="D42" s="129" t="s">
        <v>130</v>
      </c>
      <c r="E42" s="129">
        <v>1.56</v>
      </c>
      <c r="F42" s="130" t="s">
        <v>274</v>
      </c>
      <c r="G42" s="131">
        <v>0.6</v>
      </c>
      <c r="H42" s="129" t="s">
        <v>283</v>
      </c>
      <c r="I42" s="132">
        <v>1.03</v>
      </c>
      <c r="J42" s="96"/>
      <c r="K42" s="96"/>
      <c r="L42" s="96"/>
      <c r="M42" s="96"/>
      <c r="N42" s="96"/>
    </row>
    <row r="43" spans="1:14" x14ac:dyDescent="0.3">
      <c r="A43" s="127" t="s">
        <v>109</v>
      </c>
      <c r="B43" s="128" t="s">
        <v>132</v>
      </c>
      <c r="C43" s="129">
        <v>0.33900000000000002</v>
      </c>
      <c r="D43" s="129" t="s">
        <v>130</v>
      </c>
      <c r="E43" s="129">
        <v>1.56</v>
      </c>
      <c r="F43" s="130" t="s">
        <v>274</v>
      </c>
      <c r="G43" s="131">
        <v>0.6</v>
      </c>
      <c r="H43" s="129" t="s">
        <v>283</v>
      </c>
      <c r="I43" s="132">
        <v>1.03</v>
      </c>
      <c r="J43" s="96"/>
      <c r="K43" s="96"/>
      <c r="L43" s="96"/>
      <c r="M43" s="96"/>
      <c r="N43" s="96"/>
    </row>
    <row r="44" spans="1:14" x14ac:dyDescent="0.3">
      <c r="A44" s="127" t="s">
        <v>123</v>
      </c>
      <c r="B44" s="128" t="s">
        <v>132</v>
      </c>
      <c r="C44" s="129">
        <v>0.33600000000000002</v>
      </c>
      <c r="D44" s="129" t="s">
        <v>130</v>
      </c>
      <c r="E44" s="129">
        <v>1.56</v>
      </c>
      <c r="F44" s="130" t="s">
        <v>274</v>
      </c>
      <c r="G44" s="131">
        <v>0.6</v>
      </c>
      <c r="H44" s="129" t="s">
        <v>283</v>
      </c>
      <c r="I44" s="132">
        <v>1.03</v>
      </c>
      <c r="J44" s="96"/>
      <c r="K44" s="96"/>
      <c r="L44" s="96"/>
      <c r="M44" s="96"/>
      <c r="N44" s="96"/>
    </row>
    <row r="45" spans="1:14" x14ac:dyDescent="0.3">
      <c r="A45" s="127" t="s">
        <v>110</v>
      </c>
      <c r="B45" s="128" t="s">
        <v>132</v>
      </c>
      <c r="C45" s="129">
        <v>0.32900000000000001</v>
      </c>
      <c r="D45" s="129" t="s">
        <v>130</v>
      </c>
      <c r="E45" s="129">
        <v>1.56</v>
      </c>
      <c r="F45" s="130" t="s">
        <v>274</v>
      </c>
      <c r="G45" s="131">
        <v>0.6</v>
      </c>
      <c r="H45" s="129" t="s">
        <v>283</v>
      </c>
      <c r="I45" s="132">
        <v>1.03</v>
      </c>
      <c r="J45" s="96"/>
      <c r="K45" s="96"/>
      <c r="L45" s="96"/>
      <c r="M45" s="96"/>
      <c r="N45" s="96"/>
    </row>
    <row r="46" spans="1:14" x14ac:dyDescent="0.3">
      <c r="A46" s="127" t="s">
        <v>124</v>
      </c>
      <c r="B46" s="128" t="s">
        <v>132</v>
      </c>
      <c r="C46" s="129">
        <v>0.34300000000000003</v>
      </c>
      <c r="D46" s="129" t="s">
        <v>130</v>
      </c>
      <c r="E46" s="129">
        <v>1.56</v>
      </c>
      <c r="F46" s="130" t="s">
        <v>274</v>
      </c>
      <c r="G46" s="131">
        <v>0.6</v>
      </c>
      <c r="H46" s="129" t="s">
        <v>283</v>
      </c>
      <c r="I46" s="132">
        <v>1.03</v>
      </c>
      <c r="J46" s="96"/>
      <c r="K46" s="96"/>
      <c r="L46" s="96"/>
      <c r="M46" s="96"/>
      <c r="N46" s="96"/>
    </row>
    <row r="47" spans="1:14" x14ac:dyDescent="0.3">
      <c r="A47" s="127" t="s">
        <v>125</v>
      </c>
      <c r="B47" s="128" t="s">
        <v>132</v>
      </c>
      <c r="C47" s="129">
        <v>0.32500000000000001</v>
      </c>
      <c r="D47" s="129" t="s">
        <v>130</v>
      </c>
      <c r="E47" s="129">
        <v>1.56</v>
      </c>
      <c r="F47" s="130" t="s">
        <v>274</v>
      </c>
      <c r="G47" s="131">
        <v>0.6</v>
      </c>
      <c r="H47" s="129" t="s">
        <v>283</v>
      </c>
      <c r="I47" s="132">
        <v>1.03</v>
      </c>
      <c r="J47" s="96"/>
      <c r="K47" s="96"/>
      <c r="L47" s="96"/>
      <c r="M47" s="96"/>
      <c r="N47" s="96"/>
    </row>
    <row r="48" spans="1:14" x14ac:dyDescent="0.3">
      <c r="A48" s="127" t="s">
        <v>126</v>
      </c>
      <c r="B48" s="128" t="s">
        <v>132</v>
      </c>
      <c r="C48" s="129">
        <v>0.32</v>
      </c>
      <c r="D48" s="129" t="s">
        <v>130</v>
      </c>
      <c r="E48" s="129">
        <v>1.56</v>
      </c>
      <c r="F48" s="130" t="s">
        <v>274</v>
      </c>
      <c r="G48" s="131">
        <v>0.6</v>
      </c>
      <c r="H48" s="129" t="s">
        <v>283</v>
      </c>
      <c r="I48" s="132">
        <v>1.03</v>
      </c>
      <c r="J48" s="96"/>
      <c r="K48" s="96"/>
      <c r="L48" s="96"/>
      <c r="M48" s="96"/>
      <c r="N48" s="96"/>
    </row>
    <row r="49" spans="1:14" x14ac:dyDescent="0.3">
      <c r="A49" s="127" t="s">
        <v>111</v>
      </c>
      <c r="B49" s="128" t="s">
        <v>132</v>
      </c>
      <c r="C49" s="129">
        <v>0.28199999999999997</v>
      </c>
      <c r="D49" s="129" t="s">
        <v>130</v>
      </c>
      <c r="E49" s="129">
        <v>1.56</v>
      </c>
      <c r="F49" s="130" t="s">
        <v>274</v>
      </c>
      <c r="G49" s="131">
        <v>0.6</v>
      </c>
      <c r="H49" s="129" t="s">
        <v>283</v>
      </c>
      <c r="I49" s="132">
        <v>1.03</v>
      </c>
      <c r="J49" s="96"/>
      <c r="K49" s="96"/>
      <c r="L49" s="96"/>
      <c r="M49" s="96"/>
      <c r="N49" s="96"/>
    </row>
    <row r="50" spans="1:14" x14ac:dyDescent="0.3">
      <c r="A50" s="127" t="s">
        <v>127</v>
      </c>
      <c r="B50" s="128" t="s">
        <v>132</v>
      </c>
      <c r="C50" s="129">
        <v>0.32800000000000001</v>
      </c>
      <c r="D50" s="129" t="s">
        <v>130</v>
      </c>
      <c r="E50" s="129">
        <v>1.56</v>
      </c>
      <c r="F50" s="130" t="s">
        <v>274</v>
      </c>
      <c r="G50" s="131">
        <v>0.6</v>
      </c>
      <c r="H50" s="129" t="s">
        <v>283</v>
      </c>
      <c r="I50" s="132">
        <v>1.03</v>
      </c>
      <c r="J50" s="96"/>
      <c r="K50" s="96"/>
      <c r="L50" s="96"/>
      <c r="M50" s="96"/>
      <c r="N50" s="96"/>
    </row>
    <row r="51" spans="1:14" x14ac:dyDescent="0.3">
      <c r="A51" s="127" t="s">
        <v>112</v>
      </c>
      <c r="B51" s="128" t="s">
        <v>132</v>
      </c>
      <c r="C51" s="129">
        <v>0.32600000000000001</v>
      </c>
      <c r="D51" s="129" t="s">
        <v>130</v>
      </c>
      <c r="E51" s="129">
        <v>1.56</v>
      </c>
      <c r="F51" s="130" t="s">
        <v>274</v>
      </c>
      <c r="G51" s="131">
        <v>0.6</v>
      </c>
      <c r="H51" s="129" t="s">
        <v>283</v>
      </c>
      <c r="I51" s="132">
        <v>1.03</v>
      </c>
      <c r="J51" s="96"/>
      <c r="K51" s="96"/>
      <c r="L51" s="96"/>
      <c r="M51" s="96"/>
      <c r="N51" s="96"/>
    </row>
    <row r="52" spans="1:14" x14ac:dyDescent="0.3">
      <c r="A52" s="127" t="s">
        <v>113</v>
      </c>
      <c r="B52" s="128" t="s">
        <v>132</v>
      </c>
      <c r="C52" s="129">
        <v>0.35899999999999999</v>
      </c>
      <c r="D52" s="129" t="s">
        <v>130</v>
      </c>
      <c r="E52" s="129">
        <v>1.56</v>
      </c>
      <c r="F52" s="130" t="s">
        <v>274</v>
      </c>
      <c r="G52" s="131">
        <v>0.6</v>
      </c>
      <c r="H52" s="129" t="s">
        <v>283</v>
      </c>
      <c r="I52" s="132">
        <v>1.03</v>
      </c>
      <c r="J52" s="96"/>
      <c r="K52" s="96"/>
      <c r="L52" s="96"/>
      <c r="M52" s="96"/>
      <c r="N52" s="96"/>
    </row>
    <row r="53" spans="1:14" x14ac:dyDescent="0.3">
      <c r="A53" s="127" t="s">
        <v>114</v>
      </c>
      <c r="B53" s="128" t="s">
        <v>132</v>
      </c>
      <c r="C53" s="129">
        <v>0.34599999999999997</v>
      </c>
      <c r="D53" s="129" t="s">
        <v>130</v>
      </c>
      <c r="E53" s="129">
        <v>1.56</v>
      </c>
      <c r="F53" s="130" t="s">
        <v>274</v>
      </c>
      <c r="G53" s="131">
        <v>0.6</v>
      </c>
      <c r="H53" s="129" t="s">
        <v>283</v>
      </c>
      <c r="I53" s="132">
        <v>1.03</v>
      </c>
      <c r="J53" s="96"/>
      <c r="K53" s="96"/>
      <c r="L53" s="96"/>
      <c r="M53" s="96"/>
      <c r="N53" s="96"/>
    </row>
    <row r="54" spans="1:14" x14ac:dyDescent="0.3">
      <c r="A54" s="127" t="s">
        <v>115</v>
      </c>
      <c r="B54" s="128" t="s">
        <v>132</v>
      </c>
      <c r="C54" s="129">
        <v>0.32600000000000001</v>
      </c>
      <c r="D54" s="129" t="s">
        <v>130</v>
      </c>
      <c r="E54" s="129">
        <v>1.56</v>
      </c>
      <c r="F54" s="130" t="s">
        <v>274</v>
      </c>
      <c r="G54" s="131">
        <v>0.6</v>
      </c>
      <c r="H54" s="129" t="s">
        <v>283</v>
      </c>
      <c r="I54" s="132">
        <v>1.03</v>
      </c>
      <c r="J54" s="96"/>
      <c r="K54" s="96"/>
      <c r="L54" s="96"/>
      <c r="M54" s="96"/>
      <c r="N54" s="96"/>
    </row>
    <row r="55" spans="1:14" x14ac:dyDescent="0.3">
      <c r="A55" s="127" t="s">
        <v>116</v>
      </c>
      <c r="B55" s="128" t="s">
        <v>132</v>
      </c>
      <c r="C55" s="129">
        <v>0.30499999999999999</v>
      </c>
      <c r="D55" s="129" t="s">
        <v>130</v>
      </c>
      <c r="E55" s="129">
        <v>1.56</v>
      </c>
      <c r="F55" s="130" t="s">
        <v>274</v>
      </c>
      <c r="G55" s="131">
        <v>0.6</v>
      </c>
      <c r="H55" s="129" t="s">
        <v>283</v>
      </c>
      <c r="I55" s="132">
        <v>1.03</v>
      </c>
      <c r="J55" s="96"/>
      <c r="K55" s="96"/>
      <c r="L55" s="96"/>
      <c r="M55" s="96"/>
      <c r="N55" s="96"/>
    </row>
    <row r="56" spans="1:14" x14ac:dyDescent="0.3">
      <c r="A56" s="127" t="s">
        <v>128</v>
      </c>
      <c r="B56" s="128" t="s">
        <v>132</v>
      </c>
      <c r="C56" s="129">
        <v>0.32300000000000001</v>
      </c>
      <c r="D56" s="129" t="s">
        <v>130</v>
      </c>
      <c r="E56" s="129">
        <v>1.56</v>
      </c>
      <c r="F56" s="130" t="s">
        <v>274</v>
      </c>
      <c r="G56" s="131">
        <v>0.6</v>
      </c>
      <c r="H56" s="129" t="s">
        <v>283</v>
      </c>
      <c r="I56" s="132">
        <v>1.03</v>
      </c>
      <c r="J56" s="96"/>
      <c r="K56" s="96"/>
      <c r="L56" s="96"/>
      <c r="M56" s="96"/>
      <c r="N56" s="96"/>
    </row>
    <row r="57" spans="1:14" x14ac:dyDescent="0.3">
      <c r="A57" s="127" t="s">
        <v>129</v>
      </c>
      <c r="B57" s="128" t="s">
        <v>132</v>
      </c>
      <c r="C57" s="129">
        <v>0.36699999999999999</v>
      </c>
      <c r="D57" s="129" t="s">
        <v>130</v>
      </c>
      <c r="E57" s="129">
        <v>1.56</v>
      </c>
      <c r="F57" s="130" t="s">
        <v>274</v>
      </c>
      <c r="G57" s="131">
        <v>0.6</v>
      </c>
      <c r="H57" s="129" t="s">
        <v>283</v>
      </c>
      <c r="I57" s="132">
        <v>1.03</v>
      </c>
      <c r="J57" s="96"/>
      <c r="K57" s="96"/>
      <c r="L57" s="96"/>
      <c r="M57" s="96"/>
      <c r="N57" s="96"/>
    </row>
    <row r="58" spans="1:14" x14ac:dyDescent="0.3">
      <c r="A58" s="127" t="s">
        <v>117</v>
      </c>
      <c r="B58" s="128" t="s">
        <v>132</v>
      </c>
      <c r="C58" s="129">
        <v>0.36</v>
      </c>
      <c r="D58" s="129" t="s">
        <v>130</v>
      </c>
      <c r="E58" s="129">
        <v>1.56</v>
      </c>
      <c r="F58" s="130" t="s">
        <v>274</v>
      </c>
      <c r="G58" s="131">
        <v>0.6</v>
      </c>
      <c r="H58" s="129" t="s">
        <v>283</v>
      </c>
      <c r="I58" s="132">
        <v>1.03</v>
      </c>
      <c r="J58" s="96"/>
      <c r="K58" s="96"/>
      <c r="L58" s="96"/>
      <c r="M58" s="96"/>
      <c r="N58" s="96"/>
    </row>
    <row r="59" spans="1:14" x14ac:dyDescent="0.3">
      <c r="A59" s="127" t="s">
        <v>118</v>
      </c>
      <c r="B59" s="128" t="s">
        <v>132</v>
      </c>
      <c r="C59" s="129">
        <v>0.36799999999999999</v>
      </c>
      <c r="D59" s="129" t="s">
        <v>130</v>
      </c>
      <c r="E59" s="129">
        <v>1.56</v>
      </c>
      <c r="F59" s="130" t="s">
        <v>274</v>
      </c>
      <c r="G59" s="131">
        <v>0.6</v>
      </c>
      <c r="H59" s="129" t="s">
        <v>283</v>
      </c>
      <c r="I59" s="132">
        <v>1.03</v>
      </c>
      <c r="J59" s="96"/>
      <c r="K59" s="96"/>
      <c r="L59" s="96"/>
      <c r="M59" s="96"/>
      <c r="N59" s="96"/>
    </row>
    <row r="60" spans="1:14" x14ac:dyDescent="0.3">
      <c r="A60" s="127" t="s">
        <v>119</v>
      </c>
      <c r="B60" s="128" t="s">
        <v>132</v>
      </c>
      <c r="C60" s="129">
        <v>0.30599999999999999</v>
      </c>
      <c r="D60" s="129" t="s">
        <v>130</v>
      </c>
      <c r="E60" s="129">
        <v>1.56</v>
      </c>
      <c r="F60" s="130" t="s">
        <v>274</v>
      </c>
      <c r="G60" s="131">
        <v>0.6</v>
      </c>
      <c r="H60" s="129" t="s">
        <v>283</v>
      </c>
      <c r="I60" s="132">
        <v>1.03</v>
      </c>
      <c r="J60" s="96"/>
      <c r="K60" s="96"/>
      <c r="L60" s="96"/>
      <c r="M60" s="96"/>
      <c r="N60" s="96"/>
    </row>
    <row r="61" spans="1:14" x14ac:dyDescent="0.3">
      <c r="A61" s="127" t="s">
        <v>120</v>
      </c>
      <c r="B61" s="128" t="s">
        <v>132</v>
      </c>
      <c r="C61" s="129">
        <v>0.313</v>
      </c>
      <c r="D61" s="129" t="s">
        <v>130</v>
      </c>
      <c r="E61" s="129">
        <v>1.56</v>
      </c>
      <c r="F61" s="130" t="s">
        <v>274</v>
      </c>
      <c r="G61" s="131">
        <v>0.6</v>
      </c>
      <c r="H61" s="129" t="s">
        <v>283</v>
      </c>
      <c r="I61" s="132">
        <v>1.03</v>
      </c>
      <c r="J61" s="96"/>
      <c r="K61" s="96"/>
      <c r="L61" s="96"/>
      <c r="M61" s="96"/>
      <c r="N61" s="96"/>
    </row>
    <row r="62" spans="1:14" x14ac:dyDescent="0.3">
      <c r="A62" s="127" t="s">
        <v>32</v>
      </c>
      <c r="B62" s="128" t="s">
        <v>133</v>
      </c>
      <c r="C62" s="129">
        <v>0.37</v>
      </c>
      <c r="D62" s="129" t="s">
        <v>161</v>
      </c>
      <c r="E62" s="129">
        <v>1.56</v>
      </c>
      <c r="F62" s="130" t="s">
        <v>274</v>
      </c>
      <c r="G62" s="131">
        <v>0.6</v>
      </c>
      <c r="H62" s="129" t="s">
        <v>283</v>
      </c>
      <c r="I62" s="132">
        <v>1.03</v>
      </c>
      <c r="J62" s="96"/>
      <c r="K62" s="96"/>
      <c r="L62" s="96"/>
      <c r="M62" s="96"/>
      <c r="N62" s="96"/>
    </row>
    <row r="63" spans="1:14" x14ac:dyDescent="0.3">
      <c r="A63" s="127" t="s">
        <v>90</v>
      </c>
      <c r="B63" s="128" t="s">
        <v>83</v>
      </c>
      <c r="C63" s="129">
        <v>0.45</v>
      </c>
      <c r="D63" s="129" t="s">
        <v>161</v>
      </c>
      <c r="E63" s="129">
        <v>1.3</v>
      </c>
      <c r="F63" s="130" t="s">
        <v>274</v>
      </c>
      <c r="G63" s="131">
        <v>0.45</v>
      </c>
      <c r="H63" s="129" t="s">
        <v>276</v>
      </c>
      <c r="I63" s="132">
        <v>0.43</v>
      </c>
      <c r="J63" s="96"/>
      <c r="K63" s="96"/>
      <c r="L63" s="96"/>
      <c r="M63" s="96"/>
      <c r="N63" s="96"/>
    </row>
    <row r="64" spans="1:14" x14ac:dyDescent="0.3">
      <c r="A64" s="127" t="s">
        <v>33</v>
      </c>
      <c r="B64" s="128" t="s">
        <v>134</v>
      </c>
      <c r="C64" s="129">
        <v>0.39</v>
      </c>
      <c r="D64" s="129" t="s">
        <v>161</v>
      </c>
      <c r="E64" s="129">
        <v>1.3</v>
      </c>
      <c r="F64" s="130" t="s">
        <v>274</v>
      </c>
      <c r="G64" s="131">
        <v>0.45</v>
      </c>
      <c r="H64" s="129" t="s">
        <v>276</v>
      </c>
      <c r="I64" s="132">
        <v>0.43</v>
      </c>
      <c r="J64" s="96"/>
      <c r="K64" s="96"/>
      <c r="L64" s="96"/>
      <c r="M64" s="96"/>
      <c r="N64" s="96"/>
    </row>
    <row r="65" spans="1:14" x14ac:dyDescent="0.3">
      <c r="A65" s="127" t="s">
        <v>34</v>
      </c>
      <c r="B65" s="128" t="s">
        <v>135</v>
      </c>
      <c r="C65" s="129">
        <v>0.44</v>
      </c>
      <c r="D65" s="129" t="s">
        <v>161</v>
      </c>
      <c r="E65" s="129">
        <v>1.3</v>
      </c>
      <c r="F65" s="130" t="s">
        <v>274</v>
      </c>
      <c r="G65" s="131">
        <v>0.45</v>
      </c>
      <c r="H65" s="129" t="s">
        <v>276</v>
      </c>
      <c r="I65" s="132">
        <v>0.43</v>
      </c>
      <c r="J65" s="96"/>
      <c r="K65" s="96"/>
      <c r="L65" s="96"/>
      <c r="M65" s="96"/>
      <c r="N65" s="96"/>
    </row>
    <row r="66" spans="1:14" x14ac:dyDescent="0.3">
      <c r="A66" s="127" t="s">
        <v>35</v>
      </c>
      <c r="B66" s="128" t="s">
        <v>84</v>
      </c>
      <c r="C66" s="129">
        <v>0.46</v>
      </c>
      <c r="D66" s="129" t="s">
        <v>161</v>
      </c>
      <c r="E66" s="129">
        <v>1.3</v>
      </c>
      <c r="F66" s="130" t="s">
        <v>274</v>
      </c>
      <c r="G66" s="131">
        <v>0.45</v>
      </c>
      <c r="H66" s="129" t="s">
        <v>276</v>
      </c>
      <c r="I66" s="132">
        <v>0.43</v>
      </c>
      <c r="J66" s="96"/>
      <c r="K66" s="96"/>
      <c r="L66" s="96"/>
      <c r="M66" s="96"/>
      <c r="N66" s="96"/>
    </row>
    <row r="67" spans="1:14" x14ac:dyDescent="0.3">
      <c r="A67" s="127" t="s">
        <v>36</v>
      </c>
      <c r="B67" s="128" t="s">
        <v>85</v>
      </c>
      <c r="C67" s="129">
        <v>0.46</v>
      </c>
      <c r="D67" s="129" t="s">
        <v>161</v>
      </c>
      <c r="E67" s="129">
        <v>1.3</v>
      </c>
      <c r="F67" s="130" t="s">
        <v>274</v>
      </c>
      <c r="G67" s="131">
        <v>0.45</v>
      </c>
      <c r="H67" s="129" t="s">
        <v>152</v>
      </c>
      <c r="I67" s="132">
        <v>0.59</v>
      </c>
      <c r="J67" s="96"/>
      <c r="K67" s="96"/>
      <c r="L67" s="96"/>
      <c r="M67" s="96"/>
      <c r="N67" s="96"/>
    </row>
    <row r="68" spans="1:14" x14ac:dyDescent="0.3">
      <c r="A68" s="127" t="s">
        <v>37</v>
      </c>
      <c r="B68" s="128" t="s">
        <v>136</v>
      </c>
      <c r="C68" s="129">
        <v>0.44</v>
      </c>
      <c r="D68" s="129" t="s">
        <v>161</v>
      </c>
      <c r="E68" s="129">
        <v>1.3</v>
      </c>
      <c r="F68" s="130" t="s">
        <v>274</v>
      </c>
      <c r="G68" s="131">
        <v>0.45</v>
      </c>
      <c r="H68" s="129" t="s">
        <v>276</v>
      </c>
      <c r="I68" s="132">
        <v>0.43</v>
      </c>
      <c r="J68" s="96"/>
      <c r="K68" s="96"/>
      <c r="L68" s="96"/>
      <c r="M68" s="96"/>
      <c r="N68" s="96"/>
    </row>
    <row r="69" spans="1:14" x14ac:dyDescent="0.3">
      <c r="A69" s="127" t="s">
        <v>38</v>
      </c>
      <c r="B69" s="128" t="s">
        <v>86</v>
      </c>
      <c r="C69" s="129">
        <v>0.46</v>
      </c>
      <c r="D69" s="129" t="s">
        <v>161</v>
      </c>
      <c r="E69" s="129">
        <v>1.3</v>
      </c>
      <c r="F69" s="130" t="s">
        <v>274</v>
      </c>
      <c r="G69" s="131">
        <v>0.45</v>
      </c>
      <c r="H69" s="129" t="s">
        <v>276</v>
      </c>
      <c r="I69" s="132">
        <v>0.43</v>
      </c>
      <c r="J69" s="96"/>
      <c r="K69" s="96"/>
      <c r="L69" s="96"/>
      <c r="M69" s="96"/>
      <c r="N69" s="96"/>
    </row>
    <row r="70" spans="1:14" x14ac:dyDescent="0.3">
      <c r="A70" s="127" t="s">
        <v>39</v>
      </c>
      <c r="B70" s="128" t="s">
        <v>137</v>
      </c>
      <c r="C70" s="129">
        <v>0.48</v>
      </c>
      <c r="D70" s="129" t="s">
        <v>161</v>
      </c>
      <c r="E70" s="129">
        <v>2.4</v>
      </c>
      <c r="F70" s="129" t="s">
        <v>284</v>
      </c>
      <c r="G70" s="131">
        <v>0.45</v>
      </c>
      <c r="H70" s="129" t="s">
        <v>276</v>
      </c>
      <c r="I70" s="132">
        <v>0.43</v>
      </c>
      <c r="J70" s="96"/>
      <c r="K70" s="96"/>
      <c r="L70" s="96"/>
      <c r="M70" s="96"/>
      <c r="N70" s="96"/>
    </row>
    <row r="71" spans="1:14" x14ac:dyDescent="0.3">
      <c r="A71" s="127" t="s">
        <v>40</v>
      </c>
      <c r="B71" s="128" t="s">
        <v>87</v>
      </c>
      <c r="C71" s="129">
        <v>0.46</v>
      </c>
      <c r="D71" s="129" t="s">
        <v>150</v>
      </c>
      <c r="E71" s="129">
        <v>1.3</v>
      </c>
      <c r="F71" s="130" t="s">
        <v>274</v>
      </c>
      <c r="G71" s="131">
        <v>0.45</v>
      </c>
      <c r="H71" s="129" t="s">
        <v>276</v>
      </c>
      <c r="I71" s="132">
        <v>0.43</v>
      </c>
      <c r="J71" s="96"/>
      <c r="K71" s="96"/>
      <c r="L71" s="96"/>
      <c r="M71" s="96"/>
      <c r="N71" s="96"/>
    </row>
    <row r="72" spans="1:14" x14ac:dyDescent="0.3">
      <c r="A72" s="127" t="s">
        <v>41</v>
      </c>
      <c r="B72" s="128" t="s">
        <v>88</v>
      </c>
      <c r="C72" s="129">
        <v>0.44</v>
      </c>
      <c r="D72" s="129" t="s">
        <v>161</v>
      </c>
      <c r="E72" s="129">
        <v>1.3</v>
      </c>
      <c r="F72" s="130" t="s">
        <v>274</v>
      </c>
      <c r="G72" s="131">
        <v>0.45</v>
      </c>
      <c r="H72" s="129" t="s">
        <v>276</v>
      </c>
      <c r="I72" s="132">
        <v>0.43</v>
      </c>
      <c r="J72" s="96"/>
      <c r="K72" s="96"/>
      <c r="L72" s="96"/>
      <c r="M72" s="96"/>
      <c r="N72" s="96"/>
    </row>
    <row r="73" spans="1:14" x14ac:dyDescent="0.3">
      <c r="A73" s="127" t="s">
        <v>138</v>
      </c>
      <c r="B73" s="128" t="s">
        <v>140</v>
      </c>
      <c r="C73" s="129">
        <v>0.46</v>
      </c>
      <c r="D73" s="129" t="s">
        <v>151</v>
      </c>
      <c r="E73" s="129">
        <v>1.3</v>
      </c>
      <c r="F73" s="130" t="s">
        <v>274</v>
      </c>
      <c r="G73" s="131">
        <v>0.45</v>
      </c>
      <c r="H73" s="129" t="s">
        <v>276</v>
      </c>
      <c r="I73" s="132">
        <v>0.43</v>
      </c>
      <c r="J73" s="96"/>
      <c r="K73" s="96"/>
      <c r="L73" s="96"/>
      <c r="M73" s="96"/>
      <c r="N73" s="96"/>
    </row>
    <row r="74" spans="1:14" x14ac:dyDescent="0.3">
      <c r="A74" s="127" t="s">
        <v>42</v>
      </c>
      <c r="B74" s="128" t="s">
        <v>139</v>
      </c>
      <c r="C74" s="129">
        <v>0.34</v>
      </c>
      <c r="D74" s="129" t="s">
        <v>161</v>
      </c>
      <c r="E74" s="129">
        <v>1.3</v>
      </c>
      <c r="F74" s="130" t="s">
        <v>274</v>
      </c>
      <c r="G74" s="131">
        <v>0.45</v>
      </c>
      <c r="H74" s="129" t="s">
        <v>276</v>
      </c>
      <c r="I74" s="132">
        <v>0.43</v>
      </c>
      <c r="J74" s="96"/>
      <c r="K74" s="96"/>
      <c r="L74" s="96"/>
      <c r="M74" s="96"/>
      <c r="N74" s="96"/>
    </row>
    <row r="75" spans="1:14" x14ac:dyDescent="0.3">
      <c r="A75" s="127" t="s">
        <v>43</v>
      </c>
      <c r="B75" s="128" t="s">
        <v>162</v>
      </c>
      <c r="C75" s="129">
        <v>0.5</v>
      </c>
      <c r="D75" s="129" t="s">
        <v>161</v>
      </c>
      <c r="E75" s="129">
        <v>1.56</v>
      </c>
      <c r="F75" s="130" t="s">
        <v>274</v>
      </c>
      <c r="G75" s="131">
        <v>0.53</v>
      </c>
      <c r="H75" s="129" t="s">
        <v>275</v>
      </c>
      <c r="I75" s="132">
        <v>0.25</v>
      </c>
      <c r="J75" s="96"/>
      <c r="K75" s="96"/>
      <c r="L75" s="96"/>
      <c r="M75" s="96"/>
      <c r="N75" s="96"/>
    </row>
    <row r="76" spans="1:14" x14ac:dyDescent="0.3">
      <c r="A76" s="127" t="s">
        <v>44</v>
      </c>
      <c r="B76" s="128" t="s">
        <v>89</v>
      </c>
      <c r="C76" s="129">
        <v>0.57999999999999996</v>
      </c>
      <c r="D76" s="129" t="s">
        <v>161</v>
      </c>
      <c r="E76" s="129">
        <v>1.56</v>
      </c>
      <c r="F76" s="130" t="s">
        <v>274</v>
      </c>
      <c r="G76" s="131">
        <v>0.3</v>
      </c>
      <c r="H76" s="129" t="s">
        <v>277</v>
      </c>
      <c r="I76" s="132">
        <v>0.25</v>
      </c>
      <c r="J76" s="96"/>
      <c r="K76" s="96"/>
      <c r="L76" s="96"/>
      <c r="M76" s="96"/>
      <c r="N76" s="96"/>
    </row>
    <row r="77" spans="1:14" x14ac:dyDescent="0.3">
      <c r="A77" s="127" t="s">
        <v>47</v>
      </c>
      <c r="B77" s="128" t="s">
        <v>141</v>
      </c>
      <c r="C77" s="129">
        <v>0.37</v>
      </c>
      <c r="D77" s="129" t="s">
        <v>161</v>
      </c>
      <c r="E77" s="129">
        <v>1.3</v>
      </c>
      <c r="F77" s="130" t="s">
        <v>274</v>
      </c>
      <c r="G77" s="131">
        <v>0.55000000000000004</v>
      </c>
      <c r="H77" s="129" t="s">
        <v>152</v>
      </c>
      <c r="I77" s="132">
        <v>0.43</v>
      </c>
      <c r="J77" s="96"/>
      <c r="K77" s="96"/>
      <c r="L77" s="96"/>
      <c r="M77" s="96"/>
      <c r="N77" s="96"/>
    </row>
    <row r="78" spans="1:14" x14ac:dyDescent="0.3">
      <c r="A78" s="127" t="s">
        <v>45</v>
      </c>
      <c r="B78" s="128" t="s">
        <v>96</v>
      </c>
      <c r="C78" s="129">
        <v>0.37</v>
      </c>
      <c r="D78" s="129" t="s">
        <v>161</v>
      </c>
      <c r="E78" s="129">
        <v>1.3</v>
      </c>
      <c r="F78" s="130" t="s">
        <v>274</v>
      </c>
      <c r="G78" s="131">
        <v>0.55000000000000004</v>
      </c>
      <c r="H78" s="129" t="s">
        <v>152</v>
      </c>
      <c r="I78" s="132">
        <v>0.43</v>
      </c>
      <c r="J78" s="96"/>
      <c r="K78" s="96"/>
      <c r="L78" s="96"/>
      <c r="M78" s="96"/>
      <c r="N78" s="96"/>
    </row>
    <row r="79" spans="1:14" x14ac:dyDescent="0.3">
      <c r="A79" s="127" t="s">
        <v>46</v>
      </c>
      <c r="B79" s="128" t="s">
        <v>95</v>
      </c>
      <c r="C79" s="129">
        <v>0.38</v>
      </c>
      <c r="D79" s="129" t="s">
        <v>161</v>
      </c>
      <c r="E79" s="129">
        <v>1.3</v>
      </c>
      <c r="F79" s="130" t="s">
        <v>274</v>
      </c>
      <c r="G79" s="131">
        <v>0.55000000000000004</v>
      </c>
      <c r="H79" s="129" t="s">
        <v>153</v>
      </c>
      <c r="I79" s="132">
        <v>0.43</v>
      </c>
      <c r="J79" s="96"/>
      <c r="K79" s="96"/>
      <c r="L79" s="96"/>
      <c r="M79" s="96"/>
      <c r="N79" s="96"/>
    </row>
    <row r="80" spans="1:14" x14ac:dyDescent="0.3">
      <c r="A80" s="127" t="s">
        <v>48</v>
      </c>
      <c r="B80" s="128" t="s">
        <v>94</v>
      </c>
      <c r="C80" s="129">
        <v>0.36</v>
      </c>
      <c r="D80" s="129" t="s">
        <v>161</v>
      </c>
      <c r="E80" s="129">
        <v>1.3</v>
      </c>
      <c r="F80" s="130" t="s">
        <v>274</v>
      </c>
      <c r="G80" s="131">
        <v>0.55000000000000004</v>
      </c>
      <c r="H80" s="129" t="s">
        <v>153</v>
      </c>
      <c r="I80" s="132">
        <v>0.43</v>
      </c>
      <c r="J80" s="96"/>
      <c r="K80" s="96"/>
      <c r="L80" s="96"/>
      <c r="M80" s="96"/>
      <c r="N80" s="96"/>
    </row>
    <row r="81" spans="1:14" x14ac:dyDescent="0.3">
      <c r="A81" s="127" t="s">
        <v>49</v>
      </c>
      <c r="B81" s="128" t="s">
        <v>142</v>
      </c>
      <c r="C81" s="129">
        <v>0.37</v>
      </c>
      <c r="D81" s="129" t="s">
        <v>161</v>
      </c>
      <c r="E81" s="129">
        <v>1.56</v>
      </c>
      <c r="F81" s="130" t="s">
        <v>274</v>
      </c>
      <c r="G81" s="131">
        <v>0.43</v>
      </c>
      <c r="H81" s="129" t="s">
        <v>278</v>
      </c>
      <c r="I81" s="132">
        <v>0.25</v>
      </c>
      <c r="J81" s="96"/>
      <c r="K81" s="96"/>
      <c r="L81" s="96"/>
      <c r="M81" s="96"/>
      <c r="N81" s="96"/>
    </row>
    <row r="82" spans="1:14" x14ac:dyDescent="0.3">
      <c r="A82" s="127" t="s">
        <v>158</v>
      </c>
      <c r="B82" s="128" t="s">
        <v>159</v>
      </c>
      <c r="C82" s="129">
        <v>0.35</v>
      </c>
      <c r="D82" s="129" t="s">
        <v>160</v>
      </c>
      <c r="E82" s="129">
        <v>1.3</v>
      </c>
      <c r="F82" s="130" t="s">
        <v>274</v>
      </c>
      <c r="G82" s="131">
        <v>0.55000000000000004</v>
      </c>
      <c r="H82" s="129" t="s">
        <v>153</v>
      </c>
      <c r="I82" s="132">
        <v>0.43</v>
      </c>
      <c r="J82" s="96"/>
      <c r="K82" s="96"/>
      <c r="L82" s="96"/>
      <c r="M82" s="96"/>
      <c r="N82" s="96"/>
    </row>
    <row r="83" spans="1:14" x14ac:dyDescent="0.3">
      <c r="A83" s="127" t="s">
        <v>156</v>
      </c>
      <c r="B83" s="128" t="s">
        <v>157</v>
      </c>
      <c r="C83" s="129">
        <v>0.34</v>
      </c>
      <c r="D83" s="129" t="s">
        <v>161</v>
      </c>
      <c r="E83" s="129">
        <v>1.3</v>
      </c>
      <c r="F83" s="130" t="s">
        <v>274</v>
      </c>
      <c r="G83" s="131">
        <v>0.55000000000000004</v>
      </c>
      <c r="H83" s="129" t="s">
        <v>153</v>
      </c>
      <c r="I83" s="132">
        <v>0.43</v>
      </c>
      <c r="J83" s="96"/>
      <c r="K83" s="96"/>
      <c r="L83" s="96"/>
      <c r="M83" s="96"/>
      <c r="N83" s="96"/>
    </row>
    <row r="84" spans="1:14" x14ac:dyDescent="0.3">
      <c r="A84" s="127" t="s">
        <v>92</v>
      </c>
      <c r="B84" s="128" t="s">
        <v>93</v>
      </c>
      <c r="C84" s="129">
        <v>0.31</v>
      </c>
      <c r="D84" s="129" t="s">
        <v>161</v>
      </c>
      <c r="E84" s="129">
        <v>1.3</v>
      </c>
      <c r="F84" s="130" t="s">
        <v>274</v>
      </c>
      <c r="G84" s="131">
        <v>0.55000000000000004</v>
      </c>
      <c r="H84" s="129" t="s">
        <v>153</v>
      </c>
      <c r="I84" s="132">
        <v>0.43</v>
      </c>
      <c r="J84" s="96"/>
      <c r="K84" s="96"/>
      <c r="L84" s="96"/>
      <c r="M84" s="96"/>
      <c r="N84" s="96"/>
    </row>
    <row r="85" spans="1:14" x14ac:dyDescent="0.3">
      <c r="A85" s="127" t="s">
        <v>50</v>
      </c>
      <c r="B85" s="128" t="s">
        <v>143</v>
      </c>
      <c r="C85" s="129">
        <v>0.43</v>
      </c>
      <c r="D85" s="129" t="s">
        <v>161</v>
      </c>
      <c r="E85" s="129">
        <v>1.56</v>
      </c>
      <c r="F85" s="130" t="s">
        <v>274</v>
      </c>
      <c r="G85" s="131">
        <v>0.53</v>
      </c>
      <c r="H85" s="129" t="s">
        <v>275</v>
      </c>
      <c r="I85" s="132">
        <v>0.25</v>
      </c>
      <c r="J85" s="96"/>
      <c r="K85" s="96"/>
      <c r="L85" s="96"/>
      <c r="M85" s="96"/>
      <c r="N85" s="96"/>
    </row>
    <row r="86" spans="1:14" x14ac:dyDescent="0.3">
      <c r="A86" s="127" t="s">
        <v>51</v>
      </c>
      <c r="B86" s="128" t="s">
        <v>91</v>
      </c>
      <c r="C86" s="129">
        <v>0.38</v>
      </c>
      <c r="D86" s="129" t="s">
        <v>161</v>
      </c>
      <c r="E86" s="129">
        <v>1.56</v>
      </c>
      <c r="F86" s="130" t="s">
        <v>274</v>
      </c>
      <c r="G86" s="131">
        <v>0.6</v>
      </c>
      <c r="H86" s="129" t="s">
        <v>279</v>
      </c>
      <c r="I86" s="132">
        <v>0.25</v>
      </c>
      <c r="J86" s="96"/>
      <c r="K86" s="96"/>
      <c r="L86" s="96"/>
      <c r="M86" s="96"/>
      <c r="N86" s="96"/>
    </row>
    <row r="87" spans="1:14" x14ac:dyDescent="0.3">
      <c r="A87" s="127" t="s">
        <v>148</v>
      </c>
      <c r="B87" s="135"/>
      <c r="C87" s="129">
        <v>0.42</v>
      </c>
      <c r="D87" s="129" t="s">
        <v>161</v>
      </c>
      <c r="E87" s="129">
        <v>1.3</v>
      </c>
      <c r="F87" s="130" t="s">
        <v>274</v>
      </c>
      <c r="G87" s="136"/>
      <c r="H87" s="135"/>
      <c r="I87" s="137"/>
    </row>
    <row r="88" spans="1:14" ht="15" thickBot="1" x14ac:dyDescent="0.35">
      <c r="A88" s="138" t="s">
        <v>149</v>
      </c>
      <c r="B88" s="139"/>
      <c r="C88" s="140">
        <v>0.56999999999999995</v>
      </c>
      <c r="D88" s="141" t="s">
        <v>161</v>
      </c>
      <c r="E88" s="140">
        <v>1.56</v>
      </c>
      <c r="F88" s="140" t="s">
        <v>274</v>
      </c>
      <c r="G88" s="139"/>
      <c r="H88" s="139"/>
      <c r="I88" s="142"/>
    </row>
    <row r="92" spans="1:14" x14ac:dyDescent="0.3">
      <c r="A92" s="127" t="s">
        <v>208</v>
      </c>
    </row>
    <row r="93" spans="1:14" x14ac:dyDescent="0.3">
      <c r="A93" s="127" t="s">
        <v>209</v>
      </c>
    </row>
    <row r="94" spans="1:14" x14ac:dyDescent="0.3">
      <c r="A94" s="127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E3" workbookViewId="0">
      <selection activeCell="H61" sqref="H61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8"/>
      <c r="J1" s="68"/>
      <c r="K1" s="68"/>
      <c r="L1" s="68"/>
      <c r="M1" s="68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2" t="s">
        <v>271</v>
      </c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4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6"/>
      <c r="J3" s="226"/>
      <c r="K3" s="226"/>
      <c r="L3" s="226"/>
      <c r="M3" s="226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6"/>
      <c r="J4" s="226"/>
      <c r="K4" s="226"/>
      <c r="L4" s="226"/>
      <c r="M4" s="226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3" t="s">
        <v>207</v>
      </c>
      <c r="B5" s="144" t="s">
        <v>250</v>
      </c>
      <c r="C5" s="145" t="str">
        <f>Calculateur!S2</f>
        <v>ΔStock moyen de long terme (tCO₂/ha)</v>
      </c>
      <c r="D5" s="145" t="str">
        <f>Calculateur!T2</f>
        <v>Δstock CO₂ 30 ans (tCO₂/ha)</v>
      </c>
      <c r="E5" s="145" t="s">
        <v>228</v>
      </c>
      <c r="F5" s="145" t="s">
        <v>239</v>
      </c>
      <c r="G5" s="145" t="s">
        <v>240</v>
      </c>
      <c r="H5" s="146" t="s">
        <v>241</v>
      </c>
      <c r="I5" s="147" t="s">
        <v>242</v>
      </c>
      <c r="J5" s="148" t="s">
        <v>243</v>
      </c>
      <c r="K5" s="149" t="s">
        <v>244</v>
      </c>
      <c r="L5" s="87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0" t="str">
        <f>IF('Données projet'!$B$9="","",'Données projet'!$B$9)</f>
        <v>Pin maritime</v>
      </c>
      <c r="B6" s="151">
        <f>'Données projet'!D9</f>
        <v>3.6</v>
      </c>
      <c r="C6" s="152">
        <f ca="1">IF(OR('Données projet'!B9="",'Données projet'!C9="",'Données projet'!C9=0%),0,Calculateur!S3)</f>
        <v>181.84907943028196</v>
      </c>
      <c r="D6" s="152">
        <f>IF(OR('Données projet'!B9="",'Données projet'!C9="",'Données projet'!C9=0%),0,Calculateur!T3)</f>
        <v>199.66849909069458</v>
      </c>
      <c r="E6" s="152">
        <f ca="1">MIN(C6,D6)</f>
        <v>181.84907943028196</v>
      </c>
      <c r="F6" s="152">
        <f ca="1">E6*B6</f>
        <v>654.65668594901513</v>
      </c>
      <c r="G6" s="152">
        <f ca="1">F6*(100%-'Données projet'!$C$24)*(100%-'Données projet'!$C$25)*(100%-'Données projet'!$C$26)*(100%-'Données projet'!$C$27)</f>
        <v>589.19101735411368</v>
      </c>
      <c r="H6" s="153">
        <f>IF(OR('Données projet'!B9="",'Données projet'!C9="",'Données projet'!C9=0%),0,AVERAGE(Calculateur!$AC$3:$AC$33)*B6)</f>
        <v>37.389513042528634</v>
      </c>
      <c r="I6" s="154">
        <f>H6*(100%-'Données projet'!$C$24)*(100%-'Données projet'!$C$25)*(100%-'Données projet'!$C$26)*(100%-'Données projet'!$C$27)</f>
        <v>33.650561738275769</v>
      </c>
      <c r="J6" s="155">
        <f>IF(OR('Données projet'!B9="",'Données projet'!C9="",'Données projet'!C9=0%),0,SUM(Calculateur!$V$3:$V$33)*VLOOKUP('Données projet'!$B$9,Paramètres!$A$1:$I$88,9,0)*B6)</f>
        <v>320.72399999999999</v>
      </c>
      <c r="K6" s="156">
        <f>J6*(100%-'Données projet'!$C$24)*(100%-'Données projet'!$C$25)*(100%-'Données projet'!$C$26)*(100%-'Données projet'!$C$27)</f>
        <v>288.65159999999997</v>
      </c>
      <c r="L6" s="157">
        <f ca="1">G6+I6+K6</f>
        <v>911.49317909238948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58" t="str">
        <f>IF('Données projet'!$B$10="","",'Données projet'!$B$10)</f>
        <v>Bouleau verruqueux</v>
      </c>
      <c r="B7" s="159">
        <f>'Données projet'!D10</f>
        <v>0.22500000000000001</v>
      </c>
      <c r="C7" s="152">
        <f ca="1">IF(OR('Données projet'!B10="",'Données projet'!C10="",'Données projet'!C10=0%),0,Calculateur!AN3)</f>
        <v>55.581964048431473</v>
      </c>
      <c r="D7" s="152">
        <f>IF(OR('Données projet'!B10="",'Données projet'!C10="",'Données projet'!C10=0%),0,Calculateur!AO3)</f>
        <v>91.067506141193803</v>
      </c>
      <c r="E7" s="152">
        <f t="shared" ref="E7:E15" ca="1" si="0">MIN(C7,D7)</f>
        <v>55.581964048431473</v>
      </c>
      <c r="F7" s="152">
        <f t="shared" ref="F7:F15" ca="1" si="1">E7*B7</f>
        <v>12.505941910897082</v>
      </c>
      <c r="G7" s="152">
        <f ca="1">F7*(100%-'Données projet'!$C$24)*(100%-'Données projet'!$C$25)*(100%-'Données projet'!$C$26)*(100%-'Données projet'!$C$27)</f>
        <v>11.255347719807375</v>
      </c>
      <c r="H7" s="160">
        <f>IF(OR('Données projet'!B10="",'Données projet'!C10="",'Données projet'!C10=0%),0,AVERAGE(Calculateur!$AX$3:$AX$33)*B7)</f>
        <v>5.5975029083298227E-3</v>
      </c>
      <c r="I7" s="154">
        <f>H7*(100%-'Données projet'!$C$24)*(100%-'Données projet'!$C$25)*(100%-'Données projet'!$C$26)*(100%-'Données projet'!$C$27)</f>
        <v>5.0377526174968405E-3</v>
      </c>
      <c r="J7" s="155">
        <f>IF(OR('Données projet'!B10="",'Données projet'!C10="",'Données projet'!C10=0%),0,SUM(Calculateur!$AQ$3:$AQ$33)*VLOOKUP('Données projet'!$B$10,Paramètres!$A$1:$I$88,9,0)*B7)</f>
        <v>2.0249999999999999</v>
      </c>
      <c r="K7" s="156">
        <f>J7*(100%-'Données projet'!$C$24)*(100%-'Données projet'!$C$25)*(100%-'Données projet'!$C$26)*(100%-'Données projet'!$C$27)</f>
        <v>1.8225</v>
      </c>
      <c r="L7" s="157">
        <f t="shared" ref="L7:L15" ca="1" si="2">G7+I7+K7</f>
        <v>13.082885472424872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58" t="str">
        <f>IF('Données projet'!$B$11="","",'Données projet'!$B$11)</f>
        <v>Chêne pubescent</v>
      </c>
      <c r="B8" s="159">
        <f>'Données projet'!D11</f>
        <v>0.22500000000000001</v>
      </c>
      <c r="C8" s="152">
        <f ca="1">IF(OR('Données projet'!B11="",'Données projet'!C11="",'Données projet'!C11=0%),0,Calculateur!BI3)</f>
        <v>178.29366134936788</v>
      </c>
      <c r="D8" s="152">
        <f>IF(OR('Données projet'!B11="",'Données projet'!C11="",'Données projet'!C11=0%),0,Calculateur!BJ3)</f>
        <v>85.818195717787148</v>
      </c>
      <c r="E8" s="152">
        <f t="shared" ca="1" si="0"/>
        <v>85.818195717787148</v>
      </c>
      <c r="F8" s="152">
        <f t="shared" ca="1" si="1"/>
        <v>19.30909403650211</v>
      </c>
      <c r="G8" s="152">
        <f ca="1">F8*(100%-'Données projet'!$C$24)*(100%-'Données projet'!$C$25)*(100%-'Données projet'!$C$26)*(100%-'Données projet'!$C$27)</f>
        <v>17.378184632851898</v>
      </c>
      <c r="H8" s="160">
        <f>IF(OR('Données projet'!B11="",'Données projet'!C11="",'Données projet'!C11=0%),0,AVERAGE(Calculateur!$BS$3:$BS$33)*B8)</f>
        <v>0</v>
      </c>
      <c r="I8" s="154">
        <f>H8*(100%-'Données projet'!$C$24)*(100%-'Données projet'!$C$25)*(100%-'Données projet'!$C$26)*(100%-'Données projet'!$C$27)</f>
        <v>0</v>
      </c>
      <c r="J8" s="155">
        <f>IF(OR('Données projet'!B11="",'Données projet'!C11="",'Données projet'!C11=0%),0,SUM(Calculateur!$BL$3:$BL$33)*VLOOKUP('Données projet'!$B$11,Paramètres!$A$1:$I$88,9,0)*B8)</f>
        <v>0</v>
      </c>
      <c r="K8" s="156">
        <f>J8*(100%-'Données projet'!$C$24)*(100%-'Données projet'!$C$25)*(100%-'Données projet'!$C$26)*(100%-'Données projet'!$C$27)</f>
        <v>0</v>
      </c>
      <c r="L8" s="157">
        <f t="shared" ca="1" si="2"/>
        <v>17.378184632851898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58" t="str">
        <f>IF('Données projet'!$B$12="","",'Données projet'!$B$12)</f>
        <v>Cèdre de l'Atlas</v>
      </c>
      <c r="B9" s="159">
        <f>'Données projet'!D12</f>
        <v>0.45</v>
      </c>
      <c r="C9" s="152">
        <f ca="1">IF(OR('Données projet'!B12="",'Données projet'!C12="",'Données projet'!C12=0%),0,Calculateur!CD3)</f>
        <v>104.00159056395933</v>
      </c>
      <c r="D9" s="152">
        <f>IF(OR('Données projet'!B12="",'Données projet'!C12="",'Données projet'!C12=0%),0,Calculateur!CE3)</f>
        <v>115.86489547584461</v>
      </c>
      <c r="E9" s="152">
        <f t="shared" ca="1" si="0"/>
        <v>104.00159056395933</v>
      </c>
      <c r="F9" s="152">
        <f t="shared" ca="1" si="1"/>
        <v>46.800715753781695</v>
      </c>
      <c r="G9" s="152">
        <f ca="1">F9*(100%-'Données projet'!$C$24)*(100%-'Données projet'!$C$25)*(100%-'Données projet'!$C$26)*(100%-'Données projet'!$C$27)</f>
        <v>42.120644178403523</v>
      </c>
      <c r="H9" s="160">
        <f>IF(OR('Données projet'!B12="",'Données projet'!C12="",'Données projet'!C12=0%),0,AVERAGE(Calculateur!$CN$3:$CN$33)*B9)</f>
        <v>0.24596865877486934</v>
      </c>
      <c r="I9" s="154">
        <f>H9*(100%-'Données projet'!$C$24)*(100%-'Données projet'!$C$25)*(100%-'Données projet'!$C$26)*(100%-'Données projet'!$C$27)</f>
        <v>0.2213717928973824</v>
      </c>
      <c r="J9" s="155">
        <f>IF(OR('Données projet'!B12="",'Données projet'!C12="",'Données projet'!C12=0%),0,SUM(Calculateur!$CG$3:$CG$33)*VLOOKUP('Données projet'!$B$12,Paramètres!$A$1:$I$88,9,0)*B9)</f>
        <v>7.74</v>
      </c>
      <c r="K9" s="156">
        <f>J9*(100%-'Données projet'!$C$24)*(100%-'Données projet'!$C$25)*(100%-'Données projet'!$C$26)*(100%-'Données projet'!$C$27)</f>
        <v>6.9660000000000002</v>
      </c>
      <c r="L9" s="157">
        <f t="shared" ca="1" si="2"/>
        <v>49.308015971300904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58" t="str">
        <f>IF('Données projet'!$B$13="","",'Données projet'!$B$13)</f>
        <v/>
      </c>
      <c r="B10" s="159">
        <f>'Données projet'!D13</f>
        <v>0</v>
      </c>
      <c r="C10" s="152">
        <f>IF(OR('Données projet'!B13="",'Données projet'!C13="",'Données projet'!C13=0%),0,Calculateur!CY3)</f>
        <v>0</v>
      </c>
      <c r="D10" s="152">
        <f>IF(OR('Données projet'!B13="",'Données projet'!C13="",'Données projet'!C13=0%),0,Calculateur!CZ3)</f>
        <v>0</v>
      </c>
      <c r="E10" s="152">
        <f t="shared" si="0"/>
        <v>0</v>
      </c>
      <c r="F10" s="152">
        <f t="shared" si="1"/>
        <v>0</v>
      </c>
      <c r="G10" s="152">
        <f>F10*(100%-'Données projet'!$C$24)*(100%-'Données projet'!$C$25)*(100%-'Données projet'!$C$26)*(100%-'Données projet'!$C$27)</f>
        <v>0</v>
      </c>
      <c r="H10" s="160">
        <f>IF(OR('Données projet'!B13="",'Données projet'!C13="",'Données projet'!C13=0%),0,AVERAGE(Calculateur!$DI$3:$DI$33)*B10)</f>
        <v>0</v>
      </c>
      <c r="I10" s="154">
        <f>H10*(100%-'Données projet'!$C$24)*(100%-'Données projet'!$C$25)*(100%-'Données projet'!$C$26)*(100%-'Données projet'!$C$27)</f>
        <v>0</v>
      </c>
      <c r="J10" s="155">
        <f>IF(OR('Données projet'!B13="",'Données projet'!C13="",'Données projet'!C13=0%),0,SUM(Calculateur!$DB$3:$DB$33)*VLOOKUP('Données projet'!$B$13,Paramètres!$A$1:$I$88,9,0)*B10)</f>
        <v>0</v>
      </c>
      <c r="K10" s="156">
        <f>J10*(100%-'Données projet'!$C$24)*(100%-'Données projet'!$C$25)*(100%-'Données projet'!$C$26)*(100%-'Données projet'!$C$27)</f>
        <v>0</v>
      </c>
      <c r="L10" s="157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58" t="str">
        <f>IF('Données projet'!$B$14="","",'Données projet'!$B$14)</f>
        <v/>
      </c>
      <c r="B11" s="159">
        <f>'Données projet'!D14</f>
        <v>0</v>
      </c>
      <c r="C11" s="152">
        <f>IF(OR('Données projet'!B14="",'Données projet'!C14="",'Données projet'!C14=0%),0,Calculateur!DT3)</f>
        <v>0</v>
      </c>
      <c r="D11" s="152">
        <f>IF(OR('Données projet'!B14="",'Données projet'!C14="",'Données projet'!C14=0%),0,Calculateur!DU3)</f>
        <v>0</v>
      </c>
      <c r="E11" s="152">
        <f t="shared" si="0"/>
        <v>0</v>
      </c>
      <c r="F11" s="152">
        <f t="shared" si="1"/>
        <v>0</v>
      </c>
      <c r="G11" s="152">
        <f>F11*(100%-'Données projet'!$C$24)*(100%-'Données projet'!$C$25)*(100%-'Données projet'!$C$26)*(100%-'Données projet'!$C$27)</f>
        <v>0</v>
      </c>
      <c r="H11" s="160">
        <f>IF(OR('Données projet'!B14="",'Données projet'!C14="",'Données projet'!C14=0%),0,AVERAGE(Calculateur!$ED$3:$ED$33)*B11)</f>
        <v>0</v>
      </c>
      <c r="I11" s="154">
        <f>H11*(100%-'Données projet'!$C$24)*(100%-'Données projet'!$C$25)*(100%-'Données projet'!$C$26)*(100%-'Données projet'!$C$27)</f>
        <v>0</v>
      </c>
      <c r="J11" s="155">
        <f>IF(OR('Données projet'!B14="",'Données projet'!C14="",'Données projet'!C14=0%),0,SUM(Calculateur!$DW$3:$DW$33)*VLOOKUP('Données projet'!$B$14,Paramètres!$A$1:$I$88,9,0)*B11)</f>
        <v>0</v>
      </c>
      <c r="K11" s="156">
        <f>J11*(100%-'Données projet'!$C$24)*(100%-'Données projet'!$C$25)*(100%-'Données projet'!$C$26)*(100%-'Données projet'!$C$27)</f>
        <v>0</v>
      </c>
      <c r="L11" s="157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58" t="str">
        <f>IF('Données projet'!$B$15="","",'Données projet'!$B$15)</f>
        <v/>
      </c>
      <c r="B12" s="159">
        <f>'Données projet'!D15</f>
        <v>0</v>
      </c>
      <c r="C12" s="152">
        <f>IF(OR('Données projet'!B15="",'Données projet'!C15="",'Données projet'!C15=0%),0,Calculateur!EO3)</f>
        <v>0</v>
      </c>
      <c r="D12" s="152">
        <f>IF(OR('Données projet'!B15="",'Données projet'!C15="",'Données projet'!C15=0%),0,Calculateur!EP3)</f>
        <v>0</v>
      </c>
      <c r="E12" s="152">
        <f t="shared" si="0"/>
        <v>0</v>
      </c>
      <c r="F12" s="152">
        <f t="shared" si="1"/>
        <v>0</v>
      </c>
      <c r="G12" s="152">
        <f>F12*(100%-'Données projet'!$C$24)*(100%-'Données projet'!$C$25)*(100%-'Données projet'!$C$26)*(100%-'Données projet'!$C$27)</f>
        <v>0</v>
      </c>
      <c r="H12" s="160">
        <f>IF(OR('Données projet'!B15="",'Données projet'!C15="",'Données projet'!C15=0%),0,AVERAGE(Calculateur!$EY$3:$EY$33)*B12)</f>
        <v>0</v>
      </c>
      <c r="I12" s="154">
        <f>H12*(100%-'Données projet'!$C$24)*(100%-'Données projet'!$C$25)*(100%-'Données projet'!$C$26)*(100%-'Données projet'!$C$27)</f>
        <v>0</v>
      </c>
      <c r="J12" s="155">
        <f>IF(OR('Données projet'!B15="",'Données projet'!C15="",'Données projet'!C15=0%),0,SUM(Calculateur!$ER$3:$ER$33)*VLOOKUP('Données projet'!$B$15,Paramètres!$A$1:$I$88,9,0)*B12)</f>
        <v>0</v>
      </c>
      <c r="K12" s="156">
        <f>J12*(100%-'Données projet'!$C$24)*(100%-'Données projet'!$C$25)*(100%-'Données projet'!$C$26)*(100%-'Données projet'!$C$27)</f>
        <v>0</v>
      </c>
      <c r="L12" s="157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58" t="str">
        <f>IF('Données projet'!$B$16="","",'Données projet'!$B$16)</f>
        <v/>
      </c>
      <c r="B13" s="159">
        <f>'Données projet'!D16</f>
        <v>0</v>
      </c>
      <c r="C13" s="152">
        <f>IF(OR('Données projet'!B16="",'Données projet'!C16="",'Données projet'!C16=0%),0,Calculateur!FJ3)</f>
        <v>0</v>
      </c>
      <c r="D13" s="152">
        <f>IF(OR('Données projet'!B16="",'Données projet'!C16="",'Données projet'!C16=0%),0,Calculateur!FK3)</f>
        <v>0</v>
      </c>
      <c r="E13" s="152">
        <f t="shared" si="0"/>
        <v>0</v>
      </c>
      <c r="F13" s="152">
        <f t="shared" si="1"/>
        <v>0</v>
      </c>
      <c r="G13" s="152">
        <f>F13*(100%-'Données projet'!$C$24)*(100%-'Données projet'!$C$25)*(100%-'Données projet'!$C$26)*(100%-'Données projet'!$C$27)</f>
        <v>0</v>
      </c>
      <c r="H13" s="160">
        <f>IF(OR('Données projet'!B16="",'Données projet'!C16="",'Données projet'!C16=0%),0,AVERAGE(Calculateur!$FT$3:$FT$33)*B13)</f>
        <v>0</v>
      </c>
      <c r="I13" s="154">
        <f>H13*(100%-'Données projet'!$C$24)*(100%-'Données projet'!$C$25)*(100%-'Données projet'!$C$26)*(100%-'Données projet'!$C$27)</f>
        <v>0</v>
      </c>
      <c r="J13" s="155">
        <f>IF(OR('Données projet'!C16="",'Données projet'!C16=0%),0,SUM(Calculateur!$FM$3:$FM$33)*VLOOKUP('Données projet'!$B$16,Paramètres!$A$1:$I$88,9,0)*B13)</f>
        <v>0</v>
      </c>
      <c r="K13" s="156">
        <f>J13*(100%-'Données projet'!$C$24)*(100%-'Données projet'!$C$25)*(100%-'Données projet'!$C$26)*(100%-'Données projet'!$C$27)</f>
        <v>0</v>
      </c>
      <c r="L13" s="157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58" t="str">
        <f>IF('Données projet'!$B$17="","",'Données projet'!$B$17)</f>
        <v/>
      </c>
      <c r="B14" s="159">
        <f>'Données projet'!D17</f>
        <v>0</v>
      </c>
      <c r="C14" s="152">
        <f>IF(OR('Données projet'!B17="",'Données projet'!C17="",'Données projet'!C17=0%),0,Calculateur!GE3)</f>
        <v>0</v>
      </c>
      <c r="D14" s="152">
        <f>IF(OR('Données projet'!B17="",'Données projet'!C17="",'Données projet'!C17=0%),0,Calculateur!GF3)</f>
        <v>0</v>
      </c>
      <c r="E14" s="152">
        <f t="shared" si="0"/>
        <v>0</v>
      </c>
      <c r="F14" s="152">
        <f t="shared" si="1"/>
        <v>0</v>
      </c>
      <c r="G14" s="152">
        <f>F14*(100%-'Données projet'!$C$24)*(100%-'Données projet'!$C$25)*(100%-'Données projet'!$C$26)*(100%-'Données projet'!$C$27)</f>
        <v>0</v>
      </c>
      <c r="H14" s="160">
        <f>IF(OR('Données projet'!B17="",'Données projet'!C17="",'Données projet'!C17=0%),0,AVERAGE(Calculateur!$GO$3:$GO$33)*B14)</f>
        <v>0</v>
      </c>
      <c r="I14" s="154">
        <f>H14*(100%-'Données projet'!$C$24)*(100%-'Données projet'!$C$25)*(100%-'Données projet'!$C$26)*(100%-'Données projet'!$C$27)</f>
        <v>0</v>
      </c>
      <c r="J14" s="155">
        <f>IF(OR('Données projet'!B17="",'Données projet'!C17="",'Données projet'!C17=0%),0,SUM(Calculateur!$GH$3:$GH$33)*VLOOKUP('Données projet'!$B$17,Paramètres!$A$1:$I$88,9,0)*B14)</f>
        <v>0</v>
      </c>
      <c r="K14" s="156">
        <f>J14*(100%-'Données projet'!$C$24)*(100%-'Données projet'!$C$25)*(100%-'Données projet'!$C$26)*(100%-'Données projet'!$C$27)</f>
        <v>0</v>
      </c>
      <c r="L14" s="157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1" t="str">
        <f>IF('Données projet'!B18="","",'Données projet'!B18)</f>
        <v/>
      </c>
      <c r="B15" s="162">
        <f>'Données projet'!D18</f>
        <v>0</v>
      </c>
      <c r="C15" s="163">
        <f>IF(OR('Données projet'!B18="",'Données projet'!C18="",'Données projet'!C18=0%),0,Calculateur!GZ3)</f>
        <v>0</v>
      </c>
      <c r="D15" s="163">
        <f>IF(OR('Données projet'!B18="",'Données projet'!C18="",'Données projet'!C18=0%),0,Calculateur!HA3)</f>
        <v>0</v>
      </c>
      <c r="E15" s="163">
        <f t="shared" si="0"/>
        <v>0</v>
      </c>
      <c r="F15" s="164">
        <f t="shared" si="1"/>
        <v>0</v>
      </c>
      <c r="G15" s="164">
        <f>F15*(100%-'Données projet'!$C$24)*(100%-'Données projet'!$C$25)*(100%-'Données projet'!$C$26)*(100%-'Données projet'!$C$27)</f>
        <v>0</v>
      </c>
      <c r="H15" s="165">
        <f>IF(OR('Données projet'!B18="",'Données projet'!C18="",'Données projet'!C18=0%),0,AVERAGE(Calculateur!$HJ$3:$HJ$33)*B15)</f>
        <v>0</v>
      </c>
      <c r="I15" s="166">
        <f>H15*(100%-'Données projet'!$C$24)*(100%-'Données projet'!$C$25)*(100%-'Données projet'!$C$26)*(100%-'Données projet'!$C$27)</f>
        <v>0</v>
      </c>
      <c r="J15" s="167">
        <f>IF(OR('Données projet'!B18="",'Données projet'!C18="",'Données projet'!C18=0%),0,SUM(Calculateur!$HC$3:$HC$33)*VLOOKUP('Données projet'!$B$18,Paramètres!$A$1:$I$88,9,0)*B15)</f>
        <v>0</v>
      </c>
      <c r="K15" s="168">
        <f>J15*(100%-'Données projet'!$C$24)*(100%-'Données projet'!$C$25)*(100%-'Données projet'!$C$26)*(100%-'Données projet'!$C$27)</f>
        <v>0</v>
      </c>
      <c r="L15" s="169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1"/>
      <c r="B16" s="228"/>
      <c r="C16" s="229"/>
      <c r="D16" s="25"/>
      <c r="E16" s="25"/>
      <c r="F16" s="170">
        <f t="shared" ref="F16:L16" ca="1" si="3">SUM(F6:F15)</f>
        <v>733.27243765019591</v>
      </c>
      <c r="G16" s="171">
        <f t="shared" ca="1" si="3"/>
        <v>659.94519388517642</v>
      </c>
      <c r="H16" s="172">
        <f t="shared" si="3"/>
        <v>37.641079204211835</v>
      </c>
      <c r="I16" s="172">
        <f t="shared" si="3"/>
        <v>33.876971283790645</v>
      </c>
      <c r="J16" s="173">
        <f t="shared" si="3"/>
        <v>330.48899999999998</v>
      </c>
      <c r="K16" s="173">
        <f t="shared" si="3"/>
        <v>297.44009999999997</v>
      </c>
      <c r="L16" s="174">
        <f t="shared" ca="1" si="3"/>
        <v>991.26226516896713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1"/>
      <c r="B17" s="228"/>
      <c r="C17" s="229"/>
      <c r="D17" s="226"/>
      <c r="E17" s="226"/>
      <c r="F17" s="324" t="s">
        <v>246</v>
      </c>
      <c r="G17" s="325"/>
      <c r="H17" s="325"/>
      <c r="I17" s="325"/>
      <c r="J17" s="325"/>
      <c r="K17" s="325"/>
      <c r="L17" s="325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1"/>
      <c r="B18" s="228"/>
      <c r="C18" s="229"/>
      <c r="D18" s="226"/>
      <c r="E18" s="226"/>
      <c r="F18" s="326"/>
      <c r="G18" s="326"/>
      <c r="H18" s="326"/>
      <c r="I18" s="326"/>
      <c r="J18" s="326"/>
      <c r="K18" s="326"/>
      <c r="L18" s="326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6"/>
      <c r="J19" s="226"/>
      <c r="K19" s="226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6"/>
      <c r="J20" s="226"/>
      <c r="K20" s="226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5" t="str">
        <f>A6</f>
        <v>Pin maritime</v>
      </c>
      <c r="B21" s="5"/>
      <c r="C21" s="5"/>
      <c r="D21" s="5"/>
      <c r="E21" s="5"/>
      <c r="F21" s="5"/>
      <c r="G21" s="5"/>
      <c r="H21" s="5"/>
      <c r="I21" s="226"/>
      <c r="J21" s="226"/>
      <c r="K21" s="226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6"/>
      <c r="J22" s="226"/>
      <c r="K22" s="226"/>
      <c r="L22" s="226"/>
      <c r="M22" s="226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6"/>
      <c r="J23" s="226"/>
      <c r="K23" s="226"/>
      <c r="L23" s="226"/>
      <c r="M23" s="226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6"/>
      <c r="J24" s="226"/>
      <c r="K24" s="226"/>
      <c r="L24" s="226"/>
      <c r="M24" s="226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6"/>
      <c r="J25" s="226"/>
      <c r="K25" s="226"/>
      <c r="L25" s="226"/>
      <c r="M25" s="226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6"/>
      <c r="J26" s="226"/>
      <c r="K26" s="226"/>
      <c r="L26" s="226"/>
      <c r="M26" s="226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6"/>
      <c r="J27" s="226"/>
      <c r="K27" s="226"/>
      <c r="L27" s="226"/>
      <c r="M27" s="226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6"/>
      <c r="J28" s="226"/>
      <c r="K28" s="226"/>
      <c r="L28" s="226"/>
      <c r="M28" s="226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6"/>
      <c r="J29" s="226"/>
      <c r="K29" s="226"/>
      <c r="L29" s="226"/>
      <c r="M29" s="226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6"/>
      <c r="J30" s="226"/>
      <c r="K30" s="226"/>
      <c r="L30" s="226"/>
      <c r="M30" s="226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6"/>
      <c r="J31" s="226"/>
      <c r="K31" s="226"/>
      <c r="L31" s="226"/>
      <c r="M31" s="226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6"/>
      <c r="J32" s="226"/>
      <c r="K32" s="226"/>
      <c r="L32" s="226"/>
      <c r="M32" s="226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6"/>
      <c r="J33" s="226"/>
      <c r="K33" s="226"/>
      <c r="L33" s="226"/>
      <c r="M33" s="226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6"/>
      <c r="J34" s="226"/>
      <c r="K34" s="226"/>
      <c r="L34" s="226"/>
      <c r="M34" s="226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6"/>
      <c r="J35" s="226"/>
      <c r="K35" s="226"/>
      <c r="L35" s="226"/>
      <c r="M35" s="226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6"/>
      <c r="J36" s="226"/>
      <c r="K36" s="226"/>
      <c r="L36" s="226"/>
      <c r="M36" s="226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6"/>
      <c r="J37" s="226"/>
      <c r="K37" s="226"/>
      <c r="L37" s="226"/>
      <c r="M37" s="226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6"/>
      <c r="J38" s="226"/>
      <c r="K38" s="226"/>
      <c r="L38" s="226"/>
      <c r="M38" s="226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5" t="str">
        <f>A7</f>
        <v>Bouleau verruqueux</v>
      </c>
      <c r="B39" s="5"/>
      <c r="C39" s="5"/>
      <c r="D39" s="5"/>
      <c r="E39" s="5"/>
      <c r="F39" s="5"/>
      <c r="G39" s="5"/>
      <c r="H39" s="5"/>
      <c r="I39" s="226"/>
      <c r="J39" s="226"/>
      <c r="K39" s="226"/>
      <c r="L39" s="226"/>
      <c r="M39" s="226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6"/>
      <c r="J40" s="226"/>
      <c r="K40" s="226"/>
      <c r="L40" s="226"/>
      <c r="M40" s="226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6"/>
      <c r="J41" s="226"/>
      <c r="K41" s="226"/>
      <c r="L41" s="226"/>
      <c r="M41" s="226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6"/>
      <c r="J42" s="226"/>
      <c r="K42" s="226"/>
      <c r="L42" s="226"/>
      <c r="M42" s="226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6"/>
      <c r="J43" s="226"/>
      <c r="K43" s="226"/>
      <c r="L43" s="226"/>
      <c r="M43" s="226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6"/>
      <c r="J44" s="226"/>
      <c r="K44" s="226"/>
      <c r="L44" s="226"/>
      <c r="M44" s="226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6"/>
      <c r="J45" s="226"/>
      <c r="K45" s="226"/>
      <c r="L45" s="226"/>
      <c r="M45" s="226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6"/>
      <c r="J46" s="226"/>
      <c r="K46" s="226"/>
      <c r="L46" s="226"/>
      <c r="M46" s="226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6"/>
      <c r="J47" s="226"/>
      <c r="K47" s="226"/>
      <c r="L47" s="226"/>
      <c r="M47" s="226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6"/>
      <c r="J48" s="226"/>
      <c r="K48" s="226"/>
      <c r="L48" s="226"/>
      <c r="M48" s="226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6"/>
      <c r="J49" s="226"/>
      <c r="K49" s="226"/>
      <c r="L49" s="226"/>
      <c r="M49" s="226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6"/>
      <c r="J50" s="226"/>
      <c r="K50" s="226"/>
      <c r="L50" s="226"/>
      <c r="M50" s="226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6"/>
      <c r="J51" s="226"/>
      <c r="K51" s="226"/>
      <c r="L51" s="226"/>
      <c r="M51" s="226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6"/>
      <c r="J52" s="226"/>
      <c r="K52" s="226"/>
      <c r="L52" s="226"/>
      <c r="M52" s="226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6"/>
      <c r="J53" s="226"/>
      <c r="K53" s="226"/>
      <c r="L53" s="226"/>
      <c r="M53" s="226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6"/>
      <c r="J54" s="226"/>
      <c r="K54" s="226"/>
      <c r="L54" s="226"/>
      <c r="M54" s="226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6"/>
      <c r="J55" s="226"/>
      <c r="K55" s="226"/>
      <c r="L55" s="226"/>
      <c r="M55" s="226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6"/>
      <c r="J56" s="226"/>
      <c r="K56" s="226"/>
      <c r="L56" s="226"/>
      <c r="M56" s="226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5" t="str">
        <f>A8</f>
        <v>Chêne pubescent</v>
      </c>
      <c r="B57" s="5"/>
      <c r="C57" s="5"/>
      <c r="D57" s="5"/>
      <c r="E57" s="5"/>
      <c r="F57" s="5"/>
      <c r="G57" s="5"/>
      <c r="H57" s="5"/>
      <c r="I57" s="226"/>
      <c r="J57" s="226"/>
      <c r="K57" s="226"/>
      <c r="L57" s="226"/>
      <c r="M57" s="226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6"/>
      <c r="J58" s="226"/>
      <c r="K58" s="226"/>
      <c r="L58" s="226"/>
      <c r="M58" s="226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6"/>
      <c r="J59" s="226"/>
      <c r="K59" s="226"/>
      <c r="L59" s="226"/>
      <c r="M59" s="226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6"/>
      <c r="J60" s="226"/>
      <c r="K60" s="226"/>
      <c r="L60" s="226"/>
      <c r="M60" s="226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6"/>
      <c r="J61" s="226"/>
      <c r="K61" s="226"/>
      <c r="L61" s="226"/>
      <c r="M61" s="226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6"/>
      <c r="J62" s="226"/>
      <c r="K62" s="226"/>
      <c r="L62" s="226"/>
      <c r="M62" s="226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6"/>
      <c r="J63" s="226"/>
      <c r="K63" s="226"/>
      <c r="L63" s="226"/>
      <c r="M63" s="226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6"/>
      <c r="J64" s="226"/>
      <c r="K64" s="226"/>
      <c r="L64" s="226"/>
      <c r="M64" s="226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6"/>
      <c r="J65" s="226"/>
      <c r="K65" s="226"/>
      <c r="L65" s="226"/>
      <c r="M65" s="226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6"/>
      <c r="J66" s="226"/>
      <c r="K66" s="226"/>
      <c r="L66" s="226"/>
      <c r="M66" s="226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6"/>
      <c r="J67" s="226"/>
      <c r="K67" s="226"/>
      <c r="L67" s="226"/>
      <c r="M67" s="226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6"/>
      <c r="J68" s="226"/>
      <c r="K68" s="226"/>
      <c r="L68" s="226"/>
      <c r="M68" s="226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6"/>
      <c r="J69" s="226"/>
      <c r="K69" s="226"/>
      <c r="L69" s="226"/>
      <c r="M69" s="226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6"/>
      <c r="J70" s="226"/>
      <c r="K70" s="226"/>
      <c r="L70" s="226"/>
      <c r="M70" s="226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6"/>
      <c r="J71" s="226"/>
      <c r="K71" s="226"/>
      <c r="L71" s="226"/>
      <c r="M71" s="226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6"/>
      <c r="J72" s="226"/>
      <c r="K72" s="226"/>
      <c r="L72" s="226"/>
      <c r="M72" s="226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6"/>
      <c r="J73" s="226"/>
      <c r="K73" s="226"/>
      <c r="L73" s="226"/>
      <c r="M73" s="226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6"/>
      <c r="J74" s="226"/>
      <c r="K74" s="226"/>
      <c r="L74" s="226"/>
      <c r="M74" s="226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6"/>
      <c r="J75" s="226"/>
      <c r="K75" s="226"/>
      <c r="L75" s="226"/>
      <c r="M75" s="226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5" t="str">
        <f>A9</f>
        <v>Cèdre de l'Atlas</v>
      </c>
      <c r="B76" s="5"/>
      <c r="C76" s="5"/>
      <c r="D76" s="5"/>
      <c r="E76" s="5"/>
      <c r="F76" s="5"/>
      <c r="G76" s="5"/>
      <c r="H76" s="5"/>
      <c r="I76" s="226"/>
      <c r="J76" s="226"/>
      <c r="K76" s="226"/>
      <c r="L76" s="226"/>
      <c r="M76" s="226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6"/>
      <c r="J77" s="226"/>
      <c r="K77" s="226"/>
      <c r="L77" s="226"/>
      <c r="M77" s="226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6"/>
      <c r="J78" s="226"/>
      <c r="K78" s="226"/>
      <c r="L78" s="226"/>
      <c r="M78" s="226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6"/>
      <c r="J79" s="226"/>
      <c r="K79" s="226"/>
      <c r="L79" s="226"/>
      <c r="M79" s="226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6"/>
      <c r="J80" s="226"/>
      <c r="K80" s="226"/>
      <c r="L80" s="226"/>
      <c r="M80" s="226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6"/>
      <c r="J81" s="226"/>
      <c r="K81" s="226"/>
      <c r="L81" s="226"/>
      <c r="M81" s="226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6"/>
      <c r="J82" s="226"/>
      <c r="K82" s="226"/>
      <c r="L82" s="226"/>
      <c r="M82" s="226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6"/>
      <c r="J83" s="226"/>
      <c r="K83" s="226"/>
      <c r="L83" s="226"/>
      <c r="M83" s="226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6"/>
      <c r="J84" s="226"/>
      <c r="K84" s="226"/>
      <c r="L84" s="226"/>
      <c r="M84" s="226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6"/>
      <c r="J85" s="226"/>
      <c r="K85" s="226"/>
      <c r="L85" s="226"/>
      <c r="M85" s="226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6"/>
      <c r="J86" s="226"/>
      <c r="K86" s="226"/>
      <c r="L86" s="226"/>
      <c r="M86" s="226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6"/>
      <c r="J87" s="226"/>
      <c r="K87" s="226"/>
      <c r="L87" s="226"/>
      <c r="M87" s="226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6"/>
      <c r="J88" s="226"/>
      <c r="K88" s="226"/>
      <c r="L88" s="226"/>
      <c r="M88" s="226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6"/>
      <c r="J89" s="226"/>
      <c r="K89" s="226"/>
      <c r="L89" s="226"/>
      <c r="M89" s="226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6"/>
      <c r="J90" s="226"/>
      <c r="K90" s="226"/>
      <c r="L90" s="226"/>
      <c r="M90" s="226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6"/>
      <c r="J91" s="226"/>
      <c r="K91" s="226"/>
      <c r="L91" s="226"/>
      <c r="M91" s="226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6"/>
      <c r="J92" s="226"/>
      <c r="K92" s="226"/>
      <c r="L92" s="226"/>
      <c r="M92" s="226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6"/>
      <c r="J93" s="226"/>
      <c r="K93" s="226"/>
      <c r="L93" s="226"/>
      <c r="M93" s="226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5" t="str">
        <f>A10</f>
        <v/>
      </c>
      <c r="B94" s="5"/>
      <c r="C94" s="5"/>
      <c r="D94" s="5"/>
      <c r="E94" s="5"/>
      <c r="F94" s="5"/>
      <c r="G94" s="5"/>
      <c r="H94" s="5"/>
      <c r="I94" s="226"/>
      <c r="J94" s="226"/>
      <c r="K94" s="226"/>
      <c r="L94" s="226"/>
      <c r="M94" s="226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6"/>
      <c r="J95" s="226"/>
      <c r="K95" s="226"/>
      <c r="L95" s="226"/>
      <c r="M95" s="226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6"/>
      <c r="J96" s="226"/>
      <c r="K96" s="226"/>
      <c r="L96" s="226"/>
      <c r="M96" s="226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6"/>
      <c r="J97" s="226"/>
      <c r="K97" s="226"/>
      <c r="L97" s="226"/>
      <c r="M97" s="226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6"/>
      <c r="J98" s="226"/>
      <c r="K98" s="226"/>
      <c r="L98" s="226"/>
      <c r="M98" s="226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6"/>
      <c r="J99" s="226"/>
      <c r="K99" s="226"/>
      <c r="L99" s="226"/>
      <c r="M99" s="226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6"/>
      <c r="J100" s="226"/>
      <c r="K100" s="226"/>
      <c r="L100" s="226"/>
      <c r="M100" s="226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6"/>
      <c r="J101" s="226"/>
      <c r="K101" s="226"/>
      <c r="L101" s="226"/>
      <c r="M101" s="226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6"/>
      <c r="J102" s="226"/>
      <c r="K102" s="226"/>
      <c r="L102" s="226"/>
      <c r="M102" s="226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6"/>
      <c r="J103" s="226"/>
      <c r="K103" s="226"/>
      <c r="L103" s="226"/>
      <c r="M103" s="226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6"/>
      <c r="J104" s="226"/>
      <c r="K104" s="226"/>
      <c r="L104" s="226"/>
      <c r="M104" s="226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6"/>
      <c r="J105" s="226"/>
      <c r="K105" s="226"/>
      <c r="L105" s="226"/>
      <c r="M105" s="226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6"/>
      <c r="J106" s="226"/>
      <c r="K106" s="226"/>
      <c r="L106" s="226"/>
      <c r="M106" s="226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6"/>
      <c r="J107" s="226"/>
      <c r="K107" s="226"/>
      <c r="L107" s="226"/>
      <c r="M107" s="226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6"/>
      <c r="J108" s="226"/>
      <c r="K108" s="226"/>
      <c r="L108" s="226"/>
      <c r="M108" s="226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6"/>
      <c r="J109" s="226"/>
      <c r="K109" s="226"/>
      <c r="L109" s="226"/>
      <c r="M109" s="226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6"/>
      <c r="J110" s="226"/>
      <c r="K110" s="226"/>
      <c r="L110" s="226"/>
      <c r="M110" s="226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6"/>
      <c r="J111" s="226"/>
      <c r="K111" s="226"/>
      <c r="L111" s="226"/>
      <c r="M111" s="226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5" t="str">
        <f>A11</f>
        <v/>
      </c>
      <c r="B112" s="5"/>
      <c r="C112" s="5"/>
      <c r="D112" s="5"/>
      <c r="E112" s="5"/>
      <c r="F112" s="5"/>
      <c r="G112" s="5"/>
      <c r="H112" s="5"/>
      <c r="I112" s="226"/>
      <c r="J112" s="226"/>
      <c r="K112" s="226"/>
      <c r="L112" s="226"/>
      <c r="M112" s="226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6"/>
      <c r="J113" s="226"/>
      <c r="K113" s="226"/>
      <c r="L113" s="226"/>
      <c r="M113" s="226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6"/>
      <c r="J114" s="226"/>
      <c r="K114" s="226"/>
      <c r="L114" s="226"/>
      <c r="M114" s="226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6"/>
      <c r="J115" s="226"/>
      <c r="K115" s="226"/>
      <c r="L115" s="226"/>
      <c r="M115" s="226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6"/>
      <c r="J116" s="226"/>
      <c r="K116" s="226"/>
      <c r="L116" s="226"/>
      <c r="M116" s="226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6"/>
      <c r="J117" s="226"/>
      <c r="K117" s="226"/>
      <c r="L117" s="226"/>
      <c r="M117" s="226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6"/>
      <c r="J118" s="226"/>
      <c r="K118" s="226"/>
      <c r="L118" s="226"/>
      <c r="M118" s="226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6"/>
      <c r="J119" s="226"/>
      <c r="K119" s="226"/>
      <c r="L119" s="226"/>
      <c r="M119" s="226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6"/>
      <c r="J120" s="226"/>
      <c r="K120" s="226"/>
      <c r="L120" s="226"/>
      <c r="M120" s="226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6"/>
      <c r="J121" s="226"/>
      <c r="K121" s="226"/>
      <c r="L121" s="226"/>
      <c r="M121" s="226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6"/>
      <c r="J122" s="226"/>
      <c r="K122" s="226"/>
      <c r="L122" s="226"/>
      <c r="M122" s="226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6"/>
      <c r="J123" s="226"/>
      <c r="K123" s="226"/>
      <c r="L123" s="226"/>
      <c r="M123" s="226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6"/>
      <c r="J124" s="226"/>
      <c r="K124" s="226"/>
      <c r="L124" s="226"/>
      <c r="M124" s="226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6"/>
      <c r="J125" s="226"/>
      <c r="K125" s="226"/>
      <c r="L125" s="226"/>
      <c r="M125" s="226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6"/>
      <c r="J126" s="226"/>
      <c r="K126" s="226"/>
      <c r="L126" s="226"/>
      <c r="M126" s="226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6"/>
      <c r="J127" s="226"/>
      <c r="K127" s="226"/>
      <c r="L127" s="226"/>
      <c r="M127" s="226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6"/>
      <c r="J128" s="226"/>
      <c r="K128" s="226"/>
      <c r="L128" s="226"/>
      <c r="M128" s="226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6"/>
      <c r="J129" s="226"/>
      <c r="K129" s="226"/>
      <c r="L129" s="226"/>
      <c r="M129" s="226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5" t="str">
        <f>A12</f>
        <v/>
      </c>
      <c r="B130" s="5"/>
      <c r="C130" s="5"/>
      <c r="D130" s="5"/>
      <c r="E130" s="5"/>
      <c r="F130" s="5"/>
      <c r="G130" s="5"/>
      <c r="H130" s="5"/>
      <c r="I130" s="226"/>
      <c r="J130" s="226"/>
      <c r="K130" s="226"/>
      <c r="L130" s="226"/>
      <c r="M130" s="226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6"/>
      <c r="J131" s="226"/>
      <c r="K131" s="226"/>
      <c r="L131" s="226"/>
      <c r="M131" s="226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6"/>
      <c r="J132" s="226"/>
      <c r="K132" s="226"/>
      <c r="L132" s="226"/>
      <c r="M132" s="226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6"/>
      <c r="J133" s="226"/>
      <c r="K133" s="226"/>
      <c r="L133" s="226"/>
      <c r="M133" s="226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6"/>
      <c r="J134" s="226"/>
      <c r="K134" s="226"/>
      <c r="L134" s="226"/>
      <c r="M134" s="226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6"/>
      <c r="J135" s="226"/>
      <c r="K135" s="226"/>
      <c r="L135" s="226"/>
      <c r="M135" s="226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6"/>
      <c r="J136" s="226"/>
      <c r="K136" s="226"/>
      <c r="L136" s="226"/>
      <c r="M136" s="226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6"/>
      <c r="J137" s="226"/>
      <c r="K137" s="226"/>
      <c r="L137" s="226"/>
      <c r="M137" s="226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6"/>
      <c r="J138" s="226"/>
      <c r="K138" s="226"/>
      <c r="L138" s="226"/>
      <c r="M138" s="226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6"/>
      <c r="J139" s="226"/>
      <c r="K139" s="226"/>
      <c r="L139" s="226"/>
      <c r="M139" s="226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6"/>
      <c r="J140" s="226"/>
      <c r="K140" s="226"/>
      <c r="L140" s="226"/>
      <c r="M140" s="226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6"/>
      <c r="J141" s="226"/>
      <c r="K141" s="226"/>
      <c r="L141" s="226"/>
      <c r="M141" s="226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6"/>
      <c r="J142" s="226"/>
      <c r="K142" s="226"/>
      <c r="L142" s="226"/>
      <c r="M142" s="226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6"/>
      <c r="J143" s="226"/>
      <c r="K143" s="226"/>
      <c r="L143" s="226"/>
      <c r="M143" s="226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6"/>
      <c r="J144" s="226"/>
      <c r="K144" s="226"/>
      <c r="L144" s="226"/>
      <c r="M144" s="226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6"/>
      <c r="J145" s="226"/>
      <c r="K145" s="226"/>
      <c r="L145" s="226"/>
      <c r="M145" s="226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6"/>
      <c r="J146" s="226"/>
      <c r="K146" s="226"/>
      <c r="L146" s="226"/>
      <c r="M146" s="226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6"/>
      <c r="J147" s="226"/>
      <c r="K147" s="226"/>
      <c r="L147" s="226"/>
      <c r="M147" s="226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5" t="str">
        <f>A13</f>
        <v/>
      </c>
      <c r="B148" s="5"/>
      <c r="C148" s="5"/>
      <c r="D148" s="5"/>
      <c r="E148" s="5"/>
      <c r="F148" s="5"/>
      <c r="G148" s="5"/>
      <c r="H148" s="5"/>
      <c r="I148" s="226"/>
      <c r="J148" s="226"/>
      <c r="K148" s="226"/>
      <c r="L148" s="226"/>
      <c r="M148" s="226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6"/>
      <c r="J149" s="226"/>
      <c r="K149" s="226"/>
      <c r="L149" s="226"/>
      <c r="M149" s="226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6"/>
      <c r="J150" s="226"/>
      <c r="K150" s="226"/>
      <c r="L150" s="226"/>
      <c r="M150" s="226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6"/>
      <c r="J151" s="226"/>
      <c r="K151" s="226"/>
      <c r="L151" s="226"/>
      <c r="M151" s="226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6"/>
      <c r="J152" s="226"/>
      <c r="K152" s="226"/>
      <c r="L152" s="226"/>
      <c r="M152" s="226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6"/>
      <c r="J153" s="226"/>
      <c r="K153" s="226"/>
      <c r="L153" s="226"/>
      <c r="M153" s="226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6"/>
      <c r="J154" s="226"/>
      <c r="K154" s="226"/>
      <c r="L154" s="226"/>
      <c r="M154" s="226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6"/>
      <c r="J155" s="226"/>
      <c r="K155" s="226"/>
      <c r="L155" s="226"/>
      <c r="M155" s="226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6"/>
      <c r="J156" s="226"/>
      <c r="K156" s="226"/>
      <c r="L156" s="226"/>
      <c r="M156" s="226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6"/>
      <c r="J157" s="226"/>
      <c r="K157" s="226"/>
      <c r="L157" s="226"/>
      <c r="M157" s="226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6"/>
      <c r="J158" s="226"/>
      <c r="K158" s="226"/>
      <c r="L158" s="226"/>
      <c r="M158" s="226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6"/>
      <c r="J159" s="226"/>
      <c r="K159" s="226"/>
      <c r="L159" s="226"/>
      <c r="M159" s="226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6"/>
      <c r="J160" s="226"/>
      <c r="K160" s="226"/>
      <c r="L160" s="226"/>
      <c r="M160" s="226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6"/>
      <c r="J161" s="226"/>
      <c r="K161" s="226"/>
      <c r="L161" s="226"/>
      <c r="M161" s="226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6"/>
      <c r="J162" s="226"/>
      <c r="K162" s="226"/>
      <c r="L162" s="226"/>
      <c r="M162" s="226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6"/>
      <c r="J163" s="226"/>
      <c r="K163" s="226"/>
      <c r="L163" s="226"/>
      <c r="M163" s="226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6"/>
      <c r="J164" s="226"/>
      <c r="K164" s="226"/>
      <c r="L164" s="226"/>
      <c r="M164" s="226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6"/>
      <c r="J165" s="226"/>
      <c r="K165" s="226"/>
      <c r="L165" s="226"/>
      <c r="M165" s="226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5" t="str">
        <f>A14</f>
        <v/>
      </c>
      <c r="B166" s="5"/>
      <c r="C166" s="5"/>
      <c r="D166" s="5"/>
      <c r="E166" s="5"/>
      <c r="F166" s="5"/>
      <c r="G166" s="5"/>
      <c r="H166" s="5"/>
      <c r="I166" s="226"/>
      <c r="J166" s="226"/>
      <c r="K166" s="226"/>
      <c r="L166" s="226"/>
      <c r="M166" s="226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6"/>
      <c r="J167" s="226"/>
      <c r="K167" s="226"/>
      <c r="L167" s="226"/>
      <c r="M167" s="226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6"/>
      <c r="J168" s="226"/>
      <c r="K168" s="226"/>
      <c r="L168" s="226"/>
      <c r="M168" s="226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6"/>
      <c r="J169" s="226"/>
      <c r="K169" s="226"/>
      <c r="L169" s="226"/>
      <c r="M169" s="226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6"/>
      <c r="J170" s="226"/>
      <c r="K170" s="226"/>
      <c r="L170" s="226"/>
      <c r="M170" s="226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6"/>
      <c r="J171" s="226"/>
      <c r="K171" s="226"/>
      <c r="L171" s="226"/>
      <c r="M171" s="226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6"/>
      <c r="J172" s="226"/>
      <c r="K172" s="226"/>
      <c r="L172" s="226"/>
      <c r="M172" s="226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6"/>
      <c r="J173" s="226"/>
      <c r="K173" s="226"/>
      <c r="L173" s="226"/>
      <c r="M173" s="226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6"/>
      <c r="J174" s="226"/>
      <c r="K174" s="226"/>
      <c r="L174" s="226"/>
      <c r="M174" s="226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6"/>
      <c r="J175" s="226"/>
      <c r="K175" s="226"/>
      <c r="L175" s="226"/>
      <c r="M175" s="226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6"/>
      <c r="J176" s="226"/>
      <c r="K176" s="226"/>
      <c r="L176" s="226"/>
      <c r="M176" s="226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6"/>
      <c r="J177" s="226"/>
      <c r="K177" s="226"/>
      <c r="L177" s="226"/>
      <c r="M177" s="226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6"/>
      <c r="J178" s="226"/>
      <c r="K178" s="226"/>
      <c r="L178" s="226"/>
      <c r="M178" s="226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6"/>
      <c r="J179" s="226"/>
      <c r="K179" s="226"/>
      <c r="L179" s="226"/>
      <c r="M179" s="226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6"/>
      <c r="J180" s="226"/>
      <c r="K180" s="226"/>
      <c r="L180" s="226"/>
      <c r="M180" s="226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6"/>
      <c r="J181" s="226"/>
      <c r="K181" s="226"/>
      <c r="L181" s="226"/>
      <c r="M181" s="226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6"/>
      <c r="J182" s="226"/>
      <c r="K182" s="226"/>
      <c r="L182" s="226"/>
      <c r="M182" s="226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6"/>
      <c r="J183" s="226"/>
      <c r="K183" s="226"/>
      <c r="L183" s="226"/>
      <c r="M183" s="226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5" t="str">
        <f>A15</f>
        <v/>
      </c>
      <c r="B184" s="5"/>
      <c r="C184" s="5"/>
      <c r="D184" s="5"/>
      <c r="E184" s="5"/>
      <c r="F184" s="5"/>
      <c r="G184" s="5"/>
      <c r="H184" s="5"/>
      <c r="I184" s="226"/>
      <c r="J184" s="226"/>
      <c r="K184" s="226"/>
      <c r="L184" s="226"/>
      <c r="M184" s="226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6"/>
      <c r="J185" s="226"/>
      <c r="K185" s="226"/>
      <c r="L185" s="226"/>
      <c r="M185" s="226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6"/>
      <c r="J186" s="226"/>
      <c r="K186" s="226"/>
      <c r="L186" s="226"/>
      <c r="M186" s="226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6"/>
      <c r="J187" s="226"/>
      <c r="K187" s="226"/>
      <c r="L187" s="226"/>
      <c r="M187" s="226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6"/>
      <c r="J188" s="226"/>
      <c r="K188" s="226"/>
      <c r="L188" s="226"/>
      <c r="M188" s="226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6"/>
      <c r="J189" s="226"/>
      <c r="K189" s="226"/>
      <c r="L189" s="226"/>
      <c r="M189" s="226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6"/>
      <c r="J190" s="226"/>
      <c r="K190" s="226"/>
      <c r="L190" s="226"/>
      <c r="M190" s="226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6"/>
      <c r="J191" s="226"/>
      <c r="K191" s="226"/>
      <c r="L191" s="226"/>
      <c r="M191" s="226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6"/>
      <c r="J192" s="226"/>
      <c r="K192" s="226"/>
      <c r="L192" s="226"/>
      <c r="M192" s="226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6"/>
      <c r="J193" s="226"/>
      <c r="K193" s="226"/>
      <c r="L193" s="226"/>
      <c r="M193" s="226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6"/>
      <c r="J194" s="226"/>
      <c r="K194" s="226"/>
      <c r="L194" s="226"/>
      <c r="M194" s="226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6"/>
      <c r="J195" s="226"/>
      <c r="K195" s="226"/>
      <c r="L195" s="226"/>
      <c r="M195" s="226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6"/>
      <c r="J196" s="226"/>
      <c r="K196" s="226"/>
      <c r="L196" s="226"/>
      <c r="M196" s="226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6"/>
      <c r="J197" s="226"/>
      <c r="K197" s="226"/>
      <c r="L197" s="226"/>
      <c r="M197" s="226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6"/>
      <c r="J198" s="226"/>
      <c r="K198" s="226"/>
      <c r="L198" s="226"/>
      <c r="M198" s="226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6"/>
      <c r="J199" s="226"/>
      <c r="K199" s="226"/>
      <c r="L199" s="226"/>
      <c r="M199" s="226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6"/>
      <c r="J200" s="226"/>
      <c r="K200" s="226"/>
      <c r="L200" s="226"/>
      <c r="M200" s="226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6"/>
      <c r="J201" s="226"/>
      <c r="K201" s="226"/>
      <c r="L201" s="226"/>
      <c r="M201" s="226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6"/>
      <c r="J202" s="226"/>
      <c r="K202" s="226"/>
      <c r="L202" s="226"/>
      <c r="M202" s="226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8"/>
      <c r="J203" s="68"/>
      <c r="K203" s="68"/>
      <c r="L203" s="68"/>
      <c r="M203" s="226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8"/>
      <c r="J204" s="68"/>
      <c r="K204" s="68"/>
      <c r="L204" s="68"/>
      <c r="M204" s="68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8"/>
      <c r="J205" s="68"/>
      <c r="K205" s="68"/>
      <c r="L205" s="68"/>
      <c r="M205" s="68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8"/>
      <c r="J206" s="68"/>
      <c r="K206" s="68"/>
      <c r="L206" s="68"/>
      <c r="M206" s="68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8"/>
      <c r="J207" s="68"/>
      <c r="K207" s="68"/>
      <c r="L207" s="68"/>
      <c r="M207" s="68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8"/>
      <c r="J208" s="68"/>
      <c r="K208" s="68"/>
      <c r="L208" s="68"/>
      <c r="M208" s="68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8"/>
      <c r="J209" s="68"/>
      <c r="K209" s="68"/>
      <c r="L209" s="68"/>
      <c r="M209" s="68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8"/>
      <c r="J210" s="68"/>
      <c r="K210" s="68"/>
      <c r="L210" s="68"/>
      <c r="M210" s="68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8"/>
      <c r="J211" s="68"/>
      <c r="K211" s="68"/>
      <c r="L211" s="68"/>
      <c r="M211" s="68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8"/>
      <c r="J212" s="68"/>
      <c r="K212" s="68"/>
      <c r="L212" s="68"/>
      <c r="M212" s="68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8"/>
      <c r="J213" s="68"/>
      <c r="K213" s="68"/>
      <c r="L213" s="68"/>
      <c r="M213" s="68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8"/>
      <c r="J214" s="68"/>
      <c r="K214" s="68"/>
      <c r="L214" s="68"/>
      <c r="M214" s="68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8"/>
      <c r="J215" s="68"/>
      <c r="K215" s="68"/>
      <c r="L215" s="68"/>
      <c r="M215" s="68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8"/>
      <c r="J216" s="68"/>
      <c r="K216" s="68"/>
      <c r="L216" s="68"/>
      <c r="M216" s="68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8"/>
      <c r="J217" s="68"/>
      <c r="K217" s="68"/>
      <c r="L217" s="68"/>
      <c r="M217" s="68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8"/>
      <c r="J218" s="68"/>
      <c r="K218" s="68"/>
      <c r="L218" s="68"/>
      <c r="M218" s="68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8"/>
      <c r="J219" s="68"/>
      <c r="K219" s="68"/>
      <c r="L219" s="68"/>
      <c r="M219" s="68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8"/>
      <c r="J220" s="68"/>
      <c r="K220" s="68"/>
      <c r="L220" s="68"/>
      <c r="M220" s="68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8"/>
      <c r="J221" s="68"/>
      <c r="K221" s="68"/>
      <c r="L221" s="68"/>
      <c r="M221" s="68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8"/>
      <c r="J222" s="68"/>
      <c r="K222" s="68"/>
      <c r="L222" s="68"/>
      <c r="M222" s="68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8"/>
      <c r="J223" s="68"/>
      <c r="K223" s="68"/>
      <c r="L223" s="68"/>
      <c r="M223" s="68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8"/>
      <c r="J224" s="68"/>
      <c r="K224" s="68"/>
      <c r="L224" s="68"/>
      <c r="M224" s="68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8"/>
      <c r="J225" s="68"/>
      <c r="K225" s="68"/>
      <c r="L225" s="68"/>
      <c r="M225" s="68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8"/>
      <c r="J226" s="68"/>
      <c r="K226" s="68"/>
      <c r="L226" s="68"/>
      <c r="M226" s="68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8"/>
      <c r="J227" s="68"/>
      <c r="K227" s="68"/>
      <c r="L227" s="68"/>
      <c r="M227" s="68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8"/>
      <c r="J228" s="68"/>
      <c r="K228" s="68"/>
      <c r="L228" s="68"/>
      <c r="M228" s="68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8"/>
      <c r="J229" s="68"/>
      <c r="K229" s="68"/>
      <c r="L229" s="68"/>
      <c r="M229" s="68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8"/>
      <c r="J230" s="68"/>
      <c r="K230" s="68"/>
      <c r="L230" s="68"/>
      <c r="M230" s="68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8"/>
      <c r="J231" s="68"/>
      <c r="K231" s="68"/>
      <c r="L231" s="68"/>
      <c r="M231" s="68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8"/>
      <c r="J232" s="68"/>
      <c r="K232" s="68"/>
      <c r="L232" s="68"/>
      <c r="M232" s="68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8"/>
      <c r="J233" s="68"/>
      <c r="K233" s="68"/>
      <c r="L233" s="68"/>
      <c r="M233" s="68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8"/>
      <c r="J234" s="68"/>
      <c r="K234" s="68"/>
      <c r="L234" s="68"/>
      <c r="M234" s="68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8"/>
      <c r="J235" s="68"/>
      <c r="K235" s="68"/>
      <c r="L235" s="68"/>
      <c r="M235" s="68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8"/>
      <c r="J236" s="68"/>
      <c r="K236" s="68"/>
      <c r="L236" s="68"/>
      <c r="M236" s="68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8"/>
      <c r="J237" s="68"/>
      <c r="K237" s="68"/>
      <c r="L237" s="68"/>
      <c r="M237" s="68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8"/>
      <c r="J238" s="68"/>
      <c r="K238" s="68"/>
      <c r="L238" s="68"/>
      <c r="M238" s="68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8"/>
      <c r="J239" s="68"/>
      <c r="K239" s="68"/>
      <c r="L239" s="68"/>
      <c r="M239" s="68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8"/>
      <c r="J240" s="68"/>
      <c r="K240" s="68"/>
      <c r="L240" s="68"/>
      <c r="M240" s="68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8"/>
      <c r="J241" s="68"/>
      <c r="K241" s="68"/>
      <c r="L241" s="68"/>
      <c r="M241" s="68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8"/>
      <c r="J242" s="68"/>
      <c r="K242" s="68"/>
      <c r="L242" s="68"/>
      <c r="M242" s="68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8"/>
      <c r="J243" s="68"/>
      <c r="K243" s="68"/>
      <c r="L243" s="68"/>
      <c r="M243" s="68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8"/>
      <c r="J244" s="68"/>
      <c r="K244" s="68"/>
      <c r="L244" s="68"/>
      <c r="M244" s="68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8"/>
      <c r="J245" s="68"/>
      <c r="K245" s="68"/>
      <c r="L245" s="68"/>
      <c r="M245" s="68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8"/>
      <c r="J246" s="68"/>
      <c r="K246" s="68"/>
      <c r="L246" s="68"/>
      <c r="M246" s="68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8"/>
      <c r="J247" s="68"/>
      <c r="K247" s="68"/>
      <c r="L247" s="68"/>
      <c r="M247" s="68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8"/>
      <c r="J248" s="68"/>
      <c r="K248" s="68"/>
      <c r="L248" s="68"/>
      <c r="M248" s="68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8"/>
      <c r="J249" s="68"/>
      <c r="K249" s="68"/>
      <c r="L249" s="68"/>
      <c r="M249" s="68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8"/>
      <c r="J250" s="68"/>
      <c r="K250" s="68"/>
      <c r="L250" s="68"/>
      <c r="M250" s="68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8"/>
      <c r="J251" s="68"/>
      <c r="K251" s="68"/>
      <c r="L251" s="68"/>
      <c r="M251" s="68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8"/>
      <c r="J252" s="68"/>
      <c r="K252" s="68"/>
      <c r="L252" s="68"/>
      <c r="M252" s="68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8"/>
      <c r="J253" s="68"/>
      <c r="K253" s="68"/>
      <c r="L253" s="68"/>
      <c r="M253" s="68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8"/>
      <c r="J254" s="68"/>
      <c r="K254" s="68"/>
      <c r="L254" s="68"/>
      <c r="M254" s="68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8"/>
      <c r="J255" s="68"/>
      <c r="K255" s="68"/>
      <c r="L255" s="68"/>
      <c r="M255" s="68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8"/>
      <c r="J256" s="68"/>
      <c r="K256" s="68"/>
      <c r="L256" s="68"/>
      <c r="M256" s="68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8"/>
      <c r="J257" s="68"/>
      <c r="K257" s="68"/>
      <c r="L257" s="68"/>
      <c r="M257" s="68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8"/>
      <c r="J258" s="68"/>
      <c r="K258" s="68"/>
      <c r="L258" s="68"/>
      <c r="M258" s="68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8"/>
      <c r="J259" s="68"/>
      <c r="K259" s="68"/>
      <c r="L259" s="68"/>
      <c r="M259" s="68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8"/>
      <c r="J260" s="68"/>
      <c r="K260" s="68"/>
      <c r="L260" s="68"/>
      <c r="M260" s="68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8"/>
      <c r="J261" s="68"/>
      <c r="K261" s="68"/>
      <c r="L261" s="68"/>
      <c r="M261" s="68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8"/>
      <c r="J262" s="68"/>
      <c r="K262" s="68"/>
      <c r="L262" s="68"/>
      <c r="M262" s="68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8"/>
      <c r="J263" s="68"/>
      <c r="K263" s="68"/>
      <c r="L263" s="68"/>
      <c r="M263" s="68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8"/>
      <c r="J264" s="68"/>
      <c r="K264" s="68"/>
      <c r="L264" s="68"/>
      <c r="M264" s="68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8"/>
      <c r="J265" s="68"/>
      <c r="K265" s="68"/>
      <c r="L265" s="68"/>
      <c r="M265" s="68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8"/>
      <c r="J266" s="68"/>
      <c r="K266" s="68"/>
      <c r="L266" s="68"/>
      <c r="M266" s="68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8"/>
      <c r="J267" s="68"/>
      <c r="K267" s="68"/>
      <c r="L267" s="68"/>
      <c r="M267" s="68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8"/>
      <c r="J268" s="68"/>
      <c r="K268" s="68"/>
      <c r="L268" s="68"/>
      <c r="M268" s="68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8"/>
      <c r="J269" s="68"/>
      <c r="K269" s="68"/>
      <c r="L269" s="68"/>
      <c r="M269" s="68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8"/>
      <c r="J270" s="68"/>
      <c r="K270" s="68"/>
      <c r="L270" s="68"/>
      <c r="M270" s="68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8"/>
      <c r="J271" s="68"/>
      <c r="K271" s="68"/>
      <c r="L271" s="68"/>
      <c r="M271" s="68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8"/>
      <c r="J272" s="68"/>
      <c r="K272" s="68"/>
      <c r="L272" s="68"/>
      <c r="M272" s="68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8"/>
      <c r="J273" s="68"/>
      <c r="K273" s="68"/>
      <c r="L273" s="68"/>
      <c r="M273" s="68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8"/>
      <c r="J274" s="68"/>
      <c r="K274" s="68"/>
      <c r="L274" s="68"/>
      <c r="M274" s="68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8"/>
      <c r="J275" s="68"/>
      <c r="K275" s="68"/>
      <c r="L275" s="68"/>
      <c r="M275" s="68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8"/>
      <c r="J276" s="68"/>
      <c r="K276" s="68"/>
      <c r="L276" s="68"/>
      <c r="M276" s="68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8"/>
      <c r="J277" s="68"/>
      <c r="K277" s="68"/>
      <c r="L277" s="68"/>
      <c r="M277" s="68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8"/>
      <c r="J278" s="68"/>
      <c r="K278" s="68"/>
      <c r="L278" s="68"/>
      <c r="M278" s="68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8"/>
      <c r="J279" s="68"/>
      <c r="K279" s="68"/>
      <c r="L279" s="68"/>
      <c r="M279" s="68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8"/>
      <c r="J280" s="68"/>
      <c r="K280" s="68"/>
      <c r="L280" s="68"/>
      <c r="M280" s="68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8"/>
      <c r="J281" s="68"/>
      <c r="K281" s="68"/>
      <c r="L281" s="68"/>
      <c r="M281" s="68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8"/>
      <c r="J282" s="68"/>
      <c r="K282" s="68"/>
      <c r="L282" s="68"/>
      <c r="M282" s="68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8"/>
      <c r="J283" s="68"/>
      <c r="K283" s="68"/>
      <c r="L283" s="68"/>
      <c r="M283" s="68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8"/>
      <c r="J284" s="68"/>
      <c r="K284" s="68"/>
      <c r="L284" s="68"/>
      <c r="M284" s="68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8"/>
      <c r="J285" s="68"/>
      <c r="K285" s="68"/>
      <c r="L285" s="68"/>
      <c r="M285" s="68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8"/>
      <c r="J286" s="68"/>
      <c r="K286" s="68"/>
      <c r="L286" s="68"/>
      <c r="M286" s="68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8"/>
      <c r="J287" s="68"/>
      <c r="K287" s="68"/>
      <c r="L287" s="68"/>
      <c r="M287" s="68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8"/>
      <c r="J288" s="68"/>
      <c r="K288" s="68"/>
      <c r="L288" s="68"/>
      <c r="M288" s="68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8"/>
      <c r="J289" s="68"/>
      <c r="K289" s="68"/>
      <c r="L289" s="68"/>
      <c r="M289" s="68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8"/>
      <c r="J290" s="68"/>
      <c r="K290" s="68"/>
      <c r="L290" s="68"/>
      <c r="M290" s="68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8"/>
      <c r="J291" s="68"/>
      <c r="K291" s="68"/>
      <c r="L291" s="68"/>
      <c r="M291" s="68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8"/>
      <c r="J292" s="68"/>
      <c r="K292" s="68"/>
      <c r="L292" s="68"/>
      <c r="M292" s="68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8"/>
      <c r="J293" s="68"/>
      <c r="K293" s="68"/>
      <c r="L293" s="68"/>
      <c r="M293" s="68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8"/>
      <c r="J294" s="68"/>
      <c r="K294" s="68"/>
      <c r="L294" s="68"/>
      <c r="M294" s="68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8"/>
      <c r="J295" s="68"/>
      <c r="K295" s="68"/>
      <c r="L295" s="68"/>
      <c r="M295" s="68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8"/>
      <c r="J296" s="68"/>
      <c r="K296" s="68"/>
      <c r="L296" s="68"/>
      <c r="M296" s="68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8"/>
      <c r="J297" s="68"/>
      <c r="K297" s="68"/>
      <c r="L297" s="68"/>
      <c r="M297" s="68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8"/>
      <c r="J298" s="68"/>
      <c r="K298" s="68"/>
      <c r="L298" s="68"/>
      <c r="M298" s="68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8"/>
      <c r="J299" s="68"/>
      <c r="K299" s="68"/>
      <c r="L299" s="68"/>
      <c r="M299" s="68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8"/>
      <c r="J300" s="68"/>
      <c r="K300" s="68"/>
      <c r="L300" s="68"/>
      <c r="M300" s="68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8"/>
      <c r="J301" s="68"/>
      <c r="K301" s="68"/>
      <c r="L301" s="68"/>
      <c r="M301" s="68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8"/>
      <c r="J302" s="68"/>
      <c r="K302" s="68"/>
      <c r="L302" s="68"/>
      <c r="M302" s="68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8"/>
      <c r="J303" s="68"/>
      <c r="K303" s="68"/>
      <c r="L303" s="68"/>
      <c r="M303" s="68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8"/>
      <c r="J304" s="68"/>
      <c r="K304" s="68"/>
      <c r="L304" s="68"/>
      <c r="M304" s="68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8"/>
      <c r="J305" s="68"/>
      <c r="K305" s="68"/>
      <c r="L305" s="68"/>
      <c r="M305" s="68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8"/>
      <c r="J306" s="68"/>
      <c r="K306" s="68"/>
      <c r="L306" s="68"/>
      <c r="M306" s="68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8"/>
      <c r="J307" s="68"/>
      <c r="K307" s="68"/>
      <c r="L307" s="68"/>
      <c r="M307" s="68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8"/>
      <c r="J308" s="68"/>
      <c r="K308" s="68"/>
      <c r="L308" s="68"/>
      <c r="M308" s="68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8"/>
      <c r="J309" s="68"/>
      <c r="K309" s="68"/>
      <c r="L309" s="68"/>
      <c r="M309" s="68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8"/>
      <c r="J310" s="68"/>
      <c r="K310" s="68"/>
      <c r="L310" s="68"/>
      <c r="M310" s="68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8"/>
      <c r="J311" s="68"/>
      <c r="K311" s="68"/>
      <c r="L311" s="68"/>
      <c r="M311" s="68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8"/>
      <c r="J312" s="68"/>
      <c r="K312" s="68"/>
      <c r="L312" s="68"/>
      <c r="M312" s="68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8"/>
      <c r="J313" s="68"/>
      <c r="K313" s="68"/>
      <c r="L313" s="68"/>
      <c r="M313" s="68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8"/>
      <c r="J314" s="68"/>
      <c r="K314" s="68"/>
      <c r="L314" s="68"/>
      <c r="M314" s="68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8"/>
      <c r="J315" s="68"/>
      <c r="K315" s="68"/>
      <c r="L315" s="68"/>
      <c r="M315" s="68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8"/>
      <c r="J316" s="68"/>
      <c r="K316" s="68"/>
      <c r="L316" s="68"/>
      <c r="M316" s="68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8"/>
      <c r="J317" s="68"/>
      <c r="K317" s="68"/>
      <c r="L317" s="68"/>
      <c r="M317" s="68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8"/>
      <c r="J318" s="68"/>
      <c r="K318" s="68"/>
      <c r="L318" s="68"/>
      <c r="M318" s="68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8"/>
      <c r="J319" s="68"/>
      <c r="K319" s="68"/>
      <c r="L319" s="68"/>
      <c r="M319" s="68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8"/>
      <c r="J320" s="68"/>
      <c r="K320" s="68"/>
      <c r="L320" s="68"/>
      <c r="M320" s="68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8"/>
      <c r="J321" s="68"/>
      <c r="K321" s="68"/>
      <c r="L321" s="68"/>
      <c r="M321" s="68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8"/>
      <c r="J322" s="68"/>
      <c r="K322" s="68"/>
      <c r="L322" s="68"/>
      <c r="M322" s="68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8"/>
      <c r="J323" s="68"/>
      <c r="K323" s="68"/>
      <c r="L323" s="68"/>
      <c r="M323" s="68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8"/>
      <c r="J324" s="68"/>
      <c r="K324" s="68"/>
      <c r="L324" s="68"/>
      <c r="M324" s="68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8"/>
      <c r="J325" s="68"/>
      <c r="K325" s="68"/>
      <c r="L325" s="68"/>
      <c r="M325" s="68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8"/>
      <c r="J326" s="68"/>
      <c r="K326" s="68"/>
      <c r="L326" s="68"/>
      <c r="M326" s="68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8"/>
      <c r="J327" s="68"/>
      <c r="K327" s="68"/>
      <c r="L327" s="68"/>
      <c r="M327" s="68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8"/>
      <c r="J328" s="68"/>
      <c r="K328" s="68"/>
      <c r="L328" s="68"/>
      <c r="M328" s="68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8"/>
      <c r="J329" s="68"/>
      <c r="K329" s="68"/>
      <c r="L329" s="68"/>
      <c r="M329" s="68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8"/>
      <c r="J330" s="68"/>
      <c r="K330" s="68"/>
      <c r="L330" s="68"/>
      <c r="M330" s="68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8"/>
      <c r="J331" s="68"/>
      <c r="K331" s="68"/>
      <c r="L331" s="68"/>
      <c r="M331" s="68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8"/>
      <c r="J332" s="68"/>
      <c r="K332" s="68"/>
      <c r="L332" s="68"/>
      <c r="M332" s="68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8"/>
      <c r="J333" s="68"/>
      <c r="K333" s="68"/>
      <c r="L333" s="68"/>
      <c r="M333" s="68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8"/>
      <c r="J334" s="68"/>
      <c r="K334" s="68"/>
      <c r="L334" s="68"/>
      <c r="M334" s="68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8"/>
      <c r="J335" s="68"/>
      <c r="K335" s="68"/>
      <c r="L335" s="68"/>
      <c r="M335" s="68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8"/>
      <c r="J336" s="68"/>
      <c r="K336" s="68"/>
      <c r="L336" s="68"/>
      <c r="M336" s="68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8"/>
      <c r="J337" s="68"/>
      <c r="K337" s="68"/>
      <c r="L337" s="68"/>
      <c r="M337" s="68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8"/>
      <c r="J338" s="68"/>
      <c r="K338" s="68"/>
      <c r="L338" s="68"/>
      <c r="M338" s="68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8"/>
      <c r="J339" s="68"/>
      <c r="K339" s="68"/>
      <c r="L339" s="68"/>
      <c r="M339" s="68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8"/>
      <c r="J340" s="68"/>
      <c r="K340" s="68"/>
      <c r="L340" s="68"/>
      <c r="M340" s="68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8"/>
      <c r="J341" s="68"/>
      <c r="K341" s="68"/>
      <c r="L341" s="68"/>
      <c r="M341" s="68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8"/>
      <c r="J342" s="68"/>
      <c r="K342" s="68"/>
      <c r="L342" s="68"/>
      <c r="M342" s="68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8"/>
      <c r="J343" s="68"/>
      <c r="K343" s="68"/>
      <c r="L343" s="68"/>
      <c r="M343" s="68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8"/>
      <c r="J344" s="68"/>
      <c r="K344" s="68"/>
      <c r="L344" s="68"/>
      <c r="M344" s="68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8"/>
      <c r="J345" s="68"/>
      <c r="K345" s="68"/>
      <c r="L345" s="68"/>
      <c r="M345" s="68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8"/>
      <c r="J346" s="68"/>
      <c r="K346" s="68"/>
      <c r="L346" s="68"/>
      <c r="M346" s="68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8"/>
      <c r="J347" s="68"/>
      <c r="K347" s="68"/>
      <c r="L347" s="68"/>
      <c r="M347" s="68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8"/>
      <c r="J348" s="68"/>
      <c r="K348" s="68"/>
      <c r="L348" s="68"/>
      <c r="M348" s="68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8"/>
      <c r="J349" s="68"/>
      <c r="K349" s="68"/>
      <c r="L349" s="68"/>
      <c r="M349" s="68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8"/>
      <c r="J350" s="68"/>
      <c r="K350" s="68"/>
      <c r="L350" s="68"/>
      <c r="M350" s="68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8"/>
      <c r="J351" s="68"/>
      <c r="K351" s="68"/>
      <c r="L351" s="68"/>
      <c r="M351" s="68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8"/>
      <c r="J352" s="68"/>
      <c r="K352" s="68"/>
      <c r="L352" s="68"/>
      <c r="M352" s="68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8"/>
      <c r="J353" s="68"/>
      <c r="K353" s="68"/>
      <c r="L353" s="68"/>
      <c r="M353" s="68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8"/>
      <c r="J354" s="68"/>
      <c r="K354" s="68"/>
      <c r="L354" s="68"/>
      <c r="M354" s="68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8"/>
      <c r="J355" s="68"/>
      <c r="K355" s="68"/>
      <c r="L355" s="68"/>
      <c r="M355" s="68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8"/>
      <c r="J356" s="68"/>
      <c r="K356" s="68"/>
      <c r="L356" s="68"/>
      <c r="M356" s="68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lC9C/XHAr7uhq9UB/+5lGwCOtGNX6mpYUa9QfBsZAPKgWiW8PhyxW4px6LELycl6bAXquLbVNGeNjZI52f1EpA==" saltValue="wbvPzkOtGyEAPIHFcu2Eww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66" zoomScaleNormal="100" workbookViewId="0">
      <selection activeCell="P25" sqref="P25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44140625" style="3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8"/>
      <c r="G1" s="68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2" t="s">
        <v>272</v>
      </c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3"/>
      <c r="P2" s="314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198" customFormat="1" x14ac:dyDescent="0.3">
      <c r="A3" s="95"/>
      <c r="B3" s="95"/>
      <c r="C3" s="95"/>
      <c r="D3" s="95"/>
      <c r="E3" s="95"/>
      <c r="F3" s="176"/>
      <c r="G3" s="176"/>
      <c r="H3" s="177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</row>
    <row r="4" spans="1:42" s="198" customFormat="1" x14ac:dyDescent="0.3">
      <c r="A4" s="95"/>
      <c r="B4" s="95"/>
      <c r="C4" s="95"/>
      <c r="D4" s="95"/>
      <c r="E4" s="95"/>
      <c r="G4" s="176"/>
      <c r="H4" s="330" t="s">
        <v>316</v>
      </c>
      <c r="I4" s="330"/>
      <c r="K4" s="327" t="s">
        <v>253</v>
      </c>
      <c r="L4" s="328"/>
      <c r="M4" s="262">
        <v>4.4999999999999998E-2</v>
      </c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</row>
    <row r="5" spans="1:42" s="198" customFormat="1" x14ac:dyDescent="0.3">
      <c r="A5" s="95"/>
      <c r="B5" s="95"/>
      <c r="C5" s="95"/>
      <c r="D5" s="95"/>
      <c r="E5" s="95"/>
      <c r="G5" s="176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</row>
    <row r="6" spans="1:42" s="198" customFormat="1" ht="15" thickBot="1" x14ac:dyDescent="0.35">
      <c r="A6" s="95"/>
      <c r="B6" s="95"/>
      <c r="C6" s="95"/>
      <c r="D6" s="95"/>
      <c r="E6" s="95"/>
      <c r="F6" s="224"/>
      <c r="G6" s="176"/>
      <c r="H6" s="178"/>
      <c r="I6" s="178"/>
      <c r="J6" s="178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</row>
    <row r="7" spans="1:42" s="198" customFormat="1" ht="27.75" customHeight="1" thickBot="1" x14ac:dyDescent="0.55000000000000004">
      <c r="A7" s="269"/>
      <c r="B7" s="270"/>
      <c r="C7" s="270"/>
      <c r="D7" s="270"/>
      <c r="E7" s="271"/>
      <c r="F7" s="271" t="s">
        <v>192</v>
      </c>
      <c r="G7" s="272"/>
      <c r="H7" s="270"/>
      <c r="I7" s="270"/>
      <c r="J7" s="273"/>
      <c r="K7" s="267"/>
      <c r="L7" s="268"/>
      <c r="M7" s="268"/>
      <c r="N7" s="274" t="s">
        <v>191</v>
      </c>
      <c r="O7" s="274"/>
      <c r="P7" s="275"/>
      <c r="Q7" s="276"/>
      <c r="R7" s="338" t="s">
        <v>311</v>
      </c>
      <c r="S7" s="339"/>
      <c r="T7" s="339"/>
      <c r="U7" s="339"/>
      <c r="V7" s="340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</row>
    <row r="8" spans="1:42" x14ac:dyDescent="0.3">
      <c r="A8" s="25"/>
      <c r="C8" s="25"/>
      <c r="D8" s="25"/>
      <c r="E8" s="25"/>
      <c r="F8" s="216"/>
      <c r="G8" s="216"/>
      <c r="H8" s="5"/>
      <c r="I8" s="5"/>
      <c r="J8" s="209"/>
      <c r="K8" s="220"/>
      <c r="L8" s="25"/>
      <c r="M8" s="25"/>
      <c r="N8" s="25"/>
      <c r="O8" s="25"/>
      <c r="P8" s="25"/>
      <c r="Q8" s="259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4" t="s">
        <v>312</v>
      </c>
      <c r="C9" s="25"/>
      <c r="D9" s="25"/>
      <c r="E9" s="25"/>
      <c r="F9" s="255"/>
      <c r="G9" s="254" t="s">
        <v>315</v>
      </c>
      <c r="J9" s="209"/>
      <c r="K9" s="220"/>
      <c r="O9" s="25"/>
      <c r="P9" s="25"/>
      <c r="Q9" s="259"/>
      <c r="R9" s="25"/>
      <c r="S9" s="5"/>
      <c r="T9" s="181" t="s">
        <v>262</v>
      </c>
      <c r="U9" s="184" t="s">
        <v>249</v>
      </c>
      <c r="V9" s="181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4" t="s">
        <v>318</v>
      </c>
      <c r="C10" s="25"/>
      <c r="D10" s="25"/>
      <c r="E10" s="25"/>
      <c r="F10" s="255"/>
      <c r="G10" s="254" t="s">
        <v>317</v>
      </c>
      <c r="J10" s="209"/>
      <c r="K10" s="220"/>
      <c r="O10" s="25"/>
      <c r="P10" s="25"/>
      <c r="Q10" s="259"/>
      <c r="R10" s="25"/>
      <c r="S10" s="181" t="str">
        <f>B14</f>
        <v>Pin maritime</v>
      </c>
      <c r="T10" s="18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732.97593968972956</v>
      </c>
      <c r="U10" s="186">
        <f>'Données projet'!D9</f>
        <v>3.6</v>
      </c>
      <c r="V10" s="185">
        <f>U10*T10</f>
        <v>2638.7133828830265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4" t="s">
        <v>313</v>
      </c>
      <c r="B11" s="25"/>
      <c r="C11" s="25"/>
      <c r="D11" s="25"/>
      <c r="E11" s="25"/>
      <c r="F11" s="255"/>
      <c r="G11" s="254" t="s">
        <v>314</v>
      </c>
      <c r="J11" s="209"/>
      <c r="K11" s="220"/>
      <c r="M11" s="5"/>
      <c r="N11" s="5"/>
      <c r="O11" s="25"/>
      <c r="P11" s="25"/>
      <c r="Q11" s="259"/>
      <c r="R11" s="25"/>
      <c r="S11" s="181" t="str">
        <f>B45</f>
        <v>Bouleau verruqueux</v>
      </c>
      <c r="T11" s="266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-1288.6853952461934</v>
      </c>
      <c r="U11" s="186">
        <f>'Données projet'!D10</f>
        <v>0.22500000000000001</v>
      </c>
      <c r="V11" s="185">
        <f t="shared" ref="V11" si="0">U11*T11</f>
        <v>-289.95421393039351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5"/>
      <c r="G12" s="1"/>
      <c r="J12" s="209"/>
      <c r="K12" s="220"/>
      <c r="L12" s="212"/>
      <c r="M12" s="25"/>
      <c r="N12" s="25"/>
      <c r="O12" s="25"/>
      <c r="P12" s="25"/>
      <c r="Q12" s="259"/>
      <c r="R12" s="25"/>
      <c r="S12" s="181" t="str">
        <f>B76</f>
        <v>Chêne pubescent</v>
      </c>
      <c r="T12" s="266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-2643.3246911316301</v>
      </c>
      <c r="U12" s="186">
        <f>'Données projet'!D11</f>
        <v>0.22500000000000001</v>
      </c>
      <c r="V12" s="185">
        <f t="shared" ref="V12:V19" si="1">U12*T12</f>
        <v>-594.74805550461679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5"/>
      <c r="J13" s="25"/>
      <c r="K13" s="220"/>
      <c r="L13" s="180" t="s">
        <v>257</v>
      </c>
      <c r="M13" s="25"/>
      <c r="N13" s="25"/>
      <c r="O13" s="25"/>
      <c r="P13" s="25"/>
      <c r="Q13" s="259"/>
      <c r="R13" s="25"/>
      <c r="S13" s="181" t="str">
        <f>B107</f>
        <v>Cèdre de l'Atlas</v>
      </c>
      <c r="T13" s="266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-2840.1862672089928</v>
      </c>
      <c r="U13" s="186">
        <f>'Données projet'!D12</f>
        <v>0.45</v>
      </c>
      <c r="V13" s="185">
        <f t="shared" si="1"/>
        <v>-1278.0838202440468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2" t="str">
        <f>IF('Données projet'!$B$9="","",'Données projet'!$B$9)</f>
        <v>Pin maritime</v>
      </c>
      <c r="C14" s="5"/>
      <c r="D14" s="5"/>
      <c r="E14" s="5"/>
      <c r="F14" s="255"/>
      <c r="G14" s="216"/>
      <c r="H14" s="181" t="s">
        <v>178</v>
      </c>
      <c r="I14" s="181" t="s">
        <v>291</v>
      </c>
      <c r="J14" s="210"/>
      <c r="K14" s="179"/>
      <c r="L14" s="212"/>
      <c r="M14" s="25"/>
      <c r="N14" s="25"/>
      <c r="O14" s="5"/>
      <c r="P14" s="5"/>
      <c r="Q14" s="260"/>
      <c r="R14" s="5"/>
      <c r="S14" s="181" t="str">
        <f>B138</f>
        <v/>
      </c>
      <c r="T14" s="266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6">
        <f>'Données projet'!D13</f>
        <v>0</v>
      </c>
      <c r="V14" s="185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5"/>
      <c r="G15" s="331" t="s">
        <v>319</v>
      </c>
      <c r="H15" s="199"/>
      <c r="I15" s="200"/>
      <c r="J15" s="211"/>
      <c r="K15" s="220"/>
      <c r="L15" s="212"/>
      <c r="M15" s="25"/>
      <c r="N15" s="25"/>
      <c r="O15" s="25"/>
      <c r="P15" s="25"/>
      <c r="Q15" s="259"/>
      <c r="R15" s="25"/>
      <c r="S15" s="181" t="str">
        <f>B169</f>
        <v/>
      </c>
      <c r="T15" s="266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6">
        <f>'Données projet'!D14</f>
        <v>0</v>
      </c>
      <c r="V15" s="185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1" t="s">
        <v>180</v>
      </c>
      <c r="B16" s="51" t="s">
        <v>256</v>
      </c>
      <c r="C16" s="51" t="s">
        <v>255</v>
      </c>
      <c r="D16" s="251" t="s">
        <v>252</v>
      </c>
      <c r="E16" s="251" t="s">
        <v>287</v>
      </c>
      <c r="F16" s="255"/>
      <c r="G16" s="331"/>
      <c r="H16" s="199"/>
      <c r="I16" s="200"/>
      <c r="J16" s="211"/>
      <c r="K16" s="220"/>
      <c r="L16" s="327" t="s">
        <v>254</v>
      </c>
      <c r="M16" s="328"/>
      <c r="N16" s="2">
        <v>30</v>
      </c>
      <c r="O16" s="25"/>
      <c r="P16" s="25"/>
      <c r="Q16" s="259"/>
      <c r="R16" s="25"/>
      <c r="S16" s="181" t="str">
        <f>B200</f>
        <v/>
      </c>
      <c r="T16" s="266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6">
        <f>'Données projet'!D15</f>
        <v>0</v>
      </c>
      <c r="V16" s="185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5">
        <v>0</v>
      </c>
      <c r="B17" s="208" t="s">
        <v>132</v>
      </c>
      <c r="C17" s="207" t="s">
        <v>132</v>
      </c>
      <c r="D17" s="206" t="s">
        <v>132</v>
      </c>
      <c r="E17" s="202">
        <f>1495*1.08</f>
        <v>1614.6000000000001</v>
      </c>
      <c r="F17" s="255"/>
      <c r="G17" s="331"/>
      <c r="J17" s="211"/>
      <c r="K17" s="220"/>
      <c r="L17" s="298" t="s">
        <v>290</v>
      </c>
      <c r="M17" s="300"/>
      <c r="N17" s="183">
        <f>VLOOKUP(N16,Calculateur!$A$2:$H$153,3,0)/VLOOKUP('Scénario référence'!$G$15,Paramètres!A1:I88,3,0)/VLOOKUP('Scénario référence'!$G$15,Paramètres!A1:I88,5,0)</f>
        <v>29.999999999999993</v>
      </c>
      <c r="O17" s="25"/>
      <c r="P17" s="25"/>
      <c r="Q17" s="259"/>
      <c r="R17" s="25"/>
      <c r="S17" s="181" t="str">
        <f>B231</f>
        <v/>
      </c>
      <c r="T17" s="266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6">
        <f>'Données projet'!D16</f>
        <v>0</v>
      </c>
      <c r="V17" s="185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5">
        <v>1</v>
      </c>
      <c r="B18" s="208" t="s">
        <v>132</v>
      </c>
      <c r="C18" s="207" t="s">
        <v>132</v>
      </c>
      <c r="D18" s="206" t="s">
        <v>132</v>
      </c>
      <c r="E18" s="202"/>
      <c r="F18" s="255"/>
      <c r="G18" s="331"/>
      <c r="J18" s="211"/>
      <c r="K18" s="220"/>
      <c r="L18" s="298" t="s">
        <v>255</v>
      </c>
      <c r="M18" s="300"/>
      <c r="N18" s="201">
        <v>10</v>
      </c>
      <c r="O18" s="25"/>
      <c r="P18" s="25"/>
      <c r="Q18" s="259"/>
      <c r="R18" s="25"/>
      <c r="S18" s="181" t="str">
        <f>B262</f>
        <v/>
      </c>
      <c r="T18" s="266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6">
        <f>'Données projet'!D17</f>
        <v>0</v>
      </c>
      <c r="V18" s="185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5">
        <v>2</v>
      </c>
      <c r="B19" s="208" t="s">
        <v>132</v>
      </c>
      <c r="C19" s="207" t="s">
        <v>132</v>
      </c>
      <c r="D19" s="206" t="s">
        <v>132</v>
      </c>
      <c r="E19" s="202"/>
      <c r="F19" s="255"/>
      <c r="G19" s="331"/>
      <c r="H19" s="227" t="s">
        <v>178</v>
      </c>
      <c r="I19" s="227" t="s">
        <v>288</v>
      </c>
      <c r="J19" s="254"/>
      <c r="K19" s="179"/>
      <c r="L19" s="327" t="s">
        <v>289</v>
      </c>
      <c r="M19" s="328"/>
      <c r="N19" s="187">
        <f>N17*N18</f>
        <v>299.99999999999994</v>
      </c>
      <c r="O19" s="25"/>
      <c r="P19" s="5"/>
      <c r="Q19" s="260"/>
      <c r="R19" s="5"/>
      <c r="S19" s="181" t="str">
        <f>B293</f>
        <v/>
      </c>
      <c r="T19" s="266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6">
        <f>'Données projet'!D18</f>
        <v>0</v>
      </c>
      <c r="V19" s="185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5">
        <v>3</v>
      </c>
      <c r="B20" s="208" t="s">
        <v>132</v>
      </c>
      <c r="C20" s="207" t="s">
        <v>132</v>
      </c>
      <c r="D20" s="206" t="s">
        <v>132</v>
      </c>
      <c r="E20" s="202"/>
      <c r="F20" s="255"/>
      <c r="G20" s="331"/>
      <c r="H20" s="199">
        <v>1</v>
      </c>
      <c r="I20" s="200">
        <f>(1250+400+450)*1.08</f>
        <v>2268</v>
      </c>
      <c r="J20" s="5"/>
      <c r="K20" s="179"/>
      <c r="O20" s="25"/>
      <c r="P20" s="5"/>
      <c r="Q20" s="260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5">
        <v>4</v>
      </c>
      <c r="B21" s="208" t="s">
        <v>132</v>
      </c>
      <c r="C21" s="207" t="s">
        <v>132</v>
      </c>
      <c r="D21" s="206" t="s">
        <v>132</v>
      </c>
      <c r="E21" s="202"/>
      <c r="F21" s="255"/>
      <c r="H21" s="199">
        <v>2</v>
      </c>
      <c r="I21" s="200">
        <f>450*1.08</f>
        <v>486.00000000000006</v>
      </c>
      <c r="K21" s="179"/>
      <c r="O21" s="25"/>
      <c r="P21" s="5"/>
      <c r="Q21" s="260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5">
        <v>5</v>
      </c>
      <c r="B22" s="208" t="s">
        <v>132</v>
      </c>
      <c r="C22" s="207" t="s">
        <v>132</v>
      </c>
      <c r="D22" s="206" t="s">
        <v>132</v>
      </c>
      <c r="E22" s="202"/>
      <c r="F22" s="255"/>
      <c r="H22" s="199">
        <v>3</v>
      </c>
      <c r="I22" s="200">
        <f>300*1.08</f>
        <v>324</v>
      </c>
      <c r="K22" s="179"/>
      <c r="O22" s="25"/>
      <c r="P22" s="5"/>
      <c r="Q22" s="260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88">
        <f>'Données projet'!A36</f>
        <v>15</v>
      </c>
      <c r="B23" s="189">
        <f>'Données projet'!D36</f>
        <v>29</v>
      </c>
      <c r="C23" s="202">
        <f>'Données projet'!E36*42+SUM('Données projet'!F36:G36)*13.8+'Données projet'!H36*10</f>
        <v>13.8</v>
      </c>
      <c r="D23" s="190">
        <f>B23*C23</f>
        <v>400.20000000000005</v>
      </c>
      <c r="E23" s="202"/>
      <c r="F23" s="255"/>
      <c r="H23" s="199">
        <v>4</v>
      </c>
      <c r="I23" s="200">
        <f>300*1.08</f>
        <v>324</v>
      </c>
      <c r="K23" s="220"/>
      <c r="L23" s="329" t="s">
        <v>260</v>
      </c>
      <c r="M23" s="329"/>
      <c r="N23" s="329"/>
      <c r="O23" s="25"/>
      <c r="P23" s="25"/>
      <c r="Q23" s="259"/>
      <c r="R23" s="25"/>
      <c r="S23" s="181" t="s">
        <v>264</v>
      </c>
      <c r="T23" s="343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-14963.517800654636</v>
      </c>
      <c r="U23" s="343"/>
      <c r="V23" s="343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88">
        <f>'Données projet'!A37</f>
        <v>20</v>
      </c>
      <c r="B24" s="189">
        <f>'Données projet'!D37</f>
        <v>39</v>
      </c>
      <c r="C24" s="202">
        <f>'Données projet'!E37*42+SUM('Données projet'!F37:G37)*13.8+'Données projet'!H37*10</f>
        <v>13.8</v>
      </c>
      <c r="D24" s="190">
        <f t="shared" ref="D24:D42" si="2">B24*C24</f>
        <v>538.20000000000005</v>
      </c>
      <c r="E24" s="202"/>
      <c r="F24" s="258"/>
      <c r="H24" s="199">
        <v>5</v>
      </c>
      <c r="I24" s="200">
        <f>300*1.08</f>
        <v>324</v>
      </c>
      <c r="K24" s="220"/>
      <c r="O24" s="25"/>
      <c r="P24" s="25"/>
      <c r="Q24" s="259"/>
      <c r="R24" s="25"/>
      <c r="S24" s="181" t="s">
        <v>261</v>
      </c>
      <c r="T24" s="344">
        <f ca="1">'Scénario référence'!$B$8*$M$30*'Données projet'!$C$5+('Scénario référence'!B9+'Scénario référence'!B10+'Scénario référence'!F8+'Scénario référence'!F9)*$N$19/(1+M4)^N16*'Données projet'!$C$5</f>
        <v>360.45002093445402</v>
      </c>
      <c r="U24" s="344"/>
      <c r="V24" s="344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88">
        <f>'Données projet'!A38</f>
        <v>25</v>
      </c>
      <c r="B25" s="189">
        <f>'Données projet'!D38</f>
        <v>42</v>
      </c>
      <c r="C25" s="202">
        <f>'Données projet'!E38*42+SUM('Données projet'!F38:G38)*13.8+'Données projet'!H38*10</f>
        <v>13.8</v>
      </c>
      <c r="D25" s="190">
        <f t="shared" si="2"/>
        <v>579.6</v>
      </c>
      <c r="E25" s="202"/>
      <c r="F25" s="258"/>
      <c r="G25" s="1"/>
      <c r="H25" s="199"/>
      <c r="I25" s="200"/>
      <c r="K25" s="220"/>
      <c r="L25" s="265" t="s">
        <v>285</v>
      </c>
      <c r="M25" s="265"/>
      <c r="N25" s="265"/>
      <c r="O25" s="265"/>
      <c r="P25" s="201"/>
      <c r="Q25" s="259"/>
      <c r="R25" s="25"/>
      <c r="S25" s="194" t="s">
        <v>266</v>
      </c>
      <c r="T25" s="345">
        <f ca="1">T23-T24</f>
        <v>-15323.967821589089</v>
      </c>
      <c r="U25" s="345"/>
      <c r="V25" s="34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88">
        <f>'Données projet'!A39</f>
        <v>30</v>
      </c>
      <c r="B26" s="189">
        <f>'Données projet'!D39</f>
        <v>41</v>
      </c>
      <c r="C26" s="202">
        <f>'Données projet'!E39*42+SUM('Données projet'!F39:G39)*13.8+'Données projet'!H39*10</f>
        <v>19.440000000000001</v>
      </c>
      <c r="D26" s="190">
        <f t="shared" si="2"/>
        <v>797.04000000000008</v>
      </c>
      <c r="E26" s="202"/>
      <c r="F26" s="258"/>
      <c r="G26" s="253"/>
      <c r="H26" s="199"/>
      <c r="I26" s="200"/>
      <c r="K26" s="220"/>
      <c r="L26" s="332" t="s">
        <v>258</v>
      </c>
      <c r="M26" s="333"/>
      <c r="N26" s="333"/>
      <c r="O26" s="333"/>
      <c r="P26" s="334"/>
      <c r="Q26" s="259"/>
      <c r="R26" s="25"/>
      <c r="S26" s="194" t="s">
        <v>265</v>
      </c>
      <c r="T26" s="342" t="str">
        <f ca="1">IF(T25&lt;0,"Votre projet est additionnel","Votre projet n'est pas additionnel")</f>
        <v>Votre projet est additionnel</v>
      </c>
      <c r="U26" s="342"/>
      <c r="V26" s="342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88">
        <f>'Données projet'!A40</f>
        <v>35</v>
      </c>
      <c r="B27" s="189">
        <f>'Données projet'!D40</f>
        <v>40</v>
      </c>
      <c r="C27" s="202">
        <f>'Données projet'!E40*42+SUM('Données projet'!F40:G40)*13.8+'Données projet'!H40*10</f>
        <v>22.259999999999998</v>
      </c>
      <c r="D27" s="190">
        <f t="shared" si="2"/>
        <v>890.39999999999986</v>
      </c>
      <c r="E27" s="202"/>
      <c r="F27" s="258"/>
      <c r="G27" s="253"/>
      <c r="H27" s="199"/>
      <c r="I27" s="200"/>
      <c r="K27" s="220"/>
      <c r="L27" s="335"/>
      <c r="M27" s="336"/>
      <c r="N27" s="336"/>
      <c r="O27" s="336"/>
      <c r="P27" s="337"/>
      <c r="Q27" s="259"/>
      <c r="R27" s="25"/>
      <c r="S27" s="341" t="s">
        <v>267</v>
      </c>
      <c r="T27" s="341"/>
      <c r="U27" s="341"/>
      <c r="V27" s="341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88">
        <f>'Données projet'!A41</f>
        <v>40</v>
      </c>
      <c r="B28" s="189">
        <f>'Données projet'!D41</f>
        <v>27</v>
      </c>
      <c r="C28" s="202">
        <f>'Données projet'!E41*42+SUM('Données projet'!F41:G41)*13.8+'Données projet'!H41*10</f>
        <v>36.36</v>
      </c>
      <c r="D28" s="190">
        <f t="shared" si="2"/>
        <v>981.72</v>
      </c>
      <c r="E28" s="202"/>
      <c r="F28" s="258"/>
      <c r="G28" s="217"/>
      <c r="H28" s="199"/>
      <c r="I28" s="200"/>
      <c r="K28" s="220"/>
      <c r="Q28" s="259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88">
        <f>'Données projet'!A42</f>
        <v>50</v>
      </c>
      <c r="B29" s="189">
        <f>'Données projet'!D42</f>
        <v>30</v>
      </c>
      <c r="C29" s="202">
        <f>'Données projet'!E42*42+SUM('Données projet'!F42:G42)*13.8+'Données projet'!H42*10</f>
        <v>36.36</v>
      </c>
      <c r="D29" s="190">
        <f t="shared" si="2"/>
        <v>1090.8</v>
      </c>
      <c r="E29" s="202"/>
      <c r="F29" s="258"/>
      <c r="G29" s="213"/>
      <c r="H29" s="199"/>
      <c r="I29" s="200"/>
      <c r="K29" s="220"/>
      <c r="O29" s="25"/>
      <c r="P29" s="25"/>
      <c r="Q29" s="259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88">
        <f>'Données projet'!A43</f>
        <v>60</v>
      </c>
      <c r="B30" s="189">
        <f>'Données projet'!D43</f>
        <v>398</v>
      </c>
      <c r="C30" s="202">
        <f>'Données projet'!E43*42+SUM('Données projet'!F43:G43)*13.8+'Données projet'!H43*10</f>
        <v>36.36</v>
      </c>
      <c r="D30" s="190">
        <f t="shared" si="2"/>
        <v>14471.28</v>
      </c>
      <c r="E30" s="202"/>
      <c r="F30" s="258"/>
      <c r="G30" s="213"/>
      <c r="H30" s="199"/>
      <c r="I30" s="200"/>
      <c r="K30" s="191"/>
      <c r="L30" s="181" t="s">
        <v>259</v>
      </c>
      <c r="M30" s="192">
        <f ca="1">SUM(OFFSET($P$33,0,0,MIN('Données projet'!$E$9:$E$18)+1,1))</f>
        <v>0</v>
      </c>
      <c r="O30" s="5"/>
      <c r="P30" s="5"/>
      <c r="Q30" s="260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88">
        <f>'Données projet'!A44</f>
        <v>0</v>
      </c>
      <c r="B31" s="189">
        <f>'Données projet'!D44</f>
        <v>0</v>
      </c>
      <c r="C31" s="202">
        <f>'Données projet'!E44*150+SUM('Données projet'!F44:G44)*13.8+'Données projet'!H44*10</f>
        <v>0</v>
      </c>
      <c r="D31" s="190">
        <f t="shared" si="2"/>
        <v>0</v>
      </c>
      <c r="E31" s="202"/>
      <c r="F31" s="258"/>
      <c r="G31" s="213"/>
      <c r="H31" s="199"/>
      <c r="I31" s="200"/>
      <c r="K31" s="179"/>
      <c r="Q31" s="259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88">
        <f>'Données projet'!A45</f>
        <v>0</v>
      </c>
      <c r="B32" s="189">
        <f>'Données projet'!D45</f>
        <v>0</v>
      </c>
      <c r="C32" s="202">
        <f>'Données projet'!E45*150+SUM('Données projet'!F45:G45)*13.8+'Données projet'!H45*10</f>
        <v>0</v>
      </c>
      <c r="D32" s="190">
        <f t="shared" si="2"/>
        <v>0</v>
      </c>
      <c r="E32" s="202"/>
      <c r="F32" s="258"/>
      <c r="G32" s="213"/>
      <c r="H32" s="199"/>
      <c r="I32" s="200"/>
      <c r="K32" s="179"/>
      <c r="N32" s="5"/>
      <c r="O32" s="264" t="s">
        <v>178</v>
      </c>
      <c r="P32" s="264" t="s">
        <v>252</v>
      </c>
      <c r="Q32" s="259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88">
        <f>'Données projet'!A46</f>
        <v>0</v>
      </c>
      <c r="B33" s="189">
        <f>'Données projet'!D46</f>
        <v>0</v>
      </c>
      <c r="C33" s="202">
        <f>'Données projet'!E46*150+SUM('Données projet'!F46:G46)*13.8+'Données projet'!H46*10</f>
        <v>0</v>
      </c>
      <c r="D33" s="190">
        <f t="shared" si="2"/>
        <v>0</v>
      </c>
      <c r="E33" s="202"/>
      <c r="F33" s="258"/>
      <c r="G33" s="213"/>
      <c r="H33" s="199"/>
      <c r="I33" s="200"/>
      <c r="K33" s="179"/>
      <c r="L33" s="5"/>
      <c r="M33" s="5"/>
      <c r="N33" s="5"/>
      <c r="O33" s="203">
        <v>0</v>
      </c>
      <c r="P33" s="193">
        <f t="shared" ref="P33:P64" si="3">$P$25/(1+$M$4)^O33</f>
        <v>0</v>
      </c>
      <c r="Q33" s="259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88">
        <f>'Données projet'!A47</f>
        <v>0</v>
      </c>
      <c r="B34" s="189">
        <f>'Données projet'!D47</f>
        <v>0</v>
      </c>
      <c r="C34" s="202">
        <f>'Données projet'!E47*150+SUM('Données projet'!F47:G47)*13.8+'Données projet'!H47*10</f>
        <v>0</v>
      </c>
      <c r="D34" s="190">
        <f t="shared" si="2"/>
        <v>0</v>
      </c>
      <c r="E34" s="202"/>
      <c r="F34" s="258"/>
      <c r="G34" s="213"/>
      <c r="H34" s="199"/>
      <c r="I34" s="200"/>
      <c r="K34" s="179"/>
      <c r="L34" s="278"/>
      <c r="M34" s="278"/>
      <c r="N34" s="279"/>
      <c r="O34" s="203">
        <f>IF(O33+1&lt;=MIN('Données projet'!$E$9:$E$18),O33+1,"STOP")</f>
        <v>1</v>
      </c>
      <c r="P34" s="193">
        <f t="shared" si="3"/>
        <v>0</v>
      </c>
      <c r="Q34" s="259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88">
        <f>'Données projet'!A48</f>
        <v>0</v>
      </c>
      <c r="B35" s="189">
        <f>'Données projet'!D48</f>
        <v>0</v>
      </c>
      <c r="C35" s="202">
        <f>'Données projet'!E48*150+SUM('Données projet'!F48:G48)*13.8+'Données projet'!H48*10</f>
        <v>0</v>
      </c>
      <c r="D35" s="190">
        <f t="shared" si="2"/>
        <v>0</v>
      </c>
      <c r="E35" s="202"/>
      <c r="F35" s="258"/>
      <c r="G35" s="213"/>
      <c r="H35" s="199"/>
      <c r="I35" s="200"/>
      <c r="K35" s="179"/>
      <c r="L35" s="278"/>
      <c r="M35" s="278"/>
      <c r="N35" s="279"/>
      <c r="O35" s="203">
        <f>IF(O34+1&lt;=MIN('Données projet'!$E$9:$E$18),O34+1,"STOP")</f>
        <v>2</v>
      </c>
      <c r="P35" s="193">
        <f t="shared" si="3"/>
        <v>0</v>
      </c>
      <c r="Q35" s="259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88">
        <f>'Données projet'!A49</f>
        <v>0</v>
      </c>
      <c r="B36" s="189">
        <f>'Données projet'!D49</f>
        <v>0</v>
      </c>
      <c r="C36" s="202">
        <f>'Données projet'!E49*150+SUM('Données projet'!F49:G49)*13.8+'Données projet'!H49*10</f>
        <v>0</v>
      </c>
      <c r="D36" s="190">
        <f t="shared" si="2"/>
        <v>0</v>
      </c>
      <c r="E36" s="202"/>
      <c r="F36" s="258"/>
      <c r="G36" s="213"/>
      <c r="H36" s="199"/>
      <c r="I36" s="200"/>
      <c r="K36" s="179"/>
      <c r="L36" s="25"/>
      <c r="M36" s="25"/>
      <c r="N36" s="25"/>
      <c r="O36" s="203">
        <f>IF(O35+1&lt;=MIN('Données projet'!$E$9:$E$18),O35+1,"STOP")</f>
        <v>3</v>
      </c>
      <c r="P36" s="193">
        <f t="shared" si="3"/>
        <v>0</v>
      </c>
      <c r="Q36" s="259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88">
        <f>'Données projet'!A50</f>
        <v>0</v>
      </c>
      <c r="B37" s="189">
        <f>'Données projet'!D50</f>
        <v>0</v>
      </c>
      <c r="C37" s="202">
        <f>'Données projet'!E50*150+SUM('Données projet'!F50:G50)*13.8+'Données projet'!H50*10</f>
        <v>0</v>
      </c>
      <c r="D37" s="190">
        <f t="shared" si="2"/>
        <v>0</v>
      </c>
      <c r="E37" s="202"/>
      <c r="F37" s="258"/>
      <c r="G37" s="213"/>
      <c r="H37" s="199"/>
      <c r="I37" s="200"/>
      <c r="K37" s="179"/>
      <c r="L37" s="25"/>
      <c r="M37" s="25"/>
      <c r="N37" s="25"/>
      <c r="O37" s="203">
        <f>IF(O36+1&lt;=MIN('Données projet'!$E$9:$E$18),O36+1,"STOP")</f>
        <v>4</v>
      </c>
      <c r="P37" s="193">
        <f t="shared" si="3"/>
        <v>0</v>
      </c>
      <c r="Q37" s="259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88">
        <f>'Données projet'!A51</f>
        <v>0</v>
      </c>
      <c r="B38" s="189">
        <f>'Données projet'!D51</f>
        <v>0</v>
      </c>
      <c r="C38" s="202">
        <f>'Données projet'!E51*150+SUM('Données projet'!F51:G51)*13.8+'Données projet'!H51*10</f>
        <v>0</v>
      </c>
      <c r="D38" s="190">
        <f t="shared" si="2"/>
        <v>0</v>
      </c>
      <c r="E38" s="202"/>
      <c r="F38" s="258"/>
      <c r="G38" s="213"/>
      <c r="H38" s="199"/>
      <c r="I38" s="200"/>
      <c r="K38" s="179"/>
      <c r="L38" s="25"/>
      <c r="M38" s="25"/>
      <c r="N38" s="25"/>
      <c r="O38" s="203">
        <f>IF(O37+1&lt;=MIN('Données projet'!$E$9:$E$18),O37+1,"STOP")</f>
        <v>5</v>
      </c>
      <c r="P38" s="193">
        <f t="shared" si="3"/>
        <v>0</v>
      </c>
      <c r="Q38" s="259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88">
        <f>'Données projet'!A52</f>
        <v>0</v>
      </c>
      <c r="B39" s="189">
        <f>'Données projet'!D52</f>
        <v>0</v>
      </c>
      <c r="C39" s="202">
        <f>'Données projet'!E52*150+SUM('Données projet'!F52:G52)*13.8+'Données projet'!H52*10</f>
        <v>0</v>
      </c>
      <c r="D39" s="190">
        <f t="shared" si="2"/>
        <v>0</v>
      </c>
      <c r="E39" s="202"/>
      <c r="F39" s="258"/>
      <c r="G39" s="213"/>
      <c r="H39" s="199"/>
      <c r="I39" s="200"/>
      <c r="K39" s="220"/>
      <c r="L39" s="25"/>
      <c r="M39" s="25"/>
      <c r="N39" s="25"/>
      <c r="O39" s="203">
        <f>IF(O38+1&lt;=MIN('Données projet'!$E$9:$E$18),O38+1,"STOP")</f>
        <v>6</v>
      </c>
      <c r="P39" s="193">
        <f t="shared" si="3"/>
        <v>0</v>
      </c>
      <c r="Q39" s="259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88">
        <f>'Données projet'!A53</f>
        <v>0</v>
      </c>
      <c r="B40" s="189">
        <f>'Données projet'!D53</f>
        <v>0</v>
      </c>
      <c r="C40" s="202">
        <f>'Données projet'!E53*150+SUM('Données projet'!F53:G53)*13.8+'Données projet'!H53*10</f>
        <v>0</v>
      </c>
      <c r="D40" s="190">
        <f t="shared" si="2"/>
        <v>0</v>
      </c>
      <c r="E40" s="202"/>
      <c r="F40" s="258"/>
      <c r="G40" s="213"/>
      <c r="H40" s="199"/>
      <c r="I40" s="200"/>
      <c r="K40" s="220"/>
      <c r="L40" s="25"/>
      <c r="M40" s="25"/>
      <c r="N40" s="25"/>
      <c r="O40" s="203">
        <f>IF(O39+1&lt;=MIN('Données projet'!$E$9:$E$18),O39+1,"STOP")</f>
        <v>7</v>
      </c>
      <c r="P40" s="193">
        <f t="shared" si="3"/>
        <v>0</v>
      </c>
      <c r="Q40" s="259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88">
        <f>'Données projet'!A54</f>
        <v>0</v>
      </c>
      <c r="B41" s="189">
        <f>'Données projet'!D54</f>
        <v>0</v>
      </c>
      <c r="C41" s="202">
        <f>'Données projet'!E54*150+SUM('Données projet'!F54:G54)*13.8+'Données projet'!H54*10</f>
        <v>0</v>
      </c>
      <c r="D41" s="190">
        <f t="shared" si="2"/>
        <v>0</v>
      </c>
      <c r="E41" s="202"/>
      <c r="F41" s="258"/>
      <c r="G41" s="213"/>
      <c r="H41" s="199"/>
      <c r="I41" s="200"/>
      <c r="K41" s="220"/>
      <c r="L41" s="25"/>
      <c r="M41" s="25"/>
      <c r="N41" s="25"/>
      <c r="O41" s="203">
        <f>IF(O40+1&lt;=MIN('Données projet'!$E$9:$E$18),O40+1,"STOP")</f>
        <v>8</v>
      </c>
      <c r="P41" s="193">
        <f t="shared" si="3"/>
        <v>0</v>
      </c>
      <c r="Q41" s="259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88">
        <f>'Données projet'!A55</f>
        <v>0</v>
      </c>
      <c r="B42" s="189">
        <f>'Données projet'!D55</f>
        <v>0</v>
      </c>
      <c r="C42" s="202">
        <f>'Données projet'!E55*150+SUM('Données projet'!F55:G55)*13.8+'Données projet'!H55*10</f>
        <v>0</v>
      </c>
      <c r="D42" s="190">
        <f t="shared" si="2"/>
        <v>0</v>
      </c>
      <c r="E42" s="202"/>
      <c r="F42" s="258"/>
      <c r="G42" s="213"/>
      <c r="H42" s="199"/>
      <c r="I42" s="200"/>
      <c r="K42" s="220"/>
      <c r="L42" s="25"/>
      <c r="M42" s="25"/>
      <c r="N42" s="25"/>
      <c r="O42" s="203">
        <f>IF(O41+1&lt;=MIN('Données projet'!$E$9:$E$18),O41+1,"STOP")</f>
        <v>9</v>
      </c>
      <c r="P42" s="193">
        <f t="shared" si="3"/>
        <v>0</v>
      </c>
      <c r="Q42" s="259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5"/>
      <c r="B43" s="195"/>
      <c r="C43" s="195"/>
      <c r="D43" s="250"/>
      <c r="E43" s="250"/>
      <c r="F43" s="263"/>
      <c r="G43" s="213"/>
      <c r="H43" s="199"/>
      <c r="I43" s="200"/>
      <c r="K43" s="220"/>
      <c r="L43" s="25"/>
      <c r="M43" s="25"/>
      <c r="N43" s="25"/>
      <c r="O43" s="203">
        <f>IF(O42+1&lt;=MIN('Données projet'!$E$9:$E$18),O42+1,"STOP")</f>
        <v>10</v>
      </c>
      <c r="P43" s="193">
        <f t="shared" si="3"/>
        <v>0</v>
      </c>
      <c r="Q43" s="260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5"/>
      <c r="G44" s="213"/>
      <c r="H44" s="199"/>
      <c r="I44" s="200"/>
      <c r="K44" s="220"/>
      <c r="L44" s="25"/>
      <c r="M44" s="25"/>
      <c r="N44" s="25"/>
      <c r="O44" s="203">
        <f>IF(O43+1&lt;=MIN('Données projet'!$E$9:$E$18),O43+1,"STOP")</f>
        <v>11</v>
      </c>
      <c r="P44" s="193">
        <f t="shared" si="3"/>
        <v>0</v>
      </c>
      <c r="Q44" s="260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2" t="str">
        <f>IF('Données projet'!$B$10="","",'Données projet'!$B$10)</f>
        <v>Bouleau verruqueux</v>
      </c>
      <c r="C45" s="5"/>
      <c r="D45" s="5"/>
      <c r="E45" s="5"/>
      <c r="F45" s="255"/>
      <c r="G45" s="213"/>
      <c r="H45" s="199"/>
      <c r="I45" s="200"/>
      <c r="J45" s="25"/>
      <c r="K45" s="220"/>
      <c r="L45" s="25"/>
      <c r="M45" s="25"/>
      <c r="N45" s="25"/>
      <c r="O45" s="203">
        <f>IF(O44+1&lt;=MIN('Données projet'!$E$9:$E$18),O44+1,"STOP")</f>
        <v>12</v>
      </c>
      <c r="P45" s="193">
        <f t="shared" si="3"/>
        <v>0</v>
      </c>
      <c r="Q45" s="260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5"/>
      <c r="G46" s="213"/>
      <c r="H46" s="199"/>
      <c r="I46" s="200"/>
      <c r="J46" s="25"/>
      <c r="K46" s="220"/>
      <c r="L46" s="215"/>
      <c r="M46" s="215"/>
      <c r="N46" s="215"/>
      <c r="O46" s="203">
        <f>IF(O45+1&lt;=MIN('Données projet'!$E$9:$E$18),O45+1,"STOP")</f>
        <v>13</v>
      </c>
      <c r="P46" s="196">
        <f t="shared" si="3"/>
        <v>0</v>
      </c>
      <c r="Q46" s="260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1" t="s">
        <v>180</v>
      </c>
      <c r="B47" s="51" t="s">
        <v>256</v>
      </c>
      <c r="C47" s="51" t="s">
        <v>255</v>
      </c>
      <c r="D47" s="251" t="s">
        <v>252</v>
      </c>
      <c r="E47" s="251" t="s">
        <v>287</v>
      </c>
      <c r="F47" s="256"/>
      <c r="G47" s="213"/>
      <c r="H47" s="199"/>
      <c r="I47" s="200"/>
      <c r="J47" s="25"/>
      <c r="K47" s="220"/>
      <c r="L47" s="5"/>
      <c r="M47" s="5"/>
      <c r="N47" s="5"/>
      <c r="O47" s="203">
        <f>IF(O46+1&lt;=MIN('Données projet'!$E$9:$E$18),O46+1,"STOP")</f>
        <v>14</v>
      </c>
      <c r="P47" s="193">
        <f t="shared" si="3"/>
        <v>0</v>
      </c>
      <c r="Q47" s="260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5">
        <v>0</v>
      </c>
      <c r="B48" s="208" t="s">
        <v>132</v>
      </c>
      <c r="C48" s="207" t="s">
        <v>132</v>
      </c>
      <c r="D48" s="206" t="s">
        <v>132</v>
      </c>
      <c r="E48" s="202">
        <f>1840*1.08</f>
        <v>1987.2</v>
      </c>
      <c r="F48" s="256"/>
      <c r="G48" s="213"/>
      <c r="H48" s="199"/>
      <c r="I48" s="200"/>
      <c r="J48" s="25"/>
      <c r="K48" s="220"/>
      <c r="L48" s="5"/>
      <c r="M48" s="5"/>
      <c r="N48" s="5"/>
      <c r="O48" s="203">
        <f>IF(O47+1&lt;=MIN('Données projet'!$E$9:$E$18),O47+1,"STOP")</f>
        <v>15</v>
      </c>
      <c r="P48" s="193">
        <f t="shared" si="3"/>
        <v>0</v>
      </c>
      <c r="Q48" s="260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4" customFormat="1" ht="17.25" customHeight="1" x14ac:dyDescent="0.3">
      <c r="A49" s="205">
        <v>1</v>
      </c>
      <c r="B49" s="208" t="s">
        <v>132</v>
      </c>
      <c r="C49" s="207" t="s">
        <v>132</v>
      </c>
      <c r="D49" s="206" t="s">
        <v>132</v>
      </c>
      <c r="E49" s="202"/>
      <c r="F49" s="256"/>
      <c r="G49" s="214"/>
      <c r="H49" s="199"/>
      <c r="I49" s="200"/>
      <c r="J49" s="215"/>
      <c r="K49" s="222"/>
      <c r="L49" s="5"/>
      <c r="M49" s="5"/>
      <c r="N49" s="5"/>
      <c r="O49" s="203">
        <f>IF(O48+1&lt;=MIN('Données projet'!$E$9:$E$18),O48+1,"STOP")</f>
        <v>16</v>
      </c>
      <c r="P49" s="193">
        <f t="shared" si="3"/>
        <v>0</v>
      </c>
      <c r="Q49" s="261"/>
      <c r="R49" s="195"/>
      <c r="S49" s="195"/>
      <c r="T49" s="195"/>
      <c r="U49" s="195"/>
      <c r="V49" s="195"/>
      <c r="W49" s="195"/>
      <c r="X49" s="195"/>
      <c r="Y49" s="195"/>
      <c r="Z49" s="195"/>
      <c r="AA49" s="195"/>
      <c r="AB49" s="195"/>
      <c r="AC49" s="195"/>
      <c r="AD49" s="195"/>
      <c r="AE49" s="195"/>
      <c r="AF49" s="195"/>
      <c r="AG49" s="195"/>
      <c r="AH49" s="195"/>
      <c r="AI49" s="195"/>
      <c r="AJ49" s="195"/>
      <c r="AK49" s="195"/>
      <c r="AL49" s="195"/>
      <c r="AM49" s="195"/>
      <c r="AN49" s="195"/>
      <c r="AO49" s="195"/>
      <c r="AP49" s="195"/>
      <c r="AQ49" s="195"/>
      <c r="AR49" s="195"/>
      <c r="AS49" s="195"/>
      <c r="AT49" s="195"/>
      <c r="AU49" s="195"/>
      <c r="AV49" s="195"/>
      <c r="AW49" s="195"/>
      <c r="AX49" s="195"/>
      <c r="AY49" s="195"/>
      <c r="AZ49" s="195"/>
      <c r="BA49" s="195"/>
      <c r="BB49" s="195"/>
      <c r="BC49" s="195"/>
      <c r="BD49" s="195"/>
    </row>
    <row r="50" spans="1:56" x14ac:dyDescent="0.3">
      <c r="A50" s="205">
        <v>2</v>
      </c>
      <c r="B50" s="208" t="s">
        <v>132</v>
      </c>
      <c r="C50" s="207" t="s">
        <v>132</v>
      </c>
      <c r="D50" s="206" t="s">
        <v>132</v>
      </c>
      <c r="E50" s="202"/>
      <c r="F50" s="256"/>
      <c r="G50" s="216"/>
      <c r="H50" s="199"/>
      <c r="I50" s="200"/>
      <c r="J50" s="25"/>
      <c r="K50" s="179"/>
      <c r="L50" s="5"/>
      <c r="M50" s="5"/>
      <c r="N50" s="5"/>
      <c r="O50" s="203">
        <f>IF(O49+1&lt;=MIN('Données projet'!$E$9:$E$18),O49+1,"STOP")</f>
        <v>17</v>
      </c>
      <c r="P50" s="193">
        <f t="shared" si="3"/>
        <v>0</v>
      </c>
      <c r="Q50" s="260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5">
        <v>3</v>
      </c>
      <c r="B51" s="208" t="s">
        <v>132</v>
      </c>
      <c r="C51" s="207" t="s">
        <v>132</v>
      </c>
      <c r="D51" s="206" t="s">
        <v>132</v>
      </c>
      <c r="E51" s="202"/>
      <c r="F51" s="256"/>
      <c r="G51" s="216"/>
      <c r="H51" s="199"/>
      <c r="I51" s="200"/>
      <c r="J51" s="25"/>
      <c r="K51" s="179"/>
      <c r="L51" s="5"/>
      <c r="M51" s="5"/>
      <c r="N51" s="5"/>
      <c r="O51" s="203">
        <f>IF(O50+1&lt;=MIN('Données projet'!$E$9:$E$18),O50+1,"STOP")</f>
        <v>18</v>
      </c>
      <c r="P51" s="193">
        <f t="shared" si="3"/>
        <v>0</v>
      </c>
      <c r="Q51" s="260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5">
        <v>4</v>
      </c>
      <c r="B52" s="208" t="s">
        <v>132</v>
      </c>
      <c r="C52" s="207" t="s">
        <v>132</v>
      </c>
      <c r="D52" s="206" t="s">
        <v>132</v>
      </c>
      <c r="E52" s="202"/>
      <c r="F52" s="256"/>
      <c r="G52" s="216"/>
      <c r="H52" s="199"/>
      <c r="I52" s="200"/>
      <c r="J52" s="25"/>
      <c r="K52" s="179"/>
      <c r="L52" s="5"/>
      <c r="M52" s="5"/>
      <c r="N52" s="5"/>
      <c r="O52" s="203">
        <f>IF(O51+1&lt;=MIN('Données projet'!$E$9:$E$18),O51+1,"STOP")</f>
        <v>19</v>
      </c>
      <c r="P52" s="193">
        <f t="shared" si="3"/>
        <v>0</v>
      </c>
      <c r="Q52" s="260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5">
        <v>5</v>
      </c>
      <c r="B53" s="208" t="s">
        <v>132</v>
      </c>
      <c r="C53" s="207" t="s">
        <v>132</v>
      </c>
      <c r="D53" s="206" t="s">
        <v>132</v>
      </c>
      <c r="E53" s="202"/>
      <c r="F53" s="256"/>
      <c r="G53" s="217"/>
      <c r="H53" s="199"/>
      <c r="I53" s="200"/>
      <c r="J53" s="25"/>
      <c r="K53" s="179"/>
      <c r="L53" s="5"/>
      <c r="M53" s="5"/>
      <c r="N53" s="5"/>
      <c r="O53" s="203">
        <f>IF(O52+1&lt;=MIN('Données projet'!$E$9:$E$18),O52+1,"STOP")</f>
        <v>20</v>
      </c>
      <c r="P53" s="193">
        <f t="shared" si="3"/>
        <v>0</v>
      </c>
      <c r="Q53" s="260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88">
        <f>'Données projet'!A62</f>
        <v>15</v>
      </c>
      <c r="B54" s="189">
        <f>'Données projet'!D62</f>
        <v>9</v>
      </c>
      <c r="C54" s="200">
        <f>'Données projet'!E62*40+SUM('Données projet'!F62:G62)*13.8+'Données projet'!H62*10</f>
        <v>10</v>
      </c>
      <c r="D54" s="187">
        <f>B54*C54</f>
        <v>90</v>
      </c>
      <c r="E54" s="202"/>
      <c r="F54" s="257"/>
      <c r="G54" s="217"/>
      <c r="H54" s="199"/>
      <c r="I54" s="200"/>
      <c r="J54" s="25"/>
      <c r="K54" s="179"/>
      <c r="L54" s="5"/>
      <c r="M54" s="5"/>
      <c r="N54" s="5"/>
      <c r="O54" s="203">
        <f>IF(O53+1&lt;=MIN('Données projet'!$E$9:$E$18),O53+1,"STOP")</f>
        <v>21</v>
      </c>
      <c r="P54" s="193">
        <f t="shared" si="3"/>
        <v>0</v>
      </c>
      <c r="Q54" s="260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88">
        <f>'Données projet'!A63</f>
        <v>20</v>
      </c>
      <c r="B55" s="189">
        <f>'Données projet'!D63</f>
        <v>8</v>
      </c>
      <c r="C55" s="200">
        <f>'Données projet'!E63*40+SUM('Données projet'!F63:G63)*13.8+'Données projet'!H63*10</f>
        <v>10</v>
      </c>
      <c r="D55" s="187">
        <f t="shared" ref="D55:D73" si="4">B55*C55</f>
        <v>80</v>
      </c>
      <c r="E55" s="202"/>
      <c r="F55" s="257"/>
      <c r="G55" s="217"/>
      <c r="H55" s="199"/>
      <c r="I55" s="200"/>
      <c r="J55" s="25"/>
      <c r="K55" s="179"/>
      <c r="L55" s="5"/>
      <c r="M55" s="5"/>
      <c r="N55" s="5"/>
      <c r="O55" s="203">
        <f>IF(O54+1&lt;=MIN('Données projet'!$E$9:$E$18),O54+1,"STOP")</f>
        <v>22</v>
      </c>
      <c r="P55" s="193">
        <f t="shared" si="3"/>
        <v>0</v>
      </c>
      <c r="Q55" s="260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88">
        <f>'Données projet'!A64</f>
        <v>25</v>
      </c>
      <c r="B56" s="189">
        <f>'Données projet'!D64</f>
        <v>9</v>
      </c>
      <c r="C56" s="200">
        <f>'Données projet'!E64*40+SUM('Données projet'!F64:G64)*13.8+'Données projet'!H64*10</f>
        <v>10</v>
      </c>
      <c r="D56" s="187">
        <f t="shared" si="4"/>
        <v>90</v>
      </c>
      <c r="E56" s="202"/>
      <c r="F56" s="257"/>
      <c r="G56" s="217"/>
      <c r="H56" s="199"/>
      <c r="I56" s="200"/>
      <c r="J56" s="25"/>
      <c r="K56" s="179"/>
      <c r="L56" s="5"/>
      <c r="M56" s="5"/>
      <c r="N56" s="5"/>
      <c r="O56" s="203">
        <f>IF(O55+1&lt;=MIN('Données projet'!$E$9:$E$18),O55+1,"STOP")</f>
        <v>23</v>
      </c>
      <c r="P56" s="193">
        <f t="shared" si="3"/>
        <v>0</v>
      </c>
      <c r="Q56" s="260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88">
        <f>'Données projet'!A65</f>
        <v>30</v>
      </c>
      <c r="B57" s="189">
        <f>'Données projet'!D65</f>
        <v>10</v>
      </c>
      <c r="C57" s="200">
        <f>'Données projet'!E65*40+SUM('Données projet'!F65:G65)*13.8+'Données projet'!H65*10</f>
        <v>16</v>
      </c>
      <c r="D57" s="187">
        <f t="shared" si="4"/>
        <v>160</v>
      </c>
      <c r="E57" s="202"/>
      <c r="F57" s="257"/>
      <c r="G57" s="217"/>
      <c r="H57" s="199"/>
      <c r="I57" s="200"/>
      <c r="J57" s="25"/>
      <c r="K57" s="179"/>
      <c r="L57" s="5"/>
      <c r="M57" s="5"/>
      <c r="N57" s="5"/>
      <c r="O57" s="203">
        <f>IF(O56+1&lt;=MIN('Données projet'!$E$9:$E$18),O56+1,"STOP")</f>
        <v>24</v>
      </c>
      <c r="P57" s="193">
        <f t="shared" si="3"/>
        <v>0</v>
      </c>
      <c r="Q57" s="260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88">
        <f>'Données projet'!A66</f>
        <v>35</v>
      </c>
      <c r="B58" s="189">
        <f>'Données projet'!D66</f>
        <v>10</v>
      </c>
      <c r="C58" s="200">
        <f>'Données projet'!E66*40+SUM('Données projet'!F66:G66)*13.8+'Données projet'!H66*10</f>
        <v>22</v>
      </c>
      <c r="D58" s="187">
        <f t="shared" si="4"/>
        <v>220</v>
      </c>
      <c r="E58" s="202"/>
      <c r="F58" s="257"/>
      <c r="G58" s="217"/>
      <c r="H58" s="199"/>
      <c r="I58" s="200"/>
      <c r="J58" s="25"/>
      <c r="K58" s="179"/>
      <c r="L58" s="5"/>
      <c r="M58" s="5"/>
      <c r="N58" s="5"/>
      <c r="O58" s="203">
        <f>IF(O57+1&lt;=MIN('Données projet'!$E$9:$E$18),O57+1,"STOP")</f>
        <v>25</v>
      </c>
      <c r="P58" s="193">
        <f t="shared" si="3"/>
        <v>0</v>
      </c>
      <c r="Q58" s="260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88">
        <f>'Données projet'!A67</f>
        <v>40</v>
      </c>
      <c r="B59" s="189">
        <f>'Données projet'!D67</f>
        <v>11</v>
      </c>
      <c r="C59" s="200">
        <f>'Données projet'!E67*40+SUM('Données projet'!F67:G67)*13.8+'Données projet'!H67*10</f>
        <v>22</v>
      </c>
      <c r="D59" s="187">
        <f t="shared" si="4"/>
        <v>242</v>
      </c>
      <c r="E59" s="202"/>
      <c r="F59" s="257"/>
      <c r="G59" s="217"/>
      <c r="H59" s="199"/>
      <c r="I59" s="200"/>
      <c r="J59" s="25"/>
      <c r="K59" s="179"/>
      <c r="L59" s="5"/>
      <c r="M59" s="5"/>
      <c r="N59" s="5"/>
      <c r="O59" s="203">
        <f>IF(O58+1&lt;=MIN('Données projet'!$E$9:$E$18),O58+1,"STOP")</f>
        <v>26</v>
      </c>
      <c r="P59" s="193">
        <f t="shared" si="3"/>
        <v>0</v>
      </c>
      <c r="Q59" s="260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88">
        <f>'Données projet'!A68</f>
        <v>45</v>
      </c>
      <c r="B60" s="189">
        <f>'Données projet'!D68</f>
        <v>127</v>
      </c>
      <c r="C60" s="200">
        <f>'Données projet'!E68*40+SUM('Données projet'!F68:G68)*13.8+'Données projet'!H68*10</f>
        <v>28</v>
      </c>
      <c r="D60" s="187">
        <f t="shared" si="4"/>
        <v>3556</v>
      </c>
      <c r="E60" s="202"/>
      <c r="F60" s="257"/>
      <c r="G60" s="218"/>
      <c r="H60" s="199"/>
      <c r="I60" s="200"/>
      <c r="J60" s="25"/>
      <c r="K60" s="179"/>
      <c r="L60" s="5"/>
      <c r="M60" s="5"/>
      <c r="N60" s="5"/>
      <c r="O60" s="203">
        <f>IF(O59+1&lt;=MIN('Données projet'!$E$9:$E$18),O59+1,"STOP")</f>
        <v>27</v>
      </c>
      <c r="P60" s="193">
        <f t="shared" si="3"/>
        <v>0</v>
      </c>
      <c r="Q60" s="260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88">
        <f>'Données projet'!A69</f>
        <v>0</v>
      </c>
      <c r="B61" s="189">
        <f>'Données projet'!D69</f>
        <v>0</v>
      </c>
      <c r="C61" s="200">
        <f>'Données projet'!E69*60+SUM('Données projet'!F69:G69)*13.8+'Données projet'!H69*10</f>
        <v>0</v>
      </c>
      <c r="D61" s="187">
        <f t="shared" si="4"/>
        <v>0</v>
      </c>
      <c r="E61" s="202"/>
      <c r="F61" s="257"/>
      <c r="G61" s="218"/>
      <c r="H61" s="199"/>
      <c r="I61" s="200"/>
      <c r="J61" s="25"/>
      <c r="K61" s="179"/>
      <c r="L61" s="5"/>
      <c r="M61" s="5"/>
      <c r="N61" s="5"/>
      <c r="O61" s="203">
        <f>IF(O60+1&lt;=MIN('Données projet'!$E$9:$E$18),O60+1,"STOP")</f>
        <v>28</v>
      </c>
      <c r="P61" s="193">
        <f t="shared" si="3"/>
        <v>0</v>
      </c>
      <c r="Q61" s="260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88">
        <f>'Données projet'!A70</f>
        <v>0</v>
      </c>
      <c r="B62" s="189">
        <f>'Données projet'!D70</f>
        <v>0</v>
      </c>
      <c r="C62" s="200">
        <f>'Données projet'!E70*60+SUM('Données projet'!F70:G70)*13.8+'Données projet'!H70*10</f>
        <v>0</v>
      </c>
      <c r="D62" s="187">
        <f t="shared" si="4"/>
        <v>0</v>
      </c>
      <c r="E62" s="202"/>
      <c r="F62" s="257"/>
      <c r="G62" s="218"/>
      <c r="H62" s="199"/>
      <c r="I62" s="200"/>
      <c r="J62" s="25"/>
      <c r="K62" s="179"/>
      <c r="L62" s="5"/>
      <c r="M62" s="5"/>
      <c r="N62" s="5"/>
      <c r="O62" s="203">
        <f>IF(O61+1&lt;=MIN('Données projet'!$E$9:$E$18),O61+1,"STOP")</f>
        <v>29</v>
      </c>
      <c r="P62" s="193">
        <f t="shared" si="3"/>
        <v>0</v>
      </c>
      <c r="Q62" s="260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88">
        <f>'Données projet'!A71</f>
        <v>0</v>
      </c>
      <c r="B63" s="189">
        <f>'Données projet'!D71</f>
        <v>0</v>
      </c>
      <c r="C63" s="200">
        <f>'Données projet'!E71*60+SUM('Données projet'!F71:G71)*13.8+'Données projet'!H71*10</f>
        <v>0</v>
      </c>
      <c r="D63" s="187">
        <f t="shared" si="4"/>
        <v>0</v>
      </c>
      <c r="E63" s="202"/>
      <c r="F63" s="257"/>
      <c r="G63" s="218"/>
      <c r="H63" s="199"/>
      <c r="I63" s="200"/>
      <c r="J63" s="25"/>
      <c r="K63" s="179"/>
      <c r="L63" s="5"/>
      <c r="M63" s="5"/>
      <c r="N63" s="5"/>
      <c r="O63" s="203">
        <f>IF(O62+1&lt;=MIN('Données projet'!$E$9:$E$18),O62+1,"STOP")</f>
        <v>30</v>
      </c>
      <c r="P63" s="193">
        <f t="shared" si="3"/>
        <v>0</v>
      </c>
      <c r="Q63" s="260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88">
        <f>'Données projet'!A72</f>
        <v>0</v>
      </c>
      <c r="B64" s="189">
        <f>'Données projet'!D72</f>
        <v>0</v>
      </c>
      <c r="C64" s="200">
        <f>'Données projet'!E72*60+SUM('Données projet'!F72:G72)*13.8+'Données projet'!H72*10</f>
        <v>0</v>
      </c>
      <c r="D64" s="187">
        <f t="shared" si="4"/>
        <v>0</v>
      </c>
      <c r="E64" s="202"/>
      <c r="F64" s="257"/>
      <c r="G64" s="218"/>
      <c r="H64" s="199"/>
      <c r="I64" s="200"/>
      <c r="J64" s="219"/>
      <c r="K64" s="179"/>
      <c r="L64" s="5"/>
      <c r="M64" s="5"/>
      <c r="N64" s="5"/>
      <c r="O64" s="203">
        <f>IF(O63+1&lt;=MIN('Données projet'!$E$9:$E$18),O63+1,"STOP")</f>
        <v>31</v>
      </c>
      <c r="P64" s="193">
        <f t="shared" si="3"/>
        <v>0</v>
      </c>
      <c r="Q64" s="260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88">
        <f>'Données projet'!A73</f>
        <v>0</v>
      </c>
      <c r="B65" s="189">
        <f>'Données projet'!D73</f>
        <v>0</v>
      </c>
      <c r="C65" s="200">
        <f>'Données projet'!E73*60+SUM('Données projet'!F73:G73)*13.8+'Données projet'!H73*10</f>
        <v>0</v>
      </c>
      <c r="D65" s="187">
        <f t="shared" si="4"/>
        <v>0</v>
      </c>
      <c r="E65" s="202"/>
      <c r="F65" s="257"/>
      <c r="G65" s="218"/>
      <c r="H65" s="199"/>
      <c r="I65" s="200"/>
      <c r="J65" s="197"/>
      <c r="K65" s="179"/>
      <c r="L65" s="5"/>
      <c r="M65" s="5"/>
      <c r="N65" s="5"/>
      <c r="O65" s="203">
        <f>IF(O64+1&lt;=MIN('Données projet'!$E$9:$E$18),O64+1,"STOP")</f>
        <v>32</v>
      </c>
      <c r="P65" s="193">
        <f t="shared" ref="P65:P96" si="5">$P$25/(1+$M$4)^O65</f>
        <v>0</v>
      </c>
      <c r="Q65" s="260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88">
        <f>'Données projet'!A74</f>
        <v>0</v>
      </c>
      <c r="B66" s="189">
        <f>'Données projet'!D74</f>
        <v>0</v>
      </c>
      <c r="C66" s="200">
        <f>'Données projet'!E74*60+SUM('Données projet'!F74:G74)*13.8+'Données projet'!H74*10</f>
        <v>0</v>
      </c>
      <c r="D66" s="187">
        <f t="shared" si="4"/>
        <v>0</v>
      </c>
      <c r="E66" s="202"/>
      <c r="F66" s="257"/>
      <c r="G66" s="218"/>
      <c r="H66" s="199"/>
      <c r="I66" s="200"/>
      <c r="J66" s="197"/>
      <c r="K66" s="179"/>
      <c r="L66" s="5"/>
      <c r="M66" s="5"/>
      <c r="N66" s="5"/>
      <c r="O66" s="203">
        <f>IF(O65+1&lt;=MIN('Données projet'!$E$9:$E$18),O65+1,"STOP")</f>
        <v>33</v>
      </c>
      <c r="P66" s="193">
        <f t="shared" si="5"/>
        <v>0</v>
      </c>
      <c r="Q66" s="260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88">
        <f>'Données projet'!A75</f>
        <v>0</v>
      </c>
      <c r="B67" s="189">
        <f>'Données projet'!D75</f>
        <v>0</v>
      </c>
      <c r="C67" s="200">
        <f>'Données projet'!E75*60+SUM('Données projet'!F75:G75)*13.8+'Données projet'!H75*10</f>
        <v>0</v>
      </c>
      <c r="D67" s="187">
        <f t="shared" si="4"/>
        <v>0</v>
      </c>
      <c r="E67" s="202"/>
      <c r="F67" s="257"/>
      <c r="G67" s="218"/>
      <c r="H67" s="199"/>
      <c r="I67" s="200"/>
      <c r="J67" s="197"/>
      <c r="K67" s="179"/>
      <c r="L67" s="5"/>
      <c r="M67" s="5"/>
      <c r="N67" s="5"/>
      <c r="O67" s="203">
        <f>IF(O66+1&lt;=MIN('Données projet'!$E$9:$E$18),O66+1,"STOP")</f>
        <v>34</v>
      </c>
      <c r="P67" s="193">
        <f t="shared" si="5"/>
        <v>0</v>
      </c>
      <c r="Q67" s="260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88">
        <f>'Données projet'!A76</f>
        <v>0</v>
      </c>
      <c r="B68" s="189">
        <f>'Données projet'!D76</f>
        <v>0</v>
      </c>
      <c r="C68" s="200">
        <f>'Données projet'!E76*60+SUM('Données projet'!F76:G76)*13.8+'Données projet'!H76*10</f>
        <v>0</v>
      </c>
      <c r="D68" s="187">
        <f t="shared" si="4"/>
        <v>0</v>
      </c>
      <c r="E68" s="202"/>
      <c r="F68" s="257"/>
      <c r="G68" s="218"/>
      <c r="H68" s="199"/>
      <c r="I68" s="200"/>
      <c r="J68" s="197"/>
      <c r="K68" s="179"/>
      <c r="L68" s="5"/>
      <c r="M68" s="5"/>
      <c r="N68" s="5"/>
      <c r="O68" s="203">
        <f>IF(O67+1&lt;=MIN('Données projet'!$E$9:$E$18),O67+1,"STOP")</f>
        <v>35</v>
      </c>
      <c r="P68" s="193">
        <f t="shared" si="5"/>
        <v>0</v>
      </c>
      <c r="Q68" s="260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88">
        <f>'Données projet'!A77</f>
        <v>0</v>
      </c>
      <c r="B69" s="189">
        <f>'Données projet'!D77</f>
        <v>0</v>
      </c>
      <c r="C69" s="200">
        <f>'Données projet'!E77*60+SUM('Données projet'!F77:G77)*13.8+'Données projet'!H77*10</f>
        <v>0</v>
      </c>
      <c r="D69" s="187">
        <f t="shared" si="4"/>
        <v>0</v>
      </c>
      <c r="E69" s="202"/>
      <c r="F69" s="257"/>
      <c r="G69" s="218"/>
      <c r="H69" s="199"/>
      <c r="I69" s="200"/>
      <c r="J69" s="197"/>
      <c r="K69" s="179"/>
      <c r="L69" s="5"/>
      <c r="M69" s="5"/>
      <c r="N69" s="5"/>
      <c r="O69" s="203">
        <f>IF(O68+1&lt;=MIN('Données projet'!$E$9:$E$18),O68+1,"STOP")</f>
        <v>36</v>
      </c>
      <c r="P69" s="193">
        <f t="shared" si="5"/>
        <v>0</v>
      </c>
      <c r="Q69" s="260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88">
        <f>'Données projet'!A78</f>
        <v>0</v>
      </c>
      <c r="B70" s="189">
        <f>'Données projet'!D78</f>
        <v>0</v>
      </c>
      <c r="C70" s="200">
        <f>'Données projet'!E78*60+SUM('Données projet'!F78:G78)*13.8+'Données projet'!H78*10</f>
        <v>0</v>
      </c>
      <c r="D70" s="187">
        <f t="shared" si="4"/>
        <v>0</v>
      </c>
      <c r="E70" s="202"/>
      <c r="F70" s="257"/>
      <c r="G70" s="218"/>
      <c r="H70" s="199"/>
      <c r="I70" s="200"/>
      <c r="J70" s="197"/>
      <c r="K70" s="179"/>
      <c r="L70" s="5"/>
      <c r="M70" s="5"/>
      <c r="N70" s="5"/>
      <c r="O70" s="203">
        <f>IF(O69+1&lt;=MIN('Données projet'!$E$9:$E$18),O69+1,"STOP")</f>
        <v>37</v>
      </c>
      <c r="P70" s="193">
        <f t="shared" si="5"/>
        <v>0</v>
      </c>
      <c r="Q70" s="260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88">
        <f>'Données projet'!A79</f>
        <v>0</v>
      </c>
      <c r="B71" s="189">
        <f>'Données projet'!D79</f>
        <v>0</v>
      </c>
      <c r="C71" s="200">
        <f>'Données projet'!E79*60+SUM('Données projet'!F79:G79)*13.8+'Données projet'!H79*10</f>
        <v>0</v>
      </c>
      <c r="D71" s="187">
        <f t="shared" si="4"/>
        <v>0</v>
      </c>
      <c r="E71" s="202"/>
      <c r="F71" s="257"/>
      <c r="G71" s="218"/>
      <c r="H71" s="199"/>
      <c r="I71" s="200"/>
      <c r="J71" s="197"/>
      <c r="K71" s="179"/>
      <c r="L71" s="5"/>
      <c r="M71" s="5"/>
      <c r="N71" s="5"/>
      <c r="O71" s="203">
        <f>IF(O70+1&lt;=MIN('Données projet'!$E$9:$E$18),O70+1,"STOP")</f>
        <v>38</v>
      </c>
      <c r="P71" s="193">
        <f t="shared" si="5"/>
        <v>0</v>
      </c>
      <c r="Q71" s="260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88">
        <f>'Données projet'!A80</f>
        <v>0</v>
      </c>
      <c r="B72" s="189">
        <f>'Données projet'!D80</f>
        <v>0</v>
      </c>
      <c r="C72" s="200">
        <f>'Données projet'!E80*60+SUM('Données projet'!F80:G80)*13.8+'Données projet'!H80*10</f>
        <v>0</v>
      </c>
      <c r="D72" s="187">
        <f t="shared" si="4"/>
        <v>0</v>
      </c>
      <c r="E72" s="202"/>
      <c r="F72" s="257"/>
      <c r="G72" s="218"/>
      <c r="H72" s="199"/>
      <c r="I72" s="200"/>
      <c r="J72" s="5"/>
      <c r="K72" s="179"/>
      <c r="L72" s="5"/>
      <c r="M72" s="5"/>
      <c r="N72" s="5"/>
      <c r="O72" s="203">
        <f>IF(O71+1&lt;=MIN('Données projet'!$E$9:$E$18),O71+1,"STOP")</f>
        <v>39</v>
      </c>
      <c r="P72" s="193">
        <f t="shared" si="5"/>
        <v>0</v>
      </c>
      <c r="Q72" s="260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88">
        <f>'Données projet'!A81</f>
        <v>0</v>
      </c>
      <c r="B73" s="189">
        <f>'Données projet'!D81</f>
        <v>0</v>
      </c>
      <c r="C73" s="200">
        <f>'Données projet'!E81*60+SUM('Données projet'!F81:G81)*13.8+'Données projet'!H81*10</f>
        <v>0</v>
      </c>
      <c r="D73" s="187">
        <f t="shared" si="4"/>
        <v>0</v>
      </c>
      <c r="E73" s="202"/>
      <c r="F73" s="257"/>
      <c r="G73" s="218"/>
      <c r="H73" s="199"/>
      <c r="I73" s="200"/>
      <c r="J73" s="5"/>
      <c r="K73" s="179"/>
      <c r="L73" s="5"/>
      <c r="M73" s="5"/>
      <c r="N73" s="5"/>
      <c r="O73" s="203">
        <f>IF(O72+1&lt;=MIN('Données projet'!$E$9:$E$18),O72+1,"STOP")</f>
        <v>40</v>
      </c>
      <c r="P73" s="193">
        <f t="shared" si="5"/>
        <v>0</v>
      </c>
      <c r="Q73" s="260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5"/>
      <c r="G74" s="218"/>
      <c r="H74" s="199"/>
      <c r="I74" s="200"/>
      <c r="J74" s="5"/>
      <c r="K74" s="179"/>
      <c r="L74" s="5"/>
      <c r="M74" s="5"/>
      <c r="N74" s="5"/>
      <c r="O74" s="203">
        <f>IF(O73+1&lt;=MIN('Données projet'!$E$9:$E$18),O73+1,"STOP")</f>
        <v>41</v>
      </c>
      <c r="P74" s="193">
        <f t="shared" si="5"/>
        <v>0</v>
      </c>
      <c r="Q74" s="260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5"/>
      <c r="G75" s="218"/>
      <c r="H75" s="199"/>
      <c r="I75" s="200"/>
      <c r="J75" s="5"/>
      <c r="K75" s="179"/>
      <c r="L75" s="5"/>
      <c r="M75" s="5"/>
      <c r="N75" s="5"/>
      <c r="O75" s="203">
        <f>IF(O74+1&lt;=MIN('Données projet'!$E$9:$E$18),O74+1,"STOP")</f>
        <v>42</v>
      </c>
      <c r="P75" s="193">
        <f t="shared" si="5"/>
        <v>0</v>
      </c>
      <c r="Q75" s="260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2" t="str">
        <f>IF('Données projet'!B11="","",'Données projet'!B11)</f>
        <v>Chêne pubescent</v>
      </c>
      <c r="C76" s="5"/>
      <c r="D76" s="5"/>
      <c r="E76" s="5"/>
      <c r="F76" s="255"/>
      <c r="G76" s="218"/>
      <c r="H76" s="199"/>
      <c r="I76" s="200"/>
      <c r="J76" s="5"/>
      <c r="K76" s="179"/>
      <c r="L76" s="5"/>
      <c r="M76" s="5"/>
      <c r="N76" s="5"/>
      <c r="O76" s="203">
        <f>IF(O75+1&lt;=MIN('Données projet'!$E$9:$E$18),O75+1,"STOP")</f>
        <v>43</v>
      </c>
      <c r="P76" s="193">
        <f t="shared" si="5"/>
        <v>0</v>
      </c>
      <c r="Q76" s="260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5"/>
      <c r="G77" s="218"/>
      <c r="H77" s="199"/>
      <c r="I77" s="200"/>
      <c r="J77" s="5"/>
      <c r="K77" s="179"/>
      <c r="L77" s="5"/>
      <c r="M77" s="5"/>
      <c r="N77" s="5"/>
      <c r="O77" s="203">
        <f>IF(O76+1&lt;=MIN('Données projet'!$E$9:$E$18),O76+1,"STOP")</f>
        <v>44</v>
      </c>
      <c r="P77" s="193">
        <f t="shared" si="5"/>
        <v>0</v>
      </c>
      <c r="Q77" s="260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1" t="s">
        <v>180</v>
      </c>
      <c r="B78" s="51" t="s">
        <v>256</v>
      </c>
      <c r="C78" s="51" t="s">
        <v>255</v>
      </c>
      <c r="D78" s="251" t="s">
        <v>252</v>
      </c>
      <c r="E78" s="251" t="s">
        <v>287</v>
      </c>
      <c r="F78" s="256"/>
      <c r="G78" s="218"/>
      <c r="H78" s="199"/>
      <c r="I78" s="200"/>
      <c r="J78" s="5"/>
      <c r="K78" s="179"/>
      <c r="L78" s="5"/>
      <c r="M78" s="5"/>
      <c r="N78" s="5"/>
      <c r="O78" s="203">
        <f>IF(O77+1&lt;=MIN('Données projet'!$E$9:$E$18),O77+1,"STOP")</f>
        <v>45</v>
      </c>
      <c r="P78" s="193">
        <f t="shared" si="5"/>
        <v>0</v>
      </c>
      <c r="Q78" s="260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5">
        <v>0</v>
      </c>
      <c r="B79" s="208" t="s">
        <v>132</v>
      </c>
      <c r="C79" s="207" t="s">
        <v>132</v>
      </c>
      <c r="D79" s="206" t="s">
        <v>132</v>
      </c>
      <c r="E79" s="202">
        <f>2755*1.08</f>
        <v>2975.4</v>
      </c>
      <c r="F79" s="256"/>
      <c r="G79" s="218"/>
      <c r="H79" s="199"/>
      <c r="I79" s="200"/>
      <c r="J79" s="5"/>
      <c r="K79" s="179"/>
      <c r="L79" s="5"/>
      <c r="M79" s="5"/>
      <c r="N79" s="5"/>
      <c r="O79" s="203" t="str">
        <f>IF(O78+1&lt;=MIN('Données projet'!$E$9:$E$18),O78+1,"STOP")</f>
        <v>STOP</v>
      </c>
      <c r="P79" s="193" t="e">
        <f t="shared" si="5"/>
        <v>#VALUE!</v>
      </c>
      <c r="Q79" s="260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5">
        <v>1</v>
      </c>
      <c r="B80" s="208" t="s">
        <v>132</v>
      </c>
      <c r="C80" s="207" t="s">
        <v>132</v>
      </c>
      <c r="D80" s="206" t="s">
        <v>132</v>
      </c>
      <c r="E80" s="202"/>
      <c r="F80" s="256"/>
      <c r="G80" s="216"/>
      <c r="H80" s="199"/>
      <c r="I80" s="200"/>
      <c r="J80" s="5"/>
      <c r="K80" s="179"/>
      <c r="L80" s="5"/>
      <c r="M80" s="5"/>
      <c r="N80" s="5"/>
      <c r="O80" s="203" t="e">
        <f>IF(O79+1&lt;=MIN('Données projet'!$E$9:$E$18),O79+1,"STOP")</f>
        <v>#VALUE!</v>
      </c>
      <c r="P80" s="193" t="e">
        <f t="shared" si="5"/>
        <v>#VALUE!</v>
      </c>
      <c r="Q80" s="260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5">
        <v>2</v>
      </c>
      <c r="B81" s="208" t="s">
        <v>132</v>
      </c>
      <c r="C81" s="207" t="s">
        <v>132</v>
      </c>
      <c r="D81" s="206" t="s">
        <v>132</v>
      </c>
      <c r="E81" s="202"/>
      <c r="F81" s="256"/>
      <c r="G81" s="216"/>
      <c r="H81" s="199"/>
      <c r="I81" s="200"/>
      <c r="J81" s="5"/>
      <c r="K81" s="179"/>
      <c r="L81" s="5"/>
      <c r="M81" s="5"/>
      <c r="N81" s="5"/>
      <c r="O81" s="203" t="e">
        <f>IF(O80+1&lt;=MIN('Données projet'!$E$9:$E$18),O80+1,"STOP")</f>
        <v>#VALUE!</v>
      </c>
      <c r="P81" s="193" t="e">
        <f t="shared" si="5"/>
        <v>#VALUE!</v>
      </c>
      <c r="Q81" s="260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5">
        <v>3</v>
      </c>
      <c r="B82" s="208" t="s">
        <v>132</v>
      </c>
      <c r="C82" s="207" t="s">
        <v>132</v>
      </c>
      <c r="D82" s="206" t="s">
        <v>132</v>
      </c>
      <c r="E82" s="202"/>
      <c r="F82" s="256"/>
      <c r="G82" s="216"/>
      <c r="H82" s="199"/>
      <c r="I82" s="200"/>
      <c r="J82" s="5"/>
      <c r="K82" s="179"/>
      <c r="L82" s="5"/>
      <c r="M82" s="5"/>
      <c r="N82" s="5"/>
      <c r="O82" s="203" t="e">
        <f>IF(O81+1&lt;=MIN('Données projet'!$E$9:$E$18),O81+1,"STOP")</f>
        <v>#VALUE!</v>
      </c>
      <c r="P82" s="193" t="e">
        <f t="shared" si="5"/>
        <v>#VALUE!</v>
      </c>
      <c r="Q82" s="260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5">
        <v>4</v>
      </c>
      <c r="B83" s="208" t="s">
        <v>132</v>
      </c>
      <c r="C83" s="207" t="s">
        <v>132</v>
      </c>
      <c r="D83" s="206" t="s">
        <v>132</v>
      </c>
      <c r="E83" s="202"/>
      <c r="F83" s="256"/>
      <c r="G83" s="216"/>
      <c r="H83" s="199"/>
      <c r="I83" s="200"/>
      <c r="J83" s="5"/>
      <c r="K83" s="179"/>
      <c r="L83" s="5"/>
      <c r="M83" s="5"/>
      <c r="N83" s="5"/>
      <c r="O83" s="203" t="e">
        <f>IF(O82+1&lt;=MIN('Données projet'!$E$9:$E$18),O82+1,"STOP")</f>
        <v>#VALUE!</v>
      </c>
      <c r="P83" s="193" t="e">
        <f t="shared" si="5"/>
        <v>#VALUE!</v>
      </c>
      <c r="Q83" s="260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5">
        <v>5</v>
      </c>
      <c r="B84" s="208" t="s">
        <v>132</v>
      </c>
      <c r="C84" s="207" t="s">
        <v>132</v>
      </c>
      <c r="D84" s="206" t="s">
        <v>132</v>
      </c>
      <c r="E84" s="202"/>
      <c r="F84" s="256"/>
      <c r="G84" s="217"/>
      <c r="H84" s="199"/>
      <c r="I84" s="200"/>
      <c r="J84" s="5"/>
      <c r="K84" s="179"/>
      <c r="L84" s="5"/>
      <c r="M84" s="5"/>
      <c r="N84" s="5"/>
      <c r="O84" s="203" t="e">
        <f>IF(O83+1&lt;=MIN('Données projet'!$E$9:$E$18),O83+1,"STOP")</f>
        <v>#VALUE!</v>
      </c>
      <c r="P84" s="193" t="e">
        <f t="shared" si="5"/>
        <v>#VALUE!</v>
      </c>
      <c r="Q84" s="260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88">
        <f>'Données projet'!A88</f>
        <v>56</v>
      </c>
      <c r="B85" s="189">
        <f>'Données projet'!D88</f>
        <v>29</v>
      </c>
      <c r="C85" s="200">
        <f>'Données projet'!E88*150+SUM('Données projet'!F88:G88)*13.8+'Données projet'!H88*10</f>
        <v>24</v>
      </c>
      <c r="D85" s="187">
        <f>B85*C85</f>
        <v>696</v>
      </c>
      <c r="E85" s="202"/>
      <c r="F85" s="257"/>
      <c r="G85" s="217"/>
      <c r="H85" s="199"/>
      <c r="I85" s="200"/>
      <c r="J85" s="5"/>
      <c r="K85" s="179"/>
      <c r="L85" s="5"/>
      <c r="M85" s="5"/>
      <c r="N85" s="5"/>
      <c r="O85" s="203" t="e">
        <f>IF(O84+1&lt;=MIN('Données projet'!$E$9:$E$18),O84+1,"STOP")</f>
        <v>#VALUE!</v>
      </c>
      <c r="P85" s="193" t="e">
        <f t="shared" si="5"/>
        <v>#VALUE!</v>
      </c>
      <c r="Q85" s="260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88">
        <f>'Données projet'!A89</f>
        <v>64</v>
      </c>
      <c r="B86" s="189">
        <f>'Données projet'!D89</f>
        <v>32</v>
      </c>
      <c r="C86" s="200">
        <f>'Données projet'!E89*150+SUM('Données projet'!F89:G89)*13.8+'Données projet'!H89*10</f>
        <v>38</v>
      </c>
      <c r="D86" s="187">
        <f t="shared" ref="D86:D104" si="6">B86*C86</f>
        <v>1216</v>
      </c>
      <c r="E86" s="202"/>
      <c r="F86" s="257"/>
      <c r="G86" s="217"/>
      <c r="H86" s="199"/>
      <c r="I86" s="200"/>
      <c r="J86" s="5"/>
      <c r="K86" s="179"/>
      <c r="L86" s="5"/>
      <c r="M86" s="5"/>
      <c r="N86" s="5"/>
      <c r="O86" s="203" t="e">
        <f>IF(O85+1&lt;=MIN('Données projet'!$E$9:$E$18),O85+1,"STOP")</f>
        <v>#VALUE!</v>
      </c>
      <c r="P86" s="193" t="e">
        <f t="shared" si="5"/>
        <v>#VALUE!</v>
      </c>
      <c r="Q86" s="260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88">
        <f>'Données projet'!A90</f>
        <v>72</v>
      </c>
      <c r="B87" s="189">
        <f>'Données projet'!D90</f>
        <v>26</v>
      </c>
      <c r="C87" s="200">
        <f>'Données projet'!E90*150+SUM('Données projet'!F90:G90)*13.8+'Données projet'!H90*10</f>
        <v>38</v>
      </c>
      <c r="D87" s="187">
        <f t="shared" si="6"/>
        <v>988</v>
      </c>
      <c r="E87" s="202"/>
      <c r="F87" s="257"/>
      <c r="G87" s="217"/>
      <c r="H87" s="199"/>
      <c r="I87" s="200"/>
      <c r="J87" s="5"/>
      <c r="K87" s="179"/>
      <c r="L87" s="5"/>
      <c r="M87" s="5"/>
      <c r="N87" s="5"/>
      <c r="O87" s="203" t="e">
        <f>IF(O86+1&lt;=MIN('Données projet'!$E$9:$E$18),O86+1,"STOP")</f>
        <v>#VALUE!</v>
      </c>
      <c r="P87" s="193" t="e">
        <f t="shared" si="5"/>
        <v>#VALUE!</v>
      </c>
      <c r="Q87" s="260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88">
        <f>'Données projet'!A91</f>
        <v>81</v>
      </c>
      <c r="B88" s="189">
        <f>'Données projet'!D91</f>
        <v>27</v>
      </c>
      <c r="C88" s="200">
        <f>'Données projet'!E91*150+SUM('Données projet'!F91:G91)*13.8+'Données projet'!H91*10</f>
        <v>52</v>
      </c>
      <c r="D88" s="187">
        <f t="shared" si="6"/>
        <v>1404</v>
      </c>
      <c r="E88" s="202"/>
      <c r="F88" s="257"/>
      <c r="G88" s="217"/>
      <c r="H88" s="199"/>
      <c r="I88" s="200"/>
      <c r="J88" s="5"/>
      <c r="K88" s="179"/>
      <c r="L88" s="5"/>
      <c r="M88" s="5"/>
      <c r="N88" s="5"/>
      <c r="O88" s="203" t="e">
        <f>IF(O87+1&lt;=MIN('Données projet'!$E$9:$E$18),O87+1,"STOP")</f>
        <v>#VALUE!</v>
      </c>
      <c r="P88" s="193" t="e">
        <f t="shared" si="5"/>
        <v>#VALUE!</v>
      </c>
      <c r="Q88" s="260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88">
        <f>'Données projet'!A92</f>
        <v>90</v>
      </c>
      <c r="B89" s="189">
        <f>'Données projet'!D92</f>
        <v>26</v>
      </c>
      <c r="C89" s="200">
        <f>'Données projet'!E92*150+SUM('Données projet'!F92:G92)*13.8+'Données projet'!H92*10</f>
        <v>52</v>
      </c>
      <c r="D89" s="187">
        <f t="shared" si="6"/>
        <v>1352</v>
      </c>
      <c r="E89" s="202"/>
      <c r="F89" s="257"/>
      <c r="G89" s="217"/>
      <c r="H89" s="199"/>
      <c r="I89" s="200"/>
      <c r="J89" s="5"/>
      <c r="K89" s="179"/>
      <c r="L89" s="5"/>
      <c r="M89" s="5"/>
      <c r="N89" s="5"/>
      <c r="O89" s="203" t="e">
        <f>IF(O88+1&lt;=MIN('Données projet'!$E$9:$E$18),O88+1,"STOP")</f>
        <v>#VALUE!</v>
      </c>
      <c r="P89" s="193" t="e">
        <f t="shared" si="5"/>
        <v>#VALUE!</v>
      </c>
      <c r="Q89" s="260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88">
        <f>'Données projet'!A93</f>
        <v>99</v>
      </c>
      <c r="B90" s="189">
        <f>'Données projet'!D93</f>
        <v>26</v>
      </c>
      <c r="C90" s="200">
        <f>'Données projet'!E93*150+SUM('Données projet'!F93:G93)*13.8+'Données projet'!H93*10</f>
        <v>66</v>
      </c>
      <c r="D90" s="187">
        <f t="shared" si="6"/>
        <v>1716</v>
      </c>
      <c r="E90" s="202"/>
      <c r="F90" s="257"/>
      <c r="G90" s="217"/>
      <c r="H90" s="199"/>
      <c r="I90" s="200"/>
      <c r="J90" s="5"/>
      <c r="K90" s="179"/>
      <c r="L90" s="5"/>
      <c r="M90" s="5"/>
      <c r="N90" s="5"/>
      <c r="O90" s="203" t="e">
        <f>IF(O89+1&lt;=MIN('Données projet'!$E$9:$E$18),O89+1,"STOP")</f>
        <v>#VALUE!</v>
      </c>
      <c r="P90" s="193" t="e">
        <f t="shared" si="5"/>
        <v>#VALUE!</v>
      </c>
      <c r="Q90" s="260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88">
        <f>'Données projet'!A94</f>
        <v>108</v>
      </c>
      <c r="B91" s="189">
        <f>'Données projet'!D94</f>
        <v>26</v>
      </c>
      <c r="C91" s="200">
        <f>'Données projet'!E94*150+SUM('Données projet'!F94:G94)*13.8+'Données projet'!H94*10</f>
        <v>66</v>
      </c>
      <c r="D91" s="187">
        <f t="shared" si="6"/>
        <v>1716</v>
      </c>
      <c r="E91" s="202"/>
      <c r="F91" s="257"/>
      <c r="G91" s="218"/>
      <c r="H91" s="199"/>
      <c r="I91" s="200"/>
      <c r="J91" s="5"/>
      <c r="K91" s="179"/>
      <c r="L91" s="5"/>
      <c r="M91" s="5"/>
      <c r="N91" s="5"/>
      <c r="O91" s="203" t="e">
        <f>IF(O90+1&lt;=MIN('Données projet'!$E$9:$E$18),O90+1,"STOP")</f>
        <v>#VALUE!</v>
      </c>
      <c r="P91" s="193" t="e">
        <f t="shared" si="5"/>
        <v>#VALUE!</v>
      </c>
      <c r="Q91" s="260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88">
        <f>'Données projet'!A95</f>
        <v>118</v>
      </c>
      <c r="B92" s="189">
        <f>'Données projet'!D95</f>
        <v>27</v>
      </c>
      <c r="C92" s="200">
        <f>'Données projet'!E95*150+SUM('Données projet'!F95:G95)*13.8+'Données projet'!H95*10</f>
        <v>80</v>
      </c>
      <c r="D92" s="187">
        <f t="shared" si="6"/>
        <v>2160</v>
      </c>
      <c r="E92" s="202"/>
      <c r="F92" s="257"/>
      <c r="G92" s="218"/>
      <c r="H92" s="199"/>
      <c r="I92" s="200"/>
      <c r="J92" s="5"/>
      <c r="K92" s="179"/>
      <c r="L92" s="5"/>
      <c r="M92" s="5"/>
      <c r="N92" s="5"/>
      <c r="O92" s="203" t="e">
        <f>IF(O91+1&lt;=MIN('Données projet'!$E$9:$E$18),O91+1,"STOP")</f>
        <v>#VALUE!</v>
      </c>
      <c r="P92" s="193" t="e">
        <f t="shared" si="5"/>
        <v>#VALUE!</v>
      </c>
      <c r="Q92" s="260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88">
        <f>'Données projet'!A96</f>
        <v>129</v>
      </c>
      <c r="B93" s="189">
        <f>'Données projet'!D96</f>
        <v>38</v>
      </c>
      <c r="C93" s="200">
        <f>'Données projet'!E96*150+SUM('Données projet'!F96:G96)*13.8+'Données projet'!H96*10</f>
        <v>80</v>
      </c>
      <c r="D93" s="187">
        <f t="shared" si="6"/>
        <v>3040</v>
      </c>
      <c r="E93" s="202"/>
      <c r="F93" s="257"/>
      <c r="G93" s="218"/>
      <c r="H93" s="199"/>
      <c r="I93" s="200"/>
      <c r="J93" s="5"/>
      <c r="K93" s="179"/>
      <c r="L93" s="5"/>
      <c r="M93" s="5"/>
      <c r="N93" s="5"/>
      <c r="O93" s="203" t="e">
        <f>IF(O92+1&lt;=MIN('Données projet'!$E$9:$E$18),O92+1,"STOP")</f>
        <v>#VALUE!</v>
      </c>
      <c r="P93" s="193" t="e">
        <f t="shared" si="5"/>
        <v>#VALUE!</v>
      </c>
      <c r="Q93" s="260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88">
        <f>'Données projet'!A97</f>
        <v>141</v>
      </c>
      <c r="B94" s="189">
        <f>'Données projet'!D97</f>
        <v>38</v>
      </c>
      <c r="C94" s="200">
        <f>'Données projet'!E97*150+SUM('Données projet'!F97:G97)*13.8+'Données projet'!H97*10</f>
        <v>94</v>
      </c>
      <c r="D94" s="187">
        <f t="shared" si="6"/>
        <v>3572</v>
      </c>
      <c r="E94" s="202"/>
      <c r="F94" s="257"/>
      <c r="G94" s="218"/>
      <c r="H94" s="199"/>
      <c r="I94" s="200"/>
      <c r="J94" s="5"/>
      <c r="K94" s="179"/>
      <c r="L94" s="5"/>
      <c r="M94" s="5"/>
      <c r="N94" s="5"/>
      <c r="O94" s="203" t="e">
        <f>IF(O93+1&lt;=MIN('Données projet'!$E$9:$E$18),O93+1,"STOP")</f>
        <v>#VALUE!</v>
      </c>
      <c r="P94" s="193" t="e">
        <f t="shared" si="5"/>
        <v>#VALUE!</v>
      </c>
      <c r="Q94" s="260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88">
        <f>'Données projet'!A98</f>
        <v>153</v>
      </c>
      <c r="B95" s="189">
        <f>'Données projet'!D98</f>
        <v>40</v>
      </c>
      <c r="C95" s="200">
        <f>'Données projet'!E98*150+SUM('Données projet'!F98:G98)*13.8+'Données projet'!H98*10</f>
        <v>94</v>
      </c>
      <c r="D95" s="187">
        <f t="shared" si="6"/>
        <v>3760</v>
      </c>
      <c r="E95" s="202"/>
      <c r="F95" s="257"/>
      <c r="G95" s="218"/>
      <c r="H95" s="199"/>
      <c r="I95" s="200"/>
      <c r="J95" s="5"/>
      <c r="K95" s="179"/>
      <c r="L95" s="5"/>
      <c r="M95" s="5"/>
      <c r="N95" s="5"/>
      <c r="O95" s="203" t="e">
        <f>IF(O94+1&lt;=MIN('Données projet'!$E$9:$E$18),O94+1,"STOP")</f>
        <v>#VALUE!</v>
      </c>
      <c r="P95" s="193" t="e">
        <f t="shared" si="5"/>
        <v>#VALUE!</v>
      </c>
      <c r="Q95" s="260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88">
        <f>'Données projet'!A99</f>
        <v>165</v>
      </c>
      <c r="B96" s="189">
        <f>'Données projet'!D99</f>
        <v>40</v>
      </c>
      <c r="C96" s="200">
        <f>'Données projet'!E99*150+SUM('Données projet'!F99:G99)*13.8+'Données projet'!H99*10</f>
        <v>108</v>
      </c>
      <c r="D96" s="187">
        <f t="shared" si="6"/>
        <v>4320</v>
      </c>
      <c r="E96" s="202"/>
      <c r="F96" s="257"/>
      <c r="G96" s="218"/>
      <c r="H96" s="199"/>
      <c r="I96" s="200"/>
      <c r="J96" s="5"/>
      <c r="K96" s="179"/>
      <c r="L96" s="5"/>
      <c r="M96" s="5"/>
      <c r="N96" s="5"/>
      <c r="O96" s="203" t="e">
        <f>IF(O95+1&lt;=MIN('Données projet'!$E$9:$E$18),O95+1,"STOP")</f>
        <v>#VALUE!</v>
      </c>
      <c r="P96" s="193" t="e">
        <f t="shared" si="5"/>
        <v>#VALUE!</v>
      </c>
      <c r="Q96" s="260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88">
        <f>'Données projet'!A100</f>
        <v>177</v>
      </c>
      <c r="B97" s="189">
        <f>'Données projet'!D100</f>
        <v>39</v>
      </c>
      <c r="C97" s="200">
        <f>'Données projet'!E100*150+SUM('Données projet'!F100:G100)*13.8+'Données projet'!H100*10</f>
        <v>108</v>
      </c>
      <c r="D97" s="187">
        <f t="shared" si="6"/>
        <v>4212</v>
      </c>
      <c r="E97" s="202"/>
      <c r="F97" s="257"/>
      <c r="G97" s="218"/>
      <c r="H97" s="199"/>
      <c r="I97" s="200"/>
      <c r="J97" s="5"/>
      <c r="K97" s="179"/>
      <c r="L97" s="5"/>
      <c r="M97" s="5"/>
      <c r="N97" s="5"/>
      <c r="O97" s="203" t="e">
        <f>IF(O96+1&lt;=MIN('Données projet'!$E$9:$E$18),O96+1,"STOP")</f>
        <v>#VALUE!</v>
      </c>
      <c r="P97" s="193" t="e">
        <f t="shared" ref="P97:P128" si="7">$P$25/(1+$M$4)^O97</f>
        <v>#VALUE!</v>
      </c>
      <c r="Q97" s="260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88">
        <f>'Données projet'!A101</f>
        <v>180</v>
      </c>
      <c r="B98" s="189">
        <f>'Données projet'!D101</f>
        <v>399</v>
      </c>
      <c r="C98" s="200">
        <f>'Données projet'!E101*150+SUM('Données projet'!F101:G101)*13.8+'Données projet'!H101*10</f>
        <v>122</v>
      </c>
      <c r="D98" s="187">
        <f t="shared" si="6"/>
        <v>48678</v>
      </c>
      <c r="E98" s="202"/>
      <c r="F98" s="257"/>
      <c r="G98" s="218"/>
      <c r="H98" s="199"/>
      <c r="I98" s="200"/>
      <c r="J98" s="5"/>
      <c r="K98" s="179"/>
      <c r="L98" s="5"/>
      <c r="M98" s="5"/>
      <c r="N98" s="5"/>
      <c r="O98" s="203" t="e">
        <f>IF(O97+1&lt;=MIN('Données projet'!$E$9:$E$18),O97+1,"STOP")</f>
        <v>#VALUE!</v>
      </c>
      <c r="P98" s="193" t="e">
        <f t="shared" si="7"/>
        <v>#VALUE!</v>
      </c>
      <c r="Q98" s="260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88">
        <f>'Données projet'!A102</f>
        <v>0</v>
      </c>
      <c r="B99" s="189">
        <f>'Données projet'!D102</f>
        <v>0</v>
      </c>
      <c r="C99" s="200">
        <f>'Données projet'!E102*60+SUM('Données projet'!F102:G102)*13.8+'Données projet'!H102*10</f>
        <v>0</v>
      </c>
      <c r="D99" s="187">
        <f t="shared" si="6"/>
        <v>0</v>
      </c>
      <c r="E99" s="202"/>
      <c r="F99" s="257"/>
      <c r="G99" s="218"/>
      <c r="H99" s="199"/>
      <c r="I99" s="200"/>
      <c r="J99" s="5"/>
      <c r="K99" s="179"/>
      <c r="L99" s="5"/>
      <c r="M99" s="5"/>
      <c r="N99" s="5"/>
      <c r="O99" s="203" t="e">
        <f>IF(O98+1&lt;=MIN('Données projet'!$E$9:$E$18),O98+1,"STOP")</f>
        <v>#VALUE!</v>
      </c>
      <c r="P99" s="193" t="e">
        <f t="shared" si="7"/>
        <v>#VALUE!</v>
      </c>
      <c r="Q99" s="260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88">
        <f>'Données projet'!A103</f>
        <v>0</v>
      </c>
      <c r="B100" s="189">
        <f>'Données projet'!D103</f>
        <v>0</v>
      </c>
      <c r="C100" s="200">
        <f>'Données projet'!E103*60+SUM('Données projet'!F103:G103)*13.8+'Données projet'!H103*10</f>
        <v>0</v>
      </c>
      <c r="D100" s="187">
        <f t="shared" si="6"/>
        <v>0</v>
      </c>
      <c r="E100" s="202"/>
      <c r="F100" s="257"/>
      <c r="G100" s="218"/>
      <c r="H100" s="199"/>
      <c r="I100" s="200"/>
      <c r="J100" s="5"/>
      <c r="K100" s="179"/>
      <c r="L100" s="5"/>
      <c r="M100" s="5"/>
      <c r="N100" s="5"/>
      <c r="O100" s="203" t="e">
        <f>IF(O99+1&lt;=MIN('Données projet'!$E$9:$E$18),O99+1,"STOP")</f>
        <v>#VALUE!</v>
      </c>
      <c r="P100" s="193" t="e">
        <f t="shared" si="7"/>
        <v>#VALUE!</v>
      </c>
      <c r="Q100" s="260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88">
        <f>'Données projet'!A104</f>
        <v>0</v>
      </c>
      <c r="B101" s="189">
        <f>'Données projet'!D104</f>
        <v>0</v>
      </c>
      <c r="C101" s="200">
        <f>'Données projet'!E104*60+SUM('Données projet'!F104:G104)*13.8+'Données projet'!H104*10</f>
        <v>0</v>
      </c>
      <c r="D101" s="187">
        <f t="shared" si="6"/>
        <v>0</v>
      </c>
      <c r="E101" s="202"/>
      <c r="F101" s="257"/>
      <c r="G101" s="218"/>
      <c r="H101" s="199"/>
      <c r="I101" s="200"/>
      <c r="J101" s="5"/>
      <c r="K101" s="179"/>
      <c r="L101" s="5"/>
      <c r="M101" s="5"/>
      <c r="N101" s="5"/>
      <c r="O101" s="203" t="e">
        <f>IF(O100+1&lt;=MIN('Données projet'!$E$9:$E$18),O100+1,"STOP")</f>
        <v>#VALUE!</v>
      </c>
      <c r="P101" s="193" t="e">
        <f t="shared" si="7"/>
        <v>#VALUE!</v>
      </c>
      <c r="Q101" s="260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88">
        <f>'Données projet'!A105</f>
        <v>0</v>
      </c>
      <c r="B102" s="189">
        <f>'Données projet'!D105</f>
        <v>0</v>
      </c>
      <c r="C102" s="200">
        <f>'Données projet'!E105*60+SUM('Données projet'!F105:G105)*13.8+'Données projet'!H105*10</f>
        <v>0</v>
      </c>
      <c r="D102" s="187">
        <f t="shared" si="6"/>
        <v>0</v>
      </c>
      <c r="E102" s="202"/>
      <c r="F102" s="257"/>
      <c r="G102" s="218"/>
      <c r="H102" s="199"/>
      <c r="I102" s="200"/>
      <c r="J102" s="5"/>
      <c r="K102" s="179"/>
      <c r="L102" s="5"/>
      <c r="M102" s="5"/>
      <c r="N102" s="5"/>
      <c r="O102" s="203" t="e">
        <f>IF(O101+1&lt;=MIN('Données projet'!$E$9:$E$18),O101+1,"STOP")</f>
        <v>#VALUE!</v>
      </c>
      <c r="P102" s="193" t="e">
        <f t="shared" si="7"/>
        <v>#VALUE!</v>
      </c>
      <c r="Q102" s="260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88">
        <f>'Données projet'!A106</f>
        <v>0</v>
      </c>
      <c r="B103" s="189">
        <f>'Données projet'!D106</f>
        <v>0</v>
      </c>
      <c r="C103" s="200">
        <f>'Données projet'!E106*60+SUM('Données projet'!F106:G106)*13.8+'Données projet'!H106*10</f>
        <v>0</v>
      </c>
      <c r="D103" s="187">
        <f t="shared" si="6"/>
        <v>0</v>
      </c>
      <c r="E103" s="202"/>
      <c r="F103" s="257"/>
      <c r="G103" s="218"/>
      <c r="H103" s="199"/>
      <c r="I103" s="200"/>
      <c r="J103" s="5"/>
      <c r="K103" s="179"/>
      <c r="L103" s="5"/>
      <c r="M103" s="5"/>
      <c r="N103" s="5"/>
      <c r="O103" s="203" t="e">
        <f>IF(O102+1&lt;=MIN('Données projet'!$E$9:$E$18),O102+1,"STOP")</f>
        <v>#VALUE!</v>
      </c>
      <c r="P103" s="193" t="e">
        <f t="shared" si="7"/>
        <v>#VALUE!</v>
      </c>
      <c r="Q103" s="260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88">
        <f>'Données projet'!A107</f>
        <v>0</v>
      </c>
      <c r="B104" s="189">
        <f>'Données projet'!D107</f>
        <v>0</v>
      </c>
      <c r="C104" s="200">
        <f>'Données projet'!E107*60+SUM('Données projet'!F107:G107)*13.8+'Données projet'!H107*10</f>
        <v>0</v>
      </c>
      <c r="D104" s="187">
        <f t="shared" si="6"/>
        <v>0</v>
      </c>
      <c r="E104" s="202"/>
      <c r="F104" s="257"/>
      <c r="G104" s="218"/>
      <c r="H104" s="199"/>
      <c r="I104" s="200"/>
      <c r="J104" s="5"/>
      <c r="K104" s="179"/>
      <c r="L104" s="5"/>
      <c r="M104" s="5"/>
      <c r="N104" s="5"/>
      <c r="O104" s="203" t="e">
        <f>IF(O103+1&lt;=MIN('Données projet'!$E$9:$E$18),O103+1,"STOP")</f>
        <v>#VALUE!</v>
      </c>
      <c r="P104" s="193" t="e">
        <f t="shared" si="7"/>
        <v>#VALUE!</v>
      </c>
      <c r="Q104" s="260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5"/>
      <c r="G105" s="218"/>
      <c r="H105" s="199"/>
      <c r="I105" s="200"/>
      <c r="J105" s="5"/>
      <c r="K105" s="179"/>
      <c r="L105" s="5"/>
      <c r="M105" s="5"/>
      <c r="N105" s="5"/>
      <c r="O105" s="203" t="e">
        <f>IF(O104+1&lt;=MIN('Données projet'!$E$9:$E$18),O104+1,"STOP")</f>
        <v>#VALUE!</v>
      </c>
      <c r="P105" s="193" t="e">
        <f t="shared" si="7"/>
        <v>#VALUE!</v>
      </c>
      <c r="Q105" s="260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5"/>
      <c r="G106" s="218"/>
      <c r="H106" s="199"/>
      <c r="I106" s="200"/>
      <c r="J106" s="5"/>
      <c r="K106" s="179"/>
      <c r="L106" s="5"/>
      <c r="M106" s="5"/>
      <c r="N106" s="5"/>
      <c r="O106" s="203" t="e">
        <f>IF(O105+1&lt;=MIN('Données projet'!$E$9:$E$18),O105+1,"STOP")</f>
        <v>#VALUE!</v>
      </c>
      <c r="P106" s="193" t="e">
        <f t="shared" si="7"/>
        <v>#VALUE!</v>
      </c>
      <c r="Q106" s="260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2" t="str">
        <f>IF('Données projet'!B12="","",'Données projet'!B12)</f>
        <v>Cèdre de l'Atlas</v>
      </c>
      <c r="C107" s="5"/>
      <c r="D107" s="5"/>
      <c r="E107" s="5"/>
      <c r="F107" s="255"/>
      <c r="G107" s="218"/>
      <c r="H107" s="199"/>
      <c r="I107" s="200"/>
      <c r="J107" s="5"/>
      <c r="K107" s="179"/>
      <c r="L107" s="5"/>
      <c r="M107" s="5"/>
      <c r="N107" s="5"/>
      <c r="O107" s="203" t="e">
        <f>IF(O106+1&lt;=MIN('Données projet'!$E$9:$E$18),O106+1,"STOP")</f>
        <v>#VALUE!</v>
      </c>
      <c r="P107" s="193" t="e">
        <f t="shared" si="7"/>
        <v>#VALUE!</v>
      </c>
      <c r="Q107" s="260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5"/>
      <c r="G108" s="218"/>
      <c r="H108" s="199"/>
      <c r="I108" s="200"/>
      <c r="J108" s="5"/>
      <c r="K108" s="179"/>
      <c r="L108" s="5"/>
      <c r="M108" s="5"/>
      <c r="N108" s="5"/>
      <c r="O108" s="203" t="e">
        <f>IF(O107+1&lt;=MIN('Données projet'!$E$9:$E$18),O107+1,"STOP")</f>
        <v>#VALUE!</v>
      </c>
      <c r="P108" s="193" t="e">
        <f t="shared" si="7"/>
        <v>#VALUE!</v>
      </c>
      <c r="Q108" s="260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1" t="s">
        <v>180</v>
      </c>
      <c r="B109" s="51" t="s">
        <v>256</v>
      </c>
      <c r="C109" s="51" t="s">
        <v>255</v>
      </c>
      <c r="D109" s="251" t="s">
        <v>252</v>
      </c>
      <c r="E109" s="251" t="s">
        <v>287</v>
      </c>
      <c r="F109" s="256"/>
      <c r="G109" s="218"/>
      <c r="H109" s="199"/>
      <c r="I109" s="200"/>
      <c r="J109" s="5"/>
      <c r="K109" s="179"/>
      <c r="L109" s="5"/>
      <c r="M109" s="5"/>
      <c r="N109" s="5"/>
      <c r="O109" s="203" t="e">
        <f>IF(O108+1&lt;=MIN('Données projet'!$E$9:$E$18),O108+1,"STOP")</f>
        <v>#VALUE!</v>
      </c>
      <c r="P109" s="193" t="e">
        <f t="shared" si="7"/>
        <v>#VALUE!</v>
      </c>
      <c r="Q109" s="260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5">
        <v>0</v>
      </c>
      <c r="B110" s="208" t="s">
        <v>132</v>
      </c>
      <c r="C110" s="207" t="s">
        <v>132</v>
      </c>
      <c r="D110" s="206" t="s">
        <v>132</v>
      </c>
      <c r="E110" s="202">
        <f>3475*1.08</f>
        <v>3753.0000000000005</v>
      </c>
      <c r="F110" s="256"/>
      <c r="G110" s="218"/>
      <c r="H110" s="199"/>
      <c r="I110" s="200"/>
      <c r="J110" s="5"/>
      <c r="K110" s="179"/>
      <c r="L110" s="5"/>
      <c r="M110" s="5"/>
      <c r="N110" s="5"/>
      <c r="O110" s="203" t="e">
        <f>IF(O109+1&lt;=MIN('Données projet'!$E$9:$E$18),O109+1,"STOP")</f>
        <v>#VALUE!</v>
      </c>
      <c r="P110" s="193" t="e">
        <f t="shared" si="7"/>
        <v>#VALUE!</v>
      </c>
      <c r="Q110" s="260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5">
        <v>1</v>
      </c>
      <c r="B111" s="208" t="s">
        <v>132</v>
      </c>
      <c r="C111" s="207" t="s">
        <v>132</v>
      </c>
      <c r="D111" s="206" t="s">
        <v>132</v>
      </c>
      <c r="E111" s="202"/>
      <c r="F111" s="256"/>
      <c r="G111" s="216"/>
      <c r="H111" s="199"/>
      <c r="I111" s="200"/>
      <c r="J111" s="5"/>
      <c r="K111" s="179"/>
      <c r="L111" s="5"/>
      <c r="M111" s="5"/>
      <c r="N111" s="5"/>
      <c r="O111" s="203" t="e">
        <f>IF(O110+1&lt;=MIN('Données projet'!$E$9:$E$18),O110+1,"STOP")</f>
        <v>#VALUE!</v>
      </c>
      <c r="P111" s="193" t="e">
        <f t="shared" si="7"/>
        <v>#VALUE!</v>
      </c>
      <c r="Q111" s="260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5">
        <v>2</v>
      </c>
      <c r="B112" s="208" t="s">
        <v>132</v>
      </c>
      <c r="C112" s="207" t="s">
        <v>132</v>
      </c>
      <c r="D112" s="206" t="s">
        <v>132</v>
      </c>
      <c r="E112" s="202"/>
      <c r="F112" s="256"/>
      <c r="G112" s="216"/>
      <c r="H112" s="199"/>
      <c r="I112" s="200"/>
      <c r="J112" s="5"/>
      <c r="K112" s="179"/>
      <c r="L112" s="5"/>
      <c r="M112" s="5"/>
      <c r="N112" s="5"/>
      <c r="O112" s="203" t="e">
        <f>IF(O111+1&lt;=MIN('Données projet'!$E$9:$E$18),O111+1,"STOP")</f>
        <v>#VALUE!</v>
      </c>
      <c r="P112" s="193" t="e">
        <f t="shared" si="7"/>
        <v>#VALUE!</v>
      </c>
      <c r="Q112" s="260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5">
        <v>3</v>
      </c>
      <c r="B113" s="208" t="s">
        <v>132</v>
      </c>
      <c r="C113" s="207" t="s">
        <v>132</v>
      </c>
      <c r="D113" s="206" t="s">
        <v>132</v>
      </c>
      <c r="E113" s="202"/>
      <c r="F113" s="256"/>
      <c r="G113" s="216"/>
      <c r="H113" s="199"/>
      <c r="I113" s="200"/>
      <c r="J113" s="5"/>
      <c r="K113" s="179"/>
      <c r="L113" s="5"/>
      <c r="M113" s="5"/>
      <c r="N113" s="5"/>
      <c r="O113" s="203" t="e">
        <f>IF(O112+1&lt;=MIN('Données projet'!$E$9:$E$18),O112+1,"STOP")</f>
        <v>#VALUE!</v>
      </c>
      <c r="P113" s="193" t="e">
        <f t="shared" si="7"/>
        <v>#VALUE!</v>
      </c>
      <c r="Q113" s="260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5">
        <v>4</v>
      </c>
      <c r="B114" s="208" t="s">
        <v>132</v>
      </c>
      <c r="C114" s="207" t="s">
        <v>132</v>
      </c>
      <c r="D114" s="206" t="s">
        <v>132</v>
      </c>
      <c r="E114" s="202"/>
      <c r="F114" s="256"/>
      <c r="G114" s="216"/>
      <c r="H114" s="199"/>
      <c r="I114" s="200"/>
      <c r="J114" s="5"/>
      <c r="K114" s="179"/>
      <c r="L114" s="5"/>
      <c r="M114" s="5"/>
      <c r="N114" s="5"/>
      <c r="O114" s="203" t="e">
        <f>IF(O113+1&lt;=MIN('Données projet'!$E$9:$E$18),O113+1,"STOP")</f>
        <v>#VALUE!</v>
      </c>
      <c r="P114" s="193" t="e">
        <f t="shared" si="7"/>
        <v>#VALUE!</v>
      </c>
      <c r="Q114" s="260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5">
        <v>5</v>
      </c>
      <c r="B115" s="208" t="s">
        <v>132</v>
      </c>
      <c r="C115" s="207" t="s">
        <v>132</v>
      </c>
      <c r="D115" s="206" t="s">
        <v>132</v>
      </c>
      <c r="E115" s="202"/>
      <c r="F115" s="256"/>
      <c r="G115" s="217"/>
      <c r="H115" s="199"/>
      <c r="I115" s="200"/>
      <c r="J115" s="5"/>
      <c r="K115" s="179"/>
      <c r="L115" s="5"/>
      <c r="M115" s="5"/>
      <c r="N115" s="5"/>
      <c r="O115" s="203" t="e">
        <f>IF(O114+1&lt;=MIN('Données projet'!$E$9:$E$18),O114+1,"STOP")</f>
        <v>#VALUE!</v>
      </c>
      <c r="P115" s="193" t="e">
        <f t="shared" si="7"/>
        <v>#VALUE!</v>
      </c>
      <c r="Q115" s="260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88">
        <f>'Données projet'!A114</f>
        <v>30</v>
      </c>
      <c r="B116" s="189">
        <f>'Données projet'!D114</f>
        <v>40</v>
      </c>
      <c r="C116" s="280">
        <f>'Données projet'!E114*30+SUM('Données projet'!F114:G114)*13.8+'Données projet'!H114*10</f>
        <v>13.8</v>
      </c>
      <c r="D116" s="187">
        <f>B116*C116</f>
        <v>552</v>
      </c>
      <c r="E116" s="202"/>
      <c r="F116" s="257"/>
      <c r="G116" s="217"/>
      <c r="H116" s="199"/>
      <c r="I116" s="200"/>
      <c r="J116" s="5"/>
      <c r="K116" s="179"/>
      <c r="L116" s="5"/>
      <c r="M116" s="5"/>
      <c r="N116" s="5"/>
      <c r="O116" s="203" t="e">
        <f>IF(O115+1&lt;=MIN('Données projet'!$E$9:$E$18),O115+1,"STOP")</f>
        <v>#VALUE!</v>
      </c>
      <c r="P116" s="193" t="e">
        <f t="shared" si="7"/>
        <v>#VALUE!</v>
      </c>
      <c r="Q116" s="260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88">
        <f>'Données projet'!A115</f>
        <v>40</v>
      </c>
      <c r="B117" s="189">
        <f>'Données projet'!D115</f>
        <v>40</v>
      </c>
      <c r="C117" s="280">
        <f>'Données projet'!E115*30+SUM('Données projet'!F115:G115)*13.8+'Données projet'!H115*10</f>
        <v>17.04</v>
      </c>
      <c r="D117" s="187">
        <f t="shared" ref="D117:D135" si="8">B117*C117</f>
        <v>681.59999999999991</v>
      </c>
      <c r="E117" s="202"/>
      <c r="F117" s="257"/>
      <c r="G117" s="217"/>
      <c r="H117" s="199"/>
      <c r="I117" s="200"/>
      <c r="J117" s="5"/>
      <c r="K117" s="179"/>
      <c r="L117" s="5"/>
      <c r="M117" s="5"/>
      <c r="N117" s="5"/>
      <c r="O117" s="203" t="e">
        <f>IF(O116+1&lt;=MIN('Données projet'!$E$9:$E$18),O116+1,"STOP")</f>
        <v>#VALUE!</v>
      </c>
      <c r="P117" s="193" t="e">
        <f t="shared" si="7"/>
        <v>#VALUE!</v>
      </c>
      <c r="Q117" s="260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88">
        <f>'Données projet'!A116</f>
        <v>50</v>
      </c>
      <c r="B118" s="189">
        <f>'Données projet'!D116</f>
        <v>40</v>
      </c>
      <c r="C118" s="280">
        <f>'Données projet'!E116*30+SUM('Données projet'!F116:G116)*13.8+'Données projet'!H116*10</f>
        <v>20.28</v>
      </c>
      <c r="D118" s="187">
        <f t="shared" si="8"/>
        <v>811.2</v>
      </c>
      <c r="E118" s="202"/>
      <c r="F118" s="257"/>
      <c r="G118" s="217"/>
      <c r="H118" s="199"/>
      <c r="I118" s="200"/>
      <c r="J118" s="5"/>
      <c r="K118" s="179"/>
      <c r="L118" s="5"/>
      <c r="M118" s="5"/>
      <c r="N118" s="5"/>
      <c r="O118" s="203" t="e">
        <f>IF(O117+1&lt;=MIN('Données projet'!$E$9:$E$18),O117+1,"STOP")</f>
        <v>#VALUE!</v>
      </c>
      <c r="P118" s="193" t="e">
        <f t="shared" si="7"/>
        <v>#VALUE!</v>
      </c>
      <c r="Q118" s="260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88">
        <f>'Données projet'!A117</f>
        <v>60</v>
      </c>
      <c r="B119" s="189">
        <f>'Données projet'!D117</f>
        <v>40</v>
      </c>
      <c r="C119" s="280">
        <f>'Données projet'!E117*30+SUM('Données projet'!F117:G117)*13.8+'Données projet'!H117*10</f>
        <v>23.52</v>
      </c>
      <c r="D119" s="187">
        <f t="shared" si="8"/>
        <v>940.8</v>
      </c>
      <c r="E119" s="202"/>
      <c r="F119" s="257"/>
      <c r="G119" s="217"/>
      <c r="H119" s="199"/>
      <c r="I119" s="200"/>
      <c r="J119" s="5"/>
      <c r="K119" s="179"/>
      <c r="L119" s="5"/>
      <c r="M119" s="5"/>
      <c r="N119" s="5"/>
      <c r="O119" s="203" t="e">
        <f>IF(O118+1&lt;=MIN('Données projet'!$E$9:$E$18),O118+1,"STOP")</f>
        <v>#VALUE!</v>
      </c>
      <c r="P119" s="193" t="e">
        <f t="shared" si="7"/>
        <v>#VALUE!</v>
      </c>
      <c r="Q119" s="260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88">
        <f>'Données projet'!A118</f>
        <v>70</v>
      </c>
      <c r="B120" s="189">
        <f>'Données projet'!D118</f>
        <v>400</v>
      </c>
      <c r="C120" s="280">
        <f>'Données projet'!E118*30+SUM('Données projet'!F118:G118)*13.8+'Données projet'!H118*10</f>
        <v>26.76</v>
      </c>
      <c r="D120" s="187">
        <f t="shared" si="8"/>
        <v>10704</v>
      </c>
      <c r="E120" s="202"/>
      <c r="F120" s="257"/>
      <c r="G120" s="217"/>
      <c r="H120" s="199"/>
      <c r="I120" s="200"/>
      <c r="J120" s="5"/>
      <c r="K120" s="179"/>
      <c r="L120" s="5"/>
      <c r="M120" s="5"/>
      <c r="N120" s="5"/>
      <c r="O120" s="203" t="e">
        <f>IF(O119+1&lt;=MIN('Données projet'!$E$9:$E$18),O119+1,"STOP")</f>
        <v>#VALUE!</v>
      </c>
      <c r="P120" s="193" t="e">
        <f t="shared" si="7"/>
        <v>#VALUE!</v>
      </c>
      <c r="Q120" s="260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88">
        <f>'Données projet'!A119</f>
        <v>0</v>
      </c>
      <c r="B121" s="189">
        <f>'Données projet'!D119</f>
        <v>0</v>
      </c>
      <c r="C121" s="280">
        <f>'Données projet'!E119*50+SUM('Données projet'!F119:G119)*13.8+'Données projet'!H119*10</f>
        <v>0</v>
      </c>
      <c r="D121" s="187">
        <f t="shared" si="8"/>
        <v>0</v>
      </c>
      <c r="E121" s="202"/>
      <c r="F121" s="257"/>
      <c r="G121" s="217"/>
      <c r="H121" s="199"/>
      <c r="I121" s="200"/>
      <c r="J121" s="5"/>
      <c r="K121" s="179"/>
      <c r="L121" s="5"/>
      <c r="M121" s="5"/>
      <c r="N121" s="5"/>
      <c r="O121" s="203" t="e">
        <f>IF(O120+1&lt;=MIN('Données projet'!$E$9:$E$18),O120+1,"STOP")</f>
        <v>#VALUE!</v>
      </c>
      <c r="P121" s="193" t="e">
        <f t="shared" si="7"/>
        <v>#VALUE!</v>
      </c>
      <c r="Q121" s="260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88">
        <f>'Données projet'!A120</f>
        <v>0</v>
      </c>
      <c r="B122" s="189">
        <f>'Données projet'!D120</f>
        <v>0</v>
      </c>
      <c r="C122" s="280">
        <f>'Données projet'!E120*50+SUM('Données projet'!F120:G120)*13.8+'Données projet'!H120*10</f>
        <v>0</v>
      </c>
      <c r="D122" s="187">
        <f t="shared" si="8"/>
        <v>0</v>
      </c>
      <c r="E122" s="202"/>
      <c r="F122" s="257"/>
      <c r="G122" s="218"/>
      <c r="H122" s="199"/>
      <c r="I122" s="200"/>
      <c r="J122" s="5"/>
      <c r="K122" s="179"/>
      <c r="L122" s="5"/>
      <c r="M122" s="5"/>
      <c r="N122" s="5"/>
      <c r="O122" s="203" t="e">
        <f>IF(O121+1&lt;=MIN('Données projet'!$E$9:$E$18),O121+1,"STOP")</f>
        <v>#VALUE!</v>
      </c>
      <c r="P122" s="193" t="e">
        <f t="shared" si="7"/>
        <v>#VALUE!</v>
      </c>
      <c r="Q122" s="260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88">
        <f>'Données projet'!A121</f>
        <v>0</v>
      </c>
      <c r="B123" s="189">
        <f>'Données projet'!D121</f>
        <v>0</v>
      </c>
      <c r="C123" s="280">
        <f>'Données projet'!E121*50+SUM('Données projet'!F121:G121)*13.8+'Données projet'!H121*10</f>
        <v>0</v>
      </c>
      <c r="D123" s="187">
        <f t="shared" si="8"/>
        <v>0</v>
      </c>
      <c r="E123" s="202"/>
      <c r="F123" s="257"/>
      <c r="G123" s="218"/>
      <c r="H123" s="199"/>
      <c r="I123" s="200"/>
      <c r="J123" s="5"/>
      <c r="K123" s="179"/>
      <c r="L123" s="5"/>
      <c r="M123" s="5"/>
      <c r="N123" s="5"/>
      <c r="O123" s="203" t="e">
        <f>IF(O122+1&lt;=MIN('Données projet'!$E$9:$E$18),O122+1,"STOP")</f>
        <v>#VALUE!</v>
      </c>
      <c r="P123" s="193" t="e">
        <f t="shared" si="7"/>
        <v>#VALUE!</v>
      </c>
      <c r="Q123" s="260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88">
        <f>'Données projet'!A122</f>
        <v>0</v>
      </c>
      <c r="B124" s="189">
        <f>'Données projet'!D122</f>
        <v>0</v>
      </c>
      <c r="C124" s="280">
        <f>'Données projet'!E122*50+SUM('Données projet'!F122:G122)*13.8+'Données projet'!H122*10</f>
        <v>0</v>
      </c>
      <c r="D124" s="187">
        <f t="shared" si="8"/>
        <v>0</v>
      </c>
      <c r="E124" s="202"/>
      <c r="F124" s="257"/>
      <c r="G124" s="218"/>
      <c r="H124" s="199"/>
      <c r="I124" s="200"/>
      <c r="J124" s="5"/>
      <c r="K124" s="179"/>
      <c r="L124" s="5"/>
      <c r="M124" s="5"/>
      <c r="N124" s="5"/>
      <c r="O124" s="203" t="e">
        <f>IF(O123+1&lt;=MIN('Données projet'!$E$9:$E$18),O123+1,"STOP")</f>
        <v>#VALUE!</v>
      </c>
      <c r="P124" s="193" t="e">
        <f t="shared" si="7"/>
        <v>#VALUE!</v>
      </c>
      <c r="Q124" s="260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88">
        <f>'Données projet'!A123</f>
        <v>0</v>
      </c>
      <c r="B125" s="189">
        <f>'Données projet'!D123</f>
        <v>0</v>
      </c>
      <c r="C125" s="280">
        <f>'Données projet'!E123*50+SUM('Données projet'!F123:G123)*13.8+'Données projet'!H123*10</f>
        <v>0</v>
      </c>
      <c r="D125" s="187">
        <f t="shared" si="8"/>
        <v>0</v>
      </c>
      <c r="E125" s="202"/>
      <c r="F125" s="257"/>
      <c r="G125" s="218"/>
      <c r="H125" s="199"/>
      <c r="I125" s="200"/>
      <c r="J125" s="5"/>
      <c r="K125" s="179"/>
      <c r="L125" s="5"/>
      <c r="M125" s="5"/>
      <c r="N125" s="5"/>
      <c r="O125" s="203" t="e">
        <f>IF(O124+1&lt;=MIN('Données projet'!$E$9:$E$18),O124+1,"STOP")</f>
        <v>#VALUE!</v>
      </c>
      <c r="P125" s="193" t="e">
        <f t="shared" si="7"/>
        <v>#VALUE!</v>
      </c>
      <c r="Q125" s="260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88">
        <f>'Données projet'!A124</f>
        <v>0</v>
      </c>
      <c r="B126" s="189">
        <f>'Données projet'!D124</f>
        <v>0</v>
      </c>
      <c r="C126" s="280">
        <f>'Données projet'!E124*50+SUM('Données projet'!F124:G124)*13.8+'Données projet'!H124*10</f>
        <v>0</v>
      </c>
      <c r="D126" s="187">
        <f t="shared" si="8"/>
        <v>0</v>
      </c>
      <c r="E126" s="202"/>
      <c r="F126" s="257"/>
      <c r="G126" s="218"/>
      <c r="H126" s="199"/>
      <c r="I126" s="200"/>
      <c r="J126" s="5"/>
      <c r="K126" s="179"/>
      <c r="L126" s="5"/>
      <c r="M126" s="5"/>
      <c r="N126" s="5"/>
      <c r="O126" s="203" t="e">
        <f>IF(O125+1&lt;=MIN('Données projet'!$E$9:$E$18),O125+1,"STOP")</f>
        <v>#VALUE!</v>
      </c>
      <c r="P126" s="193" t="e">
        <f t="shared" si="7"/>
        <v>#VALUE!</v>
      </c>
      <c r="Q126" s="260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88">
        <f>'Données projet'!A125</f>
        <v>0</v>
      </c>
      <c r="B127" s="189">
        <f>'Données projet'!D125</f>
        <v>0</v>
      </c>
      <c r="C127" s="280">
        <f>'Données projet'!E125*50+SUM('Données projet'!F125:G125)*13.8+'Données projet'!H125*10</f>
        <v>0</v>
      </c>
      <c r="D127" s="187">
        <f t="shared" si="8"/>
        <v>0</v>
      </c>
      <c r="E127" s="202"/>
      <c r="F127" s="257"/>
      <c r="G127" s="218"/>
      <c r="H127" s="199"/>
      <c r="I127" s="200"/>
      <c r="J127" s="5"/>
      <c r="K127" s="179"/>
      <c r="L127" s="5"/>
      <c r="M127" s="5"/>
      <c r="N127" s="5"/>
      <c r="O127" s="203" t="e">
        <f>IF(O126+1&lt;=MIN('Données projet'!$E$9:$E$18),O126+1,"STOP")</f>
        <v>#VALUE!</v>
      </c>
      <c r="P127" s="193" t="e">
        <f t="shared" si="7"/>
        <v>#VALUE!</v>
      </c>
      <c r="Q127" s="260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88">
        <f>'Données projet'!A126</f>
        <v>0</v>
      </c>
      <c r="B128" s="189">
        <f>'Données projet'!D126</f>
        <v>0</v>
      </c>
      <c r="C128" s="280">
        <f>'Données projet'!E126*50+SUM('Données projet'!F126:G126)*13.8+'Données projet'!H126*10</f>
        <v>0</v>
      </c>
      <c r="D128" s="187">
        <f t="shared" si="8"/>
        <v>0</v>
      </c>
      <c r="E128" s="202"/>
      <c r="F128" s="257"/>
      <c r="G128" s="218"/>
      <c r="H128" s="199"/>
      <c r="I128" s="200"/>
      <c r="J128" s="5"/>
      <c r="K128" s="179"/>
      <c r="L128" s="5"/>
      <c r="M128" s="5"/>
      <c r="N128" s="5"/>
      <c r="O128" s="203" t="e">
        <f>IF(O127+1&lt;=MIN('Données projet'!$E$9:$E$18),O127+1,"STOP")</f>
        <v>#VALUE!</v>
      </c>
      <c r="P128" s="193" t="e">
        <f t="shared" si="7"/>
        <v>#VALUE!</v>
      </c>
      <c r="Q128" s="260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88">
        <f>'Données projet'!A127</f>
        <v>0</v>
      </c>
      <c r="B129" s="189">
        <f>'Données projet'!D127</f>
        <v>0</v>
      </c>
      <c r="C129" s="280">
        <f>'Données projet'!E127*50+SUM('Données projet'!F127:G127)*13.8+'Données projet'!H127*10</f>
        <v>0</v>
      </c>
      <c r="D129" s="187">
        <f t="shared" si="8"/>
        <v>0</v>
      </c>
      <c r="E129" s="202"/>
      <c r="F129" s="257"/>
      <c r="G129" s="218"/>
      <c r="H129" s="199"/>
      <c r="I129" s="200"/>
      <c r="J129" s="5"/>
      <c r="K129" s="179"/>
      <c r="L129" s="5"/>
      <c r="M129" s="5"/>
      <c r="N129" s="5"/>
      <c r="O129" s="203" t="e">
        <f>IF(O128+1&lt;=MIN('Données projet'!$E$9:$E$18),O128+1,"STOP")</f>
        <v>#VALUE!</v>
      </c>
      <c r="P129" s="193" t="e">
        <f t="shared" ref="P129:P132" si="9">$P$25/(1+$M$4)^O129</f>
        <v>#VALUE!</v>
      </c>
      <c r="Q129" s="260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88">
        <f>'Données projet'!A128</f>
        <v>0</v>
      </c>
      <c r="B130" s="189">
        <f>'Données projet'!D128</f>
        <v>0</v>
      </c>
      <c r="C130" s="280">
        <f>'Données projet'!E128*50+SUM('Données projet'!F128:G128)*13.8+'Données projet'!H128*10</f>
        <v>0</v>
      </c>
      <c r="D130" s="187">
        <f t="shared" si="8"/>
        <v>0</v>
      </c>
      <c r="E130" s="202"/>
      <c r="F130" s="257"/>
      <c r="G130" s="218"/>
      <c r="H130" s="199"/>
      <c r="I130" s="200"/>
      <c r="J130" s="5"/>
      <c r="K130" s="179"/>
      <c r="L130" s="5"/>
      <c r="M130" s="5"/>
      <c r="N130" s="5"/>
      <c r="O130" s="203" t="e">
        <f>IF(O129+1&lt;=MIN('Données projet'!$E$9:$E$18),O129+1,"STOP")</f>
        <v>#VALUE!</v>
      </c>
      <c r="P130" s="193" t="e">
        <f t="shared" si="9"/>
        <v>#VALUE!</v>
      </c>
      <c r="Q130" s="260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88">
        <f>'Données projet'!A129</f>
        <v>0</v>
      </c>
      <c r="B131" s="189">
        <f>'Données projet'!D129</f>
        <v>0</v>
      </c>
      <c r="C131" s="280">
        <f>'Données projet'!E129*50+SUM('Données projet'!F129:G129)*13.8+'Données projet'!H129*10</f>
        <v>0</v>
      </c>
      <c r="D131" s="187">
        <f t="shared" si="8"/>
        <v>0</v>
      </c>
      <c r="E131" s="202"/>
      <c r="F131" s="257"/>
      <c r="G131" s="218"/>
      <c r="H131" s="199"/>
      <c r="I131" s="200"/>
      <c r="J131" s="5"/>
      <c r="K131" s="179"/>
      <c r="L131" s="5"/>
      <c r="M131" s="5"/>
      <c r="N131" s="5"/>
      <c r="O131" s="203" t="e">
        <f>IF(O130+1&lt;=MIN('Données projet'!$E$9:$E$18),O130+1,"STOP")</f>
        <v>#VALUE!</v>
      </c>
      <c r="P131" s="193" t="e">
        <f t="shared" si="9"/>
        <v>#VALUE!</v>
      </c>
      <c r="Q131" s="260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88">
        <f>'Données projet'!A130</f>
        <v>0</v>
      </c>
      <c r="B132" s="189">
        <f>'Données projet'!D130</f>
        <v>0</v>
      </c>
      <c r="C132" s="280">
        <f>'Données projet'!E130*50+SUM('Données projet'!F130:G130)*13.8+'Données projet'!H130*10</f>
        <v>0</v>
      </c>
      <c r="D132" s="187">
        <f t="shared" si="8"/>
        <v>0</v>
      </c>
      <c r="E132" s="202"/>
      <c r="F132" s="257"/>
      <c r="G132" s="218"/>
      <c r="H132" s="199"/>
      <c r="I132" s="200"/>
      <c r="J132" s="5"/>
      <c r="K132" s="179"/>
      <c r="L132" s="5"/>
      <c r="M132" s="5"/>
      <c r="N132" s="5"/>
      <c r="O132" s="203" t="e">
        <f>IF(O131+1&lt;=MIN('Données projet'!$E$9:$E$18),O131+1,"STOP")</f>
        <v>#VALUE!</v>
      </c>
      <c r="P132" s="193" t="e">
        <f t="shared" si="9"/>
        <v>#VALUE!</v>
      </c>
      <c r="Q132" s="260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88">
        <f>'Données projet'!A131</f>
        <v>0</v>
      </c>
      <c r="B133" s="189">
        <f>'Données projet'!D131</f>
        <v>0</v>
      </c>
      <c r="C133" s="280">
        <f>'Données projet'!E131*50+SUM('Données projet'!F131:G131)*13.8+'Données projet'!H131*10</f>
        <v>0</v>
      </c>
      <c r="D133" s="187">
        <f t="shared" si="8"/>
        <v>0</v>
      </c>
      <c r="E133" s="202"/>
      <c r="F133" s="257"/>
      <c r="G133" s="218"/>
      <c r="H133" s="199"/>
      <c r="I133" s="200"/>
      <c r="J133" s="5"/>
      <c r="K133" s="179"/>
      <c r="Q133" s="260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88">
        <f>'Données projet'!A132</f>
        <v>0</v>
      </c>
      <c r="B134" s="189">
        <f>'Données projet'!D132</f>
        <v>0</v>
      </c>
      <c r="C134" s="280">
        <f>'Données projet'!E132*50+SUM('Données projet'!F132:G132)*13.8+'Données projet'!H132*10</f>
        <v>0</v>
      </c>
      <c r="D134" s="187">
        <f t="shared" si="8"/>
        <v>0</v>
      </c>
      <c r="E134" s="202"/>
      <c r="F134" s="257"/>
      <c r="G134" s="218"/>
      <c r="H134" s="199"/>
      <c r="I134" s="200"/>
      <c r="J134" s="5"/>
      <c r="K134" s="179"/>
      <c r="Q134" s="260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88">
        <f>'Données projet'!A133</f>
        <v>0</v>
      </c>
      <c r="B135" s="189">
        <f>'Données projet'!D133</f>
        <v>0</v>
      </c>
      <c r="C135" s="280">
        <f>'Données projet'!E133*50+SUM('Données projet'!F133:G133)*13.8+'Données projet'!H133*10</f>
        <v>0</v>
      </c>
      <c r="D135" s="187">
        <f t="shared" si="8"/>
        <v>0</v>
      </c>
      <c r="E135" s="202"/>
      <c r="F135" s="257"/>
      <c r="G135" s="218"/>
      <c r="H135" s="199"/>
      <c r="I135" s="200"/>
      <c r="J135" s="5"/>
      <c r="K135" s="179"/>
      <c r="Q135" s="260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5"/>
      <c r="G136" s="218"/>
      <c r="H136" s="199"/>
      <c r="I136" s="200"/>
      <c r="J136" s="5"/>
      <c r="K136" s="179"/>
      <c r="L136" s="5"/>
      <c r="M136" s="5"/>
      <c r="N136" s="5"/>
      <c r="Q136" s="260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5"/>
      <c r="G137" s="218"/>
      <c r="H137" s="199"/>
      <c r="I137" s="200"/>
      <c r="J137" s="5"/>
      <c r="K137" s="179"/>
      <c r="L137" s="5"/>
      <c r="M137" s="5"/>
      <c r="N137" s="5"/>
      <c r="Q137" s="260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2" t="str">
        <f>IF('Données projet'!B13="","",'Données projet'!B13)</f>
        <v/>
      </c>
      <c r="C138" s="5"/>
      <c r="D138" s="5"/>
      <c r="E138" s="5"/>
      <c r="F138" s="255"/>
      <c r="G138" s="218"/>
      <c r="H138" s="199"/>
      <c r="I138" s="200"/>
      <c r="J138" s="5"/>
      <c r="K138" s="179"/>
      <c r="L138" s="5"/>
      <c r="M138" s="5"/>
      <c r="N138" s="5"/>
      <c r="Q138" s="260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5"/>
      <c r="G139" s="218"/>
      <c r="H139" s="199"/>
      <c r="I139" s="200"/>
      <c r="J139" s="5"/>
      <c r="K139" s="179"/>
      <c r="L139" s="5"/>
      <c r="M139" s="5"/>
      <c r="N139" s="5"/>
      <c r="Q139" s="260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1" t="s">
        <v>180</v>
      </c>
      <c r="B140" s="51" t="s">
        <v>256</v>
      </c>
      <c r="C140" s="51" t="s">
        <v>255</v>
      </c>
      <c r="D140" s="251" t="s">
        <v>252</v>
      </c>
      <c r="E140" s="251" t="s">
        <v>287</v>
      </c>
      <c r="F140" s="256"/>
      <c r="G140" s="218"/>
      <c r="H140" s="199"/>
      <c r="I140" s="200"/>
      <c r="J140" s="5"/>
      <c r="K140" s="179"/>
      <c r="L140" s="5"/>
      <c r="M140" s="5"/>
      <c r="N140" s="5"/>
      <c r="Q140" s="260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5">
        <v>0</v>
      </c>
      <c r="B141" s="208" t="s">
        <v>132</v>
      </c>
      <c r="C141" s="207" t="s">
        <v>132</v>
      </c>
      <c r="D141" s="206" t="s">
        <v>132</v>
      </c>
      <c r="E141" s="202"/>
      <c r="F141" s="256"/>
      <c r="G141" s="218"/>
      <c r="H141" s="199"/>
      <c r="I141" s="200"/>
      <c r="J141" s="5"/>
      <c r="K141" s="179"/>
      <c r="L141" s="5"/>
      <c r="M141" s="5"/>
      <c r="N141" s="5"/>
      <c r="Q141" s="260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5">
        <v>1</v>
      </c>
      <c r="B142" s="208" t="s">
        <v>132</v>
      </c>
      <c r="C142" s="207" t="s">
        <v>132</v>
      </c>
      <c r="D142" s="206" t="s">
        <v>132</v>
      </c>
      <c r="E142" s="202"/>
      <c r="F142" s="256"/>
      <c r="G142" s="216"/>
      <c r="H142" s="199"/>
      <c r="I142" s="200"/>
      <c r="J142" s="5"/>
      <c r="K142" s="179"/>
      <c r="L142" s="5"/>
      <c r="M142" s="5"/>
      <c r="N142" s="5"/>
      <c r="Q142" s="260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5">
        <v>2</v>
      </c>
      <c r="B143" s="208" t="s">
        <v>132</v>
      </c>
      <c r="C143" s="207" t="s">
        <v>132</v>
      </c>
      <c r="D143" s="206" t="s">
        <v>132</v>
      </c>
      <c r="E143" s="202"/>
      <c r="F143" s="256"/>
      <c r="G143" s="216"/>
      <c r="H143" s="199"/>
      <c r="I143" s="200"/>
      <c r="J143" s="5"/>
      <c r="K143" s="179"/>
      <c r="L143" s="5"/>
      <c r="M143" s="5"/>
      <c r="N143" s="5"/>
      <c r="Q143" s="260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5">
        <v>3</v>
      </c>
      <c r="B144" s="208" t="s">
        <v>132</v>
      </c>
      <c r="C144" s="207" t="s">
        <v>132</v>
      </c>
      <c r="D144" s="206" t="s">
        <v>132</v>
      </c>
      <c r="E144" s="202"/>
      <c r="F144" s="256"/>
      <c r="G144" s="216"/>
      <c r="H144" s="199"/>
      <c r="I144" s="200"/>
      <c r="J144" s="5"/>
      <c r="K144" s="179"/>
      <c r="L144" s="5"/>
      <c r="M144" s="5"/>
      <c r="N144" s="5"/>
      <c r="Q144" s="260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5">
        <v>4</v>
      </c>
      <c r="B145" s="208" t="s">
        <v>132</v>
      </c>
      <c r="C145" s="207" t="s">
        <v>132</v>
      </c>
      <c r="D145" s="206" t="s">
        <v>132</v>
      </c>
      <c r="E145" s="202"/>
      <c r="F145" s="256"/>
      <c r="G145" s="216"/>
      <c r="H145" s="199"/>
      <c r="I145" s="200"/>
      <c r="J145" s="5"/>
      <c r="K145" s="179"/>
      <c r="L145" s="5"/>
      <c r="M145" s="5"/>
      <c r="N145" s="5"/>
      <c r="Q145" s="260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5">
        <v>5</v>
      </c>
      <c r="B146" s="208" t="s">
        <v>132</v>
      </c>
      <c r="C146" s="207" t="s">
        <v>132</v>
      </c>
      <c r="D146" s="206" t="s">
        <v>132</v>
      </c>
      <c r="E146" s="202"/>
      <c r="F146" s="256"/>
      <c r="G146" s="217"/>
      <c r="H146" s="199"/>
      <c r="I146" s="200"/>
      <c r="J146" s="5"/>
      <c r="K146" s="179"/>
      <c r="L146" s="5"/>
      <c r="M146" s="5"/>
      <c r="N146" s="5"/>
      <c r="Q146" s="260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3">
        <f>'Données projet'!D140</f>
        <v>0</v>
      </c>
      <c r="C147" s="200">
        <f>'Données projet'!E140*300+SUM('Données projet'!F140:G140)*13.8+'Données projet'!H140*10</f>
        <v>0</v>
      </c>
      <c r="D147" s="190">
        <f>B147*C147</f>
        <v>0</v>
      </c>
      <c r="E147" s="202"/>
      <c r="F147" s="258"/>
      <c r="G147" s="217"/>
      <c r="H147" s="199"/>
      <c r="I147" s="200"/>
      <c r="J147" s="5"/>
      <c r="K147" s="179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3">
        <f>'Données projet'!D141</f>
        <v>0</v>
      </c>
      <c r="C148" s="200">
        <f>'Données projet'!E141*300+SUM('Données projet'!F141:G141)*13.8+'Données projet'!H141*10</f>
        <v>0</v>
      </c>
      <c r="D148" s="190">
        <f t="shared" ref="D148:D166" si="10">B148*C148</f>
        <v>0</v>
      </c>
      <c r="E148" s="202"/>
      <c r="F148" s="258"/>
      <c r="G148" s="217"/>
      <c r="H148" s="199"/>
      <c r="I148" s="200"/>
      <c r="J148" s="5"/>
      <c r="K148" s="179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3">
        <f>'Données projet'!D142</f>
        <v>0</v>
      </c>
      <c r="C149" s="200">
        <f>'Données projet'!E142*300+SUM('Données projet'!F142:G142)*13.8+'Données projet'!H142*10</f>
        <v>0</v>
      </c>
      <c r="D149" s="190">
        <f t="shared" si="10"/>
        <v>0</v>
      </c>
      <c r="E149" s="202"/>
      <c r="F149" s="258"/>
      <c r="G149" s="217"/>
      <c r="H149" s="199"/>
      <c r="I149" s="200"/>
      <c r="J149" s="5"/>
      <c r="K149" s="179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3">
        <f>'Données projet'!D143</f>
        <v>0</v>
      </c>
      <c r="C150" s="200">
        <f>'Données projet'!E143*300+SUM('Données projet'!F143:G143)*13.8+'Données projet'!H143*10</f>
        <v>0</v>
      </c>
      <c r="D150" s="190">
        <f t="shared" si="10"/>
        <v>0</v>
      </c>
      <c r="E150" s="202"/>
      <c r="F150" s="258"/>
      <c r="G150" s="217"/>
      <c r="H150" s="199"/>
      <c r="I150" s="200"/>
      <c r="J150" s="5"/>
      <c r="K150" s="179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3">
        <f>'Données projet'!D144</f>
        <v>0</v>
      </c>
      <c r="C151" s="200">
        <f>'Données projet'!E144*300+SUM('Données projet'!F144:G144)*13.8+'Données projet'!H144*10</f>
        <v>0</v>
      </c>
      <c r="D151" s="190">
        <f t="shared" si="10"/>
        <v>0</v>
      </c>
      <c r="E151" s="202"/>
      <c r="F151" s="258"/>
      <c r="G151" s="217"/>
      <c r="H151" s="199"/>
      <c r="I151" s="200"/>
      <c r="J151" s="5"/>
      <c r="K151" s="179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3">
        <f>'Données projet'!D145</f>
        <v>0</v>
      </c>
      <c r="C152" s="200">
        <f>'Données projet'!E145*300+SUM('Données projet'!F145:G145)*13.8+'Données projet'!H145*10</f>
        <v>0</v>
      </c>
      <c r="D152" s="190">
        <f t="shared" si="10"/>
        <v>0</v>
      </c>
      <c r="E152" s="202"/>
      <c r="F152" s="258"/>
      <c r="G152" s="217"/>
      <c r="H152" s="199"/>
      <c r="I152" s="200"/>
      <c r="J152" s="5"/>
      <c r="K152" s="179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3">
        <f>'Données projet'!D146</f>
        <v>0</v>
      </c>
      <c r="C153" s="200">
        <f>'Données projet'!E146*300+SUM('Données projet'!F146:G146)*13.8+'Données projet'!H146*10</f>
        <v>0</v>
      </c>
      <c r="D153" s="190">
        <f t="shared" si="10"/>
        <v>0</v>
      </c>
      <c r="E153" s="202"/>
      <c r="F153" s="258"/>
      <c r="G153" s="213"/>
      <c r="H153" s="199"/>
      <c r="I153" s="200"/>
      <c r="J153" s="5"/>
      <c r="K153" s="179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3">
        <f>'Données projet'!D147</f>
        <v>0</v>
      </c>
      <c r="C154" s="200">
        <f>'Données projet'!E147*300+SUM('Données projet'!F147:G147)*13.8+'Données projet'!H147*10</f>
        <v>0</v>
      </c>
      <c r="D154" s="190">
        <f t="shared" si="10"/>
        <v>0</v>
      </c>
      <c r="E154" s="202"/>
      <c r="F154" s="258"/>
      <c r="G154" s="213"/>
      <c r="H154" s="199"/>
      <c r="I154" s="200"/>
      <c r="J154" s="5"/>
      <c r="K154" s="179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3">
        <f>'Données projet'!D148</f>
        <v>0</v>
      </c>
      <c r="C155" s="200">
        <f>'Données projet'!E148*300+SUM('Données projet'!F148:G148)*13.8+'Données projet'!H148*10</f>
        <v>0</v>
      </c>
      <c r="D155" s="190">
        <f t="shared" si="10"/>
        <v>0</v>
      </c>
      <c r="E155" s="202"/>
      <c r="F155" s="258"/>
      <c r="G155" s="213"/>
      <c r="H155" s="199"/>
      <c r="I155" s="200"/>
      <c r="J155" s="5"/>
      <c r="K155" s="179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3">
        <f>'Données projet'!D149</f>
        <v>0</v>
      </c>
      <c r="C156" s="200">
        <f>'Données projet'!E149*300+SUM('Données projet'!F149:G149)*13.8+'Données projet'!H149*10</f>
        <v>0</v>
      </c>
      <c r="D156" s="190">
        <f t="shared" si="10"/>
        <v>0</v>
      </c>
      <c r="E156" s="202"/>
      <c r="F156" s="258"/>
      <c r="G156" s="213"/>
      <c r="H156" s="199"/>
      <c r="I156" s="200"/>
      <c r="J156" s="5"/>
      <c r="K156" s="179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3">
        <f>'Données projet'!D150</f>
        <v>0</v>
      </c>
      <c r="C157" s="200">
        <f>'Données projet'!E150*300+SUM('Données projet'!F150:G150)*13.8+'Données projet'!H150*10</f>
        <v>0</v>
      </c>
      <c r="D157" s="190">
        <f t="shared" si="10"/>
        <v>0</v>
      </c>
      <c r="E157" s="202"/>
      <c r="F157" s="258"/>
      <c r="G157" s="213"/>
      <c r="H157" s="199"/>
      <c r="I157" s="200"/>
      <c r="J157" s="5"/>
      <c r="K157" s="179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3">
        <f>'Données projet'!D151</f>
        <v>0</v>
      </c>
      <c r="C158" s="200">
        <f>'Données projet'!E151*300+SUM('Données projet'!F151:G151)*13.8+'Données projet'!H151*10</f>
        <v>0</v>
      </c>
      <c r="D158" s="190">
        <f t="shared" si="10"/>
        <v>0</v>
      </c>
      <c r="E158" s="202"/>
      <c r="F158" s="258"/>
      <c r="G158" s="213"/>
      <c r="H158" s="199"/>
      <c r="I158" s="200"/>
      <c r="J158" s="5"/>
      <c r="K158" s="179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3">
        <f>'Données projet'!D152</f>
        <v>0</v>
      </c>
      <c r="C159" s="200">
        <f>'Données projet'!E152*300+SUM('Données projet'!F152:G152)*13.8+'Données projet'!H152*10</f>
        <v>0</v>
      </c>
      <c r="D159" s="190">
        <f t="shared" si="10"/>
        <v>0</v>
      </c>
      <c r="E159" s="202"/>
      <c r="F159" s="258"/>
      <c r="G159" s="213"/>
      <c r="H159" s="199"/>
      <c r="I159" s="200"/>
      <c r="J159" s="5"/>
      <c r="K159" s="179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3">
        <f>'Données projet'!D153</f>
        <v>0</v>
      </c>
      <c r="C160" s="200">
        <f>'Données projet'!E153*300+SUM('Données projet'!F153:G153)*13.8+'Données projet'!H153*10</f>
        <v>0</v>
      </c>
      <c r="D160" s="190">
        <f t="shared" si="10"/>
        <v>0</v>
      </c>
      <c r="E160" s="202"/>
      <c r="F160" s="258"/>
      <c r="G160" s="213"/>
      <c r="H160" s="199"/>
      <c r="I160" s="200"/>
      <c r="J160" s="5"/>
      <c r="K160" s="179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3">
        <f>'Données projet'!D154</f>
        <v>0</v>
      </c>
      <c r="C161" s="200">
        <f>'Données projet'!E154*300+SUM('Données projet'!F154:G154)*13.8+'Données projet'!H154*10</f>
        <v>0</v>
      </c>
      <c r="D161" s="190">
        <f t="shared" si="10"/>
        <v>0</v>
      </c>
      <c r="E161" s="202"/>
      <c r="F161" s="258"/>
      <c r="G161" s="213"/>
      <c r="H161" s="199"/>
      <c r="I161" s="200"/>
      <c r="J161" s="5"/>
      <c r="K161" s="179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3">
        <f>'Données projet'!D155</f>
        <v>0</v>
      </c>
      <c r="C162" s="200">
        <f>'Données projet'!E155*300+SUM('Données projet'!F155:G155)*13.8+'Données projet'!H155*10</f>
        <v>0</v>
      </c>
      <c r="D162" s="190">
        <f t="shared" si="10"/>
        <v>0</v>
      </c>
      <c r="E162" s="202"/>
      <c r="F162" s="258"/>
      <c r="G162" s="213"/>
      <c r="H162" s="199"/>
      <c r="I162" s="200"/>
      <c r="J162" s="5"/>
      <c r="K162" s="179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3">
        <f>'Données projet'!D156</f>
        <v>0</v>
      </c>
      <c r="C163" s="200">
        <f>'Données projet'!E156*300+SUM('Données projet'!F156:G156)*13.8+'Données projet'!H156*10</f>
        <v>0</v>
      </c>
      <c r="D163" s="190">
        <f t="shared" si="10"/>
        <v>0</v>
      </c>
      <c r="E163" s="202"/>
      <c r="F163" s="258"/>
      <c r="G163" s="213"/>
      <c r="H163" s="199"/>
      <c r="I163" s="200"/>
      <c r="J163" s="5"/>
      <c r="K163" s="179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3">
        <f>'Données projet'!D157</f>
        <v>0</v>
      </c>
      <c r="C164" s="200">
        <f>'Données projet'!E157*300+SUM('Données projet'!F157:G157)*13.8+'Données projet'!H157*10</f>
        <v>0</v>
      </c>
      <c r="D164" s="190">
        <f t="shared" si="10"/>
        <v>0</v>
      </c>
      <c r="E164" s="202"/>
      <c r="F164" s="258"/>
      <c r="G164" s="213"/>
      <c r="H164" s="199"/>
      <c r="I164" s="200"/>
      <c r="J164" s="5"/>
      <c r="K164" s="179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3">
        <f>'Données projet'!D158</f>
        <v>0</v>
      </c>
      <c r="C165" s="200">
        <f>'Données projet'!E158*300+SUM('Données projet'!F158:G158)*13.8+'Données projet'!H158*10</f>
        <v>0</v>
      </c>
      <c r="D165" s="190">
        <f t="shared" si="10"/>
        <v>0</v>
      </c>
      <c r="E165" s="202"/>
      <c r="F165" s="258"/>
      <c r="G165" s="213"/>
      <c r="H165" s="199"/>
      <c r="I165" s="200"/>
      <c r="J165" s="5"/>
      <c r="K165" s="179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3">
        <f>'Données projet'!D159</f>
        <v>0</v>
      </c>
      <c r="C166" s="200">
        <f>'Données projet'!E159*300+SUM('Données projet'!F159:G159)*13.8+'Données projet'!H159*10</f>
        <v>0</v>
      </c>
      <c r="D166" s="190">
        <f t="shared" si="10"/>
        <v>0</v>
      </c>
      <c r="E166" s="202"/>
      <c r="F166" s="258"/>
      <c r="G166" s="213"/>
      <c r="H166" s="199"/>
      <c r="I166" s="200"/>
      <c r="J166" s="5"/>
      <c r="K166" s="179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5"/>
      <c r="G167" s="213"/>
      <c r="H167" s="199"/>
      <c r="I167" s="200"/>
      <c r="J167" s="5"/>
      <c r="K167" s="179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5"/>
      <c r="G168" s="213"/>
      <c r="H168" s="199"/>
      <c r="I168" s="200"/>
      <c r="J168" s="5"/>
      <c r="K168" s="179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2" t="str">
        <f>IF('Données projet'!B14="","",'Données projet'!B14)</f>
        <v/>
      </c>
      <c r="C169" s="5"/>
      <c r="D169" s="5"/>
      <c r="E169" s="5"/>
      <c r="F169" s="255"/>
      <c r="G169" s="213"/>
      <c r="H169" s="199"/>
      <c r="I169" s="200"/>
      <c r="J169" s="5"/>
      <c r="K169" s="179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5"/>
      <c r="G170" s="213"/>
      <c r="H170" s="199"/>
      <c r="I170" s="200"/>
      <c r="J170" s="5"/>
      <c r="K170" s="179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1" t="s">
        <v>180</v>
      </c>
      <c r="B171" s="51" t="s">
        <v>256</v>
      </c>
      <c r="C171" s="51" t="s">
        <v>255</v>
      </c>
      <c r="D171" s="251" t="s">
        <v>252</v>
      </c>
      <c r="E171" s="251" t="s">
        <v>287</v>
      </c>
      <c r="F171" s="256"/>
      <c r="G171" s="213"/>
      <c r="H171" s="199"/>
      <c r="I171" s="200"/>
      <c r="J171" s="5"/>
      <c r="K171" s="179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5">
        <v>0</v>
      </c>
      <c r="B172" s="208" t="s">
        <v>132</v>
      </c>
      <c r="C172" s="207" t="s">
        <v>132</v>
      </c>
      <c r="D172" s="206" t="s">
        <v>132</v>
      </c>
      <c r="E172" s="202"/>
      <c r="F172" s="256"/>
      <c r="G172" s="213"/>
      <c r="H172" s="199"/>
      <c r="I172" s="200"/>
      <c r="J172" s="5"/>
      <c r="K172" s="179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5">
        <v>1</v>
      </c>
      <c r="B173" s="208" t="s">
        <v>132</v>
      </c>
      <c r="C173" s="207" t="s">
        <v>132</v>
      </c>
      <c r="D173" s="206" t="s">
        <v>132</v>
      </c>
      <c r="E173" s="202"/>
      <c r="F173" s="256"/>
      <c r="G173" s="216"/>
      <c r="H173" s="199"/>
      <c r="I173" s="200"/>
      <c r="J173" s="5"/>
      <c r="K173" s="179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5">
        <v>2</v>
      </c>
      <c r="B174" s="208" t="s">
        <v>132</v>
      </c>
      <c r="C174" s="207" t="s">
        <v>132</v>
      </c>
      <c r="D174" s="206" t="s">
        <v>132</v>
      </c>
      <c r="E174" s="202"/>
      <c r="F174" s="256"/>
      <c r="G174" s="216"/>
      <c r="H174" s="199"/>
      <c r="I174" s="200"/>
      <c r="J174" s="5"/>
      <c r="K174" s="179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5">
        <v>3</v>
      </c>
      <c r="B175" s="208" t="s">
        <v>132</v>
      </c>
      <c r="C175" s="207" t="s">
        <v>132</v>
      </c>
      <c r="D175" s="206" t="s">
        <v>132</v>
      </c>
      <c r="E175" s="202"/>
      <c r="F175" s="256"/>
      <c r="G175" s="216"/>
      <c r="H175" s="199"/>
      <c r="I175" s="200"/>
      <c r="J175" s="5"/>
      <c r="K175" s="179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5">
        <v>4</v>
      </c>
      <c r="B176" s="208" t="s">
        <v>132</v>
      </c>
      <c r="C176" s="207" t="s">
        <v>132</v>
      </c>
      <c r="D176" s="206" t="s">
        <v>132</v>
      </c>
      <c r="E176" s="202"/>
      <c r="F176" s="256"/>
      <c r="G176" s="216"/>
      <c r="H176" s="199"/>
      <c r="I176" s="200"/>
      <c r="J176" s="5"/>
      <c r="K176" s="179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5">
        <v>5</v>
      </c>
      <c r="B177" s="208" t="s">
        <v>132</v>
      </c>
      <c r="C177" s="207" t="s">
        <v>132</v>
      </c>
      <c r="D177" s="206" t="s">
        <v>132</v>
      </c>
      <c r="E177" s="202"/>
      <c r="F177" s="256"/>
      <c r="G177" s="217"/>
      <c r="H177" s="199"/>
      <c r="I177" s="200"/>
      <c r="J177" s="5"/>
      <c r="K177" s="179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88">
        <f>'Données projet'!A166</f>
        <v>0</v>
      </c>
      <c r="B178" s="189">
        <f>'Données projet'!D166</f>
        <v>0</v>
      </c>
      <c r="C178" s="202">
        <f>'Données projet'!E166*80+SUM('Données projet'!F166:G166)*13.8+'Données projet'!H166*10</f>
        <v>0</v>
      </c>
      <c r="D178" s="187">
        <f>B178*C178</f>
        <v>0</v>
      </c>
      <c r="E178" s="202"/>
      <c r="F178" s="257"/>
      <c r="G178" s="217"/>
      <c r="H178" s="199"/>
      <c r="I178" s="200"/>
      <c r="J178" s="5"/>
      <c r="K178" s="179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88">
        <f>'Données projet'!A167</f>
        <v>0</v>
      </c>
      <c r="B179" s="189">
        <f>'Données projet'!D167</f>
        <v>0</v>
      </c>
      <c r="C179" s="202">
        <f>'Données projet'!E167*80+SUM('Données projet'!F167:G167)*13.8+'Données projet'!H167*10</f>
        <v>0</v>
      </c>
      <c r="D179" s="187">
        <f t="shared" ref="D179:D197" si="11">B179*C179</f>
        <v>0</v>
      </c>
      <c r="E179" s="202"/>
      <c r="F179" s="257"/>
      <c r="G179" s="217"/>
      <c r="H179" s="199"/>
      <c r="I179" s="200"/>
      <c r="J179" s="5"/>
      <c r="K179" s="179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88">
        <f>'Données projet'!A168</f>
        <v>0</v>
      </c>
      <c r="B180" s="189">
        <f>'Données projet'!D168</f>
        <v>0</v>
      </c>
      <c r="C180" s="202">
        <f>'Données projet'!E168*80+SUM('Données projet'!F168:G168)*13.8+'Données projet'!H168*10</f>
        <v>0</v>
      </c>
      <c r="D180" s="187">
        <f t="shared" si="11"/>
        <v>0</v>
      </c>
      <c r="E180" s="202"/>
      <c r="F180" s="257"/>
      <c r="G180" s="217"/>
      <c r="H180" s="199"/>
      <c r="I180" s="200"/>
      <c r="J180" s="5"/>
      <c r="K180" s="179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88">
        <f>'Données projet'!A169</f>
        <v>0</v>
      </c>
      <c r="B181" s="189">
        <f>'Données projet'!D169</f>
        <v>0</v>
      </c>
      <c r="C181" s="202">
        <f>'Données projet'!E169*80+SUM('Données projet'!F169:G169)*13.8+'Données projet'!H169*10</f>
        <v>0</v>
      </c>
      <c r="D181" s="187">
        <f t="shared" si="11"/>
        <v>0</v>
      </c>
      <c r="E181" s="202"/>
      <c r="F181" s="257"/>
      <c r="G181" s="217"/>
      <c r="H181" s="199"/>
      <c r="I181" s="200"/>
      <c r="J181" s="5"/>
      <c r="K181" s="179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88">
        <f>'Données projet'!A170</f>
        <v>0</v>
      </c>
      <c r="B182" s="189">
        <f>'Données projet'!D170</f>
        <v>0</v>
      </c>
      <c r="C182" s="202">
        <f>'Données projet'!E170*80+SUM('Données projet'!F170:G170)*13.8+'Données projet'!H170*10</f>
        <v>0</v>
      </c>
      <c r="D182" s="187">
        <f t="shared" si="11"/>
        <v>0</v>
      </c>
      <c r="E182" s="202"/>
      <c r="F182" s="257"/>
      <c r="G182" s="217"/>
      <c r="H182" s="199"/>
      <c r="I182" s="200"/>
      <c r="J182" s="5"/>
      <c r="K182" s="179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88">
        <f>'Données projet'!A171</f>
        <v>0</v>
      </c>
      <c r="B183" s="189">
        <f>'Données projet'!D171</f>
        <v>0</v>
      </c>
      <c r="C183" s="202">
        <f>'Données projet'!E171*80+SUM('Données projet'!F171:G171)*13.8+'Données projet'!H171*10</f>
        <v>0</v>
      </c>
      <c r="D183" s="187">
        <f t="shared" si="11"/>
        <v>0</v>
      </c>
      <c r="E183" s="202"/>
      <c r="F183" s="257"/>
      <c r="G183" s="217"/>
      <c r="H183" s="199"/>
      <c r="I183" s="200"/>
      <c r="J183" s="5"/>
      <c r="K183" s="179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88">
        <f>'Données projet'!A172</f>
        <v>0</v>
      </c>
      <c r="B184" s="189">
        <f>'Données projet'!D172</f>
        <v>0</v>
      </c>
      <c r="C184" s="202">
        <f>'Données projet'!E172*80+SUM('Données projet'!F172:G172)*13.8+'Données projet'!H172*10</f>
        <v>0</v>
      </c>
      <c r="D184" s="187">
        <f t="shared" si="11"/>
        <v>0</v>
      </c>
      <c r="E184" s="202"/>
      <c r="F184" s="257"/>
      <c r="G184" s="218"/>
      <c r="H184" s="199"/>
      <c r="I184" s="200"/>
      <c r="J184" s="5"/>
      <c r="K184" s="179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88">
        <f>'Données projet'!A173</f>
        <v>0</v>
      </c>
      <c r="B185" s="189">
        <f>'Données projet'!D173</f>
        <v>0</v>
      </c>
      <c r="C185" s="202">
        <f>'Données projet'!E173*80+SUM('Données projet'!F173:G173)*13.8+'Données projet'!H173*10</f>
        <v>0</v>
      </c>
      <c r="D185" s="187">
        <f t="shared" si="11"/>
        <v>0</v>
      </c>
      <c r="E185" s="202"/>
      <c r="F185" s="257"/>
      <c r="G185" s="218"/>
      <c r="H185" s="199"/>
      <c r="I185" s="200"/>
      <c r="J185" s="5"/>
      <c r="K185" s="179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88">
        <f>'Données projet'!A174</f>
        <v>0</v>
      </c>
      <c r="B186" s="189">
        <f>'Données projet'!D174</f>
        <v>0</v>
      </c>
      <c r="C186" s="202">
        <f>'Données projet'!E174*80+SUM('Données projet'!F174:G174)*13.8+'Données projet'!H174*10</f>
        <v>0</v>
      </c>
      <c r="D186" s="187">
        <f t="shared" si="11"/>
        <v>0</v>
      </c>
      <c r="E186" s="202"/>
      <c r="F186" s="257"/>
      <c r="G186" s="218"/>
      <c r="H186" s="199"/>
      <c r="I186" s="200"/>
      <c r="J186" s="5"/>
      <c r="K186" s="179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88">
        <f>'Données projet'!A175</f>
        <v>0</v>
      </c>
      <c r="B187" s="189">
        <f>'Données projet'!D175</f>
        <v>0</v>
      </c>
      <c r="C187" s="202">
        <f>'Données projet'!E175*80+SUM('Données projet'!F175:G175)*13.8+'Données projet'!H175*10</f>
        <v>0</v>
      </c>
      <c r="D187" s="187">
        <f t="shared" si="11"/>
        <v>0</v>
      </c>
      <c r="E187" s="202"/>
      <c r="F187" s="257"/>
      <c r="G187" s="218"/>
      <c r="H187" s="199"/>
      <c r="I187" s="200"/>
      <c r="J187" s="5"/>
      <c r="K187" s="179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88">
        <f>'Données projet'!A176</f>
        <v>0</v>
      </c>
      <c r="B188" s="189">
        <f>'Données projet'!D176</f>
        <v>0</v>
      </c>
      <c r="C188" s="202">
        <f>'Données projet'!E176*80+SUM('Données projet'!F176:G176)*13.8+'Données projet'!H176*10</f>
        <v>0</v>
      </c>
      <c r="D188" s="187">
        <f t="shared" si="11"/>
        <v>0</v>
      </c>
      <c r="E188" s="202"/>
      <c r="F188" s="257"/>
      <c r="G188" s="218"/>
      <c r="H188" s="199"/>
      <c r="I188" s="200"/>
      <c r="J188" s="5"/>
      <c r="K188" s="179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88">
        <f>'Données projet'!A177</f>
        <v>0</v>
      </c>
      <c r="B189" s="189">
        <f>'Données projet'!D177</f>
        <v>0</v>
      </c>
      <c r="C189" s="202">
        <f>'Données projet'!E177*80+SUM('Données projet'!F177:G177)*13.8+'Données projet'!H177*10</f>
        <v>0</v>
      </c>
      <c r="D189" s="187">
        <f t="shared" si="11"/>
        <v>0</v>
      </c>
      <c r="E189" s="202"/>
      <c r="F189" s="257"/>
      <c r="G189" s="218"/>
      <c r="H189" s="199"/>
      <c r="I189" s="200"/>
      <c r="J189" s="5"/>
      <c r="K189" s="179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88">
        <f>'Données projet'!A178</f>
        <v>0</v>
      </c>
      <c r="B190" s="189">
        <f>'Données projet'!D178</f>
        <v>0</v>
      </c>
      <c r="C190" s="202">
        <f>'Données projet'!E178*80+SUM('Données projet'!F178:G178)*13.8+'Données projet'!H178*10</f>
        <v>0</v>
      </c>
      <c r="D190" s="187">
        <f t="shared" si="11"/>
        <v>0</v>
      </c>
      <c r="E190" s="202"/>
      <c r="F190" s="257"/>
      <c r="G190" s="218"/>
      <c r="H190" s="199"/>
      <c r="I190" s="200"/>
      <c r="J190" s="5"/>
      <c r="K190" s="179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88">
        <f>'Données projet'!A179</f>
        <v>0</v>
      </c>
      <c r="B191" s="189">
        <f>'Données projet'!D179</f>
        <v>0</v>
      </c>
      <c r="C191" s="202">
        <f>'Données projet'!E179*80+SUM('Données projet'!F179:G179)*13.8+'Données projet'!H179*10</f>
        <v>0</v>
      </c>
      <c r="D191" s="187">
        <f t="shared" si="11"/>
        <v>0</v>
      </c>
      <c r="E191" s="202"/>
      <c r="F191" s="257"/>
      <c r="G191" s="218"/>
      <c r="H191" s="199"/>
      <c r="I191" s="200"/>
      <c r="J191" s="5"/>
      <c r="K191" s="179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88">
        <f>'Données projet'!A180</f>
        <v>0</v>
      </c>
      <c r="B192" s="189">
        <f>'Données projet'!D180</f>
        <v>0</v>
      </c>
      <c r="C192" s="202">
        <f>'Données projet'!E180*80+SUM('Données projet'!F180:G180)*13.8+'Données projet'!H180*10</f>
        <v>0</v>
      </c>
      <c r="D192" s="187">
        <f t="shared" si="11"/>
        <v>0</v>
      </c>
      <c r="E192" s="202"/>
      <c r="F192" s="257"/>
      <c r="G192" s="218"/>
      <c r="H192" s="199"/>
      <c r="I192" s="200"/>
      <c r="J192" s="5"/>
      <c r="K192" s="179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88">
        <f>'Données projet'!A181</f>
        <v>0</v>
      </c>
      <c r="B193" s="189">
        <f>'Données projet'!D181</f>
        <v>0</v>
      </c>
      <c r="C193" s="202">
        <f>'Données projet'!E181*80+SUM('Données projet'!F181:G181)*13.8+'Données projet'!H181*10</f>
        <v>0</v>
      </c>
      <c r="D193" s="187">
        <f t="shared" si="11"/>
        <v>0</v>
      </c>
      <c r="E193" s="202"/>
      <c r="F193" s="257"/>
      <c r="G193" s="218"/>
      <c r="H193" s="199"/>
      <c r="I193" s="200"/>
      <c r="J193" s="5"/>
      <c r="K193" s="179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88">
        <f>'Données projet'!A182</f>
        <v>0</v>
      </c>
      <c r="B194" s="189">
        <f>'Données projet'!D182</f>
        <v>0</v>
      </c>
      <c r="C194" s="202">
        <f>'Données projet'!E182*80+SUM('Données projet'!F182:G182)*13.8+'Données projet'!H182*10</f>
        <v>0</v>
      </c>
      <c r="D194" s="187">
        <f t="shared" si="11"/>
        <v>0</v>
      </c>
      <c r="E194" s="202"/>
      <c r="F194" s="257"/>
      <c r="G194" s="218"/>
      <c r="H194" s="199"/>
      <c r="I194" s="200"/>
      <c r="J194" s="5"/>
      <c r="K194" s="179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88">
        <f>'Données projet'!A183</f>
        <v>0</v>
      </c>
      <c r="B195" s="189">
        <f>'Données projet'!D183</f>
        <v>0</v>
      </c>
      <c r="C195" s="202">
        <f>'Données projet'!E183*80+SUM('Données projet'!F183:G183)*13.8+'Données projet'!H183*10</f>
        <v>0</v>
      </c>
      <c r="D195" s="187">
        <f t="shared" si="11"/>
        <v>0</v>
      </c>
      <c r="E195" s="202"/>
      <c r="F195" s="257"/>
      <c r="G195" s="218"/>
      <c r="H195" s="199"/>
      <c r="I195" s="200"/>
      <c r="J195" s="5"/>
      <c r="K195" s="179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88">
        <f>'Données projet'!A184</f>
        <v>0</v>
      </c>
      <c r="B196" s="189">
        <f>'Données projet'!D184</f>
        <v>0</v>
      </c>
      <c r="C196" s="202">
        <f>'Données projet'!E184*80+SUM('Données projet'!F184:G184)*13.8+'Données projet'!H184*10</f>
        <v>0</v>
      </c>
      <c r="D196" s="187">
        <f t="shared" si="11"/>
        <v>0</v>
      </c>
      <c r="E196" s="202"/>
      <c r="F196" s="257"/>
      <c r="G196" s="218"/>
      <c r="H196" s="199"/>
      <c r="I196" s="200"/>
      <c r="J196" s="5"/>
      <c r="K196" s="179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88">
        <f>'Données projet'!A185</f>
        <v>0</v>
      </c>
      <c r="B197" s="189">
        <f>'Données projet'!D185</f>
        <v>0</v>
      </c>
      <c r="C197" s="202">
        <f>'Données projet'!E185*80+SUM('Données projet'!F185:G185)*13.8+'Données projet'!H185*10</f>
        <v>0</v>
      </c>
      <c r="D197" s="187">
        <f t="shared" si="11"/>
        <v>0</v>
      </c>
      <c r="E197" s="202"/>
      <c r="F197" s="257"/>
      <c r="G197" s="218"/>
      <c r="H197" s="199"/>
      <c r="I197" s="200"/>
      <c r="J197" s="5"/>
      <c r="K197" s="179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5"/>
      <c r="G198" s="218"/>
      <c r="H198" s="199"/>
      <c r="I198" s="200"/>
      <c r="J198" s="5"/>
      <c r="K198" s="179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5"/>
      <c r="G199" s="218"/>
      <c r="H199" s="199"/>
      <c r="I199" s="200"/>
      <c r="J199" s="5"/>
      <c r="K199" s="179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2" t="str">
        <f>IF('Données projet'!$B$15="","",'Données projet'!$B$15)</f>
        <v/>
      </c>
      <c r="C200" s="5"/>
      <c r="D200" s="5"/>
      <c r="E200" s="5"/>
      <c r="F200" s="255"/>
      <c r="G200" s="218"/>
      <c r="H200" s="199"/>
      <c r="I200" s="200"/>
      <c r="J200" s="5"/>
      <c r="K200" s="179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5"/>
      <c r="G201" s="218"/>
      <c r="H201" s="199"/>
      <c r="I201" s="200"/>
      <c r="J201" s="5"/>
      <c r="K201" s="179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1" t="s">
        <v>180</v>
      </c>
      <c r="B202" s="51" t="s">
        <v>256</v>
      </c>
      <c r="C202" s="51" t="s">
        <v>255</v>
      </c>
      <c r="D202" s="251" t="s">
        <v>252</v>
      </c>
      <c r="E202" s="251" t="s">
        <v>287</v>
      </c>
      <c r="F202" s="256"/>
      <c r="G202" s="218"/>
      <c r="H202" s="199"/>
      <c r="I202" s="200"/>
      <c r="J202" s="5"/>
      <c r="K202" s="179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5">
        <v>0</v>
      </c>
      <c r="B203" s="208" t="s">
        <v>132</v>
      </c>
      <c r="C203" s="207" t="s">
        <v>132</v>
      </c>
      <c r="D203" s="206" t="s">
        <v>132</v>
      </c>
      <c r="E203" s="202"/>
      <c r="F203" s="256"/>
      <c r="G203" s="218"/>
      <c r="H203" s="199"/>
      <c r="I203" s="200"/>
      <c r="J203" s="5"/>
      <c r="K203" s="179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5">
        <v>1</v>
      </c>
      <c r="B204" s="208" t="s">
        <v>132</v>
      </c>
      <c r="C204" s="207" t="s">
        <v>132</v>
      </c>
      <c r="D204" s="206" t="s">
        <v>132</v>
      </c>
      <c r="E204" s="202"/>
      <c r="F204" s="256"/>
      <c r="G204" s="216"/>
      <c r="H204" s="199"/>
      <c r="I204" s="200"/>
      <c r="J204" s="5"/>
      <c r="K204" s="179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5">
        <v>2</v>
      </c>
      <c r="B205" s="208" t="s">
        <v>132</v>
      </c>
      <c r="C205" s="207" t="s">
        <v>132</v>
      </c>
      <c r="D205" s="206" t="s">
        <v>132</v>
      </c>
      <c r="E205" s="202"/>
      <c r="F205" s="256"/>
      <c r="G205" s="216"/>
      <c r="H205" s="199"/>
      <c r="I205" s="200"/>
      <c r="J205" s="5"/>
      <c r="K205" s="179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5">
        <v>3</v>
      </c>
      <c r="B206" s="208" t="s">
        <v>132</v>
      </c>
      <c r="C206" s="207" t="s">
        <v>132</v>
      </c>
      <c r="D206" s="206" t="s">
        <v>132</v>
      </c>
      <c r="E206" s="202"/>
      <c r="F206" s="256"/>
      <c r="G206" s="216"/>
      <c r="H206" s="199"/>
      <c r="I206" s="200"/>
      <c r="J206" s="5"/>
      <c r="K206" s="179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5">
        <v>4</v>
      </c>
      <c r="B207" s="208" t="s">
        <v>132</v>
      </c>
      <c r="C207" s="207" t="s">
        <v>132</v>
      </c>
      <c r="D207" s="206" t="s">
        <v>132</v>
      </c>
      <c r="E207" s="202"/>
      <c r="F207" s="256"/>
      <c r="G207" s="216"/>
      <c r="H207" s="199"/>
      <c r="I207" s="200"/>
      <c r="J207" s="5"/>
      <c r="K207" s="179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5">
        <v>5</v>
      </c>
      <c r="B208" s="208" t="s">
        <v>132</v>
      </c>
      <c r="C208" s="207" t="s">
        <v>132</v>
      </c>
      <c r="D208" s="206" t="s">
        <v>132</v>
      </c>
      <c r="E208" s="202"/>
      <c r="F208" s="256"/>
      <c r="G208" s="217"/>
      <c r="H208" s="199"/>
      <c r="I208" s="200"/>
      <c r="J208" s="5"/>
      <c r="K208" s="179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88">
        <f>'Données projet'!A192</f>
        <v>0</v>
      </c>
      <c r="B209" s="189">
        <f>'Données projet'!D192</f>
        <v>0</v>
      </c>
      <c r="C209" s="202">
        <f>'Données projet'!E192*45+SUM('Données projet'!F192:G192)*13.8+'Données projet'!H192*10</f>
        <v>0</v>
      </c>
      <c r="D209" s="187">
        <f>B209*C209</f>
        <v>0</v>
      </c>
      <c r="E209" s="202"/>
      <c r="F209" s="257"/>
      <c r="G209" s="217"/>
      <c r="H209" s="199"/>
      <c r="I209" s="200"/>
      <c r="J209" s="5"/>
      <c r="K209" s="179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88">
        <f>'Données projet'!A193</f>
        <v>0</v>
      </c>
      <c r="B210" s="189">
        <f>'Données projet'!D193</f>
        <v>0</v>
      </c>
      <c r="C210" s="202">
        <f>'Données projet'!E193*45+SUM('Données projet'!F193:G193)*13.8+'Données projet'!H193*10</f>
        <v>0</v>
      </c>
      <c r="D210" s="187">
        <f t="shared" ref="D210:D228" si="12">B210*C210</f>
        <v>0</v>
      </c>
      <c r="E210" s="202"/>
      <c r="F210" s="257"/>
      <c r="G210" s="217"/>
      <c r="H210" s="199"/>
      <c r="I210" s="200"/>
      <c r="J210" s="5"/>
      <c r="K210" s="179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88">
        <f>'Données projet'!A194</f>
        <v>0</v>
      </c>
      <c r="B211" s="189">
        <f>'Données projet'!D194</f>
        <v>0</v>
      </c>
      <c r="C211" s="202">
        <f>'Données projet'!E194*45+SUM('Données projet'!F194:G194)*13.8+'Données projet'!H194*10</f>
        <v>0</v>
      </c>
      <c r="D211" s="187">
        <f t="shared" si="12"/>
        <v>0</v>
      </c>
      <c r="E211" s="202"/>
      <c r="F211" s="257"/>
      <c r="G211" s="217"/>
      <c r="H211" s="199"/>
      <c r="I211" s="200"/>
      <c r="J211" s="5"/>
      <c r="K211" s="179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88">
        <f>'Données projet'!A195</f>
        <v>0</v>
      </c>
      <c r="B212" s="189">
        <f>'Données projet'!D195</f>
        <v>0</v>
      </c>
      <c r="C212" s="202">
        <f>'Données projet'!E195*45+SUM('Données projet'!F195:G195)*13.8+'Données projet'!H195*10</f>
        <v>0</v>
      </c>
      <c r="D212" s="187">
        <f t="shared" si="12"/>
        <v>0</v>
      </c>
      <c r="E212" s="202"/>
      <c r="F212" s="257"/>
      <c r="G212" s="217"/>
      <c r="H212" s="199"/>
      <c r="I212" s="200"/>
      <c r="J212" s="5"/>
      <c r="K212" s="179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88">
        <f>'Données projet'!A196</f>
        <v>0</v>
      </c>
      <c r="B213" s="189">
        <f>'Données projet'!D196</f>
        <v>0</v>
      </c>
      <c r="C213" s="202">
        <f>'Données projet'!E196*45+SUM('Données projet'!F196:G196)*13.8+'Données projet'!H196*10</f>
        <v>0</v>
      </c>
      <c r="D213" s="187">
        <f t="shared" si="12"/>
        <v>0</v>
      </c>
      <c r="E213" s="202"/>
      <c r="F213" s="257"/>
      <c r="G213" s="217"/>
      <c r="H213" s="199"/>
      <c r="I213" s="200"/>
      <c r="J213" s="5"/>
      <c r="K213" s="179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88">
        <f>'Données projet'!A197</f>
        <v>0</v>
      </c>
      <c r="B214" s="189">
        <f>'Données projet'!D197</f>
        <v>0</v>
      </c>
      <c r="C214" s="202">
        <f>'Données projet'!E197*45+SUM('Données projet'!F197:G197)*13.8+'Données projet'!H197*10</f>
        <v>0</v>
      </c>
      <c r="D214" s="187">
        <f t="shared" si="12"/>
        <v>0</v>
      </c>
      <c r="E214" s="202"/>
      <c r="F214" s="257"/>
      <c r="G214" s="217"/>
      <c r="H214" s="199"/>
      <c r="I214" s="200"/>
      <c r="J214" s="5"/>
      <c r="K214" s="179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88">
        <f>'Données projet'!A198</f>
        <v>0</v>
      </c>
      <c r="B215" s="189">
        <f>'Données projet'!D198</f>
        <v>0</v>
      </c>
      <c r="C215" s="202">
        <f>'Données projet'!E198*45+SUM('Données projet'!F198:G198)*13.8+'Données projet'!H198*10</f>
        <v>0</v>
      </c>
      <c r="D215" s="187">
        <f t="shared" si="12"/>
        <v>0</v>
      </c>
      <c r="E215" s="202"/>
      <c r="F215" s="257"/>
      <c r="G215" s="218"/>
      <c r="H215" s="199"/>
      <c r="I215" s="200"/>
      <c r="J215" s="5"/>
      <c r="K215" s="179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88">
        <f>'Données projet'!A199</f>
        <v>0</v>
      </c>
      <c r="B216" s="189">
        <f>'Données projet'!D199</f>
        <v>0</v>
      </c>
      <c r="C216" s="202">
        <f>'Données projet'!E199*45+SUM('Données projet'!F199:G199)*13.8+'Données projet'!H199*10</f>
        <v>0</v>
      </c>
      <c r="D216" s="187">
        <f t="shared" si="12"/>
        <v>0</v>
      </c>
      <c r="E216" s="202"/>
      <c r="F216" s="257"/>
      <c r="G216" s="218"/>
      <c r="H216" s="199"/>
      <c r="I216" s="200"/>
      <c r="J216" s="5"/>
      <c r="K216" s="179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88">
        <f>'Données projet'!A200</f>
        <v>0</v>
      </c>
      <c r="B217" s="189">
        <f>'Données projet'!D200</f>
        <v>0</v>
      </c>
      <c r="C217" s="202">
        <f>'Données projet'!E200*45+SUM('Données projet'!F200:G200)*13.8+'Données projet'!H200*10</f>
        <v>0</v>
      </c>
      <c r="D217" s="187">
        <f t="shared" si="12"/>
        <v>0</v>
      </c>
      <c r="E217" s="202"/>
      <c r="F217" s="257"/>
      <c r="G217" s="218"/>
      <c r="H217" s="199"/>
      <c r="I217" s="200"/>
      <c r="J217" s="5"/>
      <c r="K217" s="179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88">
        <f>'Données projet'!A201</f>
        <v>0</v>
      </c>
      <c r="B218" s="189">
        <f>'Données projet'!D201</f>
        <v>0</v>
      </c>
      <c r="C218" s="202">
        <f>'Données projet'!E201*45+SUM('Données projet'!F201:G201)*13.8+'Données projet'!H201*10</f>
        <v>0</v>
      </c>
      <c r="D218" s="187">
        <f t="shared" si="12"/>
        <v>0</v>
      </c>
      <c r="E218" s="202"/>
      <c r="F218" s="257"/>
      <c r="G218" s="218"/>
      <c r="H218" s="199"/>
      <c r="I218" s="200"/>
      <c r="J218" s="5"/>
      <c r="K218" s="179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88">
        <f>'Données projet'!A202</f>
        <v>0</v>
      </c>
      <c r="B219" s="189">
        <f>'Données projet'!D202</f>
        <v>0</v>
      </c>
      <c r="C219" s="202">
        <f>'Données projet'!E202*45+SUM('Données projet'!F202:G202)*13.8+'Données projet'!H202*10</f>
        <v>0</v>
      </c>
      <c r="D219" s="187">
        <f t="shared" si="12"/>
        <v>0</v>
      </c>
      <c r="E219" s="202"/>
      <c r="F219" s="257"/>
      <c r="G219" s="218"/>
      <c r="H219" s="199"/>
      <c r="I219" s="200"/>
      <c r="J219" s="5"/>
      <c r="K219" s="179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88">
        <f>'Données projet'!A203</f>
        <v>0</v>
      </c>
      <c r="B220" s="189">
        <f>'Données projet'!D203</f>
        <v>0</v>
      </c>
      <c r="C220" s="202">
        <f>'Données projet'!E203*45+SUM('Données projet'!F203:G203)*13.8+'Données projet'!H203*10</f>
        <v>0</v>
      </c>
      <c r="D220" s="187">
        <f t="shared" si="12"/>
        <v>0</v>
      </c>
      <c r="E220" s="202"/>
      <c r="F220" s="257"/>
      <c r="G220" s="218"/>
      <c r="H220" s="5"/>
      <c r="I220" s="5"/>
      <c r="J220" s="5"/>
      <c r="K220" s="179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88">
        <f>'Données projet'!A204</f>
        <v>0</v>
      </c>
      <c r="B221" s="189">
        <f>'Données projet'!D204</f>
        <v>0</v>
      </c>
      <c r="C221" s="202">
        <f>'Données projet'!E204*45+SUM('Données projet'!F204:G204)*13.8+'Données projet'!H204*10</f>
        <v>0</v>
      </c>
      <c r="D221" s="187">
        <f t="shared" si="12"/>
        <v>0</v>
      </c>
      <c r="E221" s="202"/>
      <c r="F221" s="257"/>
      <c r="G221" s="218"/>
      <c r="H221" s="5"/>
      <c r="I221" s="5"/>
      <c r="J221" s="5"/>
      <c r="K221" s="179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88">
        <f>'Données projet'!A205</f>
        <v>0</v>
      </c>
      <c r="B222" s="189">
        <f>'Données projet'!D205</f>
        <v>0</v>
      </c>
      <c r="C222" s="202">
        <f>'Données projet'!E205*45+SUM('Données projet'!F205:G205)*13.8+'Données projet'!H205*10</f>
        <v>0</v>
      </c>
      <c r="D222" s="187">
        <f t="shared" si="12"/>
        <v>0</v>
      </c>
      <c r="E222" s="202"/>
      <c r="F222" s="257"/>
      <c r="G222" s="218"/>
      <c r="H222" s="5"/>
      <c r="I222" s="5"/>
      <c r="J222" s="5"/>
      <c r="K222" s="179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88">
        <f>'Données projet'!A206</f>
        <v>0</v>
      </c>
      <c r="B223" s="189">
        <f>'Données projet'!D206</f>
        <v>0</v>
      </c>
      <c r="C223" s="202">
        <f>'Données projet'!E206*45+SUM('Données projet'!F206:G206)*13.8+'Données projet'!H206*10</f>
        <v>0</v>
      </c>
      <c r="D223" s="187">
        <f t="shared" si="12"/>
        <v>0</v>
      </c>
      <c r="E223" s="202"/>
      <c r="F223" s="257"/>
      <c r="G223" s="218"/>
      <c r="H223" s="5"/>
      <c r="I223" s="5"/>
      <c r="J223" s="5"/>
      <c r="K223" s="179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88">
        <f>'Données projet'!A207</f>
        <v>0</v>
      </c>
      <c r="B224" s="189">
        <f>'Données projet'!D207</f>
        <v>0</v>
      </c>
      <c r="C224" s="202">
        <f>'Données projet'!E207*45+SUM('Données projet'!F207:G207)*13.8+'Données projet'!H207*10</f>
        <v>0</v>
      </c>
      <c r="D224" s="187">
        <f t="shared" si="12"/>
        <v>0</v>
      </c>
      <c r="E224" s="202"/>
      <c r="F224" s="257"/>
      <c r="G224" s="218"/>
      <c r="H224" s="5"/>
      <c r="I224" s="5"/>
      <c r="J224" s="5"/>
      <c r="K224" s="179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88">
        <f>'Données projet'!A208</f>
        <v>0</v>
      </c>
      <c r="B225" s="189">
        <f>'Données projet'!D208</f>
        <v>0</v>
      </c>
      <c r="C225" s="202">
        <f>'Données projet'!E208*45+SUM('Données projet'!F208:G208)*13.8+'Données projet'!H208*10</f>
        <v>0</v>
      </c>
      <c r="D225" s="187">
        <f t="shared" si="12"/>
        <v>0</v>
      </c>
      <c r="E225" s="202"/>
      <c r="F225" s="257"/>
      <c r="G225" s="218"/>
      <c r="H225" s="5"/>
      <c r="I225" s="5"/>
      <c r="J225" s="5"/>
      <c r="K225" s="179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88">
        <f>'Données projet'!A209</f>
        <v>0</v>
      </c>
      <c r="B226" s="189">
        <f>'Données projet'!D209</f>
        <v>0</v>
      </c>
      <c r="C226" s="202">
        <f>'Données projet'!E209*45+SUM('Données projet'!F209:G209)*13.8+'Données projet'!H209*10</f>
        <v>0</v>
      </c>
      <c r="D226" s="187">
        <f t="shared" si="12"/>
        <v>0</v>
      </c>
      <c r="E226" s="202"/>
      <c r="F226" s="257"/>
      <c r="G226" s="218"/>
      <c r="H226" s="5"/>
      <c r="I226" s="5"/>
      <c r="J226" s="5"/>
      <c r="K226" s="179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88">
        <f>'Données projet'!A210</f>
        <v>0</v>
      </c>
      <c r="B227" s="189">
        <f>'Données projet'!D210</f>
        <v>0</v>
      </c>
      <c r="C227" s="202">
        <f>'Données projet'!E210*45+SUM('Données projet'!F210:G210)*13.8+'Données projet'!H210*10</f>
        <v>0</v>
      </c>
      <c r="D227" s="187">
        <f t="shared" si="12"/>
        <v>0</v>
      </c>
      <c r="E227" s="202"/>
      <c r="F227" s="257"/>
      <c r="G227" s="218"/>
      <c r="H227" s="5"/>
      <c r="I227" s="5"/>
      <c r="J227" s="5"/>
      <c r="K227" s="179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88">
        <f>'Données projet'!A211</f>
        <v>0</v>
      </c>
      <c r="B228" s="189">
        <f>'Données projet'!D211</f>
        <v>0</v>
      </c>
      <c r="C228" s="202">
        <f>'Données projet'!E211*45+SUM('Données projet'!F211:G211)*13.8+'Données projet'!H211*10</f>
        <v>0</v>
      </c>
      <c r="D228" s="187">
        <f t="shared" si="12"/>
        <v>0</v>
      </c>
      <c r="E228" s="202"/>
      <c r="F228" s="257"/>
      <c r="G228" s="218"/>
      <c r="H228" s="5"/>
      <c r="I228" s="5"/>
      <c r="J228" s="5"/>
      <c r="K228" s="179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5"/>
      <c r="G229" s="218"/>
      <c r="H229" s="5"/>
      <c r="I229" s="5"/>
      <c r="J229" s="5"/>
      <c r="K229" s="179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5"/>
      <c r="G230" s="218"/>
      <c r="H230" s="5"/>
      <c r="I230" s="5"/>
      <c r="J230" s="5"/>
      <c r="K230" s="179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2" t="str">
        <f>IF('Données projet'!$B$16="","",'Données projet'!$B$16)</f>
        <v/>
      </c>
      <c r="C231" s="5"/>
      <c r="D231" s="5"/>
      <c r="E231" s="5"/>
      <c r="F231" s="255"/>
      <c r="G231" s="218"/>
      <c r="H231" s="5"/>
      <c r="I231" s="5"/>
      <c r="J231" s="5"/>
      <c r="K231" s="179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5"/>
      <c r="G232" s="218"/>
      <c r="H232" s="5"/>
      <c r="I232" s="5"/>
      <c r="J232" s="5"/>
      <c r="K232" s="179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1" t="s">
        <v>180</v>
      </c>
      <c r="B233" s="51" t="s">
        <v>256</v>
      </c>
      <c r="C233" s="51" t="s">
        <v>255</v>
      </c>
      <c r="D233" s="251" t="s">
        <v>252</v>
      </c>
      <c r="E233" s="251" t="s">
        <v>287</v>
      </c>
      <c r="F233" s="256"/>
      <c r="G233" s="218"/>
      <c r="H233" s="5"/>
      <c r="I233" s="5"/>
      <c r="J233" s="5"/>
      <c r="K233" s="179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5">
        <v>0</v>
      </c>
      <c r="B234" s="208" t="s">
        <v>132</v>
      </c>
      <c r="C234" s="207" t="s">
        <v>132</v>
      </c>
      <c r="D234" s="206" t="s">
        <v>132</v>
      </c>
      <c r="E234" s="202"/>
      <c r="F234" s="256"/>
      <c r="G234" s="218"/>
      <c r="H234" s="5"/>
      <c r="I234" s="5"/>
      <c r="J234" s="5"/>
      <c r="K234" s="179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5">
        <v>1</v>
      </c>
      <c r="B235" s="208" t="s">
        <v>132</v>
      </c>
      <c r="C235" s="207" t="s">
        <v>132</v>
      </c>
      <c r="D235" s="206" t="s">
        <v>132</v>
      </c>
      <c r="E235" s="202"/>
      <c r="F235" s="256"/>
      <c r="G235" s="216"/>
      <c r="H235" s="5"/>
      <c r="I235" s="5"/>
      <c r="J235" s="5"/>
      <c r="K235" s="179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5">
        <v>2</v>
      </c>
      <c r="B236" s="208" t="s">
        <v>132</v>
      </c>
      <c r="C236" s="207" t="s">
        <v>132</v>
      </c>
      <c r="D236" s="206" t="s">
        <v>132</v>
      </c>
      <c r="E236" s="202"/>
      <c r="F236" s="256"/>
      <c r="G236" s="216"/>
      <c r="H236" s="5"/>
      <c r="I236" s="5"/>
      <c r="J236" s="5"/>
      <c r="K236" s="179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5">
        <v>3</v>
      </c>
      <c r="B237" s="208" t="s">
        <v>132</v>
      </c>
      <c r="C237" s="207" t="s">
        <v>132</v>
      </c>
      <c r="D237" s="206" t="s">
        <v>132</v>
      </c>
      <c r="E237" s="202"/>
      <c r="F237" s="256"/>
      <c r="G237" s="216"/>
      <c r="H237" s="5"/>
      <c r="I237" s="5"/>
      <c r="J237" s="5"/>
      <c r="K237" s="179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5">
        <v>4</v>
      </c>
      <c r="B238" s="208" t="s">
        <v>132</v>
      </c>
      <c r="C238" s="207" t="s">
        <v>132</v>
      </c>
      <c r="D238" s="206" t="s">
        <v>132</v>
      </c>
      <c r="E238" s="202"/>
      <c r="F238" s="256"/>
      <c r="G238" s="216"/>
      <c r="H238" s="5"/>
      <c r="I238" s="5"/>
      <c r="J238" s="5"/>
      <c r="K238" s="179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5">
        <v>5</v>
      </c>
      <c r="B239" s="208" t="s">
        <v>132</v>
      </c>
      <c r="C239" s="207" t="s">
        <v>132</v>
      </c>
      <c r="D239" s="206" t="s">
        <v>132</v>
      </c>
      <c r="E239" s="202"/>
      <c r="F239" s="256"/>
      <c r="G239" s="217"/>
      <c r="H239" s="5"/>
      <c r="I239" s="5"/>
      <c r="J239" s="5"/>
      <c r="K239" s="179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88">
        <f>'Données projet'!A218</f>
        <v>0</v>
      </c>
      <c r="B240" s="189">
        <f>'Données projet'!D218</f>
        <v>0</v>
      </c>
      <c r="C240" s="202">
        <f>'Données projet'!E218*60+SUM('Données projet'!F218:G218)*13.8+'Données projet'!H218*10</f>
        <v>0</v>
      </c>
      <c r="D240" s="187">
        <f>B240*C240</f>
        <v>0</v>
      </c>
      <c r="E240" s="202"/>
      <c r="F240" s="257"/>
      <c r="G240" s="217"/>
      <c r="H240" s="5"/>
      <c r="I240" s="5"/>
      <c r="J240" s="5"/>
      <c r="K240" s="179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88">
        <f>'Données projet'!A219</f>
        <v>0</v>
      </c>
      <c r="B241" s="189">
        <f>'Données projet'!D219</f>
        <v>0</v>
      </c>
      <c r="C241" s="202">
        <f>'Données projet'!E219*60+SUM('Données projet'!F219:G219)*13.8+'Données projet'!H219*10</f>
        <v>0</v>
      </c>
      <c r="D241" s="187">
        <f t="shared" ref="D241:D259" si="13">B241*C241</f>
        <v>0</v>
      </c>
      <c r="E241" s="202"/>
      <c r="F241" s="257"/>
      <c r="G241" s="217"/>
      <c r="H241" s="5"/>
      <c r="I241" s="5"/>
      <c r="J241" s="5"/>
      <c r="K241" s="179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88">
        <f>'Données projet'!A220</f>
        <v>0</v>
      </c>
      <c r="B242" s="189">
        <f>'Données projet'!D220</f>
        <v>0</v>
      </c>
      <c r="C242" s="202">
        <f>'Données projet'!E220*60+SUM('Données projet'!F220:G220)*13.8+'Données projet'!H220*10</f>
        <v>0</v>
      </c>
      <c r="D242" s="187">
        <f t="shared" si="13"/>
        <v>0</v>
      </c>
      <c r="E242" s="202"/>
      <c r="F242" s="257"/>
      <c r="G242" s="217"/>
      <c r="H242" s="5"/>
      <c r="I242" s="5"/>
      <c r="J242" s="5"/>
      <c r="K242" s="179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88">
        <f>'Données projet'!A221</f>
        <v>0</v>
      </c>
      <c r="B243" s="189">
        <f>'Données projet'!D221</f>
        <v>0</v>
      </c>
      <c r="C243" s="202">
        <f>'Données projet'!E221*60+SUM('Données projet'!F221:G221)*13.8+'Données projet'!H221*10</f>
        <v>0</v>
      </c>
      <c r="D243" s="187">
        <f t="shared" si="13"/>
        <v>0</v>
      </c>
      <c r="E243" s="202"/>
      <c r="F243" s="257"/>
      <c r="G243" s="217"/>
      <c r="H243" s="5"/>
      <c r="I243" s="5"/>
      <c r="J243" s="5"/>
      <c r="K243" s="179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88">
        <f>'Données projet'!A222</f>
        <v>0</v>
      </c>
      <c r="B244" s="189">
        <f>'Données projet'!D222</f>
        <v>0</v>
      </c>
      <c r="C244" s="202">
        <f>'Données projet'!E222*60+SUM('Données projet'!F222:G222)*13.8+'Données projet'!H222*10</f>
        <v>0</v>
      </c>
      <c r="D244" s="187">
        <f t="shared" si="13"/>
        <v>0</v>
      </c>
      <c r="E244" s="202"/>
      <c r="F244" s="257"/>
      <c r="G244" s="217"/>
      <c r="H244" s="5"/>
      <c r="I244" s="5"/>
      <c r="J244" s="5"/>
      <c r="K244" s="179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88">
        <f>'Données projet'!A223</f>
        <v>0</v>
      </c>
      <c r="B245" s="189">
        <f>'Données projet'!D223</f>
        <v>0</v>
      </c>
      <c r="C245" s="202">
        <f>'Données projet'!E223*60+SUM('Données projet'!F223:G223)*13.8+'Données projet'!H223*10</f>
        <v>0</v>
      </c>
      <c r="D245" s="187">
        <f t="shared" si="13"/>
        <v>0</v>
      </c>
      <c r="E245" s="202"/>
      <c r="F245" s="257"/>
      <c r="G245" s="217"/>
      <c r="H245" s="5"/>
      <c r="I245" s="5"/>
      <c r="J245" s="5"/>
      <c r="K245" s="179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88">
        <f>'Données projet'!A224</f>
        <v>0</v>
      </c>
      <c r="B246" s="189">
        <f>'Données projet'!D224</f>
        <v>0</v>
      </c>
      <c r="C246" s="202">
        <f>'Données projet'!E224*60+SUM('Données projet'!F224:G224)*13.8+'Données projet'!H224*10</f>
        <v>0</v>
      </c>
      <c r="D246" s="187">
        <f t="shared" si="13"/>
        <v>0</v>
      </c>
      <c r="E246" s="202"/>
      <c r="F246" s="257"/>
      <c r="G246" s="218"/>
      <c r="H246" s="5"/>
      <c r="I246" s="5"/>
      <c r="J246" s="5"/>
      <c r="K246" s="179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88">
        <f>'Données projet'!A225</f>
        <v>0</v>
      </c>
      <c r="B247" s="189">
        <f>'Données projet'!D225</f>
        <v>0</v>
      </c>
      <c r="C247" s="202">
        <f>'Données projet'!E225*60+SUM('Données projet'!F225:G225)*13.8+'Données projet'!H225*10</f>
        <v>0</v>
      </c>
      <c r="D247" s="187">
        <f t="shared" si="13"/>
        <v>0</v>
      </c>
      <c r="E247" s="202"/>
      <c r="F247" s="257"/>
      <c r="G247" s="218"/>
      <c r="H247" s="5"/>
      <c r="I247" s="5"/>
      <c r="J247" s="5"/>
      <c r="K247" s="179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88">
        <f>'Données projet'!A226</f>
        <v>0</v>
      </c>
      <c r="B248" s="189">
        <f>'Données projet'!D226</f>
        <v>0</v>
      </c>
      <c r="C248" s="202">
        <f>'Données projet'!E226*60+SUM('Données projet'!F226:G226)*13.8+'Données projet'!H226*10</f>
        <v>0</v>
      </c>
      <c r="D248" s="187">
        <f t="shared" si="13"/>
        <v>0</v>
      </c>
      <c r="E248" s="202"/>
      <c r="F248" s="257"/>
      <c r="G248" s="218"/>
      <c r="H248" s="5"/>
      <c r="I248" s="5"/>
      <c r="J248" s="5"/>
      <c r="K248" s="179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88">
        <f>'Données projet'!A227</f>
        <v>0</v>
      </c>
      <c r="B249" s="189">
        <f>'Données projet'!D227</f>
        <v>0</v>
      </c>
      <c r="C249" s="202">
        <f>'Données projet'!E227*60+SUM('Données projet'!F227:G227)*13.8+'Données projet'!H227*10</f>
        <v>0</v>
      </c>
      <c r="D249" s="187">
        <f t="shared" si="13"/>
        <v>0</v>
      </c>
      <c r="E249" s="202"/>
      <c r="F249" s="257"/>
      <c r="G249" s="218"/>
      <c r="H249" s="5"/>
      <c r="I249" s="5"/>
      <c r="J249" s="5"/>
      <c r="K249" s="179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88">
        <f>'Données projet'!A228</f>
        <v>0</v>
      </c>
      <c r="B250" s="189">
        <f>'Données projet'!D228</f>
        <v>0</v>
      </c>
      <c r="C250" s="202">
        <f>'Données projet'!E228*60+SUM('Données projet'!F228:G228)*13.8+'Données projet'!H228*10</f>
        <v>0</v>
      </c>
      <c r="D250" s="187">
        <f t="shared" si="13"/>
        <v>0</v>
      </c>
      <c r="E250" s="202"/>
      <c r="F250" s="257"/>
      <c r="G250" s="218"/>
      <c r="H250" s="5"/>
      <c r="I250" s="5"/>
      <c r="J250" s="5"/>
      <c r="K250" s="179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88">
        <f>'Données projet'!A229</f>
        <v>0</v>
      </c>
      <c r="B251" s="189">
        <f>'Données projet'!D229</f>
        <v>0</v>
      </c>
      <c r="C251" s="202">
        <f>'Données projet'!E229*60+SUM('Données projet'!F229:G229)*13.8+'Données projet'!H229*10</f>
        <v>0</v>
      </c>
      <c r="D251" s="187">
        <f t="shared" si="13"/>
        <v>0</v>
      </c>
      <c r="E251" s="202"/>
      <c r="F251" s="257"/>
      <c r="G251" s="218"/>
      <c r="H251" s="5"/>
      <c r="I251" s="5"/>
      <c r="J251" s="5"/>
      <c r="K251" s="179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88">
        <f>'Données projet'!A230</f>
        <v>0</v>
      </c>
      <c r="B252" s="189">
        <f>'Données projet'!D230</f>
        <v>0</v>
      </c>
      <c r="C252" s="202">
        <f>'Données projet'!E230*60+SUM('Données projet'!F230:G230)*13.8+'Données projet'!H230*10</f>
        <v>0</v>
      </c>
      <c r="D252" s="187">
        <f t="shared" si="13"/>
        <v>0</v>
      </c>
      <c r="E252" s="202"/>
      <c r="F252" s="257"/>
      <c r="G252" s="218"/>
      <c r="H252" s="5"/>
      <c r="I252" s="5"/>
      <c r="J252" s="5"/>
      <c r="K252" s="179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88">
        <f>'Données projet'!A231</f>
        <v>0</v>
      </c>
      <c r="B253" s="189">
        <f>'Données projet'!D231</f>
        <v>0</v>
      </c>
      <c r="C253" s="202">
        <f>'Données projet'!E231*60+SUM('Données projet'!F231:G231)*13.8+'Données projet'!H231*10</f>
        <v>0</v>
      </c>
      <c r="D253" s="187">
        <f t="shared" si="13"/>
        <v>0</v>
      </c>
      <c r="E253" s="202"/>
      <c r="F253" s="257"/>
      <c r="G253" s="218"/>
      <c r="H253" s="5"/>
      <c r="I253" s="5"/>
      <c r="J253" s="5"/>
      <c r="K253" s="179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88">
        <f>'Données projet'!A232</f>
        <v>0</v>
      </c>
      <c r="B254" s="189">
        <f>'Données projet'!D232</f>
        <v>0</v>
      </c>
      <c r="C254" s="202">
        <f>'Données projet'!E232*60+SUM('Données projet'!F232:G232)*13.8+'Données projet'!H232*10</f>
        <v>0</v>
      </c>
      <c r="D254" s="187">
        <f t="shared" si="13"/>
        <v>0</v>
      </c>
      <c r="E254" s="202"/>
      <c r="F254" s="257"/>
      <c r="G254" s="218"/>
      <c r="H254" s="5"/>
      <c r="I254" s="5"/>
      <c r="J254" s="5"/>
      <c r="K254" s="179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88">
        <f>'Données projet'!A233</f>
        <v>0</v>
      </c>
      <c r="B255" s="189">
        <f>'Données projet'!D233</f>
        <v>0</v>
      </c>
      <c r="C255" s="202">
        <f>'Données projet'!E233*60+SUM('Données projet'!F233:G233)*13.8+'Données projet'!H233*10</f>
        <v>0</v>
      </c>
      <c r="D255" s="187">
        <f t="shared" si="13"/>
        <v>0</v>
      </c>
      <c r="E255" s="202"/>
      <c r="F255" s="257"/>
      <c r="G255" s="218"/>
      <c r="H255" s="5"/>
      <c r="I255" s="5"/>
      <c r="J255" s="5"/>
      <c r="K255" s="179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88">
        <f>'Données projet'!A234</f>
        <v>0</v>
      </c>
      <c r="B256" s="189">
        <f>'Données projet'!D234</f>
        <v>0</v>
      </c>
      <c r="C256" s="202">
        <f>'Données projet'!E234*60+SUM('Données projet'!F234:G234)*13.8+'Données projet'!H234*10</f>
        <v>0</v>
      </c>
      <c r="D256" s="187">
        <f t="shared" si="13"/>
        <v>0</v>
      </c>
      <c r="E256" s="202"/>
      <c r="F256" s="257"/>
      <c r="G256" s="218"/>
      <c r="H256" s="5"/>
      <c r="I256" s="5"/>
      <c r="J256" s="5"/>
      <c r="K256" s="179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88">
        <f>'Données projet'!A235</f>
        <v>0</v>
      </c>
      <c r="B257" s="189">
        <f>'Données projet'!D235</f>
        <v>0</v>
      </c>
      <c r="C257" s="202">
        <f>'Données projet'!E235*60+SUM('Données projet'!F235:G235)*13.8+'Données projet'!H235*10</f>
        <v>0</v>
      </c>
      <c r="D257" s="187">
        <f t="shared" si="13"/>
        <v>0</v>
      </c>
      <c r="E257" s="202"/>
      <c r="F257" s="257"/>
      <c r="G257" s="218"/>
      <c r="H257" s="5"/>
      <c r="I257" s="5"/>
      <c r="J257" s="5"/>
      <c r="K257" s="179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88">
        <f>'Données projet'!A236</f>
        <v>0</v>
      </c>
      <c r="B258" s="189">
        <f>'Données projet'!D236</f>
        <v>0</v>
      </c>
      <c r="C258" s="202">
        <f>'Données projet'!E236*60+SUM('Données projet'!F236:G236)*13.8+'Données projet'!H236*10</f>
        <v>0</v>
      </c>
      <c r="D258" s="187">
        <f t="shared" si="13"/>
        <v>0</v>
      </c>
      <c r="E258" s="202"/>
      <c r="F258" s="257"/>
      <c r="G258" s="218"/>
      <c r="H258" s="5"/>
      <c r="I258" s="5"/>
      <c r="J258" s="5"/>
      <c r="K258" s="179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88">
        <f>'Données projet'!A237</f>
        <v>0</v>
      </c>
      <c r="B259" s="189">
        <f>'Données projet'!D237</f>
        <v>0</v>
      </c>
      <c r="C259" s="202">
        <f>'Données projet'!E237*60+SUM('Données projet'!F237:G237)*13.8+'Données projet'!H237*10</f>
        <v>0</v>
      </c>
      <c r="D259" s="187">
        <f t="shared" si="13"/>
        <v>0</v>
      </c>
      <c r="E259" s="202"/>
      <c r="F259" s="257"/>
      <c r="G259" s="218"/>
      <c r="H259" s="5"/>
      <c r="I259" s="5"/>
      <c r="J259" s="5"/>
      <c r="K259" s="179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5"/>
      <c r="G260" s="218"/>
      <c r="H260" s="5"/>
      <c r="I260" s="5"/>
      <c r="J260" s="5"/>
      <c r="K260" s="179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5"/>
      <c r="G261" s="218"/>
      <c r="H261" s="5"/>
      <c r="I261" s="5"/>
      <c r="J261" s="5"/>
      <c r="K261" s="179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2" t="str">
        <f>IF('Données projet'!$B$17="","",'Données projet'!$B$17)</f>
        <v/>
      </c>
      <c r="C262" s="5"/>
      <c r="D262" s="5"/>
      <c r="E262" s="5"/>
      <c r="F262" s="255"/>
      <c r="G262" s="218"/>
      <c r="H262" s="5"/>
      <c r="I262" s="5"/>
      <c r="J262" s="5"/>
      <c r="K262" s="179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5"/>
      <c r="G263" s="218"/>
      <c r="H263" s="5"/>
      <c r="I263" s="5"/>
      <c r="J263" s="5"/>
      <c r="K263" s="179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1" t="s">
        <v>180</v>
      </c>
      <c r="B264" s="51" t="s">
        <v>256</v>
      </c>
      <c r="C264" s="51" t="s">
        <v>255</v>
      </c>
      <c r="D264" s="251" t="s">
        <v>252</v>
      </c>
      <c r="E264" s="251" t="s">
        <v>287</v>
      </c>
      <c r="F264" s="256"/>
      <c r="G264" s="218"/>
      <c r="H264" s="5"/>
      <c r="I264" s="5"/>
      <c r="J264" s="5"/>
      <c r="K264" s="179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5">
        <v>0</v>
      </c>
      <c r="B265" s="208" t="s">
        <v>132</v>
      </c>
      <c r="C265" s="207" t="s">
        <v>132</v>
      </c>
      <c r="D265" s="206" t="s">
        <v>132</v>
      </c>
      <c r="E265" s="202"/>
      <c r="F265" s="256"/>
      <c r="G265" s="218"/>
      <c r="H265" s="5"/>
      <c r="I265" s="5"/>
      <c r="J265" s="5"/>
      <c r="K265" s="179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5">
        <v>1</v>
      </c>
      <c r="B266" s="208" t="s">
        <v>132</v>
      </c>
      <c r="C266" s="207" t="s">
        <v>132</v>
      </c>
      <c r="D266" s="206" t="s">
        <v>132</v>
      </c>
      <c r="E266" s="202"/>
      <c r="F266" s="256"/>
      <c r="G266" s="216"/>
      <c r="H266" s="5"/>
      <c r="I266" s="5"/>
      <c r="J266" s="5"/>
      <c r="K266" s="179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5">
        <v>2</v>
      </c>
      <c r="B267" s="208" t="s">
        <v>132</v>
      </c>
      <c r="C267" s="207" t="s">
        <v>132</v>
      </c>
      <c r="D267" s="206" t="s">
        <v>132</v>
      </c>
      <c r="E267" s="202"/>
      <c r="F267" s="256"/>
      <c r="G267" s="216"/>
      <c r="H267" s="5"/>
      <c r="I267" s="5"/>
      <c r="J267" s="5"/>
      <c r="K267" s="179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5">
        <v>3</v>
      </c>
      <c r="B268" s="208" t="s">
        <v>132</v>
      </c>
      <c r="C268" s="207" t="s">
        <v>132</v>
      </c>
      <c r="D268" s="206" t="s">
        <v>132</v>
      </c>
      <c r="E268" s="202"/>
      <c r="F268" s="256"/>
      <c r="G268" s="216"/>
      <c r="H268" s="5"/>
      <c r="I268" s="5"/>
      <c r="J268" s="5"/>
      <c r="K268" s="179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5">
        <v>4</v>
      </c>
      <c r="B269" s="208" t="s">
        <v>132</v>
      </c>
      <c r="C269" s="207" t="s">
        <v>132</v>
      </c>
      <c r="D269" s="206" t="s">
        <v>132</v>
      </c>
      <c r="E269" s="202"/>
      <c r="F269" s="256"/>
      <c r="G269" s="216"/>
      <c r="H269" s="5"/>
      <c r="I269" s="5"/>
      <c r="J269" s="5"/>
      <c r="K269" s="179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5">
        <v>5</v>
      </c>
      <c r="B270" s="208" t="s">
        <v>132</v>
      </c>
      <c r="C270" s="207" t="s">
        <v>132</v>
      </c>
      <c r="D270" s="206" t="s">
        <v>132</v>
      </c>
      <c r="E270" s="202"/>
      <c r="F270" s="256"/>
      <c r="G270" s="217"/>
      <c r="H270" s="5"/>
      <c r="I270" s="5"/>
      <c r="J270" s="5"/>
      <c r="K270" s="179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88">
        <f>'Données projet'!A244</f>
        <v>0</v>
      </c>
      <c r="B271" s="189">
        <f>'Données projet'!D244</f>
        <v>0</v>
      </c>
      <c r="C271" s="202">
        <f>'Données projet'!E244*50+SUM('Données projet'!F244:G244)*19.4+'Données projet'!H244*10</f>
        <v>0</v>
      </c>
      <c r="D271" s="187">
        <f>B271*C271</f>
        <v>0</v>
      </c>
      <c r="E271" s="202"/>
      <c r="F271" s="257"/>
      <c r="G271" s="217"/>
      <c r="H271" s="5"/>
      <c r="I271" s="5"/>
      <c r="J271" s="5"/>
      <c r="K271" s="179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88">
        <f>'Données projet'!A245</f>
        <v>0</v>
      </c>
      <c r="B272" s="189">
        <f>'Données projet'!D245</f>
        <v>0</v>
      </c>
      <c r="C272" s="202">
        <f>'Données projet'!E245*50+SUM('Données projet'!F245:G245)*19.4+'Données projet'!H245*10</f>
        <v>0</v>
      </c>
      <c r="D272" s="187">
        <f t="shared" ref="D272:D290" si="14">B272*C272</f>
        <v>0</v>
      </c>
      <c r="E272" s="202"/>
      <c r="F272" s="257"/>
      <c r="G272" s="217"/>
      <c r="H272" s="5"/>
      <c r="I272" s="5"/>
      <c r="J272" s="5"/>
      <c r="K272" s="179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88">
        <f>'Données projet'!A246</f>
        <v>0</v>
      </c>
      <c r="B273" s="189">
        <f>'Données projet'!D246</f>
        <v>0</v>
      </c>
      <c r="C273" s="202">
        <f>'Données projet'!E246*50+SUM('Données projet'!F246:G246)*19.4+'Données projet'!H246*10</f>
        <v>0</v>
      </c>
      <c r="D273" s="187">
        <f t="shared" si="14"/>
        <v>0</v>
      </c>
      <c r="E273" s="202"/>
      <c r="F273" s="257"/>
      <c r="G273" s="217"/>
      <c r="H273" s="5"/>
      <c r="I273" s="5"/>
      <c r="J273" s="5"/>
      <c r="K273" s="179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88">
        <f>'Données projet'!A247</f>
        <v>0</v>
      </c>
      <c r="B274" s="189">
        <f>'Données projet'!D247</f>
        <v>0</v>
      </c>
      <c r="C274" s="202">
        <f>'Données projet'!E247*50+SUM('Données projet'!F247:G247)*19.4+'Données projet'!H247*10</f>
        <v>0</v>
      </c>
      <c r="D274" s="187">
        <f t="shared" si="14"/>
        <v>0</v>
      </c>
      <c r="E274" s="202"/>
      <c r="F274" s="257"/>
      <c r="G274" s="217"/>
      <c r="H274" s="5"/>
      <c r="I274" s="5"/>
      <c r="J274" s="5"/>
      <c r="K274" s="179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88">
        <f>'Données projet'!A248</f>
        <v>0</v>
      </c>
      <c r="B275" s="189">
        <f>'Données projet'!D248</f>
        <v>0</v>
      </c>
      <c r="C275" s="202">
        <f>'Données projet'!E248*50+SUM('Données projet'!F248:G248)*19.4+'Données projet'!H248*10</f>
        <v>0</v>
      </c>
      <c r="D275" s="187">
        <f t="shared" si="14"/>
        <v>0</v>
      </c>
      <c r="E275" s="202"/>
      <c r="F275" s="257"/>
      <c r="G275" s="217"/>
      <c r="H275" s="5"/>
      <c r="I275" s="5"/>
      <c r="J275" s="5"/>
      <c r="K275" s="179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88">
        <f>'Données projet'!A249</f>
        <v>0</v>
      </c>
      <c r="B276" s="189">
        <f>'Données projet'!D249</f>
        <v>0</v>
      </c>
      <c r="C276" s="202">
        <f>'Données projet'!E249*50+SUM('Données projet'!F249:G249)*19.4+'Données projet'!H249*10</f>
        <v>0</v>
      </c>
      <c r="D276" s="187">
        <f t="shared" si="14"/>
        <v>0</v>
      </c>
      <c r="E276" s="202"/>
      <c r="F276" s="257"/>
      <c r="G276" s="217"/>
      <c r="H276" s="5"/>
      <c r="I276" s="5"/>
      <c r="J276" s="5"/>
      <c r="K276" s="179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88">
        <f>'Données projet'!A250</f>
        <v>0</v>
      </c>
      <c r="B277" s="189">
        <f>'Données projet'!D250</f>
        <v>0</v>
      </c>
      <c r="C277" s="202">
        <f>'Données projet'!E250*50+SUM('Données projet'!F250:G250)*19.4+'Données projet'!H250*10</f>
        <v>0</v>
      </c>
      <c r="D277" s="187">
        <f t="shared" si="14"/>
        <v>0</v>
      </c>
      <c r="E277" s="202"/>
      <c r="F277" s="257"/>
      <c r="G277" s="218"/>
      <c r="H277" s="5"/>
      <c r="I277" s="5"/>
      <c r="J277" s="5"/>
      <c r="K277" s="179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88">
        <f>'Données projet'!A251</f>
        <v>0</v>
      </c>
      <c r="B278" s="189">
        <f>'Données projet'!D251</f>
        <v>0</v>
      </c>
      <c r="C278" s="202">
        <f>'Données projet'!E251*50+SUM('Données projet'!F251:G251)*19.4+'Données projet'!H251*10</f>
        <v>0</v>
      </c>
      <c r="D278" s="187">
        <f t="shared" si="14"/>
        <v>0</v>
      </c>
      <c r="E278" s="202"/>
      <c r="F278" s="257"/>
      <c r="G278" s="218"/>
      <c r="H278" s="5"/>
      <c r="I278" s="5"/>
      <c r="J278" s="5"/>
      <c r="K278" s="179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88">
        <f>'Données projet'!A252</f>
        <v>0</v>
      </c>
      <c r="B279" s="189">
        <f>'Données projet'!D252</f>
        <v>0</v>
      </c>
      <c r="C279" s="202">
        <f>'Données projet'!E252*50+SUM('Données projet'!F252:G252)*19.4+'Données projet'!H252*10</f>
        <v>0</v>
      </c>
      <c r="D279" s="187">
        <f t="shared" si="14"/>
        <v>0</v>
      </c>
      <c r="E279" s="202"/>
      <c r="F279" s="257"/>
      <c r="G279" s="218"/>
      <c r="H279" s="5"/>
      <c r="I279" s="5"/>
      <c r="J279" s="5"/>
      <c r="K279" s="179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88">
        <f>'Données projet'!A253</f>
        <v>0</v>
      </c>
      <c r="B280" s="189">
        <f>'Données projet'!D253</f>
        <v>0</v>
      </c>
      <c r="C280" s="202">
        <f>'Données projet'!E253*50+SUM('Données projet'!F253:G253)*19.4+'Données projet'!H253*10</f>
        <v>0</v>
      </c>
      <c r="D280" s="187">
        <f t="shared" si="14"/>
        <v>0</v>
      </c>
      <c r="E280" s="202"/>
      <c r="F280" s="257"/>
      <c r="G280" s="218"/>
      <c r="H280" s="5"/>
      <c r="I280" s="5"/>
      <c r="J280" s="5"/>
      <c r="K280" s="179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88">
        <f>'Données projet'!A254</f>
        <v>0</v>
      </c>
      <c r="B281" s="189">
        <f>'Données projet'!D254</f>
        <v>0</v>
      </c>
      <c r="C281" s="202">
        <f>'Données projet'!E254*50+SUM('Données projet'!F254:G254)*19.4+'Données projet'!H254*10</f>
        <v>0</v>
      </c>
      <c r="D281" s="187">
        <f t="shared" si="14"/>
        <v>0</v>
      </c>
      <c r="E281" s="202"/>
      <c r="F281" s="257"/>
      <c r="G281" s="218"/>
      <c r="H281" s="5"/>
      <c r="I281" s="5"/>
      <c r="J281" s="5"/>
      <c r="K281" s="179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88">
        <f>'Données projet'!A255</f>
        <v>0</v>
      </c>
      <c r="B282" s="189">
        <f>'Données projet'!D255</f>
        <v>0</v>
      </c>
      <c r="C282" s="202">
        <f>'Données projet'!E255*50+SUM('Données projet'!F255:G255)*19.4+'Données projet'!H255*10</f>
        <v>0</v>
      </c>
      <c r="D282" s="187">
        <f t="shared" si="14"/>
        <v>0</v>
      </c>
      <c r="E282" s="202"/>
      <c r="F282" s="257"/>
      <c r="G282" s="218"/>
      <c r="H282" s="5"/>
      <c r="I282" s="5"/>
      <c r="J282" s="5"/>
      <c r="K282" s="179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88">
        <f>'Données projet'!A256</f>
        <v>0</v>
      </c>
      <c r="B283" s="189">
        <f>'Données projet'!D256</f>
        <v>0</v>
      </c>
      <c r="C283" s="202">
        <f>'Données projet'!E256*50+SUM('Données projet'!F256:G256)*19.4+'Données projet'!H256*10</f>
        <v>0</v>
      </c>
      <c r="D283" s="187">
        <f t="shared" si="14"/>
        <v>0</v>
      </c>
      <c r="E283" s="202"/>
      <c r="F283" s="257"/>
      <c r="G283" s="218"/>
      <c r="H283" s="5"/>
      <c r="I283" s="5"/>
      <c r="J283" s="5"/>
      <c r="K283" s="179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88">
        <f>'Données projet'!A257</f>
        <v>0</v>
      </c>
      <c r="B284" s="189">
        <f>'Données projet'!D257</f>
        <v>0</v>
      </c>
      <c r="C284" s="202">
        <f>'Données projet'!E257*50+SUM('Données projet'!F257:G257)*19.4+'Données projet'!H257*10</f>
        <v>0</v>
      </c>
      <c r="D284" s="187">
        <f t="shared" si="14"/>
        <v>0</v>
      </c>
      <c r="E284" s="202"/>
      <c r="F284" s="257"/>
      <c r="G284" s="218"/>
      <c r="H284" s="5"/>
      <c r="I284" s="5"/>
      <c r="J284" s="5"/>
      <c r="K284" s="179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88">
        <f>'Données projet'!A258</f>
        <v>0</v>
      </c>
      <c r="B285" s="189">
        <f>'Données projet'!D258</f>
        <v>0</v>
      </c>
      <c r="C285" s="202">
        <f>'Données projet'!E258*50+SUM('Données projet'!F258:G258)*19.4+'Données projet'!H258*10</f>
        <v>0</v>
      </c>
      <c r="D285" s="187">
        <f t="shared" si="14"/>
        <v>0</v>
      </c>
      <c r="E285" s="202"/>
      <c r="F285" s="257"/>
      <c r="G285" s="218"/>
      <c r="H285" s="5"/>
      <c r="I285" s="5"/>
      <c r="J285" s="5"/>
      <c r="K285" s="179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88">
        <f>'Données projet'!A259</f>
        <v>0</v>
      </c>
      <c r="B286" s="189">
        <f>'Données projet'!D259</f>
        <v>0</v>
      </c>
      <c r="C286" s="202">
        <f>'Données projet'!E259*50+SUM('Données projet'!F259:G259)*19.4+'Données projet'!H259*10</f>
        <v>0</v>
      </c>
      <c r="D286" s="187">
        <f t="shared" si="14"/>
        <v>0</v>
      </c>
      <c r="E286" s="202"/>
      <c r="F286" s="257"/>
      <c r="G286" s="218"/>
      <c r="H286" s="5"/>
      <c r="I286" s="5"/>
      <c r="J286" s="5"/>
      <c r="K286" s="179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88">
        <f>'Données projet'!A260</f>
        <v>0</v>
      </c>
      <c r="B287" s="189">
        <f>'Données projet'!D260</f>
        <v>0</v>
      </c>
      <c r="C287" s="202">
        <f>'Données projet'!E260*50+SUM('Données projet'!F260:G260)*19.4+'Données projet'!H260*10</f>
        <v>0</v>
      </c>
      <c r="D287" s="187">
        <f t="shared" si="14"/>
        <v>0</v>
      </c>
      <c r="E287" s="202"/>
      <c r="F287" s="257"/>
      <c r="G287" s="218"/>
      <c r="H287" s="5"/>
      <c r="I287" s="5"/>
      <c r="J287" s="5"/>
      <c r="K287" s="179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88">
        <f>'Données projet'!A261</f>
        <v>0</v>
      </c>
      <c r="B288" s="189">
        <f>'Données projet'!D261</f>
        <v>0</v>
      </c>
      <c r="C288" s="202">
        <f>'Données projet'!E261*50+SUM('Données projet'!F261:G261)*19.4+'Données projet'!H261*10</f>
        <v>0</v>
      </c>
      <c r="D288" s="187">
        <f t="shared" si="14"/>
        <v>0</v>
      </c>
      <c r="E288" s="202"/>
      <c r="F288" s="257"/>
      <c r="G288" s="218"/>
      <c r="H288" s="5"/>
      <c r="I288" s="5"/>
      <c r="J288" s="5"/>
      <c r="K288" s="179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88">
        <f>'Données projet'!A262</f>
        <v>0</v>
      </c>
      <c r="B289" s="189">
        <f>'Données projet'!D262</f>
        <v>0</v>
      </c>
      <c r="C289" s="202">
        <f>'Données projet'!E262*50+SUM('Données projet'!F262:G262)*19.4+'Données projet'!H262*10</f>
        <v>0</v>
      </c>
      <c r="D289" s="187">
        <f t="shared" si="14"/>
        <v>0</v>
      </c>
      <c r="E289" s="202"/>
      <c r="F289" s="257"/>
      <c r="G289" s="218"/>
      <c r="H289" s="5"/>
      <c r="I289" s="5"/>
      <c r="J289" s="5"/>
      <c r="K289" s="179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88">
        <f>'Données projet'!A263</f>
        <v>0</v>
      </c>
      <c r="B290" s="189">
        <f>'Données projet'!D263</f>
        <v>0</v>
      </c>
      <c r="C290" s="202">
        <f>'Données projet'!E263*50+SUM('Données projet'!F263:G263)*19.4+'Données projet'!H263*10</f>
        <v>0</v>
      </c>
      <c r="D290" s="187">
        <f t="shared" si="14"/>
        <v>0</v>
      </c>
      <c r="E290" s="202"/>
      <c r="F290" s="257"/>
      <c r="G290" s="218"/>
      <c r="H290" s="5"/>
      <c r="I290" s="5"/>
      <c r="J290" s="5"/>
      <c r="K290" s="179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5"/>
      <c r="G291" s="218"/>
      <c r="H291" s="5"/>
      <c r="I291" s="5"/>
      <c r="J291" s="5"/>
      <c r="K291" s="179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5"/>
      <c r="G292" s="218"/>
      <c r="H292" s="5"/>
      <c r="I292" s="5"/>
      <c r="J292" s="5"/>
      <c r="K292" s="179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2" t="str">
        <f>IF('Données projet'!$B$18="","",'Données projet'!$B$18)</f>
        <v/>
      </c>
      <c r="C293" s="5"/>
      <c r="D293" s="5"/>
      <c r="E293" s="5"/>
      <c r="F293" s="255"/>
      <c r="G293" s="218"/>
      <c r="H293" s="5"/>
      <c r="I293" s="5"/>
      <c r="J293" s="5"/>
      <c r="K293" s="179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5"/>
      <c r="G294" s="218"/>
      <c r="H294" s="5"/>
      <c r="I294" s="5"/>
      <c r="J294" s="5"/>
      <c r="K294" s="179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1" t="s">
        <v>180</v>
      </c>
      <c r="B295" s="51" t="s">
        <v>256</v>
      </c>
      <c r="C295" s="51" t="s">
        <v>255</v>
      </c>
      <c r="D295" s="251" t="s">
        <v>252</v>
      </c>
      <c r="E295" s="251" t="s">
        <v>287</v>
      </c>
      <c r="F295" s="256"/>
      <c r="G295" s="218"/>
      <c r="H295" s="5"/>
      <c r="I295" s="5"/>
      <c r="J295" s="5"/>
      <c r="K295" s="179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5">
        <v>0</v>
      </c>
      <c r="B296" s="208" t="s">
        <v>132</v>
      </c>
      <c r="C296" s="207" t="s">
        <v>132</v>
      </c>
      <c r="D296" s="206" t="s">
        <v>132</v>
      </c>
      <c r="E296" s="202"/>
      <c r="F296" s="256"/>
      <c r="G296" s="218"/>
      <c r="H296" s="5"/>
      <c r="I296" s="5"/>
      <c r="J296" s="5"/>
      <c r="K296" s="179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5">
        <v>1</v>
      </c>
      <c r="B297" s="208" t="s">
        <v>132</v>
      </c>
      <c r="C297" s="207" t="s">
        <v>132</v>
      </c>
      <c r="D297" s="206" t="s">
        <v>132</v>
      </c>
      <c r="E297" s="202"/>
      <c r="F297" s="256"/>
      <c r="G297" s="216"/>
      <c r="H297" s="5"/>
      <c r="I297" s="5"/>
      <c r="J297" s="5"/>
      <c r="K297" s="179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5">
        <v>2</v>
      </c>
      <c r="B298" s="208" t="s">
        <v>132</v>
      </c>
      <c r="C298" s="207" t="s">
        <v>132</v>
      </c>
      <c r="D298" s="206" t="s">
        <v>132</v>
      </c>
      <c r="E298" s="202"/>
      <c r="F298" s="256"/>
      <c r="G298" s="216"/>
      <c r="H298" s="5"/>
      <c r="I298" s="5"/>
      <c r="J298" s="5"/>
      <c r="K298" s="179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5">
        <v>3</v>
      </c>
      <c r="B299" s="208" t="s">
        <v>132</v>
      </c>
      <c r="C299" s="207" t="s">
        <v>132</v>
      </c>
      <c r="D299" s="206" t="s">
        <v>132</v>
      </c>
      <c r="E299" s="202"/>
      <c r="F299" s="256"/>
      <c r="G299" s="216"/>
      <c r="H299" s="5"/>
      <c r="I299" s="5"/>
      <c r="J299" s="5"/>
      <c r="K299" s="179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5">
        <v>4</v>
      </c>
      <c r="B300" s="208" t="s">
        <v>132</v>
      </c>
      <c r="C300" s="207" t="s">
        <v>132</v>
      </c>
      <c r="D300" s="206" t="s">
        <v>132</v>
      </c>
      <c r="E300" s="202"/>
      <c r="F300" s="256"/>
      <c r="G300" s="216"/>
      <c r="H300" s="5"/>
      <c r="I300" s="5"/>
      <c r="J300" s="5"/>
      <c r="K300" s="179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5">
        <v>5</v>
      </c>
      <c r="B301" s="208" t="s">
        <v>132</v>
      </c>
      <c r="C301" s="207" t="s">
        <v>132</v>
      </c>
      <c r="D301" s="206" t="s">
        <v>132</v>
      </c>
      <c r="E301" s="202"/>
      <c r="F301" s="256"/>
      <c r="G301" s="217"/>
      <c r="H301" s="5"/>
      <c r="I301" s="5"/>
      <c r="J301" s="5"/>
      <c r="K301" s="179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88">
        <f>'Données projet'!A270</f>
        <v>0</v>
      </c>
      <c r="B302" s="189">
        <f>'Données projet'!D270</f>
        <v>0</v>
      </c>
      <c r="C302" s="200">
        <f>'Données projet'!E270*30+SUM('Données projet'!F270:G270)*19.4+'Données projet'!H270*10</f>
        <v>0</v>
      </c>
      <c r="D302" s="190">
        <f>B302*C302</f>
        <v>0</v>
      </c>
      <c r="E302" s="202"/>
      <c r="F302" s="258"/>
      <c r="G302" s="217"/>
      <c r="H302" s="5"/>
      <c r="I302" s="5"/>
      <c r="J302" s="5"/>
      <c r="K302" s="179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88">
        <f>'Données projet'!A271</f>
        <v>0</v>
      </c>
      <c r="B303" s="189">
        <f>'Données projet'!D271</f>
        <v>0</v>
      </c>
      <c r="C303" s="200">
        <f>'Données projet'!E271*30+SUM('Données projet'!F271:G271)*19.4+'Données projet'!H271*10</f>
        <v>0</v>
      </c>
      <c r="D303" s="190">
        <f t="shared" ref="D303:D321" si="15">B303*C303</f>
        <v>0</v>
      </c>
      <c r="E303" s="202"/>
      <c r="F303" s="258"/>
      <c r="G303" s="217"/>
      <c r="H303" s="5"/>
      <c r="I303" s="5"/>
      <c r="J303" s="5"/>
      <c r="K303" s="179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88">
        <f>'Données projet'!A272</f>
        <v>0</v>
      </c>
      <c r="B304" s="189">
        <f>'Données projet'!D272</f>
        <v>0</v>
      </c>
      <c r="C304" s="200">
        <f>'Données projet'!E272*30+SUM('Données projet'!F272:G272)*19.4+'Données projet'!H272*10</f>
        <v>0</v>
      </c>
      <c r="D304" s="190">
        <f t="shared" si="15"/>
        <v>0</v>
      </c>
      <c r="E304" s="202"/>
      <c r="F304" s="258"/>
      <c r="G304" s="217"/>
      <c r="H304" s="5"/>
      <c r="I304" s="5"/>
      <c r="J304" s="5"/>
      <c r="K304" s="179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88">
        <f>'Données projet'!A273</f>
        <v>0</v>
      </c>
      <c r="B305" s="189">
        <f>'Données projet'!D273</f>
        <v>0</v>
      </c>
      <c r="C305" s="200">
        <f>'Données projet'!E273*30+SUM('Données projet'!F273:G273)*19.4+'Données projet'!H273*10</f>
        <v>0</v>
      </c>
      <c r="D305" s="190">
        <f t="shared" si="15"/>
        <v>0</v>
      </c>
      <c r="E305" s="202"/>
      <c r="F305" s="258"/>
      <c r="G305" s="217"/>
      <c r="H305" s="5"/>
      <c r="I305" s="5"/>
      <c r="J305" s="5"/>
      <c r="K305" s="179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88">
        <f>'Données projet'!A274</f>
        <v>0</v>
      </c>
      <c r="B306" s="189">
        <f>'Données projet'!D274</f>
        <v>0</v>
      </c>
      <c r="C306" s="200">
        <f>'Données projet'!E274*30+SUM('Données projet'!F274:G274)*19.4+'Données projet'!H274*10</f>
        <v>0</v>
      </c>
      <c r="D306" s="190">
        <f t="shared" si="15"/>
        <v>0</v>
      </c>
      <c r="E306" s="202"/>
      <c r="F306" s="258"/>
      <c r="G306" s="217"/>
      <c r="H306" s="5"/>
      <c r="I306" s="5"/>
      <c r="J306" s="5"/>
      <c r="K306" s="179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88">
        <f>'Données projet'!A275</f>
        <v>0</v>
      </c>
      <c r="B307" s="189">
        <f>'Données projet'!D275</f>
        <v>0</v>
      </c>
      <c r="C307" s="200">
        <f>'Données projet'!E275*30+SUM('Données projet'!F275:G275)*19.4+'Données projet'!H275*10</f>
        <v>0</v>
      </c>
      <c r="D307" s="190">
        <f t="shared" si="15"/>
        <v>0</v>
      </c>
      <c r="E307" s="202"/>
      <c r="F307" s="258"/>
      <c r="G307" s="217"/>
      <c r="H307" s="5"/>
      <c r="I307" s="5"/>
      <c r="J307" s="5"/>
      <c r="K307" s="179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88">
        <f>'Données projet'!A276</f>
        <v>0</v>
      </c>
      <c r="B308" s="189">
        <f>'Données projet'!D276</f>
        <v>0</v>
      </c>
      <c r="C308" s="200">
        <f>'Données projet'!E276*30+SUM('Données projet'!F276:G276)*19.4+'Données projet'!H276*10</f>
        <v>0</v>
      </c>
      <c r="D308" s="190">
        <f t="shared" si="15"/>
        <v>0</v>
      </c>
      <c r="E308" s="202"/>
      <c r="F308" s="258"/>
      <c r="G308" s="213"/>
      <c r="H308" s="5"/>
      <c r="I308" s="5"/>
      <c r="J308" s="5"/>
      <c r="K308" s="179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88">
        <f>'Données projet'!A277</f>
        <v>0</v>
      </c>
      <c r="B309" s="189">
        <f>'Données projet'!D277</f>
        <v>0</v>
      </c>
      <c r="C309" s="200">
        <f>'Données projet'!E277*30+SUM('Données projet'!F277:G277)*19.4+'Données projet'!H277*10</f>
        <v>0</v>
      </c>
      <c r="D309" s="190">
        <f t="shared" si="15"/>
        <v>0</v>
      </c>
      <c r="E309" s="202"/>
      <c r="F309" s="258"/>
      <c r="G309" s="213"/>
      <c r="H309" s="5"/>
      <c r="I309" s="5"/>
      <c r="J309" s="5"/>
      <c r="K309" s="179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88">
        <f>'Données projet'!A278</f>
        <v>0</v>
      </c>
      <c r="B310" s="189">
        <f>'Données projet'!D278</f>
        <v>0</v>
      </c>
      <c r="C310" s="200">
        <f>'Données projet'!E278*30+SUM('Données projet'!F278:G278)*19.4+'Données projet'!H278*10</f>
        <v>0</v>
      </c>
      <c r="D310" s="190">
        <f t="shared" si="15"/>
        <v>0</v>
      </c>
      <c r="E310" s="202"/>
      <c r="F310" s="258"/>
      <c r="G310" s="213"/>
      <c r="H310" s="5"/>
      <c r="I310" s="5"/>
      <c r="J310" s="5"/>
      <c r="K310" s="179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88">
        <f>'Données projet'!A279</f>
        <v>0</v>
      </c>
      <c r="B311" s="189">
        <f>'Données projet'!D279</f>
        <v>0</v>
      </c>
      <c r="C311" s="200">
        <f>'Données projet'!E279*30+SUM('Données projet'!F279:G279)*19.4+'Données projet'!H279*10</f>
        <v>0</v>
      </c>
      <c r="D311" s="190">
        <f t="shared" si="15"/>
        <v>0</v>
      </c>
      <c r="E311" s="202"/>
      <c r="F311" s="258"/>
      <c r="G311" s="213"/>
      <c r="H311" s="5"/>
      <c r="I311" s="5"/>
      <c r="J311" s="5"/>
      <c r="K311" s="179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88">
        <f>'Données projet'!A280</f>
        <v>0</v>
      </c>
      <c r="B312" s="189">
        <f>'Données projet'!D280</f>
        <v>0</v>
      </c>
      <c r="C312" s="200">
        <f>'Données projet'!E280*30+SUM('Données projet'!F280:G280)*19.4+'Données projet'!H280*10</f>
        <v>0</v>
      </c>
      <c r="D312" s="190">
        <f t="shared" si="15"/>
        <v>0</v>
      </c>
      <c r="E312" s="202"/>
      <c r="F312" s="258"/>
      <c r="G312" s="213"/>
      <c r="H312" s="5"/>
      <c r="I312" s="5"/>
      <c r="J312" s="5"/>
      <c r="K312" s="179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88">
        <f>'Données projet'!A281</f>
        <v>0</v>
      </c>
      <c r="B313" s="189">
        <f>'Données projet'!D281</f>
        <v>0</v>
      </c>
      <c r="C313" s="200">
        <f>'Données projet'!E281*30+SUM('Données projet'!F281:G281)*19.4+'Données projet'!H281*10</f>
        <v>0</v>
      </c>
      <c r="D313" s="190">
        <f t="shared" si="15"/>
        <v>0</v>
      </c>
      <c r="E313" s="202"/>
      <c r="F313" s="258"/>
      <c r="G313" s="213"/>
      <c r="H313" s="5"/>
      <c r="I313" s="5"/>
      <c r="J313" s="5"/>
      <c r="K313" s="179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88">
        <f>'Données projet'!A282</f>
        <v>0</v>
      </c>
      <c r="B314" s="189">
        <f>'Données projet'!D282</f>
        <v>0</v>
      </c>
      <c r="C314" s="200">
        <f>'Données projet'!E282*30+SUM('Données projet'!F282:G282)*19.4+'Données projet'!H282*10</f>
        <v>0</v>
      </c>
      <c r="D314" s="190">
        <f t="shared" si="15"/>
        <v>0</v>
      </c>
      <c r="E314" s="202"/>
      <c r="F314" s="258"/>
      <c r="G314" s="213"/>
      <c r="H314" s="5"/>
      <c r="I314" s="5"/>
      <c r="J314" s="5"/>
      <c r="K314" s="179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88">
        <f>'Données projet'!A283</f>
        <v>0</v>
      </c>
      <c r="B315" s="189">
        <f>'Données projet'!D283</f>
        <v>0</v>
      </c>
      <c r="C315" s="200">
        <f>'Données projet'!E283*30+SUM('Données projet'!F283:G283)*19.4+'Données projet'!H283*10</f>
        <v>0</v>
      </c>
      <c r="D315" s="190">
        <f t="shared" si="15"/>
        <v>0</v>
      </c>
      <c r="E315" s="202"/>
      <c r="F315" s="258"/>
      <c r="G315" s="213"/>
      <c r="H315" s="5"/>
      <c r="I315" s="5"/>
      <c r="J315" s="5"/>
      <c r="K315" s="179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88">
        <f>'Données projet'!A284</f>
        <v>0</v>
      </c>
      <c r="B316" s="189">
        <f>'Données projet'!D284</f>
        <v>0</v>
      </c>
      <c r="C316" s="200">
        <f>'Données projet'!E284*30+SUM('Données projet'!F284:G284)*19.4+'Données projet'!H284*10</f>
        <v>0</v>
      </c>
      <c r="D316" s="190">
        <f t="shared" si="15"/>
        <v>0</v>
      </c>
      <c r="E316" s="202"/>
      <c r="F316" s="258"/>
      <c r="G316" s="213"/>
      <c r="H316" s="5"/>
      <c r="I316" s="5"/>
      <c r="J316" s="5"/>
      <c r="K316" s="179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88">
        <f>'Données projet'!A285</f>
        <v>0</v>
      </c>
      <c r="B317" s="189">
        <f>'Données projet'!D285</f>
        <v>0</v>
      </c>
      <c r="C317" s="200">
        <f>'Données projet'!E285*30+SUM('Données projet'!F285:G285)*19.4+'Données projet'!H285*10</f>
        <v>0</v>
      </c>
      <c r="D317" s="190">
        <f t="shared" si="15"/>
        <v>0</v>
      </c>
      <c r="E317" s="202"/>
      <c r="F317" s="258"/>
      <c r="G317" s="213"/>
      <c r="H317" s="5"/>
      <c r="I317" s="5"/>
      <c r="J317" s="5"/>
      <c r="K317" s="179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88">
        <f>'Données projet'!A286</f>
        <v>0</v>
      </c>
      <c r="B318" s="189">
        <f>'Données projet'!D286</f>
        <v>0</v>
      </c>
      <c r="C318" s="200">
        <f>'Données projet'!E286*30+SUM('Données projet'!F286:G286)*19.4+'Données projet'!H286*10</f>
        <v>0</v>
      </c>
      <c r="D318" s="190">
        <f t="shared" si="15"/>
        <v>0</v>
      </c>
      <c r="E318" s="202"/>
      <c r="F318" s="258"/>
      <c r="G318" s="213"/>
      <c r="H318" s="5"/>
      <c r="I318" s="5"/>
      <c r="J318" s="5"/>
      <c r="K318" s="179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88">
        <f>'Données projet'!A287</f>
        <v>0</v>
      </c>
      <c r="B319" s="189">
        <f>'Données projet'!D287</f>
        <v>0</v>
      </c>
      <c r="C319" s="200">
        <f>'Données projet'!E287*30+SUM('Données projet'!F287:G287)*19.4+'Données projet'!H287*10</f>
        <v>0</v>
      </c>
      <c r="D319" s="190">
        <f t="shared" si="15"/>
        <v>0</v>
      </c>
      <c r="E319" s="202"/>
      <c r="F319" s="258"/>
      <c r="G319" s="213"/>
      <c r="H319" s="5"/>
      <c r="I319" s="5"/>
      <c r="J319" s="5"/>
      <c r="K319" s="179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88">
        <f>'Données projet'!A288</f>
        <v>0</v>
      </c>
      <c r="B320" s="189">
        <f>'Données projet'!D288</f>
        <v>0</v>
      </c>
      <c r="C320" s="200">
        <f>'Données projet'!E288*30+SUM('Données projet'!F288:G288)*19.4+'Données projet'!H288*10</f>
        <v>0</v>
      </c>
      <c r="D320" s="190">
        <f t="shared" si="15"/>
        <v>0</v>
      </c>
      <c r="E320" s="202"/>
      <c r="F320" s="258"/>
      <c r="G320" s="213"/>
      <c r="H320" s="5"/>
      <c r="I320" s="5"/>
      <c r="J320" s="5"/>
      <c r="K320" s="179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88">
        <f>'Données projet'!A289</f>
        <v>0</v>
      </c>
      <c r="B321" s="189">
        <f>'Données projet'!D289</f>
        <v>0</v>
      </c>
      <c r="C321" s="200">
        <f>'Données projet'!E289*30+SUM('Données projet'!F289:G289)*19.4+'Données projet'!H289*10</f>
        <v>0</v>
      </c>
      <c r="D321" s="190">
        <f t="shared" si="15"/>
        <v>0</v>
      </c>
      <c r="E321" s="202"/>
      <c r="F321" s="258"/>
      <c r="G321" s="213"/>
      <c r="H321" s="5"/>
      <c r="I321" s="5"/>
      <c r="J321" s="5"/>
      <c r="K321" s="179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3"/>
      <c r="H322" s="5"/>
      <c r="I322" s="5"/>
      <c r="J322" s="5"/>
      <c r="K322" s="179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3"/>
      <c r="H323" s="5"/>
      <c r="I323" s="5"/>
      <c r="J323" s="5"/>
      <c r="K323" s="179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3"/>
      <c r="H324" s="5"/>
      <c r="I324" s="5"/>
      <c r="J324" s="5"/>
      <c r="K324" s="179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3"/>
      <c r="H325" s="5"/>
      <c r="I325" s="5"/>
      <c r="J325" s="5"/>
      <c r="K325" s="179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3"/>
      <c r="H326" s="5"/>
      <c r="I326" s="5"/>
      <c r="J326" s="5"/>
      <c r="K326" s="179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3"/>
      <c r="H327" s="5"/>
      <c r="I327" s="5"/>
      <c r="J327" s="5"/>
      <c r="K327" s="179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6"/>
      <c r="G328" s="226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6"/>
      <c r="G329" s="226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6"/>
      <c r="G330" s="226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6"/>
      <c r="G331" s="226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6"/>
      <c r="G332" s="226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6"/>
      <c r="G333" s="226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6"/>
      <c r="G334" s="226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6"/>
      <c r="G335" s="226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6"/>
      <c r="G336" s="226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6"/>
      <c r="G337" s="226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6"/>
      <c r="G338" s="226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6"/>
      <c r="G339" s="226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6"/>
      <c r="G340" s="226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6"/>
      <c r="G341" s="226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6"/>
      <c r="G342" s="226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6"/>
      <c r="G343" s="226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6"/>
      <c r="G344" s="226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6"/>
      <c r="G345" s="226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6"/>
      <c r="G346" s="226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6"/>
      <c r="G347" s="226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6"/>
      <c r="G348" s="226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6"/>
      <c r="G349" s="226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6"/>
      <c r="G350" s="226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6"/>
      <c r="G351" s="226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6"/>
      <c r="G352" s="226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6"/>
      <c r="G353" s="226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6"/>
      <c r="G354" s="226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6"/>
      <c r="G355" s="226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6"/>
      <c r="G356" s="226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6"/>
      <c r="G357" s="226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6"/>
      <c r="G358" s="226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6"/>
      <c r="G359" s="226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6"/>
      <c r="G360" s="226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6"/>
      <c r="G361" s="226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6"/>
      <c r="G362" s="226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6"/>
      <c r="G363" s="226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6"/>
      <c r="G364" s="226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6"/>
      <c r="G365" s="226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6"/>
      <c r="G366" s="226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6"/>
      <c r="G367" s="226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6"/>
      <c r="G368" s="226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6"/>
      <c r="G369" s="226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6"/>
      <c r="G370" s="68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6"/>
      <c r="G371" s="68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6"/>
      <c r="G372" s="68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6"/>
      <c r="G373" s="68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6"/>
      <c r="G374" s="68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6"/>
      <c r="G375" s="68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6"/>
      <c r="G376" s="68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6"/>
      <c r="G377" s="68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6"/>
      <c r="G378" s="68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6"/>
      <c r="G379" s="68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6"/>
      <c r="G380" s="68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6"/>
      <c r="G381" s="68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6"/>
      <c r="G382" s="68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6"/>
      <c r="G383" s="68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6"/>
      <c r="G384" s="68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6"/>
      <c r="G385" s="68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6"/>
      <c r="G386" s="68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6"/>
      <c r="G387" s="68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6"/>
      <c r="G388" s="68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6"/>
      <c r="G389" s="68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6"/>
      <c r="G390" s="68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6"/>
      <c r="G391" s="68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6"/>
      <c r="G392" s="68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6"/>
      <c r="G393" s="68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6"/>
      <c r="G394" s="68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6"/>
      <c r="G395" s="68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8"/>
      <c r="G396" s="68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8"/>
      <c r="G397" s="68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8"/>
      <c r="G398" s="68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8"/>
      <c r="G399" s="68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8"/>
      <c r="G400" s="68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8"/>
      <c r="G401" s="68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8"/>
      <c r="G402" s="68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8"/>
      <c r="G403" s="68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8"/>
      <c r="G404" s="68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8"/>
      <c r="G405" s="68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8"/>
      <c r="G406" s="68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8"/>
      <c r="G407" s="68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8"/>
      <c r="G408" s="68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8"/>
      <c r="G409" s="68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8"/>
      <c r="G410" s="68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8"/>
      <c r="G411" s="68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8"/>
      <c r="G412" s="68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8"/>
      <c r="G413" s="68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8"/>
      <c r="G414" s="68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8"/>
      <c r="G415" s="68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8"/>
      <c r="G416" s="68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8"/>
      <c r="G417" s="68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8"/>
      <c r="G418" s="68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8"/>
      <c r="G419" s="68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8"/>
      <c r="G420" s="68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8"/>
      <c r="G421" s="68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8"/>
      <c r="G422" s="68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8"/>
      <c r="G423" s="68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8"/>
      <c r="G424" s="68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8"/>
      <c r="G425" s="68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8"/>
      <c r="G426" s="68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8"/>
      <c r="G427" s="68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8"/>
      <c r="G428" s="68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8"/>
      <c r="G429" s="68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8"/>
      <c r="G430" s="68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8"/>
      <c r="G431" s="68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8"/>
      <c r="G432" s="68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8"/>
      <c r="G433" s="68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8"/>
      <c r="G434" s="68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8"/>
      <c r="G435" s="68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8"/>
      <c r="G436" s="68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8"/>
      <c r="G437" s="68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8"/>
      <c r="G438" s="68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8"/>
      <c r="G439" s="68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8"/>
      <c r="G440" s="68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8"/>
      <c r="G441" s="68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okQo/kRoK/jfjuAaoMyM0XgB43xLErDOlD6fNnDn0anV8vgxgJ3BLEeIxbFf97SrUUnRqs6xEX05XlNiXHoWag==" saltValue="+h6Xbsy8Ch1n1hTXPTafZw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76"/>
  <sheetViews>
    <sheetView topLeftCell="A4" workbookViewId="0">
      <selection activeCell="E8" sqref="E8"/>
    </sheetView>
  </sheetViews>
  <sheetFormatPr baseColWidth="10" defaultRowHeight="14.4" x14ac:dyDescent="0.3"/>
  <sheetData>
    <row r="2" spans="2:7" ht="27.6" x14ac:dyDescent="0.3">
      <c r="B2" s="281" t="s">
        <v>404</v>
      </c>
      <c r="C2" s="281" t="s">
        <v>321</v>
      </c>
      <c r="D2" s="282" t="s">
        <v>322</v>
      </c>
      <c r="E2" s="281" t="s">
        <v>323</v>
      </c>
      <c r="F2" s="281" t="s">
        <v>324</v>
      </c>
      <c r="G2" s="281" t="s">
        <v>325</v>
      </c>
    </row>
    <row r="3" spans="2:7" x14ac:dyDescent="0.3">
      <c r="B3" s="283" t="s">
        <v>326</v>
      </c>
      <c r="C3" s="284">
        <v>0.62</v>
      </c>
      <c r="D3" s="282" t="s">
        <v>327</v>
      </c>
      <c r="E3" s="285">
        <v>300</v>
      </c>
      <c r="F3" s="286">
        <f>IF([1]VAN!$D3="Feuillus",11*1.25,15.5*1.25)</f>
        <v>13.75</v>
      </c>
      <c r="G3" s="285">
        <v>10</v>
      </c>
    </row>
    <row r="4" spans="2:7" x14ac:dyDescent="0.3">
      <c r="B4" s="283" t="s">
        <v>328</v>
      </c>
      <c r="C4" s="284">
        <v>0.64</v>
      </c>
      <c r="D4" s="282" t="s">
        <v>327</v>
      </c>
      <c r="E4" s="287" t="s">
        <v>329</v>
      </c>
      <c r="F4" s="286">
        <f>IF([1]VAN!$D4="Feuillus",11*1.25,15.5*1.25)</f>
        <v>13.75</v>
      </c>
      <c r="G4" s="285">
        <v>10</v>
      </c>
    </row>
    <row r="5" spans="2:7" x14ac:dyDescent="0.3">
      <c r="B5" s="283" t="s">
        <v>330</v>
      </c>
      <c r="C5" s="284">
        <v>0.42</v>
      </c>
      <c r="D5" s="282" t="s">
        <v>327</v>
      </c>
      <c r="E5" s="285">
        <v>40</v>
      </c>
      <c r="F5" s="286">
        <f>IF([1]VAN!$D5="Feuillus",11*1.25,15.5*1.25)</f>
        <v>13.75</v>
      </c>
      <c r="G5" s="285">
        <v>10</v>
      </c>
    </row>
    <row r="6" spans="2:7" x14ac:dyDescent="0.3">
      <c r="B6" s="283" t="s">
        <v>331</v>
      </c>
      <c r="C6" s="284">
        <v>0.42</v>
      </c>
      <c r="D6" s="282" t="s">
        <v>327</v>
      </c>
      <c r="E6" s="285">
        <v>40</v>
      </c>
      <c r="F6" s="286">
        <f>IF([1]VAN!$D6="Feuillus",11*1.25,15.5*1.25)</f>
        <v>13.75</v>
      </c>
      <c r="G6" s="285">
        <v>10</v>
      </c>
    </row>
    <row r="7" spans="2:7" x14ac:dyDescent="0.3">
      <c r="B7" s="283" t="s">
        <v>332</v>
      </c>
      <c r="C7" s="284">
        <v>0.52</v>
      </c>
      <c r="D7" s="282" t="s">
        <v>327</v>
      </c>
      <c r="E7" s="285">
        <v>40</v>
      </c>
      <c r="F7" s="286">
        <f>IF([1]VAN!$D7="Feuillus",11*1.25,15.5*1.25)</f>
        <v>13.75</v>
      </c>
      <c r="G7" s="285">
        <v>10</v>
      </c>
    </row>
    <row r="8" spans="2:7" x14ac:dyDescent="0.3">
      <c r="B8" s="283" t="s">
        <v>333</v>
      </c>
      <c r="C8" s="284">
        <v>0.36</v>
      </c>
      <c r="D8" s="282" t="s">
        <v>334</v>
      </c>
      <c r="E8" s="347">
        <v>30</v>
      </c>
      <c r="F8" s="286">
        <f>IF([1]VAN!$D8="Feuillus",11*1.25,15.5*1.25)</f>
        <v>19.375</v>
      </c>
      <c r="G8" s="285">
        <v>10</v>
      </c>
    </row>
    <row r="9" spans="2:7" x14ac:dyDescent="0.3">
      <c r="B9" s="283" t="s">
        <v>335</v>
      </c>
      <c r="C9" s="284">
        <v>0.61</v>
      </c>
      <c r="D9" s="282" t="s">
        <v>327</v>
      </c>
      <c r="E9" s="285">
        <v>50</v>
      </c>
      <c r="F9" s="286">
        <f>IF([1]VAN!$D9="Feuillus",11*1.25,15.5*1.25)</f>
        <v>13.75</v>
      </c>
      <c r="G9" s="285">
        <v>10</v>
      </c>
    </row>
    <row r="10" spans="2:7" x14ac:dyDescent="0.3">
      <c r="B10" s="283" t="s">
        <v>336</v>
      </c>
      <c r="C10" s="284">
        <v>0.66</v>
      </c>
      <c r="D10" s="282" t="s">
        <v>327</v>
      </c>
      <c r="E10" s="285">
        <v>50</v>
      </c>
      <c r="F10" s="286">
        <f>IF([1]VAN!$D10="Feuillus",11*1.25,15.5*1.25)</f>
        <v>13.75</v>
      </c>
      <c r="G10" s="285">
        <v>10</v>
      </c>
    </row>
    <row r="11" spans="2:7" x14ac:dyDescent="0.3">
      <c r="B11" s="288" t="s">
        <v>337</v>
      </c>
      <c r="C11" s="289">
        <v>0.47</v>
      </c>
      <c r="D11" s="282" t="s">
        <v>327</v>
      </c>
      <c r="E11" s="285">
        <v>100</v>
      </c>
      <c r="F11" s="286">
        <f>IF([1]VAN!$D11="Feuillus",11*1.25,15.5*1.25)</f>
        <v>13.75</v>
      </c>
      <c r="G11" s="285">
        <v>10</v>
      </c>
    </row>
    <row r="12" spans="2:7" x14ac:dyDescent="0.3">
      <c r="B12" s="283" t="s">
        <v>338</v>
      </c>
      <c r="C12" s="284">
        <v>0.67</v>
      </c>
      <c r="D12" s="282" t="s">
        <v>327</v>
      </c>
      <c r="E12" s="285">
        <v>150</v>
      </c>
      <c r="F12" s="286">
        <f>IF([1]VAN!$D12="Feuillus",11*1.25,15.5*1.25)</f>
        <v>13.75</v>
      </c>
      <c r="G12" s="285">
        <v>10</v>
      </c>
    </row>
    <row r="13" spans="2:7" x14ac:dyDescent="0.3">
      <c r="B13" s="283" t="s">
        <v>339</v>
      </c>
      <c r="C13" s="284">
        <v>0.7</v>
      </c>
      <c r="D13" s="282" t="s">
        <v>327</v>
      </c>
      <c r="E13" s="285">
        <v>150</v>
      </c>
      <c r="F13" s="286">
        <f>IF([1]VAN!$D13="Feuillus",11*1.25,15.5*1.25)</f>
        <v>13.75</v>
      </c>
      <c r="G13" s="285">
        <v>10</v>
      </c>
    </row>
    <row r="14" spans="2:7" x14ac:dyDescent="0.3">
      <c r="B14" s="283" t="s">
        <v>340</v>
      </c>
      <c r="C14" s="284">
        <v>0.54</v>
      </c>
      <c r="D14" s="282" t="s">
        <v>327</v>
      </c>
      <c r="E14" s="285">
        <v>150</v>
      </c>
      <c r="F14" s="286">
        <f>IF([1]VAN!$D14="Feuillus",11*1.25,15.5*1.25)</f>
        <v>13.75</v>
      </c>
      <c r="G14" s="285">
        <v>10</v>
      </c>
    </row>
    <row r="15" spans="2:7" x14ac:dyDescent="0.3">
      <c r="B15" s="283" t="s">
        <v>341</v>
      </c>
      <c r="C15" s="284">
        <v>0.65</v>
      </c>
      <c r="D15" s="282" t="s">
        <v>327</v>
      </c>
      <c r="E15" s="285">
        <v>150</v>
      </c>
      <c r="F15" s="286">
        <f>IF([1]VAN!$D15="Feuillus",11*1.25,15.5*1.25)</f>
        <v>13.75</v>
      </c>
      <c r="G15" s="285">
        <v>10</v>
      </c>
    </row>
    <row r="16" spans="2:7" x14ac:dyDescent="0.3">
      <c r="B16" s="283" t="s">
        <v>342</v>
      </c>
      <c r="C16" s="284">
        <v>0.56000000000000005</v>
      </c>
      <c r="D16" s="282" t="s">
        <v>327</v>
      </c>
      <c r="E16" s="285">
        <v>150</v>
      </c>
      <c r="F16" s="286">
        <f>IF([1]VAN!$D16="Feuillus",11*1.25,15.5*1.25)</f>
        <v>13.75</v>
      </c>
      <c r="G16" s="285">
        <v>10</v>
      </c>
    </row>
    <row r="17" spans="2:7" x14ac:dyDescent="0.3">
      <c r="B17" s="283" t="s">
        <v>343</v>
      </c>
      <c r="C17" s="284">
        <v>0.57999999999999996</v>
      </c>
      <c r="D17" s="282" t="s">
        <v>327</v>
      </c>
      <c r="E17" s="285">
        <v>150</v>
      </c>
      <c r="F17" s="286">
        <f>IF([1]VAN!$D17="Feuillus",11*1.25,15.5*1.25)</f>
        <v>13.75</v>
      </c>
      <c r="G17" s="285">
        <v>10</v>
      </c>
    </row>
    <row r="18" spans="2:7" x14ac:dyDescent="0.3">
      <c r="B18" s="283" t="s">
        <v>344</v>
      </c>
      <c r="C18" s="284">
        <v>0.64</v>
      </c>
      <c r="D18" s="282" t="s">
        <v>327</v>
      </c>
      <c r="E18" s="285">
        <v>150</v>
      </c>
      <c r="F18" s="286">
        <f>IF([1]VAN!$D18="Feuillus",11*1.25,15.5*1.25)</f>
        <v>13.75</v>
      </c>
      <c r="G18" s="285">
        <v>10</v>
      </c>
    </row>
    <row r="19" spans="2:7" x14ac:dyDescent="0.3">
      <c r="B19" s="283" t="s">
        <v>345</v>
      </c>
      <c r="C19" s="284">
        <v>0.73</v>
      </c>
      <c r="D19" s="282" t="s">
        <v>327</v>
      </c>
      <c r="E19" s="285">
        <v>150</v>
      </c>
      <c r="F19" s="286">
        <f>IF([1]VAN!$D19="Feuillus",11*1.25,15.5*1.25)</f>
        <v>13.75</v>
      </c>
      <c r="G19" s="285">
        <v>10</v>
      </c>
    </row>
    <row r="20" spans="2:7" x14ac:dyDescent="0.3">
      <c r="B20" s="283" t="s">
        <v>346</v>
      </c>
      <c r="C20" s="284">
        <v>0.56000000000000005</v>
      </c>
      <c r="D20" s="282" t="s">
        <v>327</v>
      </c>
      <c r="E20" s="285">
        <v>150</v>
      </c>
      <c r="F20" s="286">
        <f>IF([1]VAN!$D20="Feuillus",11*1.25,15.5*1.25)</f>
        <v>13.75</v>
      </c>
      <c r="G20" s="285">
        <v>10</v>
      </c>
    </row>
    <row r="21" spans="2:7" x14ac:dyDescent="0.3">
      <c r="B21" s="283" t="s">
        <v>347</v>
      </c>
      <c r="C21" s="284">
        <v>0.74</v>
      </c>
      <c r="D21" s="282" t="s">
        <v>327</v>
      </c>
      <c r="E21" s="285">
        <v>300</v>
      </c>
      <c r="F21" s="286">
        <f>IF([1]VAN!$D21="Feuillus",11*1.25,15.5*1.25)</f>
        <v>13.75</v>
      </c>
      <c r="G21" s="285">
        <v>10</v>
      </c>
    </row>
    <row r="22" spans="2:7" x14ac:dyDescent="0.3">
      <c r="B22" s="283" t="s">
        <v>348</v>
      </c>
      <c r="C22" s="284">
        <v>0.4</v>
      </c>
      <c r="D22" s="282" t="s">
        <v>334</v>
      </c>
      <c r="E22" s="287">
        <v>30</v>
      </c>
      <c r="F22" s="286">
        <f>IF([1]VAN!$D22="Feuillus",11*1.25,15.5*1.25)</f>
        <v>19.375</v>
      </c>
      <c r="G22" s="285">
        <v>10</v>
      </c>
    </row>
    <row r="23" spans="2:7" x14ac:dyDescent="0.3">
      <c r="B23" s="283" t="s">
        <v>349</v>
      </c>
      <c r="C23" s="284">
        <v>0.6</v>
      </c>
      <c r="D23" s="282" t="s">
        <v>327</v>
      </c>
      <c r="E23" s="285">
        <v>300</v>
      </c>
      <c r="F23" s="286">
        <f>IF([1]VAN!$D23="Feuillus",11*1.25,15.5*1.25)</f>
        <v>13.75</v>
      </c>
      <c r="G23" s="285">
        <v>10</v>
      </c>
    </row>
    <row r="24" spans="2:7" x14ac:dyDescent="0.3">
      <c r="B24" s="283" t="s">
        <v>350</v>
      </c>
      <c r="C24" s="284">
        <v>0.43</v>
      </c>
      <c r="D24" s="282" t="s">
        <v>334</v>
      </c>
      <c r="E24" s="285">
        <v>59</v>
      </c>
      <c r="F24" s="286">
        <f>IF([1]VAN!$D24="Feuillus",11*1.25,15.5*1.25)</f>
        <v>19.375</v>
      </c>
      <c r="G24" s="285">
        <v>10</v>
      </c>
    </row>
    <row r="25" spans="2:7" x14ac:dyDescent="0.3">
      <c r="B25" s="283" t="s">
        <v>351</v>
      </c>
      <c r="C25" s="284">
        <v>0.37</v>
      </c>
      <c r="D25" s="282" t="s">
        <v>334</v>
      </c>
      <c r="E25" s="287">
        <v>36</v>
      </c>
      <c r="F25" s="286">
        <f>IF([1]VAN!$D25="Feuillus",11*1.25,15.5*1.25)</f>
        <v>19.375</v>
      </c>
      <c r="G25" s="285">
        <v>10</v>
      </c>
    </row>
    <row r="26" spans="2:7" x14ac:dyDescent="0.3">
      <c r="B26" s="283" t="s">
        <v>352</v>
      </c>
      <c r="C26" s="284">
        <v>0.36</v>
      </c>
      <c r="D26" s="282" t="s">
        <v>334</v>
      </c>
      <c r="E26" s="285">
        <v>47</v>
      </c>
      <c r="F26" s="286">
        <f>IF([1]VAN!$D26="Feuillus",11*1.25,15.5*1.25)</f>
        <v>19.375</v>
      </c>
      <c r="G26" s="285">
        <v>10</v>
      </c>
    </row>
    <row r="27" spans="2:7" x14ac:dyDescent="0.3">
      <c r="B27" s="283" t="s">
        <v>353</v>
      </c>
      <c r="C27" s="284">
        <v>0.51</v>
      </c>
      <c r="D27" s="282" t="s">
        <v>327</v>
      </c>
      <c r="E27" s="285">
        <v>60</v>
      </c>
      <c r="F27" s="286">
        <f>IF([1]VAN!$D27="Feuillus",11*1.25,15.5*1.25)</f>
        <v>13.75</v>
      </c>
      <c r="G27" s="285">
        <v>10</v>
      </c>
    </row>
    <row r="28" spans="2:7" x14ac:dyDescent="0.3">
      <c r="B28" s="283" t="s">
        <v>354</v>
      </c>
      <c r="C28" s="284">
        <v>0.56000000000000005</v>
      </c>
      <c r="D28" s="282" t="s">
        <v>327</v>
      </c>
      <c r="E28" s="285">
        <v>60</v>
      </c>
      <c r="F28" s="286">
        <f>IF([1]VAN!$D28="Feuillus",11*1.25,15.5*1.25)</f>
        <v>13.75</v>
      </c>
      <c r="G28" s="285">
        <v>10</v>
      </c>
    </row>
    <row r="29" spans="2:7" x14ac:dyDescent="0.3">
      <c r="B29" s="283" t="s">
        <v>355</v>
      </c>
      <c r="C29" s="284">
        <v>0.56000000000000005</v>
      </c>
      <c r="D29" s="282" t="s">
        <v>327</v>
      </c>
      <c r="E29" s="287" t="s">
        <v>329</v>
      </c>
      <c r="F29" s="286">
        <f>IF([1]VAN!$D29="Feuillus",11*1.25,15.5*1.25)</f>
        <v>13.75</v>
      </c>
      <c r="G29" s="285">
        <v>10</v>
      </c>
    </row>
    <row r="30" spans="2:7" x14ac:dyDescent="0.3">
      <c r="B30" s="283" t="s">
        <v>356</v>
      </c>
      <c r="C30" s="284">
        <v>0.48</v>
      </c>
      <c r="D30" s="282" t="s">
        <v>327</v>
      </c>
      <c r="E30" s="285">
        <v>300</v>
      </c>
      <c r="F30" s="286">
        <f>IF([1]VAN!$D30="Feuillus",11*1.25,15.5*1.25)</f>
        <v>13.75</v>
      </c>
      <c r="G30" s="285">
        <v>10</v>
      </c>
    </row>
    <row r="31" spans="2:7" x14ac:dyDescent="0.3">
      <c r="B31" s="283" t="s">
        <v>357</v>
      </c>
      <c r="C31" s="284">
        <v>0.55000000000000004</v>
      </c>
      <c r="D31" s="282" t="s">
        <v>327</v>
      </c>
      <c r="E31" s="285">
        <v>45</v>
      </c>
      <c r="F31" s="286">
        <f>IF([1]VAN!$D31="Feuillus",11*1.25,15.5*1.25)</f>
        <v>13.75</v>
      </c>
      <c r="G31" s="285">
        <v>10</v>
      </c>
    </row>
    <row r="32" spans="2:7" x14ac:dyDescent="0.3">
      <c r="B32" s="283" t="s">
        <v>358</v>
      </c>
      <c r="C32" s="284">
        <v>0.56000000000000005</v>
      </c>
      <c r="D32" s="282" t="s">
        <v>327</v>
      </c>
      <c r="E32" s="285">
        <v>90</v>
      </c>
      <c r="F32" s="286">
        <f>IF([1]VAN!$D32="Feuillus",11*1.25,15.5*1.25)</f>
        <v>13.75</v>
      </c>
      <c r="G32" s="285">
        <v>10</v>
      </c>
    </row>
    <row r="33" spans="2:7" x14ac:dyDescent="0.3">
      <c r="B33" s="283" t="s">
        <v>359</v>
      </c>
      <c r="C33" s="284">
        <v>0.57999999999999996</v>
      </c>
      <c r="D33" s="282" t="s">
        <v>327</v>
      </c>
      <c r="E33" s="285">
        <v>300</v>
      </c>
      <c r="F33" s="286">
        <f>IF([1]VAN!$D33="Feuillus",11*1.25,15.5*1.25)</f>
        <v>13.75</v>
      </c>
      <c r="G33" s="285">
        <v>10</v>
      </c>
    </row>
    <row r="34" spans="2:7" x14ac:dyDescent="0.3">
      <c r="B34" s="283" t="s">
        <v>360</v>
      </c>
      <c r="C34" s="284">
        <v>0.57999999999999996</v>
      </c>
      <c r="D34" s="282" t="s">
        <v>334</v>
      </c>
      <c r="E34" s="285">
        <v>25</v>
      </c>
      <c r="F34" s="286">
        <f>IF([1]VAN!$D34="Feuillus",11*1.25,15.5*1.25)</f>
        <v>19.375</v>
      </c>
      <c r="G34" s="285">
        <v>10</v>
      </c>
    </row>
    <row r="35" spans="2:7" x14ac:dyDescent="0.3">
      <c r="B35" s="283" t="s">
        <v>361</v>
      </c>
      <c r="C35" s="284">
        <v>0.48</v>
      </c>
      <c r="D35" s="282" t="s">
        <v>334</v>
      </c>
      <c r="E35" s="285">
        <v>50</v>
      </c>
      <c r="F35" s="286">
        <f>IF([1]VAN!$D35="Feuillus",11*1.25,15.5*1.25)</f>
        <v>19.375</v>
      </c>
      <c r="G35" s="285">
        <v>10</v>
      </c>
    </row>
    <row r="36" spans="2:7" x14ac:dyDescent="0.3">
      <c r="B36" s="283" t="s">
        <v>362</v>
      </c>
      <c r="C36" s="284">
        <v>0.42</v>
      </c>
      <c r="D36" s="282" t="s">
        <v>334</v>
      </c>
      <c r="E36" s="285">
        <v>50</v>
      </c>
      <c r="F36" s="286">
        <f>IF([1]VAN!$D36="Feuillus",11*1.25,15.5*1.25)</f>
        <v>19.375</v>
      </c>
      <c r="G36" s="285">
        <v>10</v>
      </c>
    </row>
    <row r="37" spans="2:7" x14ac:dyDescent="0.3">
      <c r="B37" s="283" t="s">
        <v>363</v>
      </c>
      <c r="C37" s="284">
        <v>0.5</v>
      </c>
      <c r="D37" s="282" t="s">
        <v>327</v>
      </c>
      <c r="E37" s="285">
        <v>80</v>
      </c>
      <c r="F37" s="286">
        <f>IF([1]VAN!$D37="Feuillus",11*1.25,15.5*1.25)</f>
        <v>13.75</v>
      </c>
      <c r="G37" s="285">
        <v>10</v>
      </c>
    </row>
    <row r="38" spans="2:7" x14ac:dyDescent="0.3">
      <c r="B38" s="283" t="s">
        <v>364</v>
      </c>
      <c r="C38" s="284">
        <v>0.55000000000000004</v>
      </c>
      <c r="D38" s="282" t="s">
        <v>327</v>
      </c>
      <c r="E38" s="287" t="s">
        <v>329</v>
      </c>
      <c r="F38" s="286">
        <f>IF([1]VAN!$D38="Feuillus",11*1.25,15.5*1.25)</f>
        <v>13.75</v>
      </c>
      <c r="G38" s="285">
        <v>10</v>
      </c>
    </row>
    <row r="39" spans="2:7" x14ac:dyDescent="0.3">
      <c r="B39" s="283" t="s">
        <v>365</v>
      </c>
      <c r="C39" s="284">
        <v>0.53</v>
      </c>
      <c r="D39" s="282" t="s">
        <v>327</v>
      </c>
      <c r="E39" s="287" t="s">
        <v>329</v>
      </c>
      <c r="F39" s="286">
        <f>IF([1]VAN!$D39="Feuillus",11*1.25,15.5*1.25)</f>
        <v>13.75</v>
      </c>
      <c r="G39" s="285">
        <v>10</v>
      </c>
    </row>
    <row r="40" spans="2:7" x14ac:dyDescent="0.3">
      <c r="B40" s="283" t="s">
        <v>366</v>
      </c>
      <c r="C40" s="284">
        <v>0.52</v>
      </c>
      <c r="D40" s="282" t="s">
        <v>327</v>
      </c>
      <c r="E40" s="287" t="s">
        <v>329</v>
      </c>
      <c r="F40" s="286">
        <f>IF([1]VAN!$D40="Feuillus",11*1.25,15.5*1.25)</f>
        <v>13.75</v>
      </c>
      <c r="G40" s="285">
        <v>10</v>
      </c>
    </row>
    <row r="41" spans="2:7" x14ac:dyDescent="0.3">
      <c r="B41" s="283" t="s">
        <v>367</v>
      </c>
      <c r="C41" s="284">
        <v>0.52</v>
      </c>
      <c r="D41" s="282" t="s">
        <v>327</v>
      </c>
      <c r="E41" s="285">
        <v>300</v>
      </c>
      <c r="F41" s="286">
        <f>IF([1]VAN!$D41="Feuillus",11*1.25,15.5*1.25)</f>
        <v>13.75</v>
      </c>
      <c r="G41" s="285">
        <v>10</v>
      </c>
    </row>
    <row r="42" spans="2:7" x14ac:dyDescent="0.3">
      <c r="B42" s="283" t="s">
        <v>368</v>
      </c>
      <c r="C42" s="284">
        <v>0.75</v>
      </c>
      <c r="D42" s="282" t="s">
        <v>327</v>
      </c>
      <c r="E42" s="287" t="s">
        <v>329</v>
      </c>
      <c r="F42" s="286">
        <f>IF([1]VAN!$D42="Feuillus",11*1.25,15.5*1.25)</f>
        <v>13.75</v>
      </c>
      <c r="G42" s="285">
        <v>10</v>
      </c>
    </row>
    <row r="43" spans="2:7" x14ac:dyDescent="0.3">
      <c r="B43" s="283" t="s">
        <v>369</v>
      </c>
      <c r="C43" s="284">
        <v>0.52</v>
      </c>
      <c r="D43" s="282" t="s">
        <v>327</v>
      </c>
      <c r="E43" s="285">
        <v>50</v>
      </c>
      <c r="F43" s="286">
        <f>IF([1]VAN!$D43="Feuillus",11*1.25,15.5*1.25)</f>
        <v>13.75</v>
      </c>
      <c r="G43" s="285">
        <v>10</v>
      </c>
    </row>
    <row r="44" spans="2:7" x14ac:dyDescent="0.3">
      <c r="B44" s="283" t="s">
        <v>370</v>
      </c>
      <c r="C44" s="284">
        <v>0.35</v>
      </c>
      <c r="D44" s="282" t="s">
        <v>371</v>
      </c>
      <c r="E44" s="285">
        <v>42</v>
      </c>
      <c r="F44" s="286">
        <f>IF([1]VAN!$D44="Feuillus",11*1.25,15.5*1.25)</f>
        <v>19.375</v>
      </c>
      <c r="G44" s="285">
        <v>10</v>
      </c>
    </row>
    <row r="45" spans="2:7" x14ac:dyDescent="0.3">
      <c r="B45" s="283" t="s">
        <v>372</v>
      </c>
      <c r="C45" s="284">
        <v>0.37</v>
      </c>
      <c r="D45" s="282" t="s">
        <v>327</v>
      </c>
      <c r="E45" s="285">
        <v>17.5</v>
      </c>
      <c r="F45" s="286">
        <f>IF([1]VAN!$D45="Feuillus",11*1.25,15.5*1.25)</f>
        <v>13.75</v>
      </c>
      <c r="G45" s="285">
        <v>10</v>
      </c>
    </row>
    <row r="46" spans="2:7" x14ac:dyDescent="0.3">
      <c r="B46" s="283" t="s">
        <v>373</v>
      </c>
      <c r="C46" s="284">
        <v>0.45</v>
      </c>
      <c r="D46" s="282" t="s">
        <v>334</v>
      </c>
      <c r="E46" s="285">
        <v>30</v>
      </c>
      <c r="F46" s="286">
        <f>IF([1]VAN!$D46="Feuillus",11*1.25,15.5*1.25)</f>
        <v>19.375</v>
      </c>
      <c r="G46" s="285">
        <v>10</v>
      </c>
    </row>
    <row r="47" spans="2:7" x14ac:dyDescent="0.3">
      <c r="B47" s="283" t="s">
        <v>374</v>
      </c>
      <c r="C47" s="284">
        <v>0.39</v>
      </c>
      <c r="D47" s="282" t="s">
        <v>334</v>
      </c>
      <c r="E47" s="285">
        <v>30</v>
      </c>
      <c r="F47" s="286">
        <f>IF([1]VAN!$D47="Feuillus",11*1.25,15.5*1.25)</f>
        <v>19.375</v>
      </c>
      <c r="G47" s="285">
        <v>10</v>
      </c>
    </row>
    <row r="48" spans="2:7" x14ac:dyDescent="0.3">
      <c r="B48" s="283" t="s">
        <v>375</v>
      </c>
      <c r="C48" s="284">
        <v>0.44</v>
      </c>
      <c r="D48" s="282" t="s">
        <v>334</v>
      </c>
      <c r="E48" s="285">
        <v>30</v>
      </c>
      <c r="F48" s="286">
        <f>IF([1]VAN!$D48="Feuillus",11*1.25,15.5*1.25)</f>
        <v>19.375</v>
      </c>
      <c r="G48" s="285">
        <v>10</v>
      </c>
    </row>
    <row r="49" spans="2:7" x14ac:dyDescent="0.3">
      <c r="B49" s="283" t="s">
        <v>376</v>
      </c>
      <c r="C49" s="284">
        <v>0.46</v>
      </c>
      <c r="D49" s="282" t="s">
        <v>334</v>
      </c>
      <c r="E49" s="285">
        <v>30</v>
      </c>
      <c r="F49" s="286">
        <f>IF([1]VAN!$D49="Feuillus",11*1.25,15.5*1.25)</f>
        <v>19.375</v>
      </c>
      <c r="G49" s="285">
        <v>10</v>
      </c>
    </row>
    <row r="50" spans="2:7" ht="41.4" x14ac:dyDescent="0.3">
      <c r="B50" s="283" t="s">
        <v>377</v>
      </c>
      <c r="C50" s="284">
        <v>0.46</v>
      </c>
      <c r="D50" s="282" t="s">
        <v>378</v>
      </c>
      <c r="E50" s="285">
        <v>42</v>
      </c>
      <c r="F50" s="286">
        <f>IF([1]VAN!$D50="Feuillus",11*1.25,15.5*1.25)</f>
        <v>19.375</v>
      </c>
      <c r="G50" s="285">
        <v>10</v>
      </c>
    </row>
    <row r="51" spans="2:7" x14ac:dyDescent="0.3">
      <c r="B51" s="283" t="s">
        <v>379</v>
      </c>
      <c r="C51" s="284">
        <v>0.44</v>
      </c>
      <c r="D51" s="282" t="s">
        <v>334</v>
      </c>
      <c r="E51" s="285">
        <v>30</v>
      </c>
      <c r="F51" s="286">
        <f>IF([1]VAN!$D51="Feuillus",11*1.25,15.5*1.25)</f>
        <v>19.375</v>
      </c>
      <c r="G51" s="285">
        <v>10</v>
      </c>
    </row>
    <row r="52" spans="2:7" x14ac:dyDescent="0.3">
      <c r="B52" s="283" t="s">
        <v>380</v>
      </c>
      <c r="C52" s="284">
        <v>0.46</v>
      </c>
      <c r="D52" s="282" t="s">
        <v>334</v>
      </c>
      <c r="E52" s="285">
        <v>30</v>
      </c>
      <c r="F52" s="286">
        <f>IF([1]VAN!$D52="Feuillus",11*1.25,15.5*1.25)</f>
        <v>19.375</v>
      </c>
      <c r="G52" s="285">
        <v>10</v>
      </c>
    </row>
    <row r="53" spans="2:7" x14ac:dyDescent="0.3">
      <c r="B53" s="283" t="s">
        <v>381</v>
      </c>
      <c r="C53" s="284">
        <v>0.48</v>
      </c>
      <c r="D53" s="282" t="s">
        <v>334</v>
      </c>
      <c r="E53" s="285">
        <v>30</v>
      </c>
      <c r="F53" s="286">
        <f>IF([1]VAN!$D53="Feuillus",11*1.25,15.5*1.25)</f>
        <v>19.375</v>
      </c>
      <c r="G53" s="285">
        <v>10</v>
      </c>
    </row>
    <row r="54" spans="2:7" x14ac:dyDescent="0.3">
      <c r="B54" s="283" t="s">
        <v>382</v>
      </c>
      <c r="C54" s="284">
        <v>0.44</v>
      </c>
      <c r="D54" s="282" t="s">
        <v>334</v>
      </c>
      <c r="E54" s="285">
        <v>30</v>
      </c>
      <c r="F54" s="286">
        <f>IF([1]VAN!$D54="Feuillus",11*1.25,15.5*1.25)</f>
        <v>19.375</v>
      </c>
      <c r="G54" s="285">
        <v>10</v>
      </c>
    </row>
    <row r="55" spans="2:7" x14ac:dyDescent="0.3">
      <c r="B55" s="283" t="s">
        <v>383</v>
      </c>
      <c r="C55" s="284">
        <v>0.34</v>
      </c>
      <c r="D55" s="282" t="s">
        <v>334</v>
      </c>
      <c r="E55" s="285">
        <v>30</v>
      </c>
      <c r="F55" s="286">
        <f>IF([1]VAN!$D55="Feuillus",11*1.25,15.5*1.25)</f>
        <v>19.375</v>
      </c>
      <c r="G55" s="285">
        <v>10</v>
      </c>
    </row>
    <row r="56" spans="2:7" x14ac:dyDescent="0.3">
      <c r="B56" s="283" t="s">
        <v>384</v>
      </c>
      <c r="C56" s="284">
        <v>0.5</v>
      </c>
      <c r="D56" s="282" t="s">
        <v>327</v>
      </c>
      <c r="E56" s="285">
        <v>50</v>
      </c>
      <c r="F56" s="286">
        <f>IF([1]VAN!$D56="Feuillus",11*1.25,15.5*1.25)</f>
        <v>13.75</v>
      </c>
      <c r="G56" s="285">
        <v>10</v>
      </c>
    </row>
    <row r="57" spans="2:7" x14ac:dyDescent="0.3">
      <c r="B57" s="283" t="s">
        <v>385</v>
      </c>
      <c r="C57" s="284">
        <v>0.57999999999999996</v>
      </c>
      <c r="D57" s="282" t="s">
        <v>327</v>
      </c>
      <c r="E57" s="285">
        <v>70</v>
      </c>
      <c r="F57" s="286">
        <f>IF([1]VAN!$D57="Feuillus",11*1.25,15.5*1.25)</f>
        <v>13.75</v>
      </c>
      <c r="G57" s="285">
        <v>10</v>
      </c>
    </row>
    <row r="58" spans="2:7" x14ac:dyDescent="0.3">
      <c r="B58" s="283" t="s">
        <v>386</v>
      </c>
      <c r="C58" s="284">
        <v>0.37</v>
      </c>
      <c r="D58" s="282" t="s">
        <v>334</v>
      </c>
      <c r="E58" s="285">
        <v>44</v>
      </c>
      <c r="F58" s="286">
        <f>IF([1]VAN!$D58="Feuillus",11*1.25,15.5*1.25)</f>
        <v>19.375</v>
      </c>
      <c r="G58" s="285">
        <v>10</v>
      </c>
    </row>
    <row r="59" spans="2:7" x14ac:dyDescent="0.3">
      <c r="B59" s="283" t="s">
        <v>387</v>
      </c>
      <c r="C59" s="284">
        <v>0.37</v>
      </c>
      <c r="D59" s="282" t="s">
        <v>334</v>
      </c>
      <c r="E59" s="285">
        <v>44</v>
      </c>
      <c r="F59" s="286">
        <f>IF([1]VAN!$D59="Feuillus",11*1.25,15.5*1.25)</f>
        <v>19.375</v>
      </c>
      <c r="G59" s="285">
        <v>10</v>
      </c>
    </row>
    <row r="60" spans="2:7" x14ac:dyDescent="0.3">
      <c r="B60" s="283" t="s">
        <v>388</v>
      </c>
      <c r="C60" s="284">
        <v>0.38</v>
      </c>
      <c r="D60" s="282" t="s">
        <v>334</v>
      </c>
      <c r="E60" s="285">
        <v>37</v>
      </c>
      <c r="F60" s="286">
        <f>IF([1]VAN!$D60="Feuillus",11*1.25,15.5*1.25)</f>
        <v>19.375</v>
      </c>
      <c r="G60" s="285">
        <v>10</v>
      </c>
    </row>
    <row r="61" spans="2:7" x14ac:dyDescent="0.3">
      <c r="B61" s="283" t="s">
        <v>389</v>
      </c>
      <c r="C61" s="284">
        <v>0.36</v>
      </c>
      <c r="D61" s="282" t="s">
        <v>334</v>
      </c>
      <c r="E61" s="285">
        <v>44</v>
      </c>
      <c r="F61" s="286">
        <f>IF([1]VAN!$D61="Feuillus",11*1.25,15.5*1.25)</f>
        <v>19.375</v>
      </c>
      <c r="G61" s="285">
        <v>10</v>
      </c>
    </row>
    <row r="62" spans="2:7" x14ac:dyDescent="0.3">
      <c r="B62" s="283" t="s">
        <v>390</v>
      </c>
      <c r="C62" s="284">
        <v>0.37</v>
      </c>
      <c r="D62" s="282" t="s">
        <v>327</v>
      </c>
      <c r="E62" s="285">
        <v>25</v>
      </c>
      <c r="F62" s="286">
        <f>IF([1]VAN!$D62="Feuillus",11*1.25,15.5*1.25)</f>
        <v>13.75</v>
      </c>
      <c r="G62" s="285">
        <v>10</v>
      </c>
    </row>
    <row r="63" spans="2:7" x14ac:dyDescent="0.3">
      <c r="B63" s="283" t="s">
        <v>391</v>
      </c>
      <c r="C63" s="284">
        <v>0.53</v>
      </c>
      <c r="D63" s="282" t="s">
        <v>327</v>
      </c>
      <c r="E63" s="287" t="s">
        <v>329</v>
      </c>
      <c r="F63" s="286">
        <f>IF([1]VAN!$D63="Feuillus",11*1.25,15.5*1.25)</f>
        <v>13.75</v>
      </c>
      <c r="G63" s="285">
        <v>10</v>
      </c>
    </row>
    <row r="64" spans="2:7" x14ac:dyDescent="0.3">
      <c r="B64" s="283" t="s">
        <v>392</v>
      </c>
      <c r="C64" s="284">
        <v>0.43</v>
      </c>
      <c r="D64" s="282" t="s">
        <v>327</v>
      </c>
      <c r="E64" s="285">
        <v>50</v>
      </c>
      <c r="F64" s="286">
        <f>IF([1]VAN!$D64="Feuillus",11*1.25,15.5*1.25)</f>
        <v>13.75</v>
      </c>
      <c r="G64" s="285">
        <v>10</v>
      </c>
    </row>
    <row r="65" spans="2:7" x14ac:dyDescent="0.3">
      <c r="B65" s="283" t="s">
        <v>393</v>
      </c>
      <c r="C65" s="284">
        <v>0.38</v>
      </c>
      <c r="D65" s="282" t="s">
        <v>327</v>
      </c>
      <c r="E65" s="285">
        <v>25</v>
      </c>
      <c r="F65" s="286">
        <f>IF([1]VAN!$D65="Feuillus",11*1.25,15.5*1.25)</f>
        <v>13.75</v>
      </c>
      <c r="G65" s="285">
        <v>10</v>
      </c>
    </row>
    <row r="66" spans="2:7" x14ac:dyDescent="0.3">
      <c r="B66" s="290" t="s">
        <v>394</v>
      </c>
      <c r="C66" s="281">
        <v>0.42</v>
      </c>
      <c r="D66" s="282" t="s">
        <v>334</v>
      </c>
      <c r="E66" s="285">
        <v>44</v>
      </c>
      <c r="F66" s="286">
        <f>IF([1]VAN!$D66="Feuillus",11*1.25,15.5*1.25)</f>
        <v>19.375</v>
      </c>
      <c r="G66" s="285">
        <v>10</v>
      </c>
    </row>
    <row r="67" spans="2:7" x14ac:dyDescent="0.3">
      <c r="B67" s="290" t="s">
        <v>395</v>
      </c>
      <c r="C67" s="281">
        <v>0.56999999999999995</v>
      </c>
      <c r="D67" s="282" t="s">
        <v>327</v>
      </c>
      <c r="E67" s="287">
        <v>50</v>
      </c>
      <c r="F67" s="286">
        <f>IF([1]VAN!$D67="Feuillus",11*1.25,15.5*1.25)</f>
        <v>13.75</v>
      </c>
      <c r="G67" s="285">
        <v>10</v>
      </c>
    </row>
    <row r="68" spans="2:7" x14ac:dyDescent="0.3">
      <c r="B68" s="290" t="s">
        <v>396</v>
      </c>
      <c r="C68" s="281">
        <v>0.54</v>
      </c>
      <c r="D68" s="282"/>
      <c r="E68" s="285">
        <v>60</v>
      </c>
      <c r="F68" s="285"/>
      <c r="G68" s="285">
        <v>10</v>
      </c>
    </row>
    <row r="70" spans="2:7" x14ac:dyDescent="0.3">
      <c r="B70" s="291" t="s">
        <v>397</v>
      </c>
    </row>
    <row r="71" spans="2:7" x14ac:dyDescent="0.3">
      <c r="B71" s="291" t="s">
        <v>398</v>
      </c>
    </row>
    <row r="72" spans="2:7" x14ac:dyDescent="0.3">
      <c r="B72" s="291" t="s">
        <v>399</v>
      </c>
    </row>
    <row r="73" spans="2:7" x14ac:dyDescent="0.3">
      <c r="B73" s="291" t="s">
        <v>400</v>
      </c>
    </row>
    <row r="74" spans="2:7" x14ac:dyDescent="0.3">
      <c r="B74" s="291" t="s">
        <v>401</v>
      </c>
    </row>
    <row r="75" spans="2:7" x14ac:dyDescent="0.3">
      <c r="B75" s="291" t="s">
        <v>402</v>
      </c>
    </row>
    <row r="76" spans="2:7" x14ac:dyDescent="0.3">
      <c r="B76" s="291" t="s">
        <v>403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Valeur BO BI BE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M.</cp:lastModifiedBy>
  <dcterms:created xsi:type="dcterms:W3CDTF">2021-02-01T08:22:39Z</dcterms:created>
  <dcterms:modified xsi:type="dcterms:W3CDTF">2021-11-03T18:14:44Z</dcterms:modified>
</cp:coreProperties>
</file>