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thibaultanselin/OneDrive/5- Boisement/1-Label Bas Carbone/1-Dossiers/13-HBA/Envoi/"/>
    </mc:Choice>
  </mc:AlternateContent>
  <xr:revisionPtr revIDLastSave="0" documentId="13_ncr:1_{403CED63-A32F-564A-B836-FDF996134CA5}" xr6:coauthVersionLast="47" xr6:coauthVersionMax="47" xr10:uidLastSave="{00000000-0000-0000-0000-000000000000}"/>
  <bookViews>
    <workbookView xWindow="28800" yWindow="0" windowWidth="38400" windowHeight="21600" xr2:uid="{D0B40D85-64C9-444E-834F-E23BFBC540FA}"/>
  </bookViews>
  <sheets>
    <sheet name="Calcul" sheetId="4" r:id="rId1"/>
    <sheet name="Acct" sheetId="6" r:id="rId2"/>
    <sheet name="Infra" sheetId="7" r:id="rId3"/>
  </sheets>
  <definedNames>
    <definedName name="Fact_exp_projet">Calcul!$C$3</definedName>
    <definedName name="Fact_exp_ref">Calcul!$C$10</definedName>
    <definedName name="infran_projet">Calcul!$C$2</definedName>
    <definedName name="Infran_ref">Calcul!$C$9</definedName>
    <definedName name="Pourcent_Nett_ref">Calcul!$C$11</definedName>
    <definedName name="Pourcentage_nettoyage">Calcul!$C$4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4" i="4" l="1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4" i="4"/>
  <c r="AI5" i="4"/>
  <c r="AI6" i="4"/>
  <c r="AI7" i="4"/>
  <c r="AI8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4" i="4"/>
  <c r="AD6" i="4"/>
  <c r="D35" i="4"/>
  <c r="C33" i="4"/>
  <c r="D33" i="4" s="1"/>
  <c r="AB48" i="4" l="1"/>
  <c r="AB43" i="4"/>
  <c r="AB38" i="4"/>
  <c r="AB33" i="4"/>
  <c r="AB28" i="4"/>
  <c r="H10" i="6"/>
  <c r="G63" i="4" s="1"/>
  <c r="H9" i="6"/>
  <c r="G58" i="4" s="1"/>
  <c r="H8" i="6"/>
  <c r="G53" i="4" s="1"/>
  <c r="H7" i="6"/>
  <c r="G48" i="4" s="1"/>
  <c r="H6" i="6"/>
  <c r="G43" i="4" s="1"/>
  <c r="H5" i="6"/>
  <c r="G38" i="4" s="1"/>
  <c r="H4" i="6"/>
  <c r="G33" i="4" s="1"/>
  <c r="H3" i="6"/>
  <c r="G28" i="4" s="1"/>
  <c r="H2" i="6"/>
  <c r="G22" i="4" s="1"/>
  <c r="N19" i="4"/>
  <c r="Z19" i="4" s="1"/>
  <c r="C2" i="4"/>
  <c r="T4" i="4" s="1"/>
  <c r="T5" i="4" s="1"/>
  <c r="T6" i="4" s="1"/>
  <c r="T7" i="4" s="1"/>
  <c r="T8" i="4" s="1"/>
  <c r="T9" i="4" s="1"/>
  <c r="T10" i="4" s="1"/>
  <c r="T11" i="4" s="1"/>
  <c r="T12" i="4" s="1"/>
  <c r="T13" i="4" s="1"/>
  <c r="T14" i="4" s="1"/>
  <c r="T15" i="4" s="1"/>
  <c r="T16" i="4" s="1"/>
  <c r="T17" i="4" s="1"/>
  <c r="T18" i="4" s="1"/>
  <c r="T19" i="4" s="1"/>
  <c r="T20" i="4" s="1"/>
  <c r="T21" i="4" s="1"/>
  <c r="T22" i="4" s="1"/>
  <c r="T23" i="4" s="1"/>
  <c r="T24" i="4" s="1"/>
  <c r="T25" i="4" s="1"/>
  <c r="T26" i="4" s="1"/>
  <c r="T27" i="4" s="1"/>
  <c r="T28" i="4" s="1"/>
  <c r="T29" i="4" s="1"/>
  <c r="T30" i="4" s="1"/>
  <c r="T31" i="4" s="1"/>
  <c r="T32" i="4" s="1"/>
  <c r="T33" i="4" s="1"/>
  <c r="T34" i="4" s="1"/>
  <c r="T35" i="4" s="1"/>
  <c r="T36" i="4" s="1"/>
  <c r="T37" i="4" s="1"/>
  <c r="T38" i="4" s="1"/>
  <c r="T39" i="4" s="1"/>
  <c r="T40" i="4" s="1"/>
  <c r="T41" i="4" s="1"/>
  <c r="T42" i="4" s="1"/>
  <c r="T43" i="4" s="1"/>
  <c r="T44" i="4" s="1"/>
  <c r="T45" i="4" s="1"/>
  <c r="T46" i="4" s="1"/>
  <c r="T47" i="4" s="1"/>
  <c r="T48" i="4" s="1"/>
  <c r="T49" i="4" s="1"/>
  <c r="T50" i="4" s="1"/>
  <c r="T51" i="4" s="1"/>
  <c r="T52" i="4" s="1"/>
  <c r="T53" i="4" s="1"/>
  <c r="T54" i="4" s="1"/>
  <c r="T55" i="4" s="1"/>
  <c r="T56" i="4" s="1"/>
  <c r="T57" i="4" s="1"/>
  <c r="T58" i="4" s="1"/>
  <c r="T59" i="4" s="1"/>
  <c r="T60" i="4" s="1"/>
  <c r="T61" i="4" s="1"/>
  <c r="T62" i="4" s="1"/>
  <c r="N5" i="4"/>
  <c r="Z5" i="4" s="1"/>
  <c r="N6" i="4"/>
  <c r="Z6" i="4" s="1"/>
  <c r="N7" i="4"/>
  <c r="Z7" i="4" s="1"/>
  <c r="N8" i="4"/>
  <c r="Z8" i="4" s="1"/>
  <c r="N9" i="4"/>
  <c r="Z9" i="4" s="1"/>
  <c r="N10" i="4"/>
  <c r="Z10" i="4" s="1"/>
  <c r="N11" i="4"/>
  <c r="Z11" i="4" s="1"/>
  <c r="N12" i="4"/>
  <c r="Z12" i="4" s="1"/>
  <c r="N13" i="4"/>
  <c r="Z13" i="4" s="1"/>
  <c r="N14" i="4"/>
  <c r="Z14" i="4" s="1"/>
  <c r="N15" i="4"/>
  <c r="Z15" i="4" s="1"/>
  <c r="N16" i="4"/>
  <c r="Z16" i="4" s="1"/>
  <c r="N17" i="4"/>
  <c r="Z17" i="4" s="1"/>
  <c r="N20" i="4"/>
  <c r="N21" i="4"/>
  <c r="N22" i="4"/>
  <c r="N23" i="4"/>
  <c r="Z23" i="4" s="1"/>
  <c r="N24" i="4"/>
  <c r="N25" i="4"/>
  <c r="AB25" i="4" s="1"/>
  <c r="N26" i="4"/>
  <c r="AB26" i="4" s="1"/>
  <c r="N27" i="4"/>
  <c r="AB27" i="4" s="1"/>
  <c r="N29" i="4"/>
  <c r="AB29" i="4" s="1"/>
  <c r="N30" i="4"/>
  <c r="AB30" i="4" s="1"/>
  <c r="N31" i="4"/>
  <c r="AB31" i="4" s="1"/>
  <c r="N32" i="4"/>
  <c r="AB32" i="4" s="1"/>
  <c r="N34" i="4"/>
  <c r="AB34" i="4" s="1"/>
  <c r="N35" i="4"/>
  <c r="AB35" i="4" s="1"/>
  <c r="N36" i="4"/>
  <c r="N37" i="4"/>
  <c r="AB37" i="4" s="1"/>
  <c r="N39" i="4"/>
  <c r="AB39" i="4" s="1"/>
  <c r="N40" i="4"/>
  <c r="AB40" i="4" s="1"/>
  <c r="N41" i="4"/>
  <c r="AB41" i="4" s="1"/>
  <c r="N42" i="4"/>
  <c r="N44" i="4"/>
  <c r="AB44" i="4" s="1"/>
  <c r="N45" i="4"/>
  <c r="AB45" i="4" s="1"/>
  <c r="N46" i="4"/>
  <c r="AB46" i="4" s="1"/>
  <c r="N47" i="4"/>
  <c r="AB47" i="4" s="1"/>
  <c r="N49" i="4"/>
  <c r="N50" i="4"/>
  <c r="N51" i="4"/>
  <c r="N52" i="4"/>
  <c r="N54" i="4"/>
  <c r="N55" i="4"/>
  <c r="N56" i="4"/>
  <c r="N57" i="4"/>
  <c r="N58" i="4"/>
  <c r="N59" i="4"/>
  <c r="N60" i="4"/>
  <c r="N61" i="4"/>
  <c r="N62" i="4"/>
  <c r="N4" i="4"/>
  <c r="Z4" i="4" s="1"/>
  <c r="V5" i="4"/>
  <c r="W5" i="4"/>
  <c r="X5" i="4"/>
  <c r="Y5" i="4"/>
  <c r="V6" i="4"/>
  <c r="W6" i="4"/>
  <c r="X6" i="4"/>
  <c r="Y6" i="4"/>
  <c r="V7" i="4"/>
  <c r="W7" i="4"/>
  <c r="X7" i="4"/>
  <c r="Y7" i="4"/>
  <c r="V8" i="4"/>
  <c r="W8" i="4"/>
  <c r="X8" i="4"/>
  <c r="Y8" i="4"/>
  <c r="V9" i="4"/>
  <c r="W9" i="4"/>
  <c r="X9" i="4"/>
  <c r="Y9" i="4"/>
  <c r="V10" i="4"/>
  <c r="W10" i="4"/>
  <c r="X10" i="4"/>
  <c r="Y10" i="4"/>
  <c r="V11" i="4"/>
  <c r="W11" i="4"/>
  <c r="X11" i="4"/>
  <c r="Y11" i="4"/>
  <c r="V12" i="4"/>
  <c r="W12" i="4"/>
  <c r="X12" i="4"/>
  <c r="Y12" i="4"/>
  <c r="V13" i="4"/>
  <c r="W13" i="4"/>
  <c r="X13" i="4"/>
  <c r="Y13" i="4"/>
  <c r="V14" i="4"/>
  <c r="W14" i="4"/>
  <c r="X14" i="4"/>
  <c r="Y14" i="4"/>
  <c r="V15" i="4"/>
  <c r="W15" i="4"/>
  <c r="X15" i="4"/>
  <c r="Y15" i="4"/>
  <c r="V16" i="4"/>
  <c r="W16" i="4"/>
  <c r="X16" i="4"/>
  <c r="Y16" i="4"/>
  <c r="V17" i="4"/>
  <c r="W17" i="4"/>
  <c r="X17" i="4"/>
  <c r="Y17" i="4"/>
  <c r="V18" i="4"/>
  <c r="W18" i="4"/>
  <c r="X18" i="4"/>
  <c r="Y18" i="4"/>
  <c r="V19" i="4"/>
  <c r="W19" i="4"/>
  <c r="X19" i="4"/>
  <c r="Y19" i="4"/>
  <c r="V20" i="4"/>
  <c r="W20" i="4"/>
  <c r="X20" i="4"/>
  <c r="Y20" i="4"/>
  <c r="V21" i="4"/>
  <c r="W21" i="4"/>
  <c r="X21" i="4"/>
  <c r="Y21" i="4"/>
  <c r="V22" i="4"/>
  <c r="W22" i="4"/>
  <c r="X22" i="4"/>
  <c r="Y22" i="4"/>
  <c r="V23" i="4"/>
  <c r="W23" i="4"/>
  <c r="X23" i="4"/>
  <c r="Y23" i="4"/>
  <c r="V24" i="4"/>
  <c r="W24" i="4"/>
  <c r="X24" i="4"/>
  <c r="Y24" i="4"/>
  <c r="V25" i="4"/>
  <c r="W25" i="4"/>
  <c r="X25" i="4"/>
  <c r="Y25" i="4"/>
  <c r="V26" i="4"/>
  <c r="W26" i="4"/>
  <c r="X26" i="4"/>
  <c r="Y26" i="4"/>
  <c r="V27" i="4"/>
  <c r="W27" i="4"/>
  <c r="X27" i="4"/>
  <c r="Y27" i="4"/>
  <c r="V28" i="4"/>
  <c r="W28" i="4"/>
  <c r="X28" i="4"/>
  <c r="Y28" i="4"/>
  <c r="V29" i="4"/>
  <c r="W29" i="4"/>
  <c r="X29" i="4"/>
  <c r="Y29" i="4"/>
  <c r="V30" i="4"/>
  <c r="W30" i="4"/>
  <c r="X30" i="4"/>
  <c r="Y30" i="4"/>
  <c r="V31" i="4"/>
  <c r="W31" i="4"/>
  <c r="X31" i="4"/>
  <c r="Y31" i="4"/>
  <c r="V32" i="4"/>
  <c r="W32" i="4"/>
  <c r="X32" i="4"/>
  <c r="Y32" i="4"/>
  <c r="V33" i="4"/>
  <c r="W33" i="4"/>
  <c r="X33" i="4"/>
  <c r="Y33" i="4"/>
  <c r="V34" i="4"/>
  <c r="W34" i="4"/>
  <c r="X34" i="4"/>
  <c r="Y34" i="4"/>
  <c r="V35" i="4"/>
  <c r="W35" i="4"/>
  <c r="X35" i="4"/>
  <c r="Y35" i="4"/>
  <c r="V36" i="4"/>
  <c r="W36" i="4"/>
  <c r="X36" i="4"/>
  <c r="Y36" i="4"/>
  <c r="V37" i="4"/>
  <c r="W37" i="4"/>
  <c r="X37" i="4"/>
  <c r="Y37" i="4"/>
  <c r="V38" i="4"/>
  <c r="W38" i="4"/>
  <c r="X38" i="4"/>
  <c r="Y38" i="4"/>
  <c r="V39" i="4"/>
  <c r="W39" i="4"/>
  <c r="X39" i="4"/>
  <c r="Y39" i="4"/>
  <c r="V40" i="4"/>
  <c r="W40" i="4"/>
  <c r="X40" i="4"/>
  <c r="Y40" i="4"/>
  <c r="V41" i="4"/>
  <c r="W41" i="4"/>
  <c r="X41" i="4"/>
  <c r="Y41" i="4"/>
  <c r="V42" i="4"/>
  <c r="W42" i="4"/>
  <c r="X42" i="4"/>
  <c r="Y42" i="4"/>
  <c r="V43" i="4"/>
  <c r="W43" i="4"/>
  <c r="X43" i="4"/>
  <c r="Y43" i="4"/>
  <c r="V44" i="4"/>
  <c r="W44" i="4"/>
  <c r="X44" i="4"/>
  <c r="Y44" i="4"/>
  <c r="V45" i="4"/>
  <c r="W45" i="4"/>
  <c r="X45" i="4"/>
  <c r="Y45" i="4"/>
  <c r="V46" i="4"/>
  <c r="W46" i="4"/>
  <c r="X46" i="4"/>
  <c r="Y46" i="4"/>
  <c r="V47" i="4"/>
  <c r="W47" i="4"/>
  <c r="X47" i="4"/>
  <c r="Y47" i="4"/>
  <c r="V48" i="4"/>
  <c r="W48" i="4"/>
  <c r="X48" i="4"/>
  <c r="Y48" i="4"/>
  <c r="V49" i="4"/>
  <c r="W49" i="4"/>
  <c r="X49" i="4"/>
  <c r="Y49" i="4"/>
  <c r="V50" i="4"/>
  <c r="W50" i="4"/>
  <c r="X50" i="4"/>
  <c r="Y50" i="4"/>
  <c r="V51" i="4"/>
  <c r="W51" i="4"/>
  <c r="X51" i="4"/>
  <c r="Y51" i="4"/>
  <c r="V52" i="4"/>
  <c r="W52" i="4"/>
  <c r="X52" i="4"/>
  <c r="Y52" i="4"/>
  <c r="V53" i="4"/>
  <c r="W53" i="4"/>
  <c r="X53" i="4"/>
  <c r="Y53" i="4"/>
  <c r="V54" i="4"/>
  <c r="W54" i="4"/>
  <c r="X54" i="4"/>
  <c r="Y54" i="4"/>
  <c r="V55" i="4"/>
  <c r="W55" i="4"/>
  <c r="X55" i="4"/>
  <c r="Y55" i="4"/>
  <c r="V56" i="4"/>
  <c r="W56" i="4"/>
  <c r="X56" i="4"/>
  <c r="Y56" i="4"/>
  <c r="V57" i="4"/>
  <c r="W57" i="4"/>
  <c r="X57" i="4"/>
  <c r="Y57" i="4"/>
  <c r="V58" i="4"/>
  <c r="W58" i="4"/>
  <c r="X58" i="4"/>
  <c r="Y58" i="4"/>
  <c r="V59" i="4"/>
  <c r="W59" i="4"/>
  <c r="X59" i="4"/>
  <c r="Y59" i="4"/>
  <c r="V60" i="4"/>
  <c r="W60" i="4"/>
  <c r="X60" i="4"/>
  <c r="Y60" i="4"/>
  <c r="V61" i="4"/>
  <c r="W61" i="4"/>
  <c r="X61" i="4"/>
  <c r="Y61" i="4"/>
  <c r="V62" i="4"/>
  <c r="W62" i="4"/>
  <c r="X62" i="4"/>
  <c r="Y62" i="4"/>
  <c r="V63" i="4"/>
  <c r="W63" i="4"/>
  <c r="Y4" i="4"/>
  <c r="X4" i="4"/>
  <c r="W4" i="4"/>
  <c r="V4" i="4"/>
  <c r="Z60" i="4" l="1"/>
  <c r="Z62" i="4"/>
  <c r="Z58" i="4"/>
  <c r="Z56" i="4"/>
  <c r="Z54" i="4"/>
  <c r="Z52" i="4"/>
  <c r="Z50" i="4"/>
  <c r="Z46" i="4"/>
  <c r="Z44" i="4"/>
  <c r="Z42" i="4"/>
  <c r="Z40" i="4"/>
  <c r="Z36" i="4"/>
  <c r="Z34" i="4"/>
  <c r="Z41" i="4"/>
  <c r="Z51" i="4"/>
  <c r="Z59" i="4"/>
  <c r="Z49" i="4"/>
  <c r="Z39" i="4"/>
  <c r="Z61" i="4"/>
  <c r="Z57" i="4"/>
  <c r="Z55" i="4"/>
  <c r="Z47" i="4"/>
  <c r="Z45" i="4"/>
  <c r="Z37" i="4"/>
  <c r="Z35" i="4"/>
  <c r="Z53" i="4"/>
  <c r="Z48" i="4"/>
  <c r="Z43" i="4"/>
  <c r="Z38" i="4"/>
  <c r="S4" i="4"/>
  <c r="S5" i="4" s="1"/>
  <c r="S6" i="4" s="1"/>
  <c r="S7" i="4" s="1"/>
  <c r="S8" i="4" s="1"/>
  <c r="S9" i="4" s="1"/>
  <c r="S10" i="4" s="1"/>
  <c r="S11" i="4" s="1"/>
  <c r="S12" i="4" s="1"/>
  <c r="S13" i="4" s="1"/>
  <c r="S14" i="4" s="1"/>
  <c r="S15" i="4" s="1"/>
  <c r="S16" i="4" s="1"/>
  <c r="S17" i="4" s="1"/>
  <c r="S18" i="4" s="1"/>
  <c r="S19" i="4" s="1"/>
  <c r="S20" i="4" s="1"/>
  <c r="S21" i="4" s="1"/>
  <c r="S22" i="4" s="1"/>
  <c r="S23" i="4" s="1"/>
  <c r="S24" i="4" s="1"/>
  <c r="S25" i="4" s="1"/>
  <c r="S26" i="4" s="1"/>
  <c r="S27" i="4" s="1"/>
  <c r="S28" i="4" s="1"/>
  <c r="S29" i="4" s="1"/>
  <c r="S30" i="4" s="1"/>
  <c r="S31" i="4" s="1"/>
  <c r="S32" i="4" s="1"/>
  <c r="S33" i="4" s="1"/>
  <c r="S34" i="4" s="1"/>
  <c r="S35" i="4" s="1"/>
  <c r="S36" i="4" s="1"/>
  <c r="S37" i="4" s="1"/>
  <c r="S38" i="4" s="1"/>
  <c r="S39" i="4" s="1"/>
  <c r="S40" i="4" s="1"/>
  <c r="S41" i="4" s="1"/>
  <c r="S42" i="4" s="1"/>
  <c r="S43" i="4" s="1"/>
  <c r="S44" i="4" s="1"/>
  <c r="S45" i="4" s="1"/>
  <c r="S46" i="4" s="1"/>
  <c r="S47" i="4" s="1"/>
  <c r="S48" i="4" s="1"/>
  <c r="S49" i="4" s="1"/>
  <c r="S50" i="4" s="1"/>
  <c r="S51" i="4" s="1"/>
  <c r="S52" i="4" s="1"/>
  <c r="S53" i="4" s="1"/>
  <c r="S54" i="4" s="1"/>
  <c r="S55" i="4" s="1"/>
  <c r="S56" i="4" s="1"/>
  <c r="S57" i="4" s="1"/>
  <c r="S58" i="4" s="1"/>
  <c r="S59" i="4" s="1"/>
  <c r="S60" i="4" s="1"/>
  <c r="S61" i="4" s="1"/>
  <c r="S62" i="4" s="1"/>
  <c r="S63" i="4" s="1"/>
  <c r="U4" i="4"/>
  <c r="U5" i="4" s="1"/>
  <c r="U6" i="4" s="1"/>
  <c r="U7" i="4" s="1"/>
  <c r="U8" i="4" s="1"/>
  <c r="U9" i="4" s="1"/>
  <c r="U10" i="4" s="1"/>
  <c r="U11" i="4" s="1"/>
  <c r="U12" i="4" s="1"/>
  <c r="U13" i="4" s="1"/>
  <c r="U14" i="4" s="1"/>
  <c r="U15" i="4" s="1"/>
  <c r="U16" i="4" s="1"/>
  <c r="U17" i="4" s="1"/>
  <c r="U18" i="4" s="1"/>
  <c r="U19" i="4" s="1"/>
  <c r="U20" i="4" s="1"/>
  <c r="U21" i="4" s="1"/>
  <c r="U22" i="4" s="1"/>
  <c r="U23" i="4" s="1"/>
  <c r="U24" i="4" s="1"/>
  <c r="U25" i="4" s="1"/>
  <c r="U26" i="4" s="1"/>
  <c r="U27" i="4" s="1"/>
  <c r="U28" i="4" s="1"/>
  <c r="U29" i="4" s="1"/>
  <c r="U30" i="4" s="1"/>
  <c r="U31" i="4" s="1"/>
  <c r="U32" i="4" s="1"/>
  <c r="U33" i="4" s="1"/>
  <c r="U34" i="4" s="1"/>
  <c r="U35" i="4" s="1"/>
  <c r="U36" i="4" s="1"/>
  <c r="U37" i="4" s="1"/>
  <c r="U38" i="4" s="1"/>
  <c r="U39" i="4" s="1"/>
  <c r="U40" i="4" s="1"/>
  <c r="U41" i="4" s="1"/>
  <c r="U42" i="4" s="1"/>
  <c r="U43" i="4" s="1"/>
  <c r="U44" i="4" s="1"/>
  <c r="U45" i="4" s="1"/>
  <c r="U46" i="4" s="1"/>
  <c r="U47" i="4" s="1"/>
  <c r="U48" i="4" s="1"/>
  <c r="U49" i="4" s="1"/>
  <c r="U50" i="4" s="1"/>
  <c r="U51" i="4" s="1"/>
  <c r="U52" i="4" s="1"/>
  <c r="U53" i="4" s="1"/>
  <c r="U54" i="4" s="1"/>
  <c r="U55" i="4" s="1"/>
  <c r="U56" i="4" s="1"/>
  <c r="U57" i="4" s="1"/>
  <c r="U58" i="4" s="1"/>
  <c r="U59" i="4" s="1"/>
  <c r="U60" i="4" s="1"/>
  <c r="U61" i="4" s="1"/>
  <c r="U62" i="4" s="1"/>
  <c r="M4" i="4" l="1"/>
  <c r="M5" i="4"/>
  <c r="M6" i="4" l="1"/>
  <c r="M7" i="4" l="1"/>
  <c r="M8" i="4" l="1"/>
  <c r="M9" i="4" l="1"/>
  <c r="M10" i="4" l="1"/>
  <c r="M11" i="4" l="1"/>
  <c r="M12" i="4" l="1"/>
  <c r="M13" i="4" l="1"/>
  <c r="M14" i="4" l="1"/>
  <c r="M15" i="4" l="1"/>
  <c r="M16" i="4" l="1"/>
  <c r="M17" i="4" l="1"/>
  <c r="M18" i="4" l="1"/>
  <c r="M19" i="4" l="1"/>
  <c r="M20" i="4" l="1"/>
  <c r="M21" i="4" l="1"/>
  <c r="M22" i="4" l="1"/>
  <c r="M23" i="4" l="1"/>
  <c r="M24" i="4" l="1"/>
  <c r="M25" i="4" l="1"/>
  <c r="M26" i="4" l="1"/>
  <c r="M27" i="4" l="1"/>
  <c r="M28" i="4" l="1"/>
  <c r="M29" i="4" l="1"/>
  <c r="M30" i="4" l="1"/>
  <c r="M31" i="4" l="1"/>
  <c r="M32" i="4" l="1"/>
  <c r="M33" i="4" l="1"/>
  <c r="M34" i="4" l="1"/>
  <c r="M35" i="4" l="1"/>
  <c r="F4" i="4"/>
  <c r="F5" i="4" l="1"/>
  <c r="F6" i="4" s="1"/>
  <c r="F7" i="4" s="1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N63" i="4" s="1"/>
  <c r="R63" i="4" l="1"/>
  <c r="Q63" i="4"/>
  <c r="M36" i="4"/>
  <c r="X63" i="4" l="1"/>
  <c r="T63" i="4"/>
  <c r="Y63" i="4"/>
  <c r="U63" i="4"/>
  <c r="M37" i="4"/>
  <c r="Z63" i="4" l="1"/>
  <c r="M63" i="4"/>
  <c r="H49" i="4"/>
  <c r="M38" i="4" l="1"/>
  <c r="H50" i="4"/>
  <c r="AB49" i="4"/>
  <c r="AD49" i="4" s="1"/>
  <c r="I49" i="4"/>
  <c r="L49" i="4" s="1"/>
  <c r="H51" i="4" l="1"/>
  <c r="I51" i="4" s="1"/>
  <c r="L51" i="4" s="1"/>
  <c r="I50" i="4"/>
  <c r="L50" i="4" s="1"/>
  <c r="AB50" i="4"/>
  <c r="AD50" i="4" s="1"/>
  <c r="D16" i="4"/>
  <c r="M39" i="4" l="1"/>
  <c r="M40" i="4"/>
  <c r="H52" i="4"/>
  <c r="AB51" i="4"/>
  <c r="AD51" i="4" s="1"/>
  <c r="AD5" i="4"/>
  <c r="AD7" i="4"/>
  <c r="AD8" i="4"/>
  <c r="AD9" i="4"/>
  <c r="AD10" i="4"/>
  <c r="AD11" i="4"/>
  <c r="AD12" i="4"/>
  <c r="AD13" i="4"/>
  <c r="AD14" i="4"/>
  <c r="AD15" i="4"/>
  <c r="AD16" i="4"/>
  <c r="AD17" i="4"/>
  <c r="AD19" i="4"/>
  <c r="AD20" i="4"/>
  <c r="AD21" i="4"/>
  <c r="AD22" i="4"/>
  <c r="AD23" i="4"/>
  <c r="AD25" i="4"/>
  <c r="AD26" i="4"/>
  <c r="AD27" i="4"/>
  <c r="AD28" i="4"/>
  <c r="AD29" i="4"/>
  <c r="AD31" i="4"/>
  <c r="AD32" i="4"/>
  <c r="AD33" i="4"/>
  <c r="AD34" i="4"/>
  <c r="AD35" i="4"/>
  <c r="AD37" i="4"/>
  <c r="AD38" i="4"/>
  <c r="AD39" i="4"/>
  <c r="AD40" i="4"/>
  <c r="AD41" i="4"/>
  <c r="AD43" i="4"/>
  <c r="AD44" i="4"/>
  <c r="AD45" i="4"/>
  <c r="AD46" i="4"/>
  <c r="AD47" i="4"/>
  <c r="AD3" i="4"/>
  <c r="AB42" i="4"/>
  <c r="AD42" i="4" s="1"/>
  <c r="AB36" i="4"/>
  <c r="AD36" i="4" s="1"/>
  <c r="AD30" i="4"/>
  <c r="AB24" i="4"/>
  <c r="AD24" i="4" s="1"/>
  <c r="AB18" i="4"/>
  <c r="AD18" i="4" s="1"/>
  <c r="AN33" i="4"/>
  <c r="AB52" i="4" l="1"/>
  <c r="AD52" i="4" s="1"/>
  <c r="H53" i="4"/>
  <c r="I53" i="4" s="1"/>
  <c r="L53" i="4" s="1"/>
  <c r="I52" i="4"/>
  <c r="L52" i="4" s="1"/>
  <c r="AM33" i="4"/>
  <c r="Z20" i="4"/>
  <c r="Z21" i="4"/>
  <c r="Z22" i="4"/>
  <c r="Z24" i="4"/>
  <c r="Z25" i="4"/>
  <c r="Z26" i="4"/>
  <c r="Z27" i="4"/>
  <c r="Z28" i="4"/>
  <c r="Z29" i="4"/>
  <c r="Z30" i="4"/>
  <c r="Z31" i="4"/>
  <c r="Z32" i="4"/>
  <c r="Z33" i="4"/>
  <c r="Z18" i="4"/>
  <c r="C18" i="4" l="1"/>
  <c r="C23" i="4" s="1"/>
  <c r="M41" i="4"/>
  <c r="AB53" i="4"/>
  <c r="AD53" i="4" s="1"/>
  <c r="H54" i="4"/>
  <c r="H10" i="4"/>
  <c r="I10" i="4" s="1"/>
  <c r="H43" i="4"/>
  <c r="H44" i="4"/>
  <c r="I44" i="4" s="1"/>
  <c r="H45" i="4"/>
  <c r="H46" i="4"/>
  <c r="H47" i="4"/>
  <c r="H6" i="4"/>
  <c r="I6" i="4" s="1"/>
  <c r="H7" i="4"/>
  <c r="H8" i="4"/>
  <c r="I8" i="4" s="1"/>
  <c r="H4" i="4"/>
  <c r="AF5" i="4"/>
  <c r="AG5" i="4" s="1"/>
  <c r="AF6" i="4"/>
  <c r="AG6" i="4" s="1"/>
  <c r="AF7" i="4"/>
  <c r="AG7" i="4" s="1"/>
  <c r="AF8" i="4"/>
  <c r="AG8" i="4" s="1"/>
  <c r="AF9" i="4"/>
  <c r="AG9" i="4" s="1"/>
  <c r="AF10" i="4"/>
  <c r="AG10" i="4" s="1"/>
  <c r="AF11" i="4"/>
  <c r="AG11" i="4" s="1"/>
  <c r="AF12" i="4"/>
  <c r="AG12" i="4" s="1"/>
  <c r="AF13" i="4"/>
  <c r="AG13" i="4" s="1"/>
  <c r="AF14" i="4"/>
  <c r="AG14" i="4" s="1"/>
  <c r="AF15" i="4"/>
  <c r="AG15" i="4" s="1"/>
  <c r="AF16" i="4"/>
  <c r="AF17" i="4"/>
  <c r="AG17" i="4" s="1"/>
  <c r="AF18" i="4"/>
  <c r="AG18" i="4" s="1"/>
  <c r="AF19" i="4"/>
  <c r="AG19" i="4" s="1"/>
  <c r="AF20" i="4"/>
  <c r="AG20" i="4" s="1"/>
  <c r="AF21" i="4"/>
  <c r="AG21" i="4" s="1"/>
  <c r="AF22" i="4"/>
  <c r="AG22" i="4" s="1"/>
  <c r="AF23" i="4"/>
  <c r="AG23" i="4" s="1"/>
  <c r="AF24" i="4"/>
  <c r="AG24" i="4" s="1"/>
  <c r="AF25" i="4"/>
  <c r="AG25" i="4" s="1"/>
  <c r="AF26" i="4"/>
  <c r="AF27" i="4"/>
  <c r="AG27" i="4" s="1"/>
  <c r="AF28" i="4"/>
  <c r="AF29" i="4"/>
  <c r="AG29" i="4" s="1"/>
  <c r="AF30" i="4"/>
  <c r="AG30" i="4" s="1"/>
  <c r="AF31" i="4"/>
  <c r="AG31" i="4" s="1"/>
  <c r="AF32" i="4"/>
  <c r="AG32" i="4" s="1"/>
  <c r="AF33" i="4"/>
  <c r="AG33" i="4" s="1"/>
  <c r="H5" i="4"/>
  <c r="H9" i="4"/>
  <c r="I9" i="4" s="1"/>
  <c r="AF4" i="4"/>
  <c r="AG4" i="4" s="1"/>
  <c r="AI3" i="4"/>
  <c r="AF3" i="4"/>
  <c r="AG3" i="4" s="1"/>
  <c r="K3" i="4"/>
  <c r="H3" i="4"/>
  <c r="I3" i="4" s="1"/>
  <c r="I54" i="4" l="1"/>
  <c r="L54" i="4" s="1"/>
  <c r="H55" i="4"/>
  <c r="AB54" i="4"/>
  <c r="AD54" i="4" s="1"/>
  <c r="I4" i="4"/>
  <c r="L4" i="4" s="1"/>
  <c r="I5" i="4"/>
  <c r="L5" i="4" s="1"/>
  <c r="I7" i="4"/>
  <c r="L7" i="4" s="1"/>
  <c r="D18" i="4"/>
  <c r="D23" i="4"/>
  <c r="L3" i="4"/>
  <c r="AJ20" i="4"/>
  <c r="AJ31" i="4"/>
  <c r="AJ15" i="4"/>
  <c r="AJ7" i="4"/>
  <c r="AJ12" i="4"/>
  <c r="AJ18" i="4"/>
  <c r="AG26" i="4"/>
  <c r="AJ26" i="4" s="1"/>
  <c r="AJ10" i="4"/>
  <c r="I46" i="4"/>
  <c r="L46" i="4" s="1"/>
  <c r="I47" i="4"/>
  <c r="L47" i="4" s="1"/>
  <c r="I45" i="4"/>
  <c r="L45" i="4" s="1"/>
  <c r="I43" i="4"/>
  <c r="L43" i="4" s="1"/>
  <c r="L44" i="4"/>
  <c r="L8" i="4"/>
  <c r="L9" i="4"/>
  <c r="L10" i="4"/>
  <c r="L6" i="4"/>
  <c r="AJ21" i="4"/>
  <c r="AJ24" i="4"/>
  <c r="AJ32" i="4"/>
  <c r="AG28" i="4"/>
  <c r="AJ28" i="4" s="1"/>
  <c r="AJ8" i="4"/>
  <c r="AJ29" i="4"/>
  <c r="AJ23" i="4"/>
  <c r="AJ13" i="4"/>
  <c r="AG16" i="4"/>
  <c r="AJ16" i="4" s="1"/>
  <c r="AJ33" i="4"/>
  <c r="AJ30" i="4"/>
  <c r="AJ25" i="4"/>
  <c r="AJ22" i="4"/>
  <c r="AJ17" i="4"/>
  <c r="AJ14" i="4"/>
  <c r="AJ9" i="4"/>
  <c r="AJ6" i="4"/>
  <c r="AJ27" i="4"/>
  <c r="AJ19" i="4"/>
  <c r="AJ11" i="4"/>
  <c r="AJ5" i="4"/>
  <c r="AJ4" i="4"/>
  <c r="AJ3" i="4"/>
  <c r="M42" i="4" l="1"/>
  <c r="I55" i="4"/>
  <c r="L55" i="4" s="1"/>
  <c r="H56" i="4"/>
  <c r="I56" i="4" s="1"/>
  <c r="L56" i="4" s="1"/>
  <c r="AB55" i="4"/>
  <c r="AD55" i="4" s="1"/>
  <c r="H11" i="4"/>
  <c r="AB56" i="4" l="1"/>
  <c r="AD56" i="4" s="1"/>
  <c r="H57" i="4"/>
  <c r="I11" i="4"/>
  <c r="L11" i="4" s="1"/>
  <c r="H12" i="4"/>
  <c r="M43" i="4" l="1"/>
  <c r="AB57" i="4"/>
  <c r="AD57" i="4" s="1"/>
  <c r="I57" i="4"/>
  <c r="L57" i="4" s="1"/>
  <c r="H58" i="4"/>
  <c r="I58" i="4" s="1"/>
  <c r="L58" i="4" s="1"/>
  <c r="I12" i="4"/>
  <c r="L12" i="4" s="1"/>
  <c r="H13" i="4"/>
  <c r="AB58" i="4" l="1"/>
  <c r="AD58" i="4" s="1"/>
  <c r="H59" i="4"/>
  <c r="I59" i="4" s="1"/>
  <c r="L59" i="4" s="1"/>
  <c r="I13" i="4"/>
  <c r="L13" i="4" s="1"/>
  <c r="H14" i="4"/>
  <c r="M44" i="4" l="1"/>
  <c r="AB59" i="4"/>
  <c r="AD59" i="4" s="1"/>
  <c r="H60" i="4"/>
  <c r="I60" i="4" s="1"/>
  <c r="L60" i="4" s="1"/>
  <c r="I14" i="4"/>
  <c r="L14" i="4" s="1"/>
  <c r="H15" i="4"/>
  <c r="H61" i="4" l="1"/>
  <c r="I61" i="4" s="1"/>
  <c r="L61" i="4" s="1"/>
  <c r="AB60" i="4"/>
  <c r="AD60" i="4" s="1"/>
  <c r="I15" i="4"/>
  <c r="L15" i="4" s="1"/>
  <c r="H16" i="4"/>
  <c r="M45" i="4" l="1"/>
  <c r="AB61" i="4"/>
  <c r="AD61" i="4" s="1"/>
  <c r="H62" i="4"/>
  <c r="I62" i="4" s="1"/>
  <c r="L62" i="4" s="1"/>
  <c r="I16" i="4"/>
  <c r="L16" i="4" s="1"/>
  <c r="H17" i="4"/>
  <c r="AB62" i="4" l="1"/>
  <c r="AD62" i="4" s="1"/>
  <c r="I17" i="4"/>
  <c r="L17" i="4" s="1"/>
  <c r="H18" i="4"/>
  <c r="M46" i="4" l="1"/>
  <c r="I18" i="4"/>
  <c r="L18" i="4" s="1"/>
  <c r="H19" i="4"/>
  <c r="I19" i="4" l="1"/>
  <c r="L19" i="4" s="1"/>
  <c r="H20" i="4"/>
  <c r="M47" i="4" l="1"/>
  <c r="H21" i="4"/>
  <c r="I20" i="4"/>
  <c r="L20" i="4" s="1"/>
  <c r="I21" i="4" l="1"/>
  <c r="L21" i="4" s="1"/>
  <c r="H22" i="4"/>
  <c r="M48" i="4" l="1"/>
  <c r="I22" i="4"/>
  <c r="L22" i="4" s="1"/>
  <c r="H23" i="4"/>
  <c r="M49" i="4" l="1"/>
  <c r="I23" i="4"/>
  <c r="L23" i="4" s="1"/>
  <c r="H24" i="4"/>
  <c r="H25" i="4" l="1"/>
  <c r="I24" i="4"/>
  <c r="L24" i="4" s="1"/>
  <c r="M50" i="4" l="1"/>
  <c r="I25" i="4"/>
  <c r="L25" i="4" s="1"/>
  <c r="H26" i="4"/>
  <c r="M51" i="4" l="1"/>
  <c r="I26" i="4"/>
  <c r="L26" i="4" s="1"/>
  <c r="H27" i="4"/>
  <c r="I27" i="4" l="1"/>
  <c r="L27" i="4" s="1"/>
  <c r="H28" i="4"/>
  <c r="M52" i="4" l="1"/>
  <c r="I28" i="4"/>
  <c r="L28" i="4" s="1"/>
  <c r="H29" i="4"/>
  <c r="I29" i="4" l="1"/>
  <c r="L29" i="4" s="1"/>
  <c r="H30" i="4"/>
  <c r="M53" i="4" l="1"/>
  <c r="H31" i="4"/>
  <c r="I30" i="4"/>
  <c r="L30" i="4" s="1"/>
  <c r="I31" i="4" l="1"/>
  <c r="L31" i="4" s="1"/>
  <c r="H32" i="4"/>
  <c r="M54" i="4" l="1"/>
  <c r="I32" i="4"/>
  <c r="L32" i="4" s="1"/>
  <c r="H33" i="4"/>
  <c r="H34" i="4" l="1"/>
  <c r="I34" i="4" s="1"/>
  <c r="L34" i="4" s="1"/>
  <c r="I33" i="4"/>
  <c r="L33" i="4" s="1"/>
  <c r="C14" i="4" s="1"/>
  <c r="M55" i="4" l="1"/>
  <c r="H35" i="4"/>
  <c r="I35" i="4" s="1"/>
  <c r="L35" i="4" s="1"/>
  <c r="M56" i="4" l="1"/>
  <c r="H36" i="4"/>
  <c r="M57" i="4" l="1"/>
  <c r="C17" i="4"/>
  <c r="I36" i="4"/>
  <c r="L36" i="4" s="1"/>
  <c r="H37" i="4"/>
  <c r="I37" i="4" s="1"/>
  <c r="L37" i="4" s="1"/>
  <c r="H38" i="4" l="1"/>
  <c r="I38" i="4" s="1"/>
  <c r="L38" i="4" s="1"/>
  <c r="M58" i="4" l="1"/>
  <c r="H39" i="4"/>
  <c r="I39" i="4" s="1"/>
  <c r="L39" i="4" s="1"/>
  <c r="H40" i="4" l="1"/>
  <c r="M59" i="4" l="1"/>
  <c r="I40" i="4"/>
  <c r="L40" i="4" s="1"/>
  <c r="H41" i="4"/>
  <c r="I41" i="4" s="1"/>
  <c r="L41" i="4" s="1"/>
  <c r="H42" i="4" l="1"/>
  <c r="I42" i="4" s="1"/>
  <c r="L42" i="4" s="1"/>
  <c r="H48" i="4"/>
  <c r="AD48" i="4"/>
  <c r="M60" i="4" l="1"/>
  <c r="I48" i="4"/>
  <c r="L48" i="4" s="1"/>
  <c r="C15" i="4" s="1"/>
  <c r="D15" i="4" l="1"/>
  <c r="C20" i="4"/>
  <c r="C21" i="4"/>
  <c r="D20" i="4" l="1"/>
  <c r="M61" i="4"/>
  <c r="D17" i="4"/>
  <c r="C19" i="4"/>
  <c r="D19" i="4" l="1"/>
  <c r="D21" i="4"/>
  <c r="C22" i="4"/>
  <c r="C24" i="4" l="1"/>
  <c r="M62" i="4"/>
  <c r="D22" i="4"/>
  <c r="H63" i="4"/>
  <c r="D24" i="4" l="1"/>
  <c r="AB63" i="4"/>
  <c r="AD63" i="4" s="1"/>
  <c r="C34" i="4" s="1"/>
  <c r="I63" i="4"/>
  <c r="L63" i="4" s="1"/>
  <c r="C36" i="4" l="1"/>
  <c r="D36" i="4" s="1"/>
  <c r="D3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tc={0F29A306-5340-E14D-8465-661BC6919B7A}</author>
    <author>Thibault ANSELIN</author>
    <author>tc={59CADC33-BB8F-DC4F-B9F3-3EBFD9946121}</author>
  </authors>
  <commentList>
    <comment ref="C4" authorId="0" shapeId="0" xr:uid="{0F29A306-5340-E14D-8465-661BC6919B7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 si aucune préparation, 0,5 potêt, 0 si andain ou broyage plein ou incendie</t>
      </text>
    </comment>
    <comment ref="C10" authorId="1" shapeId="0" xr:uid="{0EBD1AAD-AAB1-4244-A5B5-CF1CA72B44B8}">
      <text>
        <r>
          <rPr>
            <b/>
            <sz val="10"/>
            <color rgb="FF000000"/>
            <rFont val="Tahoma"/>
            <family val="2"/>
          </rPr>
          <t>Thibault ANSELIN: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Feuillus 1,56
</t>
        </r>
        <r>
          <rPr>
            <sz val="10"/>
            <color rgb="FF000000"/>
            <rFont val="Tahoma"/>
            <family val="2"/>
          </rPr>
          <t>Résineux 1,3</t>
        </r>
      </text>
    </comment>
    <comment ref="C11" authorId="2" shapeId="0" xr:uid="{59CADC33-BB8F-DC4F-B9F3-3EBFD994612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 si aucune préparation, 0,5 potêt, 0 si andain ou broyage plein ou incendie</t>
      </text>
    </comment>
  </commentList>
</comments>
</file>

<file path=xl/sharedStrings.xml><?xml version="1.0" encoding="utf-8"?>
<sst xmlns="http://schemas.openxmlformats.org/spreadsheetml/2006/main" count="230" uniqueCount="135">
  <si>
    <t>Biomasse racinaire</t>
  </si>
  <si>
    <t>n</t>
  </si>
  <si>
    <t>S ref</t>
  </si>
  <si>
    <t>C projet</t>
  </si>
  <si>
    <t>Projet</t>
  </si>
  <si>
    <t>Année</t>
  </si>
  <si>
    <t>Infrandensité essence</t>
  </si>
  <si>
    <t>Biomasse aérienne</t>
  </si>
  <si>
    <t>Facteur expansion</t>
  </si>
  <si>
    <t>Volume</t>
  </si>
  <si>
    <t>Stock carbone litière</t>
  </si>
  <si>
    <t>Pourcentage nettoyage</t>
  </si>
  <si>
    <t>Carbone dans les sols</t>
  </si>
  <si>
    <t>S projet</t>
  </si>
  <si>
    <t>Référence</t>
  </si>
  <si>
    <t>Ref</t>
  </si>
  <si>
    <t>REA Foret</t>
  </si>
  <si>
    <t>Différence stock n=30</t>
  </si>
  <si>
    <t>BF</t>
  </si>
  <si>
    <t>Papier</t>
  </si>
  <si>
    <t>Panneau Bois</t>
  </si>
  <si>
    <t>Bois de sciage</t>
  </si>
  <si>
    <t>Volume récolté</t>
  </si>
  <si>
    <t>C ref = 0 si BE</t>
  </si>
  <si>
    <t>REA Produits</t>
  </si>
  <si>
    <t>CS</t>
  </si>
  <si>
    <t>REE</t>
  </si>
  <si>
    <t>REA total</t>
  </si>
  <si>
    <t>Recettes</t>
  </si>
  <si>
    <t>Dépenses</t>
  </si>
  <si>
    <t>Rabais</t>
  </si>
  <si>
    <t>Analyse économique</t>
  </si>
  <si>
    <t>Risques généraux</t>
  </si>
  <si>
    <t>Risque incendie</t>
  </si>
  <si>
    <t>Non justif production</t>
  </si>
  <si>
    <t>REA Forêt générables</t>
  </si>
  <si>
    <t>REA Produits générables</t>
  </si>
  <si>
    <t>REA Total générables</t>
  </si>
  <si>
    <t>Surface</t>
  </si>
  <si>
    <t>REI Substitution générab</t>
  </si>
  <si>
    <t>REI Substituion</t>
  </si>
  <si>
    <t>REE totales générables</t>
  </si>
  <si>
    <t>Accroissement</t>
  </si>
  <si>
    <t>Table</t>
  </si>
  <si>
    <t>Essence</t>
  </si>
  <si>
    <t>Classe Prod</t>
  </si>
  <si>
    <t>Age</t>
  </si>
  <si>
    <t>Production totale (m3)</t>
  </si>
  <si>
    <t>accroissement courant (m3/an)</t>
  </si>
  <si>
    <t>accroissement moyen (m3/an)</t>
  </si>
  <si>
    <t>Acct corrigé</t>
  </si>
  <si>
    <t>C Panneaux</t>
  </si>
  <si>
    <t>C Sciage</t>
  </si>
  <si>
    <t>C Papier</t>
  </si>
  <si>
    <t>Infradensité (tMS/m3)</t>
  </si>
  <si>
    <t>Alisier torminal</t>
  </si>
  <si>
    <t>Arbousier</t>
  </si>
  <si>
    <t>Aulne vert</t>
  </si>
  <si>
    <t>Grands aulnes</t>
  </si>
  <si>
    <t>Bouleaux</t>
  </si>
  <si>
    <t>Cèdre de l’Atlas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</si>
  <si>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</si>
  <si>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</si>
  <si>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</si>
  <si>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</si>
  <si>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</si>
  <si>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</si>
  <si>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</si>
  <si>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d’Amérique</t>
  </si>
  <si>
    <t>Chêne rouvre (sessile)</t>
  </si>
  <si>
    <t>Chêne tauzin</t>
  </si>
  <si>
    <t>Chêne vert</t>
  </si>
  <si>
    <t>Chênes indifférenciés</t>
  </si>
  <si>
    <t>Cornouiller mâle</t>
  </si>
  <si>
    <t>Cyprès</t>
  </si>
  <si>
    <t>Cytise aubour</t>
  </si>
  <si>
    <t>Douglas</t>
  </si>
  <si>
    <t>Epicéa commun</t>
  </si>
  <si>
    <t>Epicéa de Sitka</t>
  </si>
  <si>
    <t>Grands érables</t>
  </si>
  <si>
    <t>Petits érables</t>
  </si>
  <si>
    <t>Eucalyptus</t>
  </si>
  <si>
    <t>Genévrier thurifère</t>
  </si>
  <si>
    <t>Hêtre</t>
  </si>
  <si>
    <t>Frênes</t>
  </si>
  <si>
    <t>Fruitiers</t>
  </si>
  <si>
    <t>If</t>
  </si>
  <si>
    <t>Mélèze d’Europe</t>
  </si>
  <si>
    <t>Mélèze du Japon</t>
  </si>
  <si>
    <t>Merisier</t>
  </si>
  <si>
    <t>Micocoulier</t>
  </si>
  <si>
    <t>Mûrier</t>
  </si>
  <si>
    <t>Noisetier</t>
  </si>
  <si>
    <t>Noyer</t>
  </si>
  <si>
    <t>Olivier</t>
  </si>
  <si>
    <t>Ormes</t>
  </si>
  <si>
    <t>Peupliers cultivés</t>
  </si>
  <si>
    <t>Peupliers non cultivés</t>
  </si>
  <si>
    <t>Pin d’Alep</t>
  </si>
  <si>
    <t>Pin cembro</t>
  </si>
  <si>
    <t>Pin à crochets</t>
  </si>
  <si>
    <t>Pin laricio</t>
  </si>
  <si>
    <t>Pin maritime</t>
  </si>
  <si>
    <t>Pin mugho</t>
  </si>
  <si>
    <t>Pin noir d’Autriche</t>
  </si>
  <si>
    <t>Pin pignon</t>
  </si>
  <si>
    <t>Pin sylvestre</t>
  </si>
  <si>
    <t>Pin Weymouth</t>
  </si>
  <si>
    <t>Platanes</t>
  </si>
  <si>
    <t>Robinier faux acacia</t>
  </si>
  <si>
    <t>Sapin méditerranéen</t>
  </si>
  <si>
    <t>Sapin de Nordmann</t>
  </si>
  <si>
    <t>Sapin pectiné</t>
  </si>
  <si>
    <t>Sapin de Vancouver</t>
  </si>
  <si>
    <t>Saules</t>
  </si>
  <si>
    <t>Tamaris</t>
  </si>
  <si>
    <t>Tilleuls</t>
  </si>
  <si>
    <t>Tremble</t>
  </si>
  <si>
    <t>Conifères (moyenne)</t>
  </si>
  <si>
    <t>Feuillus (moyenne)</t>
  </si>
  <si>
    <t>Infradensité moyenne</t>
  </si>
  <si>
    <t>Essence projet</t>
  </si>
  <si>
    <t>INRA</t>
  </si>
  <si>
    <t>Type</t>
  </si>
  <si>
    <t>Feuillu</t>
  </si>
  <si>
    <t>Résineux</t>
  </si>
  <si>
    <t>Feuillus</t>
  </si>
  <si>
    <t>Peuplier</t>
  </si>
  <si>
    <t>Pin Maritime</t>
  </si>
  <si>
    <t>Douglas NE Massif Central</t>
  </si>
  <si>
    <t>VAN</t>
  </si>
  <si>
    <t>VAN référence</t>
  </si>
  <si>
    <t>VAN reboisement</t>
  </si>
  <si>
    <t>R0</t>
  </si>
  <si>
    <t>VAN2-VAN1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</si>
</sst>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E2E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2" fontId="0" fillId="0" borderId="4" xfId="0" applyNumberFormat="1" applyBorder="1"/>
    <xf numFmtId="0" fontId="0" fillId="2" borderId="0" xfId="0" applyFill="1"/>
    <xf numFmtId="0" fontId="0" fillId="2" borderId="0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 applyAlignment="1">
      <alignment wrapText="1"/>
    </xf>
    <xf numFmtId="0" fontId="0" fillId="2" borderId="4" xfId="0" applyFill="1" applyBorder="1"/>
    <xf numFmtId="0" fontId="0" fillId="3" borderId="0" xfId="0" applyFill="1"/>
    <xf numFmtId="0" fontId="0" fillId="3" borderId="6" xfId="0" applyFill="1" applyBorder="1"/>
    <xf numFmtId="0" fontId="0" fillId="3" borderId="0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4" xfId="0" applyFill="1" applyBorder="1"/>
    <xf numFmtId="0" fontId="0" fillId="2" borderId="0" xfId="0" applyFill="1" applyBorder="1"/>
    <xf numFmtId="2" fontId="0" fillId="2" borderId="4" xfId="0" applyNumberFormat="1" applyFill="1" applyBorder="1"/>
    <xf numFmtId="0" fontId="0" fillId="0" borderId="0" xfId="0" applyAlignment="1">
      <alignment horizontal="left" vertical="top"/>
    </xf>
    <xf numFmtId="0" fontId="0" fillId="0" borderId="0" xfId="0" applyBorder="1"/>
    <xf numFmtId="0" fontId="0" fillId="0" borderId="8" xfId="0" applyFill="1" applyBorder="1"/>
    <xf numFmtId="0" fontId="3" fillId="0" borderId="0" xfId="0" applyFont="1" applyAlignment="1">
      <alignment horizontal="left" vertical="top"/>
    </xf>
    <xf numFmtId="0" fontId="0" fillId="0" borderId="4" xfId="0" applyFill="1" applyBorder="1"/>
    <xf numFmtId="0" fontId="4" fillId="0" borderId="0" xfId="0" applyFont="1" applyAlignment="1">
      <alignment horizontal="left" vertical="top"/>
    </xf>
    <xf numFmtId="2" fontId="0" fillId="0" borderId="0" xfId="0" applyNumberFormat="1"/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2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ierre Aussedat" id="{242395BB-99B9-834A-9E8E-56E2530D15C3}" userId="2551eea340582f2a" providerId="Windows Live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19-12-18T11:06:19.25" personId="{242395BB-99B9-834A-9E8E-56E2530D15C3}" id="{0F29A306-5340-E14D-8465-661BC6919B7A}">
    <text>1 si aucune préparation, 0,5 potêt, 0 si andain ou broyage plein ou incendie</text>
  </threadedComment>
  <threadedComment ref="C11" dT="2019-12-18T11:06:19.25" personId="{242395BB-99B9-834A-9E8E-56E2530D15C3}" id="{59CADC33-BB8F-DC4F-B9F3-3EBFD9946121}">
    <text>1 si aucune préparation, 0,5 potêt, 0 si andain ou broyage plein ou incendie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4A85-4C1F-BC41-9DA9-83255609FEB7}">
  <sheetPr>
    <pageSetUpPr fitToPage="1"/>
  </sheetPr>
  <dimension ref="A1:AN63"/>
  <sheetViews>
    <sheetView tabSelected="1" zoomScale="116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D6" sqref="D6"/>
    </sheetView>
  </sheetViews>
  <sheetFormatPr baseColWidth="10" defaultRowHeight="16" x14ac:dyDescent="0.2"/>
  <cols>
    <col min="2" max="2" width="20.6640625" bestFit="1" customWidth="1"/>
    <col min="5" max="5" width="6.33203125" bestFit="1" customWidth="1"/>
    <col min="7" max="7" width="13.1640625" bestFit="1" customWidth="1"/>
    <col min="8" max="8" width="16.6640625" bestFit="1" customWidth="1"/>
    <col min="10" max="10" width="12.33203125" customWidth="1"/>
    <col min="11" max="11" width="14.1640625" customWidth="1"/>
    <col min="17" max="17" width="12.1640625" bestFit="1" customWidth="1"/>
    <col min="18" max="18" width="12.83203125" bestFit="1" customWidth="1"/>
    <col min="19" max="21" width="12.83203125" customWidth="1"/>
    <col min="40" max="40" width="10.83203125" customWidth="1"/>
  </cols>
  <sheetData>
    <row r="1" spans="1:40" x14ac:dyDescent="0.2">
      <c r="F1" s="24" t="s">
        <v>4</v>
      </c>
      <c r="G1" s="25"/>
      <c r="H1" s="25"/>
      <c r="I1" s="25"/>
      <c r="J1" s="25"/>
      <c r="K1" s="25"/>
      <c r="L1" s="26"/>
      <c r="M1" s="4"/>
      <c r="N1" s="4"/>
      <c r="O1" s="1">
        <v>0</v>
      </c>
      <c r="P1" s="1">
        <v>2</v>
      </c>
      <c r="Q1" s="1">
        <v>25</v>
      </c>
      <c r="R1" s="1">
        <v>35</v>
      </c>
      <c r="S1" s="17"/>
      <c r="T1" s="17"/>
      <c r="U1" s="17"/>
      <c r="V1">
        <v>0.25</v>
      </c>
      <c r="W1">
        <v>0</v>
      </c>
      <c r="X1">
        <v>0.77</v>
      </c>
      <c r="Y1">
        <v>1.52</v>
      </c>
      <c r="Z1" s="4"/>
      <c r="AA1" s="4"/>
      <c r="AB1" s="4"/>
      <c r="AC1" s="4"/>
      <c r="AD1" s="4"/>
      <c r="AE1" s="27" t="s">
        <v>14</v>
      </c>
      <c r="AF1" s="28"/>
      <c r="AG1" s="28"/>
      <c r="AH1" s="28"/>
      <c r="AI1" s="28"/>
      <c r="AJ1" s="29"/>
      <c r="AK1" s="9"/>
      <c r="AL1" s="9"/>
      <c r="AM1" s="9"/>
      <c r="AN1" s="9"/>
    </row>
    <row r="2" spans="1:40" ht="51" x14ac:dyDescent="0.2">
      <c r="A2" s="23" t="s">
        <v>4</v>
      </c>
      <c r="B2" s="1" t="s">
        <v>6</v>
      </c>
      <c r="C2" s="1">
        <f>VLOOKUP(C5,Infra!A1:B67,2,FALSE)</f>
        <v>0.43</v>
      </c>
      <c r="E2" t="s">
        <v>5</v>
      </c>
      <c r="F2" s="6" t="s">
        <v>9</v>
      </c>
      <c r="G2" s="14" t="s">
        <v>42</v>
      </c>
      <c r="H2" s="5" t="s">
        <v>7</v>
      </c>
      <c r="I2" s="5" t="s">
        <v>0</v>
      </c>
      <c r="J2" s="5" t="s">
        <v>12</v>
      </c>
      <c r="K2" s="5" t="s">
        <v>10</v>
      </c>
      <c r="L2" s="7" t="s">
        <v>13</v>
      </c>
      <c r="M2" s="5" t="s">
        <v>3</v>
      </c>
      <c r="N2" s="5" t="s">
        <v>22</v>
      </c>
      <c r="O2" s="1" t="s">
        <v>18</v>
      </c>
      <c r="P2" s="1" t="s">
        <v>19</v>
      </c>
      <c r="Q2" s="1" t="s">
        <v>20</v>
      </c>
      <c r="R2" s="1" t="s">
        <v>21</v>
      </c>
      <c r="S2" s="18" t="s">
        <v>53</v>
      </c>
      <c r="T2" s="18" t="s">
        <v>51</v>
      </c>
      <c r="U2" s="18" t="s">
        <v>52</v>
      </c>
      <c r="V2" t="s">
        <v>18</v>
      </c>
      <c r="W2" t="s">
        <v>19</v>
      </c>
      <c r="X2" t="s">
        <v>20</v>
      </c>
      <c r="Y2" t="s">
        <v>21</v>
      </c>
      <c r="Z2" s="5" t="s">
        <v>26</v>
      </c>
      <c r="AA2" s="5" t="s">
        <v>25</v>
      </c>
      <c r="AB2" s="5" t="s">
        <v>28</v>
      </c>
      <c r="AC2" s="5" t="s">
        <v>29</v>
      </c>
      <c r="AD2" s="5"/>
      <c r="AE2" s="10" t="s">
        <v>9</v>
      </c>
      <c r="AF2" s="11" t="s">
        <v>7</v>
      </c>
      <c r="AG2" s="11" t="s">
        <v>0</v>
      </c>
      <c r="AH2" s="11" t="s">
        <v>12</v>
      </c>
      <c r="AI2" s="11" t="s">
        <v>10</v>
      </c>
      <c r="AJ2" s="12" t="s">
        <v>2</v>
      </c>
      <c r="AK2" s="11" t="s">
        <v>22</v>
      </c>
      <c r="AL2" s="11" t="s">
        <v>25</v>
      </c>
      <c r="AM2" s="11" t="s">
        <v>26</v>
      </c>
      <c r="AN2" s="11" t="s">
        <v>28</v>
      </c>
    </row>
    <row r="3" spans="1:40" x14ac:dyDescent="0.2">
      <c r="A3" s="23"/>
      <c r="B3" s="1" t="s">
        <v>8</v>
      </c>
      <c r="C3" s="1">
        <v>1.3</v>
      </c>
      <c r="E3" s="1" t="s">
        <v>1</v>
      </c>
      <c r="F3" s="8">
        <v>0</v>
      </c>
      <c r="G3" s="8"/>
      <c r="H3" s="8">
        <f t="shared" ref="H3:H47" si="0">F3*Fact_exp_projet*infran_projet</f>
        <v>0</v>
      </c>
      <c r="I3" s="8" t="e">
        <f>EXP(-1.0587+0.8836*(LN(H3))+0.284)</f>
        <v>#NUM!</v>
      </c>
      <c r="J3" s="8">
        <v>70</v>
      </c>
      <c r="K3" s="8" t="e">
        <f t="shared" ref="K3" si="1">E3*((10-(10*Pourcentage_nettoyage))/30)</f>
        <v>#VALUE!</v>
      </c>
      <c r="L3" s="8" t="e">
        <f>((H3+I3)*0.475+J3+K3)*(44/12)</f>
        <v>#NUM!</v>
      </c>
      <c r="M3" s="8"/>
      <c r="N3" s="8"/>
      <c r="O3" s="1"/>
      <c r="P3" s="1"/>
      <c r="Q3" s="1"/>
      <c r="R3" s="1"/>
      <c r="S3" s="17"/>
      <c r="T3" s="17"/>
      <c r="U3" s="17"/>
      <c r="Z3" s="8"/>
      <c r="AA3" s="8"/>
      <c r="AB3" s="8"/>
      <c r="AC3" s="8"/>
      <c r="AD3" s="8" t="e">
        <f t="shared" ref="AD3:AD34" si="2">(AB3-AC3)/((1+0.045)^E3)</f>
        <v>#VALUE!</v>
      </c>
      <c r="AE3" s="13">
        <v>1</v>
      </c>
      <c r="AF3" s="13">
        <f t="shared" ref="AF3:AF33" si="3">AE3*Fact_exp_ref*Infran_ref</f>
        <v>0.88919999999999999</v>
      </c>
      <c r="AG3" s="13">
        <f>EXP(-1.0587+0.8836*(LN(AF3))+0.284)</f>
        <v>0.41542055579923082</v>
      </c>
      <c r="AH3" s="13">
        <v>70</v>
      </c>
      <c r="AI3" s="13" t="e">
        <f>E3*((10-(10*Pourcent_Nett_ref))/30)</f>
        <v>#VALUE!</v>
      </c>
      <c r="AJ3" s="13" t="e">
        <f>((AF3+AG3)*0.475+AH3+AI3)*(44/12)</f>
        <v>#VALUE!</v>
      </c>
      <c r="AK3" s="13"/>
      <c r="AL3" s="13"/>
      <c r="AM3" s="13"/>
      <c r="AN3" s="13"/>
    </row>
    <row r="4" spans="1:40" x14ac:dyDescent="0.2">
      <c r="A4" s="23"/>
      <c r="B4" s="1" t="s">
        <v>11</v>
      </c>
      <c r="C4" s="1">
        <v>0</v>
      </c>
      <c r="E4" s="1">
        <v>1</v>
      </c>
      <c r="F4" s="8">
        <f>G4</f>
        <v>8.5299999999999994</v>
      </c>
      <c r="G4" s="15">
        <v>8.5299999999999994</v>
      </c>
      <c r="H4" s="8">
        <f t="shared" si="0"/>
        <v>4.7682700000000002</v>
      </c>
      <c r="I4" s="8">
        <f>EXP(-1.0587+0.8836*(LN(H4))+0.284)</f>
        <v>1.8321106626345278</v>
      </c>
      <c r="J4" s="8">
        <v>70</v>
      </c>
      <c r="K4" s="8">
        <f t="shared" ref="K4:K35" si="4">MIN(10,E4*((10-10*Pourcentage_nettoyage)/30))</f>
        <v>0.33333333333333331</v>
      </c>
      <c r="L4" s="8">
        <f>((H4+I4)*0.475+J4+K4)*(44/12)</f>
        <v>269.3845518763107</v>
      </c>
      <c r="M4" s="8">
        <f>S4+T4+U4</f>
        <v>0</v>
      </c>
      <c r="N4" s="8">
        <f>SUM(O4:R4)</f>
        <v>0</v>
      </c>
      <c r="O4" s="1"/>
      <c r="P4" s="1"/>
      <c r="Q4" s="1"/>
      <c r="R4" s="1"/>
      <c r="S4" s="17">
        <f t="shared" ref="S4:S35" si="5">(1/(EXP(1)^(LN(2)/$P$1)))*S3+((1-(1/(EXP(1)^(LN(2)/$P$1))))/(LN(2)/$P$1))*(P4*infran_projet*0.475)</f>
        <v>0</v>
      </c>
      <c r="T4" s="17">
        <f t="shared" ref="T4:T35" si="6">(1/(EXP(1)^(LN(2)/$Q$1)))*T3+((1-(1/(EXP(1)^(LN(2)/$Q$1))))/(LN(2)/$Q$1))*(Q4*infran_projet*0.475)</f>
        <v>0</v>
      </c>
      <c r="U4" s="17">
        <f t="shared" ref="U4:U35" si="7">(1/(EXP(1)^(LN(2)/$R$1)))*U3+((1-(1/(EXP(1)^(LN(2)/$R$1))))/(LN(2)/$R$1))*(R4*0.5*infran_projet*0.475)</f>
        <v>0</v>
      </c>
      <c r="V4">
        <f t="shared" ref="V4" si="8">O4*$V$1</f>
        <v>0</v>
      </c>
      <c r="W4">
        <f>P4*$W$1</f>
        <v>0</v>
      </c>
      <c r="X4">
        <f>Q4*$X$1</f>
        <v>0</v>
      </c>
      <c r="Y4">
        <f>R4*$Y$1</f>
        <v>0</v>
      </c>
      <c r="Z4" s="8">
        <f t="shared" ref="Z4:Z17" si="9">N4*AA4</f>
        <v>0</v>
      </c>
      <c r="AA4" s="8">
        <v>0.43</v>
      </c>
      <c r="AB4" s="8"/>
      <c r="AC4" s="8">
        <v>8284.9599999999991</v>
      </c>
      <c r="AD4" s="8">
        <f t="shared" si="2"/>
        <v>-7928.1913875598084</v>
      </c>
      <c r="AE4" s="13">
        <v>1</v>
      </c>
      <c r="AF4" s="13">
        <f t="shared" si="3"/>
        <v>0.88919999999999999</v>
      </c>
      <c r="AG4" s="13">
        <f>EXP(-1.0587+0.8836*(LN(AF4))+0.284)</f>
        <v>0.41542055579923082</v>
      </c>
      <c r="AH4" s="13">
        <v>70</v>
      </c>
      <c r="AI4" s="13">
        <f>E4*(10/30)</f>
        <v>0.33333333333333331</v>
      </c>
      <c r="AJ4" s="13">
        <f>((AF4+AG4)*0.475+AH4+AI4)*(44/12)</f>
        <v>260.16110302357254</v>
      </c>
      <c r="AK4" s="13"/>
      <c r="AL4" s="13"/>
      <c r="AM4" s="13"/>
      <c r="AN4" s="13"/>
    </row>
    <row r="5" spans="1:40" x14ac:dyDescent="0.2">
      <c r="A5" s="23"/>
      <c r="B5" s="20" t="s">
        <v>121</v>
      </c>
      <c r="C5" s="1" t="s">
        <v>76</v>
      </c>
      <c r="E5" s="1">
        <v>2</v>
      </c>
      <c r="F5" s="8">
        <f>F4+G5-N5</f>
        <v>17.059999999999999</v>
      </c>
      <c r="G5" s="15">
        <v>8.5299999999999994</v>
      </c>
      <c r="H5" s="8">
        <f t="shared" si="0"/>
        <v>9.5365400000000005</v>
      </c>
      <c r="I5" s="8">
        <f t="shared" ref="I5:I48" si="10">EXP(-1.0587+0.8836*(LN(H5))+0.284)</f>
        <v>3.3801954002153982</v>
      </c>
      <c r="J5" s="8">
        <v>70</v>
      </c>
      <c r="K5" s="8">
        <f t="shared" si="4"/>
        <v>0.66666666666666663</v>
      </c>
      <c r="L5" s="8">
        <f>((H5+I5)*0.475+J5+K5)*(44/12)</f>
        <v>281.60775859981959</v>
      </c>
      <c r="M5" s="8">
        <f t="shared" ref="M5:M62" si="11">S5+T5+U5</f>
        <v>0</v>
      </c>
      <c r="N5" s="8">
        <f t="shared" ref="N5:N62" si="12">SUM(O5:R5)</f>
        <v>0</v>
      </c>
      <c r="O5" s="1"/>
      <c r="P5" s="1"/>
      <c r="Q5" s="1"/>
      <c r="R5" s="1"/>
      <c r="S5" s="17">
        <f t="shared" si="5"/>
        <v>0</v>
      </c>
      <c r="T5" s="17">
        <f t="shared" si="6"/>
        <v>0</v>
      </c>
      <c r="U5" s="17">
        <f t="shared" si="7"/>
        <v>0</v>
      </c>
      <c r="V5">
        <f t="shared" ref="V5:V63" si="13">O5*$V$1</f>
        <v>0</v>
      </c>
      <c r="W5">
        <f t="shared" ref="W5:W63" si="14">P5*$W$1</f>
        <v>0</v>
      </c>
      <c r="X5">
        <f t="shared" ref="X5:X63" si="15">Q5*$X$1</f>
        <v>0</v>
      </c>
      <c r="Y5">
        <f t="shared" ref="Y5:Y62" si="16">R5*$Y$1</f>
        <v>0</v>
      </c>
      <c r="Z5" s="8">
        <f t="shared" si="9"/>
        <v>0</v>
      </c>
      <c r="AA5" s="8">
        <v>0.43</v>
      </c>
      <c r="AB5" s="8"/>
      <c r="AC5" s="8">
        <v>499</v>
      </c>
      <c r="AD5" s="8">
        <f t="shared" si="2"/>
        <v>-456.94924566745277</v>
      </c>
      <c r="AE5" s="13">
        <v>2</v>
      </c>
      <c r="AF5" s="13">
        <f t="shared" si="3"/>
        <v>1.7784</v>
      </c>
      <c r="AG5" s="13">
        <f t="shared" ref="AG5:AG33" si="17">EXP(-1.0587+0.8836*(LN(AF5))+0.284)</f>
        <v>0.76643986660078545</v>
      </c>
      <c r="AH5" s="13">
        <v>70</v>
      </c>
      <c r="AI5" s="13">
        <f t="shared" ref="AI5:AI33" si="18">E5*(10/30)</f>
        <v>0.66666666666666663</v>
      </c>
      <c r="AJ5" s="13">
        <f t="shared" ref="AJ5:AJ33" si="19">((AF5+AG5)*0.475+AH5+AI5)*(44/12)</f>
        <v>263.54337387877416</v>
      </c>
      <c r="AK5" s="13"/>
      <c r="AL5" s="13"/>
      <c r="AM5" s="13"/>
      <c r="AN5" s="13"/>
    </row>
    <row r="6" spans="1:40" x14ac:dyDescent="0.2">
      <c r="E6" s="1">
        <v>3</v>
      </c>
      <c r="F6" s="8">
        <f t="shared" ref="F6:F62" si="20">F5+G6-N6</f>
        <v>25.589999999999996</v>
      </c>
      <c r="G6" s="15">
        <v>8.5299999999999994</v>
      </c>
      <c r="H6" s="8">
        <f t="shared" si="0"/>
        <v>14.304809999999998</v>
      </c>
      <c r="I6" s="8">
        <f t="shared" si="10"/>
        <v>4.8365540212135008</v>
      </c>
      <c r="J6" s="8">
        <v>70</v>
      </c>
      <c r="K6" s="8">
        <f t="shared" si="4"/>
        <v>1</v>
      </c>
      <c r="L6" s="8">
        <f t="shared" ref="L6:L33" si="21">((H6+I6)*0.475+J6+K6)*(44/12)</f>
        <v>293.67120900361346</v>
      </c>
      <c r="M6" s="8">
        <f t="shared" si="11"/>
        <v>0</v>
      </c>
      <c r="N6" s="8">
        <f t="shared" si="12"/>
        <v>0</v>
      </c>
      <c r="O6" s="1"/>
      <c r="P6" s="1"/>
      <c r="Q6" s="1"/>
      <c r="R6" s="1"/>
      <c r="S6" s="17">
        <f t="shared" si="5"/>
        <v>0</v>
      </c>
      <c r="T6" s="17">
        <f t="shared" si="6"/>
        <v>0</v>
      </c>
      <c r="U6" s="17">
        <f t="shared" si="7"/>
        <v>0</v>
      </c>
      <c r="V6">
        <f t="shared" si="13"/>
        <v>0</v>
      </c>
      <c r="W6">
        <f t="shared" si="14"/>
        <v>0</v>
      </c>
      <c r="X6">
        <f t="shared" si="15"/>
        <v>0</v>
      </c>
      <c r="Y6">
        <f t="shared" si="16"/>
        <v>0</v>
      </c>
      <c r="Z6" s="8">
        <f t="shared" si="9"/>
        <v>0</v>
      </c>
      <c r="AA6" s="8">
        <v>0.43</v>
      </c>
      <c r="AB6" s="8"/>
      <c r="AC6" s="8">
        <v>898</v>
      </c>
      <c r="AD6" s="8">
        <f>(AB6-AC6)/((1+0.045)^E6)</f>
        <v>-786.91435044130856</v>
      </c>
      <c r="AE6" s="13">
        <v>3</v>
      </c>
      <c r="AF6" s="13">
        <f t="shared" si="3"/>
        <v>2.6675999999999997</v>
      </c>
      <c r="AG6" s="13">
        <f t="shared" si="17"/>
        <v>1.0966608080083624</v>
      </c>
      <c r="AH6" s="13">
        <v>70</v>
      </c>
      <c r="AI6" s="13">
        <f t="shared" si="18"/>
        <v>1</v>
      </c>
      <c r="AJ6" s="13">
        <f t="shared" si="19"/>
        <v>266.88942090728125</v>
      </c>
      <c r="AK6" s="13"/>
      <c r="AL6" s="13"/>
      <c r="AM6" s="13"/>
      <c r="AN6" s="13"/>
    </row>
    <row r="7" spans="1:40" x14ac:dyDescent="0.2">
      <c r="E7" s="1">
        <v>4</v>
      </c>
      <c r="F7" s="8">
        <f t="shared" si="20"/>
        <v>34.119999999999997</v>
      </c>
      <c r="G7" s="15">
        <v>8.5299999999999994</v>
      </c>
      <c r="H7" s="8">
        <f t="shared" si="0"/>
        <v>19.073080000000001</v>
      </c>
      <c r="I7" s="8">
        <f t="shared" si="10"/>
        <v>6.236370529718684</v>
      </c>
      <c r="J7" s="8">
        <v>70</v>
      </c>
      <c r="K7" s="8">
        <f t="shared" si="4"/>
        <v>1.3333333333333333</v>
      </c>
      <c r="L7" s="8">
        <f>((H7+I7)*0.475+J7+K7)*(44/12)</f>
        <v>305.63618189481559</v>
      </c>
      <c r="M7" s="8">
        <f t="shared" si="11"/>
        <v>0</v>
      </c>
      <c r="N7" s="8">
        <f t="shared" si="12"/>
        <v>0</v>
      </c>
      <c r="O7" s="1"/>
      <c r="P7" s="1"/>
      <c r="Q7" s="1"/>
      <c r="R7" s="1"/>
      <c r="S7" s="17">
        <f t="shared" si="5"/>
        <v>0</v>
      </c>
      <c r="T7" s="17">
        <f t="shared" si="6"/>
        <v>0</v>
      </c>
      <c r="U7" s="17">
        <f t="shared" si="7"/>
        <v>0</v>
      </c>
      <c r="V7">
        <f t="shared" si="13"/>
        <v>0</v>
      </c>
      <c r="W7">
        <f t="shared" si="14"/>
        <v>0</v>
      </c>
      <c r="X7">
        <f t="shared" si="15"/>
        <v>0</v>
      </c>
      <c r="Y7">
        <f t="shared" si="16"/>
        <v>0</v>
      </c>
      <c r="Z7" s="8">
        <f t="shared" si="9"/>
        <v>0</v>
      </c>
      <c r="AA7" s="8">
        <v>0.43</v>
      </c>
      <c r="AB7" s="8"/>
      <c r="AC7" s="8">
        <v>524.13</v>
      </c>
      <c r="AD7" s="8">
        <f t="shared" si="2"/>
        <v>-439.51515701751174</v>
      </c>
      <c r="AE7" s="13">
        <v>4</v>
      </c>
      <c r="AF7" s="13">
        <f t="shared" si="3"/>
        <v>3.5568</v>
      </c>
      <c r="AG7" s="13">
        <f t="shared" si="17"/>
        <v>1.4140611505968179</v>
      </c>
      <c r="AH7" s="13">
        <v>70</v>
      </c>
      <c r="AI7" s="13">
        <f t="shared" si="18"/>
        <v>1.3333333333333333</v>
      </c>
      <c r="AJ7" s="13">
        <f t="shared" si="19"/>
        <v>270.21313872617833</v>
      </c>
      <c r="AK7" s="13"/>
      <c r="AL7" s="13"/>
      <c r="AM7" s="13"/>
      <c r="AN7" s="13"/>
    </row>
    <row r="8" spans="1:40" x14ac:dyDescent="0.2">
      <c r="E8" s="1">
        <v>5</v>
      </c>
      <c r="F8" s="8">
        <f t="shared" si="20"/>
        <v>42.65</v>
      </c>
      <c r="G8" s="15">
        <v>8.5299999999999994</v>
      </c>
      <c r="H8" s="8">
        <f t="shared" si="0"/>
        <v>23.841349999999998</v>
      </c>
      <c r="I8" s="8">
        <f t="shared" si="10"/>
        <v>7.5955914697923852</v>
      </c>
      <c r="J8" s="8">
        <v>70</v>
      </c>
      <c r="K8" s="8">
        <f t="shared" si="4"/>
        <v>1.6666666666666665</v>
      </c>
      <c r="L8" s="8">
        <f t="shared" si="21"/>
        <v>317.53045083766619</v>
      </c>
      <c r="M8" s="8">
        <f t="shared" si="11"/>
        <v>0</v>
      </c>
      <c r="N8" s="8">
        <f t="shared" si="12"/>
        <v>0</v>
      </c>
      <c r="O8" s="1"/>
      <c r="P8" s="1"/>
      <c r="Q8" s="1"/>
      <c r="R8" s="1"/>
      <c r="S8" s="17">
        <f t="shared" si="5"/>
        <v>0</v>
      </c>
      <c r="T8" s="17">
        <f t="shared" si="6"/>
        <v>0</v>
      </c>
      <c r="U8" s="17">
        <f t="shared" si="7"/>
        <v>0</v>
      </c>
      <c r="V8">
        <f t="shared" si="13"/>
        <v>0</v>
      </c>
      <c r="W8">
        <f t="shared" si="14"/>
        <v>0</v>
      </c>
      <c r="X8">
        <f t="shared" si="15"/>
        <v>0</v>
      </c>
      <c r="Y8">
        <f t="shared" si="16"/>
        <v>0</v>
      </c>
      <c r="Z8" s="8">
        <f t="shared" si="9"/>
        <v>0</v>
      </c>
      <c r="AA8" s="8">
        <v>0.43</v>
      </c>
      <c r="AB8" s="8"/>
      <c r="AC8" s="8">
        <v>948.43</v>
      </c>
      <c r="AD8" s="8">
        <f t="shared" si="2"/>
        <v>-761.06864603264376</v>
      </c>
      <c r="AE8" s="13">
        <v>5</v>
      </c>
      <c r="AF8" s="13">
        <f t="shared" si="3"/>
        <v>4.4459999999999997</v>
      </c>
      <c r="AG8" s="13">
        <f t="shared" si="17"/>
        <v>1.7222566815192897</v>
      </c>
      <c r="AH8" s="13">
        <v>70</v>
      </c>
      <c r="AI8" s="13">
        <f t="shared" si="18"/>
        <v>1.6666666666666665</v>
      </c>
      <c r="AJ8" s="13">
        <f t="shared" si="19"/>
        <v>273.52082483142391</v>
      </c>
      <c r="AK8" s="13"/>
      <c r="AL8" s="13"/>
      <c r="AM8" s="13"/>
      <c r="AN8" s="13"/>
    </row>
    <row r="9" spans="1:40" x14ac:dyDescent="0.2">
      <c r="A9" s="23" t="s">
        <v>15</v>
      </c>
      <c r="B9" s="1" t="s">
        <v>6</v>
      </c>
      <c r="C9" s="1">
        <v>0.56999999999999995</v>
      </c>
      <c r="E9" s="1">
        <v>6</v>
      </c>
      <c r="F9" s="8">
        <f t="shared" si="20"/>
        <v>51.18</v>
      </c>
      <c r="G9" s="15">
        <v>8.5299999999999994</v>
      </c>
      <c r="H9" s="8">
        <f t="shared" si="0"/>
        <v>28.609620000000003</v>
      </c>
      <c r="I9" s="8">
        <f t="shared" si="10"/>
        <v>8.9233134159540626</v>
      </c>
      <c r="J9" s="8">
        <v>70</v>
      </c>
      <c r="K9" s="8">
        <f t="shared" si="4"/>
        <v>2</v>
      </c>
      <c r="L9" s="8">
        <f t="shared" si="21"/>
        <v>329.36985903278668</v>
      </c>
      <c r="M9" s="8">
        <f t="shared" si="11"/>
        <v>0</v>
      </c>
      <c r="N9" s="8">
        <f t="shared" si="12"/>
        <v>0</v>
      </c>
      <c r="O9" s="1"/>
      <c r="P9" s="1"/>
      <c r="Q9" s="1"/>
      <c r="R9" s="1"/>
      <c r="S9" s="17">
        <f t="shared" si="5"/>
        <v>0</v>
      </c>
      <c r="T9" s="17">
        <f t="shared" si="6"/>
        <v>0</v>
      </c>
      <c r="U9" s="17">
        <f t="shared" si="7"/>
        <v>0</v>
      </c>
      <c r="V9">
        <f t="shared" si="13"/>
        <v>0</v>
      </c>
      <c r="W9">
        <f t="shared" si="14"/>
        <v>0</v>
      </c>
      <c r="X9">
        <f t="shared" si="15"/>
        <v>0</v>
      </c>
      <c r="Y9">
        <f t="shared" si="16"/>
        <v>0</v>
      </c>
      <c r="Z9" s="8">
        <f t="shared" si="9"/>
        <v>0</v>
      </c>
      <c r="AA9" s="8">
        <v>0.43</v>
      </c>
      <c r="AB9" s="8"/>
      <c r="AC9" s="8">
        <v>549.09</v>
      </c>
      <c r="AD9" s="8">
        <f t="shared" si="2"/>
        <v>-421.64387093115863</v>
      </c>
      <c r="AE9" s="13">
        <v>6</v>
      </c>
      <c r="AF9" s="13">
        <f t="shared" si="3"/>
        <v>5.3351999999999995</v>
      </c>
      <c r="AG9" s="13">
        <f t="shared" si="17"/>
        <v>2.0233099967312578</v>
      </c>
      <c r="AH9" s="13">
        <v>70</v>
      </c>
      <c r="AI9" s="13">
        <f t="shared" si="18"/>
        <v>2</v>
      </c>
      <c r="AJ9" s="13">
        <f t="shared" si="19"/>
        <v>276.81607157764023</v>
      </c>
      <c r="AK9" s="13"/>
      <c r="AL9" s="13"/>
      <c r="AM9" s="13"/>
      <c r="AN9" s="13"/>
    </row>
    <row r="10" spans="1:40" x14ac:dyDescent="0.2">
      <c r="A10" s="23"/>
      <c r="B10" s="1" t="s">
        <v>8</v>
      </c>
      <c r="C10" s="1">
        <v>1.56</v>
      </c>
      <c r="E10" s="1">
        <v>7</v>
      </c>
      <c r="F10" s="8">
        <f t="shared" si="20"/>
        <v>59.71</v>
      </c>
      <c r="G10" s="15">
        <v>8.5299999999999994</v>
      </c>
      <c r="H10" s="8">
        <f t="shared" si="0"/>
        <v>33.377890000000001</v>
      </c>
      <c r="I10" s="8">
        <f t="shared" si="10"/>
        <v>10.225400578072222</v>
      </c>
      <c r="J10" s="8">
        <v>70</v>
      </c>
      <c r="K10" s="8">
        <f t="shared" si="4"/>
        <v>2.333333333333333</v>
      </c>
      <c r="L10" s="8">
        <f t="shared" si="21"/>
        <v>341.16461997903133</v>
      </c>
      <c r="M10" s="8">
        <f t="shared" si="11"/>
        <v>0</v>
      </c>
      <c r="N10" s="8">
        <f t="shared" si="12"/>
        <v>0</v>
      </c>
      <c r="O10" s="1"/>
      <c r="P10" s="1"/>
      <c r="Q10" s="1"/>
      <c r="R10" s="1"/>
      <c r="S10" s="17">
        <f t="shared" si="5"/>
        <v>0</v>
      </c>
      <c r="T10" s="17">
        <f t="shared" si="6"/>
        <v>0</v>
      </c>
      <c r="U10" s="17">
        <f t="shared" si="7"/>
        <v>0</v>
      </c>
      <c r="V10">
        <f t="shared" si="13"/>
        <v>0</v>
      </c>
      <c r="W10">
        <f t="shared" si="14"/>
        <v>0</v>
      </c>
      <c r="X10">
        <f t="shared" si="15"/>
        <v>0</v>
      </c>
      <c r="Y10">
        <f t="shared" si="16"/>
        <v>0</v>
      </c>
      <c r="Z10" s="8">
        <f t="shared" si="9"/>
        <v>0</v>
      </c>
      <c r="AA10" s="8">
        <v>0.43</v>
      </c>
      <c r="AB10" s="8"/>
      <c r="AC10" s="8">
        <v>1347.77</v>
      </c>
      <c r="AD10" s="8">
        <f t="shared" si="2"/>
        <v>-990.37975041068398</v>
      </c>
      <c r="AE10" s="13">
        <v>7</v>
      </c>
      <c r="AF10" s="13">
        <f t="shared" si="3"/>
        <v>6.2243999999999993</v>
      </c>
      <c r="AG10" s="13">
        <f t="shared" si="17"/>
        <v>2.3185507720937846</v>
      </c>
      <c r="AH10" s="13">
        <v>70</v>
      </c>
      <c r="AI10" s="13">
        <f t="shared" si="18"/>
        <v>2.333333333333333</v>
      </c>
      <c r="AJ10" s="13">
        <f t="shared" si="19"/>
        <v>280.10119481695222</v>
      </c>
      <c r="AK10" s="13"/>
      <c r="AL10" s="13"/>
      <c r="AM10" s="13"/>
      <c r="AN10" s="13"/>
    </row>
    <row r="11" spans="1:40" x14ac:dyDescent="0.2">
      <c r="A11" s="23"/>
      <c r="B11" s="1" t="s">
        <v>11</v>
      </c>
      <c r="C11" s="1">
        <v>0</v>
      </c>
      <c r="E11" s="1">
        <v>8</v>
      </c>
      <c r="F11" s="8">
        <f t="shared" si="20"/>
        <v>68.239999999999995</v>
      </c>
      <c r="G11" s="15">
        <v>8.5299999999999994</v>
      </c>
      <c r="H11" s="8">
        <f t="shared" si="0"/>
        <v>38.146160000000002</v>
      </c>
      <c r="I11" s="8">
        <f t="shared" si="10"/>
        <v>11.505937609839162</v>
      </c>
      <c r="J11" s="8">
        <v>70</v>
      </c>
      <c r="K11" s="8">
        <f t="shared" si="4"/>
        <v>2.6666666666666665</v>
      </c>
      <c r="L11" s="8">
        <f t="shared" si="21"/>
        <v>352.92184778158099</v>
      </c>
      <c r="M11" s="8">
        <f t="shared" si="11"/>
        <v>0</v>
      </c>
      <c r="N11" s="8">
        <f t="shared" si="12"/>
        <v>0</v>
      </c>
      <c r="O11" s="1"/>
      <c r="P11" s="1"/>
      <c r="Q11" s="1"/>
      <c r="R11" s="1"/>
      <c r="S11" s="17">
        <f t="shared" si="5"/>
        <v>0</v>
      </c>
      <c r="T11" s="17">
        <f t="shared" si="6"/>
        <v>0</v>
      </c>
      <c r="U11" s="17">
        <f t="shared" si="7"/>
        <v>0</v>
      </c>
      <c r="V11">
        <f t="shared" si="13"/>
        <v>0</v>
      </c>
      <c r="W11">
        <f t="shared" si="14"/>
        <v>0</v>
      </c>
      <c r="X11">
        <f t="shared" si="15"/>
        <v>0</v>
      </c>
      <c r="Y11">
        <f t="shared" si="16"/>
        <v>0</v>
      </c>
      <c r="Z11" s="8">
        <f t="shared" si="9"/>
        <v>0</v>
      </c>
      <c r="AA11" s="8">
        <v>0.43</v>
      </c>
      <c r="AB11" s="8"/>
      <c r="AC11" s="8"/>
      <c r="AD11" s="8">
        <f t="shared" si="2"/>
        <v>0</v>
      </c>
      <c r="AE11" s="13">
        <v>8</v>
      </c>
      <c r="AF11" s="13">
        <f t="shared" si="3"/>
        <v>7.1135999999999999</v>
      </c>
      <c r="AG11" s="13">
        <f t="shared" si="17"/>
        <v>2.6089051793396725</v>
      </c>
      <c r="AH11" s="13">
        <v>70</v>
      </c>
      <c r="AI11" s="13">
        <f t="shared" si="18"/>
        <v>2.6666666666666665</v>
      </c>
      <c r="AJ11" s="13">
        <f t="shared" si="19"/>
        <v>283.37780763179438</v>
      </c>
      <c r="AK11" s="13"/>
      <c r="AL11" s="13"/>
      <c r="AM11" s="13"/>
      <c r="AN11" s="13"/>
    </row>
    <row r="12" spans="1:40" x14ac:dyDescent="0.2">
      <c r="E12" s="1">
        <v>9</v>
      </c>
      <c r="F12" s="8">
        <f t="shared" si="20"/>
        <v>76.77</v>
      </c>
      <c r="G12" s="15">
        <v>8.5299999999999994</v>
      </c>
      <c r="H12" s="8">
        <f t="shared" si="0"/>
        <v>42.914430000000003</v>
      </c>
      <c r="I12" s="8">
        <f t="shared" si="10"/>
        <v>12.767926783679668</v>
      </c>
      <c r="J12" s="8">
        <v>70</v>
      </c>
      <c r="K12" s="8">
        <f t="shared" si="4"/>
        <v>3</v>
      </c>
      <c r="L12" s="8">
        <f t="shared" si="21"/>
        <v>364.64677139824209</v>
      </c>
      <c r="M12" s="8">
        <f t="shared" si="11"/>
        <v>0</v>
      </c>
      <c r="N12" s="8">
        <f t="shared" si="12"/>
        <v>0</v>
      </c>
      <c r="O12" s="1"/>
      <c r="P12" s="1"/>
      <c r="Q12" s="1"/>
      <c r="R12" s="1"/>
      <c r="S12" s="17">
        <f t="shared" si="5"/>
        <v>0</v>
      </c>
      <c r="T12" s="17">
        <f t="shared" si="6"/>
        <v>0</v>
      </c>
      <c r="U12" s="17">
        <f t="shared" si="7"/>
        <v>0</v>
      </c>
      <c r="V12">
        <f t="shared" si="13"/>
        <v>0</v>
      </c>
      <c r="W12">
        <f t="shared" si="14"/>
        <v>0</v>
      </c>
      <c r="X12">
        <f t="shared" si="15"/>
        <v>0</v>
      </c>
      <c r="Y12">
        <f t="shared" si="16"/>
        <v>0</v>
      </c>
      <c r="Z12" s="8">
        <f t="shared" si="9"/>
        <v>0</v>
      </c>
      <c r="AA12" s="8">
        <v>0.43</v>
      </c>
      <c r="AB12" s="8"/>
      <c r="AC12" s="8"/>
      <c r="AD12" s="8">
        <f t="shared" si="2"/>
        <v>0</v>
      </c>
      <c r="AE12" s="13">
        <v>9</v>
      </c>
      <c r="AF12" s="13">
        <f t="shared" si="3"/>
        <v>8.0028000000000006</v>
      </c>
      <c r="AG12" s="13">
        <f t="shared" si="17"/>
        <v>2.8950539664743791</v>
      </c>
      <c r="AH12" s="13">
        <v>70</v>
      </c>
      <c r="AI12" s="13">
        <f t="shared" si="18"/>
        <v>3</v>
      </c>
      <c r="AJ12" s="13">
        <f t="shared" si="19"/>
        <v>286.64709565827621</v>
      </c>
      <c r="AK12" s="13"/>
      <c r="AL12" s="13"/>
      <c r="AM12" s="13"/>
      <c r="AN12" s="13"/>
    </row>
    <row r="13" spans="1:40" x14ac:dyDescent="0.2">
      <c r="B13" s="1" t="s">
        <v>38</v>
      </c>
      <c r="D13" s="2">
        <v>5.5091000000000001</v>
      </c>
      <c r="E13" s="1">
        <v>10</v>
      </c>
      <c r="F13" s="8">
        <f t="shared" si="20"/>
        <v>85.3</v>
      </c>
      <c r="G13" s="15">
        <v>8.5299999999999994</v>
      </c>
      <c r="H13" s="8">
        <f t="shared" si="0"/>
        <v>47.682699999999997</v>
      </c>
      <c r="I13" s="8">
        <f t="shared" si="10"/>
        <v>14.013664060656769</v>
      </c>
      <c r="J13" s="8">
        <v>70</v>
      </c>
      <c r="K13" s="8">
        <f t="shared" si="4"/>
        <v>3.333333333333333</v>
      </c>
      <c r="L13" s="8">
        <f t="shared" si="21"/>
        <v>376.34338962786603</v>
      </c>
      <c r="M13" s="8">
        <f t="shared" si="11"/>
        <v>0</v>
      </c>
      <c r="N13" s="8">
        <f t="shared" si="12"/>
        <v>0</v>
      </c>
      <c r="O13" s="1"/>
      <c r="P13" s="1"/>
      <c r="Q13" s="1"/>
      <c r="R13" s="1"/>
      <c r="S13" s="17">
        <f t="shared" si="5"/>
        <v>0</v>
      </c>
      <c r="T13" s="17">
        <f t="shared" si="6"/>
        <v>0</v>
      </c>
      <c r="U13" s="17">
        <f t="shared" si="7"/>
        <v>0</v>
      </c>
      <c r="V13">
        <f t="shared" si="13"/>
        <v>0</v>
      </c>
      <c r="W13">
        <f t="shared" si="14"/>
        <v>0</v>
      </c>
      <c r="X13">
        <f t="shared" si="15"/>
        <v>0</v>
      </c>
      <c r="Y13">
        <f t="shared" si="16"/>
        <v>0</v>
      </c>
      <c r="Z13" s="8">
        <f t="shared" si="9"/>
        <v>0</v>
      </c>
      <c r="AA13" s="8">
        <v>0.43</v>
      </c>
      <c r="AB13" s="8"/>
      <c r="AC13" s="8"/>
      <c r="AD13" s="8">
        <f t="shared" si="2"/>
        <v>0</v>
      </c>
      <c r="AE13" s="13">
        <v>10</v>
      </c>
      <c r="AF13" s="13">
        <f t="shared" si="3"/>
        <v>8.8919999999999995</v>
      </c>
      <c r="AG13" s="13">
        <f t="shared" si="17"/>
        <v>3.177517729464268</v>
      </c>
      <c r="AH13" s="13">
        <v>70</v>
      </c>
      <c r="AI13" s="13">
        <f t="shared" si="18"/>
        <v>3.333333333333333</v>
      </c>
      <c r="AJ13" s="13">
        <f t="shared" si="19"/>
        <v>289.90996560103912</v>
      </c>
      <c r="AK13" s="13"/>
      <c r="AL13" s="13"/>
      <c r="AM13" s="13"/>
      <c r="AN13" s="13"/>
    </row>
    <row r="14" spans="1:40" x14ac:dyDescent="0.2">
      <c r="B14" s="1" t="s">
        <v>17</v>
      </c>
      <c r="C14" s="3">
        <f>L33-AJ33</f>
        <v>359.96342443695687</v>
      </c>
      <c r="E14" s="1">
        <v>11</v>
      </c>
      <c r="F14" s="8">
        <f t="shared" si="20"/>
        <v>93.83</v>
      </c>
      <c r="G14" s="15">
        <v>8.5299999999999994</v>
      </c>
      <c r="H14" s="8">
        <f t="shared" si="0"/>
        <v>52.450969999999998</v>
      </c>
      <c r="I14" s="8">
        <f t="shared" si="10"/>
        <v>15.244959637394812</v>
      </c>
      <c r="J14" s="8">
        <v>70</v>
      </c>
      <c r="K14" s="8">
        <f t="shared" si="4"/>
        <v>3.6666666666666665</v>
      </c>
      <c r="L14" s="8">
        <f t="shared" si="21"/>
        <v>388.0148552295737</v>
      </c>
      <c r="M14" s="8">
        <f t="shared" si="11"/>
        <v>0</v>
      </c>
      <c r="N14" s="8">
        <f t="shared" si="12"/>
        <v>0</v>
      </c>
      <c r="O14" s="1"/>
      <c r="P14" s="1"/>
      <c r="Q14" s="1"/>
      <c r="R14" s="1"/>
      <c r="S14" s="17">
        <f t="shared" si="5"/>
        <v>0</v>
      </c>
      <c r="T14" s="17">
        <f t="shared" si="6"/>
        <v>0</v>
      </c>
      <c r="U14" s="17">
        <f t="shared" si="7"/>
        <v>0</v>
      </c>
      <c r="V14">
        <f t="shared" si="13"/>
        <v>0</v>
      </c>
      <c r="W14">
        <f t="shared" si="14"/>
        <v>0</v>
      </c>
      <c r="X14">
        <f t="shared" si="15"/>
        <v>0</v>
      </c>
      <c r="Y14">
        <f t="shared" si="16"/>
        <v>0</v>
      </c>
      <c r="Z14" s="8">
        <f t="shared" si="9"/>
        <v>0</v>
      </c>
      <c r="AA14" s="8">
        <v>0.43</v>
      </c>
      <c r="AB14" s="8"/>
      <c r="AC14" s="8"/>
      <c r="AD14" s="8">
        <f t="shared" si="2"/>
        <v>0</v>
      </c>
      <c r="AE14" s="13">
        <v>11</v>
      </c>
      <c r="AF14" s="13">
        <f t="shared" si="3"/>
        <v>9.7812000000000001</v>
      </c>
      <c r="AG14" s="13">
        <f t="shared" si="17"/>
        <v>3.4567069199829903</v>
      </c>
      <c r="AH14" s="13">
        <v>70</v>
      </c>
      <c r="AI14" s="13">
        <f t="shared" si="18"/>
        <v>3.6666666666666665</v>
      </c>
      <c r="AJ14" s="13">
        <f t="shared" si="19"/>
        <v>293.16713233008147</v>
      </c>
      <c r="AK14" s="13"/>
      <c r="AL14" s="13"/>
      <c r="AM14" s="13"/>
      <c r="AN14" s="13"/>
    </row>
    <row r="15" spans="1:40" x14ac:dyDescent="0.2">
      <c r="A15" s="22"/>
      <c r="B15" s="1" t="s">
        <v>16</v>
      </c>
      <c r="C15" s="3">
        <f>MIN(C14,1/45*SUM(L4:L48)-1/30*SUM(AJ4:AJ33))</f>
        <v>293.67680190464768</v>
      </c>
      <c r="D15" s="2">
        <f t="shared" ref="D15:D23" si="22">$D$13*C15</f>
        <v>1617.8948693728946</v>
      </c>
      <c r="E15" s="1">
        <v>12</v>
      </c>
      <c r="F15" s="8">
        <f t="shared" si="20"/>
        <v>102.36</v>
      </c>
      <c r="G15" s="15">
        <v>8.5299999999999994</v>
      </c>
      <c r="H15" s="8">
        <f t="shared" si="0"/>
        <v>57.219240000000006</v>
      </c>
      <c r="I15" s="8">
        <f t="shared" si="10"/>
        <v>16.463275706236718</v>
      </c>
      <c r="J15" s="8">
        <v>70</v>
      </c>
      <c r="K15" s="8">
        <f t="shared" si="4"/>
        <v>4</v>
      </c>
      <c r="L15" s="8">
        <f t="shared" si="21"/>
        <v>399.66371485502896</v>
      </c>
      <c r="M15" s="8">
        <f t="shared" si="11"/>
        <v>0</v>
      </c>
      <c r="N15" s="8">
        <f t="shared" si="12"/>
        <v>0</v>
      </c>
      <c r="O15" s="1"/>
      <c r="P15" s="1"/>
      <c r="Q15" s="1"/>
      <c r="R15" s="1"/>
      <c r="S15" s="17">
        <f t="shared" si="5"/>
        <v>0</v>
      </c>
      <c r="T15" s="17">
        <f t="shared" si="6"/>
        <v>0</v>
      </c>
      <c r="U15" s="17">
        <f t="shared" si="7"/>
        <v>0</v>
      </c>
      <c r="V15">
        <f t="shared" si="13"/>
        <v>0</v>
      </c>
      <c r="W15">
        <f t="shared" si="14"/>
        <v>0</v>
      </c>
      <c r="X15">
        <f t="shared" si="15"/>
        <v>0</v>
      </c>
      <c r="Y15">
        <f t="shared" si="16"/>
        <v>0</v>
      </c>
      <c r="Z15" s="8">
        <f t="shared" si="9"/>
        <v>0</v>
      </c>
      <c r="AA15" s="8">
        <v>0.43</v>
      </c>
      <c r="AB15" s="8"/>
      <c r="AC15" s="8"/>
      <c r="AD15" s="8">
        <f t="shared" si="2"/>
        <v>0</v>
      </c>
      <c r="AE15" s="13">
        <v>12</v>
      </c>
      <c r="AF15" s="13">
        <f t="shared" si="3"/>
        <v>10.670399999999999</v>
      </c>
      <c r="AG15" s="13">
        <f t="shared" si="17"/>
        <v>3.7329530817348457</v>
      </c>
      <c r="AH15" s="13">
        <v>70</v>
      </c>
      <c r="AI15" s="13">
        <f t="shared" si="18"/>
        <v>4</v>
      </c>
      <c r="AJ15" s="13">
        <f t="shared" si="19"/>
        <v>296.41917328402155</v>
      </c>
      <c r="AK15" s="13"/>
      <c r="AL15" s="13"/>
      <c r="AM15" s="13"/>
      <c r="AN15" s="13"/>
    </row>
    <row r="16" spans="1:40" x14ac:dyDescent="0.2">
      <c r="A16" s="22"/>
      <c r="B16" s="1" t="s">
        <v>23</v>
      </c>
      <c r="C16" s="3">
        <v>0</v>
      </c>
      <c r="D16" s="2">
        <f t="shared" si="22"/>
        <v>0</v>
      </c>
      <c r="E16" s="1">
        <v>13</v>
      </c>
      <c r="F16" s="8">
        <f t="shared" si="20"/>
        <v>110.89</v>
      </c>
      <c r="G16" s="15">
        <v>8.5299999999999994</v>
      </c>
      <c r="H16" s="8">
        <f t="shared" si="0"/>
        <v>61.98751</v>
      </c>
      <c r="I16" s="8">
        <f t="shared" si="10"/>
        <v>17.669816864072114</v>
      </c>
      <c r="J16" s="8">
        <v>70</v>
      </c>
      <c r="K16" s="8">
        <f t="shared" si="4"/>
        <v>4.333333333333333</v>
      </c>
      <c r="L16" s="8">
        <f t="shared" si="21"/>
        <v>411.29206651048111</v>
      </c>
      <c r="M16" s="8">
        <f t="shared" si="11"/>
        <v>0</v>
      </c>
      <c r="N16" s="8">
        <f t="shared" si="12"/>
        <v>0</v>
      </c>
      <c r="O16" s="1"/>
      <c r="P16" s="1"/>
      <c r="Q16" s="1"/>
      <c r="R16" s="1"/>
      <c r="S16" s="17">
        <f t="shared" si="5"/>
        <v>0</v>
      </c>
      <c r="T16" s="17">
        <f t="shared" si="6"/>
        <v>0</v>
      </c>
      <c r="U16" s="17">
        <f t="shared" si="7"/>
        <v>0</v>
      </c>
      <c r="V16">
        <f t="shared" si="13"/>
        <v>0</v>
      </c>
      <c r="W16">
        <f t="shared" si="14"/>
        <v>0</v>
      </c>
      <c r="X16">
        <f t="shared" si="15"/>
        <v>0</v>
      </c>
      <c r="Y16">
        <f t="shared" si="16"/>
        <v>0</v>
      </c>
      <c r="Z16" s="8">
        <f t="shared" si="9"/>
        <v>0</v>
      </c>
      <c r="AA16" s="8">
        <v>0.43</v>
      </c>
      <c r="AB16" s="8"/>
      <c r="AC16" s="8"/>
      <c r="AD16" s="8">
        <f t="shared" si="2"/>
        <v>0</v>
      </c>
      <c r="AE16" s="13">
        <v>13</v>
      </c>
      <c r="AF16" s="13">
        <f t="shared" si="3"/>
        <v>11.5596</v>
      </c>
      <c r="AG16" s="13">
        <f t="shared" si="17"/>
        <v>4.0065293501366055</v>
      </c>
      <c r="AH16" s="13">
        <v>70</v>
      </c>
      <c r="AI16" s="13">
        <f t="shared" si="18"/>
        <v>4.333333333333333</v>
      </c>
      <c r="AJ16" s="13">
        <f t="shared" si="19"/>
        <v>299.66656417371013</v>
      </c>
      <c r="AK16" s="13"/>
      <c r="AL16" s="13"/>
      <c r="AM16" s="13"/>
      <c r="AN16" s="13"/>
    </row>
    <row r="17" spans="1:40" x14ac:dyDescent="0.2">
      <c r="A17" s="22"/>
      <c r="B17" s="1" t="s">
        <v>24</v>
      </c>
      <c r="C17" s="3">
        <f>MIN(M33-C16,M48-C16)</f>
        <v>18.860359050144169</v>
      </c>
      <c r="D17" s="2">
        <f t="shared" si="22"/>
        <v>103.90360404314924</v>
      </c>
      <c r="E17" s="1">
        <v>14</v>
      </c>
      <c r="F17" s="8">
        <f t="shared" si="20"/>
        <v>119.42</v>
      </c>
      <c r="G17" s="15">
        <v>8.5299999999999994</v>
      </c>
      <c r="H17" s="8">
        <f t="shared" si="0"/>
        <v>66.755780000000001</v>
      </c>
      <c r="I17" s="8">
        <f t="shared" si="10"/>
        <v>18.865591857676151</v>
      </c>
      <c r="J17" s="8">
        <v>70</v>
      </c>
      <c r="K17" s="8">
        <f t="shared" si="4"/>
        <v>4.6666666666666661</v>
      </c>
      <c r="L17" s="8">
        <f t="shared" si="21"/>
        <v>422.90166709656376</v>
      </c>
      <c r="M17" s="8">
        <f t="shared" si="11"/>
        <v>0</v>
      </c>
      <c r="N17" s="8">
        <f t="shared" si="12"/>
        <v>0</v>
      </c>
      <c r="O17" s="1"/>
      <c r="P17" s="1"/>
      <c r="Q17" s="1"/>
      <c r="R17" s="1"/>
      <c r="S17" s="17">
        <f t="shared" si="5"/>
        <v>0</v>
      </c>
      <c r="T17" s="17">
        <f t="shared" si="6"/>
        <v>0</v>
      </c>
      <c r="U17" s="17">
        <f t="shared" si="7"/>
        <v>0</v>
      </c>
      <c r="V17">
        <f t="shared" si="13"/>
        <v>0</v>
      </c>
      <c r="W17">
        <f t="shared" si="14"/>
        <v>0</v>
      </c>
      <c r="X17">
        <f t="shared" si="15"/>
        <v>0</v>
      </c>
      <c r="Y17">
        <f t="shared" si="16"/>
        <v>0</v>
      </c>
      <c r="Z17" s="8">
        <f t="shared" si="9"/>
        <v>0</v>
      </c>
      <c r="AA17" s="8">
        <v>0.43</v>
      </c>
      <c r="AB17" s="8"/>
      <c r="AC17" s="8"/>
      <c r="AD17" s="8">
        <f t="shared" si="2"/>
        <v>0</v>
      </c>
      <c r="AE17" s="13">
        <v>14</v>
      </c>
      <c r="AF17" s="13">
        <f t="shared" si="3"/>
        <v>12.448799999999999</v>
      </c>
      <c r="AG17" s="13">
        <f t="shared" si="17"/>
        <v>4.2776644527179633</v>
      </c>
      <c r="AH17" s="13">
        <v>70</v>
      </c>
      <c r="AI17" s="13">
        <f t="shared" si="18"/>
        <v>4.6666666666666661</v>
      </c>
      <c r="AJ17" s="13">
        <f t="shared" si="19"/>
        <v>302.90970336626157</v>
      </c>
      <c r="AK17" s="13"/>
      <c r="AL17" s="13"/>
      <c r="AM17" s="13"/>
      <c r="AN17" s="13"/>
    </row>
    <row r="18" spans="1:40" x14ac:dyDescent="0.2">
      <c r="A18" s="22"/>
      <c r="B18" s="1" t="s">
        <v>40</v>
      </c>
      <c r="C18" s="3">
        <f>SUM(Z4:Z33)-AM33</f>
        <v>47.97</v>
      </c>
      <c r="D18" s="2">
        <f t="shared" si="22"/>
        <v>264.27152699999999</v>
      </c>
      <c r="E18" s="1">
        <v>15</v>
      </c>
      <c r="F18" s="8">
        <f t="shared" si="20"/>
        <v>107.95</v>
      </c>
      <c r="G18" s="15">
        <v>8.5299999999999994</v>
      </c>
      <c r="H18" s="8">
        <f t="shared" si="0"/>
        <v>60.344050000000003</v>
      </c>
      <c r="I18" s="8">
        <f t="shared" si="10"/>
        <v>17.255226678902726</v>
      </c>
      <c r="J18" s="8">
        <v>70</v>
      </c>
      <c r="K18" s="8">
        <f t="shared" si="4"/>
        <v>5</v>
      </c>
      <c r="L18" s="8">
        <f t="shared" si="21"/>
        <v>410.15207354908887</v>
      </c>
      <c r="M18" s="8">
        <f t="shared" si="11"/>
        <v>3.7405844232369247</v>
      </c>
      <c r="N18" s="8">
        <v>20</v>
      </c>
      <c r="O18" s="1"/>
      <c r="P18" s="1">
        <v>10</v>
      </c>
      <c r="Q18" s="1">
        <v>10</v>
      </c>
      <c r="R18" s="1"/>
      <c r="S18" s="17">
        <f t="shared" si="5"/>
        <v>1.7261396026835303</v>
      </c>
      <c r="T18" s="17">
        <f t="shared" si="6"/>
        <v>2.0144448205533942</v>
      </c>
      <c r="U18" s="17">
        <f t="shared" si="7"/>
        <v>0</v>
      </c>
      <c r="V18">
        <f t="shared" si="13"/>
        <v>0</v>
      </c>
      <c r="W18">
        <f t="shared" si="14"/>
        <v>0</v>
      </c>
      <c r="X18">
        <f t="shared" si="15"/>
        <v>7.7</v>
      </c>
      <c r="Y18">
        <f t="shared" si="16"/>
        <v>0</v>
      </c>
      <c r="Z18" s="8">
        <f t="shared" ref="Z18:Z33" si="23">N18*AA18</f>
        <v>8.6</v>
      </c>
      <c r="AA18" s="8">
        <v>0.43</v>
      </c>
      <c r="AB18" s="8">
        <f>N18*15</f>
        <v>300</v>
      </c>
      <c r="AC18" s="8"/>
      <c r="AD18" s="8">
        <f t="shared" si="2"/>
        <v>155.01613269473037</v>
      </c>
      <c r="AE18" s="13">
        <v>15</v>
      </c>
      <c r="AF18" s="13">
        <f t="shared" si="3"/>
        <v>13.337999999999999</v>
      </c>
      <c r="AG18" s="13">
        <f t="shared" si="17"/>
        <v>4.5465525901071517</v>
      </c>
      <c r="AH18" s="13">
        <v>70</v>
      </c>
      <c r="AI18" s="13">
        <f t="shared" si="18"/>
        <v>5</v>
      </c>
      <c r="AJ18" s="13">
        <f t="shared" si="19"/>
        <v>306.1489290944366</v>
      </c>
      <c r="AK18" s="13"/>
      <c r="AL18" s="13"/>
      <c r="AM18" s="13"/>
      <c r="AN18" s="13"/>
    </row>
    <row r="19" spans="1:40" x14ac:dyDescent="0.2">
      <c r="A19" s="22"/>
      <c r="B19" s="1" t="s">
        <v>27</v>
      </c>
      <c r="C19" s="3">
        <f>C17+C15</f>
        <v>312.53716095479183</v>
      </c>
      <c r="D19" s="2">
        <f t="shared" si="22"/>
        <v>1721.7984734160436</v>
      </c>
      <c r="E19" s="1">
        <v>16</v>
      </c>
      <c r="F19" s="8">
        <f t="shared" si="20"/>
        <v>116.48</v>
      </c>
      <c r="G19" s="15">
        <v>8.5299999999999994</v>
      </c>
      <c r="H19" s="8">
        <f t="shared" si="0"/>
        <v>65.112319999999997</v>
      </c>
      <c r="I19" s="8">
        <f t="shared" si="10"/>
        <v>18.454608726919258</v>
      </c>
      <c r="J19" s="8">
        <v>70</v>
      </c>
      <c r="K19" s="8">
        <f t="shared" si="4"/>
        <v>5.333333333333333</v>
      </c>
      <c r="L19" s="8">
        <f t="shared" si="21"/>
        <v>421.76795642160658</v>
      </c>
      <c r="M19" s="8">
        <f t="shared" si="11"/>
        <v>3.1799247393324901</v>
      </c>
      <c r="N19" s="8">
        <f t="shared" si="12"/>
        <v>0</v>
      </c>
      <c r="O19" s="1"/>
      <c r="P19" s="1"/>
      <c r="Q19" s="1"/>
      <c r="R19" s="1"/>
      <c r="S19" s="17">
        <f t="shared" si="5"/>
        <v>1.2205650183321772</v>
      </c>
      <c r="T19" s="17">
        <f t="shared" si="6"/>
        <v>1.9593597210003126</v>
      </c>
      <c r="U19" s="17">
        <f t="shared" si="7"/>
        <v>0</v>
      </c>
      <c r="V19">
        <f t="shared" si="13"/>
        <v>0</v>
      </c>
      <c r="W19">
        <f t="shared" si="14"/>
        <v>0</v>
      </c>
      <c r="X19">
        <f t="shared" si="15"/>
        <v>0</v>
      </c>
      <c r="Y19">
        <f t="shared" si="16"/>
        <v>0</v>
      </c>
      <c r="Z19" s="8">
        <f t="shared" si="23"/>
        <v>0</v>
      </c>
      <c r="AA19" s="8">
        <v>0.43</v>
      </c>
      <c r="AB19" s="8"/>
      <c r="AC19" s="8"/>
      <c r="AD19" s="8">
        <f t="shared" si="2"/>
        <v>0</v>
      </c>
      <c r="AE19" s="13">
        <v>16</v>
      </c>
      <c r="AF19" s="13">
        <f t="shared" si="3"/>
        <v>14.2272</v>
      </c>
      <c r="AG19" s="13">
        <f t="shared" si="17"/>
        <v>4.81336060460516</v>
      </c>
      <c r="AH19" s="13">
        <v>70</v>
      </c>
      <c r="AI19" s="13">
        <f t="shared" si="18"/>
        <v>5.333333333333333</v>
      </c>
      <c r="AJ19" s="13">
        <f t="shared" si="19"/>
        <v>309.38453194190953</v>
      </c>
      <c r="AK19" s="13"/>
      <c r="AL19" s="13"/>
      <c r="AM19" s="13"/>
      <c r="AN19" s="13"/>
    </row>
    <row r="20" spans="1:40" x14ac:dyDescent="0.2">
      <c r="A20" s="22"/>
      <c r="B20" s="1" t="s">
        <v>35</v>
      </c>
      <c r="C20" s="3">
        <f>C15*(1-C28)*(1-C29)*(1-C30)*(1-C31)</f>
        <v>264.30912171418294</v>
      </c>
      <c r="D20" s="2">
        <f t="shared" si="22"/>
        <v>1456.1053824356052</v>
      </c>
      <c r="E20" s="1">
        <v>17</v>
      </c>
      <c r="F20" s="8">
        <f t="shared" si="20"/>
        <v>125.01</v>
      </c>
      <c r="G20" s="15">
        <v>8.5299999999999994</v>
      </c>
      <c r="H20" s="8">
        <f t="shared" si="0"/>
        <v>69.880589999999998</v>
      </c>
      <c r="I20" s="8">
        <f t="shared" si="10"/>
        <v>19.643800913924355</v>
      </c>
      <c r="J20" s="8">
        <v>70</v>
      </c>
      <c r="K20" s="8">
        <f t="shared" si="4"/>
        <v>5.6666666666666661</v>
      </c>
      <c r="L20" s="8">
        <f>((H20+I20)*0.475+J20+K20)*(44/12)</f>
        <v>433.36609195286263</v>
      </c>
      <c r="M20" s="8">
        <f t="shared" si="11"/>
        <v>2.7688507277330747</v>
      </c>
      <c r="N20" s="8">
        <f t="shared" si="12"/>
        <v>0</v>
      </c>
      <c r="O20" s="1"/>
      <c r="P20" s="1"/>
      <c r="Q20" s="1"/>
      <c r="R20" s="1"/>
      <c r="S20" s="17">
        <f t="shared" si="5"/>
        <v>0.86306980134176525</v>
      </c>
      <c r="T20" s="17">
        <f t="shared" si="6"/>
        <v>1.9057809263913095</v>
      </c>
      <c r="U20" s="17">
        <f t="shared" si="7"/>
        <v>0</v>
      </c>
      <c r="V20">
        <f t="shared" si="13"/>
        <v>0</v>
      </c>
      <c r="W20">
        <f t="shared" si="14"/>
        <v>0</v>
      </c>
      <c r="X20">
        <f t="shared" si="15"/>
        <v>0</v>
      </c>
      <c r="Y20">
        <f t="shared" si="16"/>
        <v>0</v>
      </c>
      <c r="Z20" s="8">
        <f t="shared" si="23"/>
        <v>0</v>
      </c>
      <c r="AA20" s="8">
        <v>0.43</v>
      </c>
      <c r="AB20" s="8"/>
      <c r="AC20" s="8">
        <v>1410.57</v>
      </c>
      <c r="AD20" s="8">
        <f t="shared" si="2"/>
        <v>-667.44841401740166</v>
      </c>
      <c r="AE20" s="13">
        <v>17</v>
      </c>
      <c r="AF20" s="13">
        <f t="shared" si="3"/>
        <v>15.116399999999999</v>
      </c>
      <c r="AG20" s="13">
        <f t="shared" si="17"/>
        <v>5.0782333044806913</v>
      </c>
      <c r="AH20" s="13">
        <v>70</v>
      </c>
      <c r="AI20" s="13">
        <f t="shared" si="18"/>
        <v>5.6666666666666661</v>
      </c>
      <c r="AJ20" s="13">
        <f t="shared" si="19"/>
        <v>312.61676411641497</v>
      </c>
      <c r="AK20" s="13"/>
      <c r="AL20" s="13"/>
      <c r="AM20" s="13"/>
      <c r="AN20" s="13"/>
    </row>
    <row r="21" spans="1:40" x14ac:dyDescent="0.2">
      <c r="A21" s="22"/>
      <c r="B21" s="1" t="s">
        <v>36</v>
      </c>
      <c r="C21" s="3">
        <f>C17*(1-C28)*(1-C29)*(1-C30)*(1-C31)</f>
        <v>16.974323145129752</v>
      </c>
      <c r="D21" s="2">
        <f t="shared" si="22"/>
        <v>93.513243638834311</v>
      </c>
      <c r="E21" s="1">
        <v>18</v>
      </c>
      <c r="F21" s="8">
        <f t="shared" si="20"/>
        <v>133.54</v>
      </c>
      <c r="G21" s="15">
        <v>8.5299999999999994</v>
      </c>
      <c r="H21" s="8">
        <f t="shared" si="0"/>
        <v>74.648859999999999</v>
      </c>
      <c r="I21" s="8">
        <f t="shared" si="10"/>
        <v>20.823577641658773</v>
      </c>
      <c r="J21" s="8">
        <v>70</v>
      </c>
      <c r="K21" s="8">
        <f t="shared" si="4"/>
        <v>6</v>
      </c>
      <c r="L21" s="8">
        <f t="shared" si="21"/>
        <v>444.94782889255566</v>
      </c>
      <c r="M21" s="8">
        <f t="shared" si="11"/>
        <v>2.4639497559045647</v>
      </c>
      <c r="N21" s="8">
        <f t="shared" si="12"/>
        <v>0</v>
      </c>
      <c r="O21" s="1"/>
      <c r="P21" s="1"/>
      <c r="Q21" s="1"/>
      <c r="R21" s="1"/>
      <c r="S21" s="17">
        <f t="shared" si="5"/>
        <v>0.61028250916608873</v>
      </c>
      <c r="T21" s="17">
        <f t="shared" si="6"/>
        <v>1.8536672467384758</v>
      </c>
      <c r="U21" s="17">
        <f t="shared" si="7"/>
        <v>0</v>
      </c>
      <c r="V21">
        <f t="shared" si="13"/>
        <v>0</v>
      </c>
      <c r="W21">
        <f t="shared" si="14"/>
        <v>0</v>
      </c>
      <c r="X21">
        <f t="shared" si="15"/>
        <v>0</v>
      </c>
      <c r="Y21">
        <f t="shared" si="16"/>
        <v>0</v>
      </c>
      <c r="Z21" s="8">
        <f t="shared" si="23"/>
        <v>0</v>
      </c>
      <c r="AA21" s="8">
        <v>0.43</v>
      </c>
      <c r="AB21" s="8"/>
      <c r="AC21" s="8"/>
      <c r="AD21" s="8">
        <f t="shared" si="2"/>
        <v>0</v>
      </c>
      <c r="AE21" s="13">
        <v>18</v>
      </c>
      <c r="AF21" s="13">
        <f t="shared" si="3"/>
        <v>16.005600000000001</v>
      </c>
      <c r="AG21" s="13">
        <f t="shared" si="17"/>
        <v>5.3412974993444156</v>
      </c>
      <c r="AH21" s="13">
        <v>70</v>
      </c>
      <c r="AI21" s="13">
        <f t="shared" si="18"/>
        <v>6</v>
      </c>
      <c r="AJ21" s="13">
        <f t="shared" si="19"/>
        <v>315.84584647802484</v>
      </c>
      <c r="AK21" s="13"/>
      <c r="AL21" s="13"/>
      <c r="AM21" s="13"/>
      <c r="AN21" s="13"/>
    </row>
    <row r="22" spans="1:40" x14ac:dyDescent="0.2">
      <c r="A22" s="22"/>
      <c r="B22" s="1" t="s">
        <v>37</v>
      </c>
      <c r="C22" s="3">
        <f>C21+C20</f>
        <v>281.28344485931268</v>
      </c>
      <c r="D22" s="2">
        <f t="shared" si="22"/>
        <v>1549.6186260744396</v>
      </c>
      <c r="E22" s="1">
        <v>19</v>
      </c>
      <c r="F22" s="8">
        <f t="shared" si="20"/>
        <v>142.06631578947366</v>
      </c>
      <c r="G22" s="15">
        <f>VLOOKUP(Calcul!E22,Acct!$A$2:$H$10,8,)</f>
        <v>8.526315789473685</v>
      </c>
      <c r="H22" s="8">
        <f t="shared" si="0"/>
        <v>79.415070526315773</v>
      </c>
      <c r="I22" s="8">
        <f t="shared" si="10"/>
        <v>21.994104805774615</v>
      </c>
      <c r="J22" s="8">
        <v>70</v>
      </c>
      <c r="K22" s="8">
        <f t="shared" si="4"/>
        <v>6.333333333333333</v>
      </c>
      <c r="L22" s="8">
        <f t="shared" si="21"/>
        <v>456.50986925894625</v>
      </c>
      <c r="M22" s="8">
        <f t="shared" si="11"/>
        <v>2.2345135190671712</v>
      </c>
      <c r="N22" s="8">
        <f t="shared" si="12"/>
        <v>0</v>
      </c>
      <c r="O22" s="1"/>
      <c r="P22" s="1"/>
      <c r="Q22" s="1"/>
      <c r="R22" s="1"/>
      <c r="S22" s="17">
        <f t="shared" si="5"/>
        <v>0.43153490067088274</v>
      </c>
      <c r="T22" s="17">
        <f t="shared" si="6"/>
        <v>1.8029786183962884</v>
      </c>
      <c r="U22" s="17">
        <f t="shared" si="7"/>
        <v>0</v>
      </c>
      <c r="V22">
        <f t="shared" si="13"/>
        <v>0</v>
      </c>
      <c r="W22">
        <f t="shared" si="14"/>
        <v>0</v>
      </c>
      <c r="X22">
        <f t="shared" si="15"/>
        <v>0</v>
      </c>
      <c r="Y22">
        <f t="shared" si="16"/>
        <v>0</v>
      </c>
      <c r="Z22" s="8">
        <f t="shared" si="23"/>
        <v>0</v>
      </c>
      <c r="AA22" s="8">
        <v>0.43</v>
      </c>
      <c r="AB22" s="8"/>
      <c r="AC22" s="8"/>
      <c r="AD22" s="8">
        <f t="shared" si="2"/>
        <v>0</v>
      </c>
      <c r="AE22" s="13">
        <v>19</v>
      </c>
      <c r="AF22" s="13">
        <f t="shared" si="3"/>
        <v>16.8948</v>
      </c>
      <c r="AG22" s="13">
        <f t="shared" si="17"/>
        <v>5.6026651130643454</v>
      </c>
      <c r="AH22" s="13">
        <v>70</v>
      </c>
      <c r="AI22" s="13">
        <f t="shared" si="18"/>
        <v>6.333333333333333</v>
      </c>
      <c r="AJ22" s="13">
        <f t="shared" si="19"/>
        <v>319.07197396080926</v>
      </c>
      <c r="AK22" s="13"/>
      <c r="AL22" s="13"/>
      <c r="AM22" s="13"/>
      <c r="AN22" s="13"/>
    </row>
    <row r="23" spans="1:40" x14ac:dyDescent="0.2">
      <c r="A23" s="22"/>
      <c r="B23" s="1" t="s">
        <v>39</v>
      </c>
      <c r="C23" s="3">
        <f>C18*(1-C28)*(1-C29)*(1-C30)*(1-C31)</f>
        <v>43.173000000000002</v>
      </c>
      <c r="D23" s="2">
        <f t="shared" si="22"/>
        <v>237.84437430000003</v>
      </c>
      <c r="E23" s="1">
        <v>20</v>
      </c>
      <c r="F23" s="8">
        <f t="shared" si="20"/>
        <v>170.89631578947365</v>
      </c>
      <c r="G23" s="15">
        <v>28.83</v>
      </c>
      <c r="H23" s="8">
        <f t="shared" si="0"/>
        <v>95.531040526315763</v>
      </c>
      <c r="I23" s="8">
        <f t="shared" si="10"/>
        <v>25.894513275416859</v>
      </c>
      <c r="J23" s="8">
        <v>70</v>
      </c>
      <c r="K23" s="8">
        <f t="shared" si="4"/>
        <v>6.6666666666666661</v>
      </c>
      <c r="L23" s="8">
        <f t="shared" si="21"/>
        <v>492.59395064912877</v>
      </c>
      <c r="M23" s="8">
        <f t="shared" si="11"/>
        <v>2.0588173278447615</v>
      </c>
      <c r="N23" s="8">
        <f t="shared" si="12"/>
        <v>0</v>
      </c>
      <c r="O23" s="1"/>
      <c r="P23" s="1"/>
      <c r="Q23" s="1"/>
      <c r="R23" s="1"/>
      <c r="S23" s="17">
        <f t="shared" si="5"/>
        <v>0.30514125458304442</v>
      </c>
      <c r="T23" s="17">
        <f t="shared" si="6"/>
        <v>1.7536760732617171</v>
      </c>
      <c r="U23" s="17">
        <f t="shared" si="7"/>
        <v>0</v>
      </c>
      <c r="V23">
        <f t="shared" si="13"/>
        <v>0</v>
      </c>
      <c r="W23">
        <f t="shared" si="14"/>
        <v>0</v>
      </c>
      <c r="X23">
        <f t="shared" si="15"/>
        <v>0</v>
      </c>
      <c r="Y23">
        <f t="shared" si="16"/>
        <v>0</v>
      </c>
      <c r="Z23" s="8">
        <f t="shared" si="23"/>
        <v>0</v>
      </c>
      <c r="AA23" s="8">
        <v>0.43</v>
      </c>
      <c r="AB23" s="8"/>
      <c r="AC23" s="8"/>
      <c r="AD23" s="8">
        <f t="shared" si="2"/>
        <v>0</v>
      </c>
      <c r="AE23" s="13">
        <v>20</v>
      </c>
      <c r="AF23" s="13">
        <f t="shared" si="3"/>
        <v>17.783999999999999</v>
      </c>
      <c r="AG23" s="13">
        <f t="shared" si="17"/>
        <v>5.862435622634961</v>
      </c>
      <c r="AH23" s="13">
        <v>70</v>
      </c>
      <c r="AI23" s="13">
        <f t="shared" si="18"/>
        <v>6.6666666666666661</v>
      </c>
      <c r="AJ23" s="13">
        <f t="shared" si="19"/>
        <v>322.29531982053368</v>
      </c>
      <c r="AK23" s="13"/>
      <c r="AL23" s="13"/>
      <c r="AM23" s="13"/>
      <c r="AN23" s="13"/>
    </row>
    <row r="24" spans="1:40" x14ac:dyDescent="0.2">
      <c r="A24" s="22"/>
      <c r="B24" s="1" t="s">
        <v>41</v>
      </c>
      <c r="C24" s="3">
        <f>C23+C22</f>
        <v>324.45644485931268</v>
      </c>
      <c r="D24" s="2">
        <f>$D$13*C24</f>
        <v>1787.4630003744396</v>
      </c>
      <c r="E24" s="1">
        <v>21</v>
      </c>
      <c r="F24" s="8">
        <f t="shared" si="20"/>
        <v>199.72631578947363</v>
      </c>
      <c r="G24" s="15">
        <v>28.83</v>
      </c>
      <c r="H24" s="8">
        <f t="shared" si="0"/>
        <v>111.64701052631575</v>
      </c>
      <c r="I24" s="8">
        <f t="shared" si="10"/>
        <v>29.718696815540248</v>
      </c>
      <c r="J24" s="8">
        <v>70</v>
      </c>
      <c r="K24" s="8">
        <f t="shared" si="4"/>
        <v>7</v>
      </c>
      <c r="L24" s="8">
        <f t="shared" si="21"/>
        <v>528.54527362039914</v>
      </c>
      <c r="M24" s="8">
        <f t="shared" si="11"/>
        <v>1.9214891591520002</v>
      </c>
      <c r="N24" s="8">
        <f t="shared" si="12"/>
        <v>0</v>
      </c>
      <c r="O24" s="1"/>
      <c r="P24" s="1"/>
      <c r="Q24" s="1"/>
      <c r="R24" s="1"/>
      <c r="S24" s="17">
        <f t="shared" si="5"/>
        <v>0.2157674503354414</v>
      </c>
      <c r="T24" s="17">
        <f t="shared" si="6"/>
        <v>1.7057217088165588</v>
      </c>
      <c r="U24" s="17">
        <f t="shared" si="7"/>
        <v>0</v>
      </c>
      <c r="V24">
        <f t="shared" si="13"/>
        <v>0</v>
      </c>
      <c r="W24">
        <f t="shared" si="14"/>
        <v>0</v>
      </c>
      <c r="X24">
        <f t="shared" si="15"/>
        <v>0</v>
      </c>
      <c r="Y24">
        <f t="shared" si="16"/>
        <v>0</v>
      </c>
      <c r="Z24" s="8">
        <f t="shared" si="23"/>
        <v>0</v>
      </c>
      <c r="AA24" s="8">
        <v>0.43</v>
      </c>
      <c r="AB24" s="8">
        <f>N24*25</f>
        <v>0</v>
      </c>
      <c r="AC24" s="8"/>
      <c r="AD24" s="8">
        <f t="shared" si="2"/>
        <v>0</v>
      </c>
      <c r="AE24" s="13">
        <v>21</v>
      </c>
      <c r="AF24" s="13">
        <f t="shared" si="3"/>
        <v>18.673199999999998</v>
      </c>
      <c r="AG24" s="13">
        <f t="shared" si="17"/>
        <v>6.120697995410775</v>
      </c>
      <c r="AH24" s="13">
        <v>70</v>
      </c>
      <c r="AI24" s="13">
        <f t="shared" si="18"/>
        <v>7</v>
      </c>
      <c r="AJ24" s="13">
        <f t="shared" si="19"/>
        <v>325.51603900867372</v>
      </c>
      <c r="AK24" s="13"/>
      <c r="AL24" s="13"/>
      <c r="AM24" s="13"/>
      <c r="AN24" s="13"/>
    </row>
    <row r="25" spans="1:40" x14ac:dyDescent="0.2">
      <c r="E25" s="1">
        <v>22</v>
      </c>
      <c r="F25" s="8">
        <f t="shared" si="20"/>
        <v>228.55631578947362</v>
      </c>
      <c r="G25" s="15">
        <v>28.83</v>
      </c>
      <c r="H25" s="8">
        <f t="shared" si="0"/>
        <v>127.76298052631574</v>
      </c>
      <c r="I25" s="8">
        <f t="shared" si="10"/>
        <v>33.478928783909801</v>
      </c>
      <c r="J25" s="8">
        <v>70</v>
      </c>
      <c r="K25" s="8">
        <f t="shared" si="4"/>
        <v>7.333333333333333</v>
      </c>
      <c r="L25" s="8">
        <f t="shared" si="21"/>
        <v>564.38521427086505</v>
      </c>
      <c r="M25" s="8">
        <f t="shared" si="11"/>
        <v>1.811649286280486</v>
      </c>
      <c r="N25" s="8">
        <f t="shared" si="12"/>
        <v>0</v>
      </c>
      <c r="O25" s="1"/>
      <c r="P25" s="1"/>
      <c r="Q25" s="1"/>
      <c r="R25" s="1"/>
      <c r="S25" s="17">
        <f t="shared" si="5"/>
        <v>0.15257062729152224</v>
      </c>
      <c r="T25" s="17">
        <f t="shared" si="6"/>
        <v>1.6590786589889639</v>
      </c>
      <c r="U25" s="17">
        <f t="shared" si="7"/>
        <v>0</v>
      </c>
      <c r="V25">
        <f t="shared" si="13"/>
        <v>0</v>
      </c>
      <c r="W25">
        <f t="shared" si="14"/>
        <v>0</v>
      </c>
      <c r="X25">
        <f t="shared" si="15"/>
        <v>0</v>
      </c>
      <c r="Y25">
        <f t="shared" si="16"/>
        <v>0</v>
      </c>
      <c r="Z25" s="8">
        <f t="shared" si="23"/>
        <v>0</v>
      </c>
      <c r="AA25" s="8">
        <v>0.43</v>
      </c>
      <c r="AB25" s="8">
        <f t="shared" ref="AB25:AB29" si="24">N25*25</f>
        <v>0</v>
      </c>
      <c r="AC25" s="8"/>
      <c r="AD25" s="8">
        <f t="shared" si="2"/>
        <v>0</v>
      </c>
      <c r="AE25" s="13">
        <v>22</v>
      </c>
      <c r="AF25" s="13">
        <f t="shared" si="3"/>
        <v>19.5624</v>
      </c>
      <c r="AG25" s="13">
        <f t="shared" si="17"/>
        <v>6.3775322468881095</v>
      </c>
      <c r="AH25" s="13">
        <v>70</v>
      </c>
      <c r="AI25" s="13">
        <f t="shared" si="18"/>
        <v>7.333333333333333</v>
      </c>
      <c r="AJ25" s="13">
        <f t="shared" si="19"/>
        <v>328.73427088555229</v>
      </c>
      <c r="AK25" s="13"/>
      <c r="AL25" s="13"/>
      <c r="AM25" s="13"/>
      <c r="AN25" s="13"/>
    </row>
    <row r="26" spans="1:40" x14ac:dyDescent="0.2">
      <c r="E26" s="1">
        <v>23</v>
      </c>
      <c r="F26" s="8">
        <f t="shared" si="20"/>
        <v>257.3863157894736</v>
      </c>
      <c r="G26" s="15">
        <v>28.83</v>
      </c>
      <c r="H26" s="8">
        <f t="shared" si="0"/>
        <v>143.87895052631575</v>
      </c>
      <c r="I26" s="8">
        <f t="shared" si="10"/>
        <v>37.184200232100856</v>
      </c>
      <c r="J26" s="8">
        <v>70</v>
      </c>
      <c r="K26" s="8">
        <f t="shared" si="4"/>
        <v>7.6666666666666661</v>
      </c>
      <c r="L26" s="8">
        <f t="shared" si="21"/>
        <v>600.12943201535325</v>
      </c>
      <c r="M26" s="8">
        <f t="shared" si="11"/>
        <v>1.7215947909794767</v>
      </c>
      <c r="N26" s="8">
        <f t="shared" si="12"/>
        <v>0</v>
      </c>
      <c r="O26" s="1"/>
      <c r="P26" s="1"/>
      <c r="Q26" s="1"/>
      <c r="R26" s="1"/>
      <c r="S26" s="17">
        <f t="shared" si="5"/>
        <v>0.10788372516772071</v>
      </c>
      <c r="T26" s="17">
        <f t="shared" si="6"/>
        <v>1.6137110658117559</v>
      </c>
      <c r="U26" s="17">
        <f t="shared" si="7"/>
        <v>0</v>
      </c>
      <c r="V26">
        <f t="shared" si="13"/>
        <v>0</v>
      </c>
      <c r="W26">
        <f t="shared" si="14"/>
        <v>0</v>
      </c>
      <c r="X26">
        <f t="shared" si="15"/>
        <v>0</v>
      </c>
      <c r="Y26">
        <f t="shared" si="16"/>
        <v>0</v>
      </c>
      <c r="Z26" s="8">
        <f t="shared" si="23"/>
        <v>0</v>
      </c>
      <c r="AA26" s="8">
        <v>0.43</v>
      </c>
      <c r="AB26" s="8">
        <f t="shared" si="24"/>
        <v>0</v>
      </c>
      <c r="AC26" s="8"/>
      <c r="AD26" s="8">
        <f t="shared" si="2"/>
        <v>0</v>
      </c>
      <c r="AE26" s="13">
        <v>23</v>
      </c>
      <c r="AF26" s="13">
        <f t="shared" si="3"/>
        <v>20.451599999999999</v>
      </c>
      <c r="AG26" s="13">
        <f t="shared" si="17"/>
        <v>6.6330107072474558</v>
      </c>
      <c r="AH26" s="13">
        <v>70</v>
      </c>
      <c r="AI26" s="13">
        <f t="shared" si="18"/>
        <v>7.6666666666666661</v>
      </c>
      <c r="AJ26" s="13">
        <f t="shared" si="19"/>
        <v>331.95014142623376</v>
      </c>
      <c r="AK26" s="13"/>
      <c r="AL26" s="13"/>
      <c r="AM26" s="13"/>
      <c r="AN26" s="13"/>
    </row>
    <row r="27" spans="1:40" x14ac:dyDescent="0.2">
      <c r="E27" s="1">
        <v>24</v>
      </c>
      <c r="F27" s="8">
        <f t="shared" si="20"/>
        <v>286.21631578947358</v>
      </c>
      <c r="G27" s="15">
        <v>28.83</v>
      </c>
      <c r="H27" s="8">
        <f t="shared" si="0"/>
        <v>159.99492052631572</v>
      </c>
      <c r="I27" s="8">
        <f t="shared" si="10"/>
        <v>40.841369715110972</v>
      </c>
      <c r="J27" s="8">
        <v>70</v>
      </c>
      <c r="K27" s="8">
        <f t="shared" si="4"/>
        <v>8</v>
      </c>
      <c r="L27" s="8">
        <f t="shared" si="21"/>
        <v>635.78987217048473</v>
      </c>
      <c r="M27" s="8">
        <f t="shared" si="11"/>
        <v>1.6458693655015177</v>
      </c>
      <c r="N27" s="8">
        <f t="shared" si="12"/>
        <v>0</v>
      </c>
      <c r="O27" s="1"/>
      <c r="P27" s="1"/>
      <c r="Q27" s="1"/>
      <c r="R27" s="1"/>
      <c r="S27" s="17">
        <f t="shared" si="5"/>
        <v>7.6285313645761119E-2</v>
      </c>
      <c r="T27" s="17">
        <f t="shared" si="6"/>
        <v>1.5695840518557567</v>
      </c>
      <c r="U27" s="17">
        <f t="shared" si="7"/>
        <v>0</v>
      </c>
      <c r="V27">
        <f t="shared" si="13"/>
        <v>0</v>
      </c>
      <c r="W27">
        <f t="shared" si="14"/>
        <v>0</v>
      </c>
      <c r="X27">
        <f t="shared" si="15"/>
        <v>0</v>
      </c>
      <c r="Y27">
        <f t="shared" si="16"/>
        <v>0</v>
      </c>
      <c r="Z27" s="8">
        <f t="shared" si="23"/>
        <v>0</v>
      </c>
      <c r="AA27" s="8">
        <v>0.43</v>
      </c>
      <c r="AB27" s="8">
        <f t="shared" si="24"/>
        <v>0</v>
      </c>
      <c r="AC27" s="8"/>
      <c r="AD27" s="8">
        <f t="shared" si="2"/>
        <v>0</v>
      </c>
      <c r="AE27" s="13">
        <v>24</v>
      </c>
      <c r="AF27" s="13">
        <f t="shared" si="3"/>
        <v>21.340799999999998</v>
      </c>
      <c r="AG27" s="13">
        <f t="shared" si="17"/>
        <v>6.8871990614123195</v>
      </c>
      <c r="AH27" s="13">
        <v>70</v>
      </c>
      <c r="AI27" s="13">
        <f t="shared" si="18"/>
        <v>8</v>
      </c>
      <c r="AJ27" s="13">
        <f t="shared" si="19"/>
        <v>335.16376503195977</v>
      </c>
      <c r="AK27" s="13"/>
      <c r="AL27" s="13"/>
      <c r="AM27" s="13"/>
      <c r="AN27" s="13"/>
    </row>
    <row r="28" spans="1:40" x14ac:dyDescent="0.2">
      <c r="A28" s="23" t="s">
        <v>30</v>
      </c>
      <c r="B28" s="1" t="s">
        <v>31</v>
      </c>
      <c r="C28" s="1"/>
      <c r="E28" s="1">
        <v>25</v>
      </c>
      <c r="F28" s="8">
        <f t="shared" si="20"/>
        <v>267.0496491228069</v>
      </c>
      <c r="G28" s="15">
        <f>VLOOKUP(Calcul!E28,Acct!$A$2:$H$10,8,)</f>
        <v>28.833333333333332</v>
      </c>
      <c r="H28" s="8">
        <f t="shared" si="0"/>
        <v>149.28075385964905</v>
      </c>
      <c r="I28" s="8">
        <f t="shared" si="10"/>
        <v>38.415088659006138</v>
      </c>
      <c r="J28" s="8">
        <v>70</v>
      </c>
      <c r="K28" s="8">
        <f t="shared" si="4"/>
        <v>8.3333333333333321</v>
      </c>
      <c r="L28" s="8">
        <f t="shared" si="21"/>
        <v>614.12581460888009</v>
      </c>
      <c r="M28" s="8">
        <f t="shared" si="11"/>
        <v>10.730991302491319</v>
      </c>
      <c r="N28" s="8">
        <v>48</v>
      </c>
      <c r="O28" s="1"/>
      <c r="P28" s="1">
        <v>18</v>
      </c>
      <c r="Q28" s="1">
        <v>30</v>
      </c>
      <c r="R28" s="1"/>
      <c r="S28" s="17">
        <f t="shared" si="5"/>
        <v>3.1609931474142146</v>
      </c>
      <c r="T28" s="17">
        <f t="shared" si="6"/>
        <v>7.5699981550771049</v>
      </c>
      <c r="U28" s="17">
        <f t="shared" si="7"/>
        <v>0</v>
      </c>
      <c r="V28">
        <f t="shared" si="13"/>
        <v>0</v>
      </c>
      <c r="W28">
        <f t="shared" si="14"/>
        <v>0</v>
      </c>
      <c r="X28">
        <f t="shared" si="15"/>
        <v>23.1</v>
      </c>
      <c r="Y28">
        <f t="shared" si="16"/>
        <v>0</v>
      </c>
      <c r="Z28" s="8">
        <f t="shared" si="23"/>
        <v>20.64</v>
      </c>
      <c r="AA28" s="8">
        <v>0.43</v>
      </c>
      <c r="AB28" s="8">
        <f t="shared" si="24"/>
        <v>1200</v>
      </c>
      <c r="AC28" s="8"/>
      <c r="AD28" s="8">
        <f t="shared" si="2"/>
        <v>399.27671601351744</v>
      </c>
      <c r="AE28" s="13">
        <v>25</v>
      </c>
      <c r="AF28" s="13">
        <f t="shared" si="3"/>
        <v>22.229999999999997</v>
      </c>
      <c r="AG28" s="13">
        <f t="shared" si="17"/>
        <v>7.140157210880437</v>
      </c>
      <c r="AH28" s="13">
        <v>70</v>
      </c>
      <c r="AI28" s="13">
        <f t="shared" si="18"/>
        <v>8.3333333333333321</v>
      </c>
      <c r="AJ28" s="13">
        <f t="shared" si="19"/>
        <v>338.37524603117231</v>
      </c>
      <c r="AK28" s="13"/>
      <c r="AL28" s="13"/>
      <c r="AM28" s="13"/>
      <c r="AN28" s="13"/>
    </row>
    <row r="29" spans="1:40" x14ac:dyDescent="0.2">
      <c r="A29" s="23"/>
      <c r="B29" s="1" t="s">
        <v>32</v>
      </c>
      <c r="C29" s="1">
        <v>0.1</v>
      </c>
      <c r="E29" s="1">
        <v>26</v>
      </c>
      <c r="F29" s="8">
        <f t="shared" si="20"/>
        <v>295.0496491228069</v>
      </c>
      <c r="G29" s="15">
        <v>28</v>
      </c>
      <c r="H29" s="8">
        <f t="shared" ref="H29:H34" si="25">F29*Fact_exp_projet*infran_projet</f>
        <v>164.93275385964907</v>
      </c>
      <c r="I29" s="8">
        <f t="shared" si="10"/>
        <v>41.953138025709762</v>
      </c>
      <c r="J29" s="8">
        <v>70</v>
      </c>
      <c r="K29" s="8">
        <f t="shared" si="4"/>
        <v>8.6666666666666661</v>
      </c>
      <c r="L29" s="8">
        <f t="shared" si="21"/>
        <v>648.77070614477759</v>
      </c>
      <c r="M29" s="8">
        <f t="shared" si="11"/>
        <v>9.5981558472584201</v>
      </c>
      <c r="N29" s="8">
        <f t="shared" si="12"/>
        <v>0</v>
      </c>
      <c r="O29" s="1"/>
      <c r="P29" s="1"/>
      <c r="Q29" s="1"/>
      <c r="R29" s="1"/>
      <c r="S29" s="17">
        <f t="shared" si="5"/>
        <v>2.2351596898207995</v>
      </c>
      <c r="T29" s="17">
        <f t="shared" si="6"/>
        <v>7.3629961574376201</v>
      </c>
      <c r="U29" s="17">
        <f t="shared" si="7"/>
        <v>0</v>
      </c>
      <c r="V29">
        <f t="shared" si="13"/>
        <v>0</v>
      </c>
      <c r="W29">
        <f t="shared" si="14"/>
        <v>0</v>
      </c>
      <c r="X29">
        <f t="shared" si="15"/>
        <v>0</v>
      </c>
      <c r="Y29">
        <f t="shared" si="16"/>
        <v>0</v>
      </c>
      <c r="Z29" s="8">
        <f t="shared" si="23"/>
        <v>0</v>
      </c>
      <c r="AA29" s="8">
        <v>0.43</v>
      </c>
      <c r="AB29" s="8">
        <f t="shared" si="24"/>
        <v>0</v>
      </c>
      <c r="AC29" s="8"/>
      <c r="AD29" s="8">
        <f t="shared" si="2"/>
        <v>0</v>
      </c>
      <c r="AE29" s="13">
        <v>26</v>
      </c>
      <c r="AF29" s="13">
        <f t="shared" si="3"/>
        <v>23.119199999999999</v>
      </c>
      <c r="AG29" s="13">
        <f t="shared" si="17"/>
        <v>7.3919399937804329</v>
      </c>
      <c r="AH29" s="13">
        <v>70</v>
      </c>
      <c r="AI29" s="13">
        <f t="shared" si="18"/>
        <v>8.6666666666666661</v>
      </c>
      <c r="AJ29" s="13">
        <f t="shared" si="19"/>
        <v>341.58467993361199</v>
      </c>
      <c r="AK29" s="13"/>
      <c r="AL29" s="13"/>
      <c r="AM29" s="13"/>
      <c r="AN29" s="13"/>
    </row>
    <row r="30" spans="1:40" x14ac:dyDescent="0.2">
      <c r="A30" s="23"/>
      <c r="B30" s="1" t="s">
        <v>33</v>
      </c>
      <c r="C30" s="1"/>
      <c r="E30" s="1">
        <v>27</v>
      </c>
      <c r="F30" s="8">
        <f t="shared" si="20"/>
        <v>323.0496491228069</v>
      </c>
      <c r="G30" s="15">
        <v>28</v>
      </c>
      <c r="H30" s="8">
        <f t="shared" si="25"/>
        <v>180.58475385964906</v>
      </c>
      <c r="I30" s="8">
        <f t="shared" si="10"/>
        <v>45.452258559084576</v>
      </c>
      <c r="J30" s="8">
        <v>70</v>
      </c>
      <c r="K30" s="8">
        <f t="shared" si="4"/>
        <v>9</v>
      </c>
      <c r="L30" s="8">
        <f t="shared" si="21"/>
        <v>683.34779662929441</v>
      </c>
      <c r="M30" s="8">
        <f t="shared" si="11"/>
        <v>8.7421512140164559</v>
      </c>
      <c r="N30" s="8">
        <f t="shared" si="12"/>
        <v>0</v>
      </c>
      <c r="O30" s="1"/>
      <c r="P30" s="1"/>
      <c r="Q30" s="1"/>
      <c r="R30" s="1"/>
      <c r="S30" s="17">
        <f t="shared" si="5"/>
        <v>1.5804965737071075</v>
      </c>
      <c r="T30" s="17">
        <f t="shared" si="6"/>
        <v>7.1616546403093491</v>
      </c>
      <c r="U30" s="17">
        <f t="shared" si="7"/>
        <v>0</v>
      </c>
      <c r="V30">
        <f t="shared" si="13"/>
        <v>0</v>
      </c>
      <c r="W30">
        <f t="shared" si="14"/>
        <v>0</v>
      </c>
      <c r="X30">
        <f t="shared" si="15"/>
        <v>0</v>
      </c>
      <c r="Y30">
        <f t="shared" si="16"/>
        <v>0</v>
      </c>
      <c r="Z30" s="8">
        <f t="shared" si="23"/>
        <v>0</v>
      </c>
      <c r="AA30" s="8">
        <v>0.43</v>
      </c>
      <c r="AB30" s="8">
        <f>N30*25</f>
        <v>0</v>
      </c>
      <c r="AC30" s="8"/>
      <c r="AD30" s="8">
        <f t="shared" si="2"/>
        <v>0</v>
      </c>
      <c r="AE30" s="13">
        <v>27</v>
      </c>
      <c r="AF30" s="13">
        <f t="shared" si="3"/>
        <v>24.008400000000002</v>
      </c>
      <c r="AG30" s="13">
        <f t="shared" si="17"/>
        <v>7.6425977910346994</v>
      </c>
      <c r="AH30" s="13">
        <v>70</v>
      </c>
      <c r="AI30" s="13">
        <f t="shared" si="18"/>
        <v>9</v>
      </c>
      <c r="AJ30" s="13">
        <f t="shared" si="19"/>
        <v>344.79215448605208</v>
      </c>
      <c r="AK30" s="13"/>
      <c r="AL30" s="13"/>
      <c r="AM30" s="13"/>
      <c r="AN30" s="13"/>
    </row>
    <row r="31" spans="1:40" x14ac:dyDescent="0.2">
      <c r="A31" s="23"/>
      <c r="B31" s="1" t="s">
        <v>34</v>
      </c>
      <c r="C31" s="1"/>
      <c r="E31" s="1">
        <v>28</v>
      </c>
      <c r="F31" s="8">
        <f t="shared" si="20"/>
        <v>351.0496491228069</v>
      </c>
      <c r="G31" s="15">
        <v>28</v>
      </c>
      <c r="H31" s="8">
        <f t="shared" si="25"/>
        <v>196.23675385964904</v>
      </c>
      <c r="I31" s="8">
        <f t="shared" si="10"/>
        <v>48.916208016454213</v>
      </c>
      <c r="J31" s="8">
        <v>70</v>
      </c>
      <c r="K31" s="8">
        <f t="shared" si="4"/>
        <v>9.3333333333333321</v>
      </c>
      <c r="L31" s="8">
        <f t="shared" si="21"/>
        <v>717.86363082310208</v>
      </c>
      <c r="M31" s="8">
        <f t="shared" si="11"/>
        <v>8.0833986624654397</v>
      </c>
      <c r="N31" s="8">
        <f t="shared" si="12"/>
        <v>0</v>
      </c>
      <c r="O31" s="1"/>
      <c r="P31" s="1"/>
      <c r="Q31" s="1"/>
      <c r="R31" s="1"/>
      <c r="S31" s="17">
        <f t="shared" si="5"/>
        <v>1.1175798449103997</v>
      </c>
      <c r="T31" s="17">
        <f t="shared" si="6"/>
        <v>6.9658188175550402</v>
      </c>
      <c r="U31" s="17">
        <f t="shared" si="7"/>
        <v>0</v>
      </c>
      <c r="V31">
        <f t="shared" si="13"/>
        <v>0</v>
      </c>
      <c r="W31">
        <f t="shared" si="14"/>
        <v>0</v>
      </c>
      <c r="X31">
        <f t="shared" si="15"/>
        <v>0</v>
      </c>
      <c r="Y31">
        <f t="shared" si="16"/>
        <v>0</v>
      </c>
      <c r="Z31" s="8">
        <f t="shared" si="23"/>
        <v>0</v>
      </c>
      <c r="AA31" s="8">
        <v>0.43</v>
      </c>
      <c r="AB31" s="8">
        <f>N31*25</f>
        <v>0</v>
      </c>
      <c r="AC31" s="8"/>
      <c r="AD31" s="8">
        <f t="shared" si="2"/>
        <v>0</v>
      </c>
      <c r="AE31" s="13">
        <v>28</v>
      </c>
      <c r="AF31" s="13">
        <f t="shared" si="3"/>
        <v>24.897599999999997</v>
      </c>
      <c r="AG31" s="13">
        <f t="shared" si="17"/>
        <v>7.8921770401958238</v>
      </c>
      <c r="AH31" s="13">
        <v>70</v>
      </c>
      <c r="AI31" s="13">
        <f t="shared" si="18"/>
        <v>9.3333333333333321</v>
      </c>
      <c r="AJ31" s="13">
        <f t="shared" si="19"/>
        <v>347.99775056722996</v>
      </c>
      <c r="AK31" s="13"/>
      <c r="AL31" s="13"/>
      <c r="AM31" s="13"/>
      <c r="AN31" s="13"/>
    </row>
    <row r="32" spans="1:40" x14ac:dyDescent="0.2">
      <c r="E32" s="1">
        <v>29</v>
      </c>
      <c r="F32" s="8">
        <f t="shared" si="20"/>
        <v>379.0496491228069</v>
      </c>
      <c r="G32" s="15">
        <v>28</v>
      </c>
      <c r="H32" s="8">
        <f t="shared" si="25"/>
        <v>211.88875385964906</v>
      </c>
      <c r="I32" s="8">
        <f t="shared" si="10"/>
        <v>52.348110605893758</v>
      </c>
      <c r="J32" s="8">
        <v>70</v>
      </c>
      <c r="K32" s="8">
        <f t="shared" si="4"/>
        <v>9.6666666666666661</v>
      </c>
      <c r="L32" s="8">
        <f t="shared" si="21"/>
        <v>752.32365005526481</v>
      </c>
      <c r="M32" s="8">
        <f t="shared" si="11"/>
        <v>7.5655864225260601</v>
      </c>
      <c r="N32" s="8">
        <f t="shared" si="12"/>
        <v>0</v>
      </c>
      <c r="O32" s="1"/>
      <c r="P32" s="1"/>
      <c r="Q32" s="1"/>
      <c r="R32" s="1"/>
      <c r="S32" s="17">
        <f t="shared" si="5"/>
        <v>0.79024828685355375</v>
      </c>
      <c r="T32" s="17">
        <f t="shared" si="6"/>
        <v>6.7753381356725066</v>
      </c>
      <c r="U32" s="17">
        <f t="shared" si="7"/>
        <v>0</v>
      </c>
      <c r="V32">
        <f t="shared" si="13"/>
        <v>0</v>
      </c>
      <c r="W32">
        <f t="shared" si="14"/>
        <v>0</v>
      </c>
      <c r="X32">
        <f t="shared" si="15"/>
        <v>0</v>
      </c>
      <c r="Y32">
        <f t="shared" si="16"/>
        <v>0</v>
      </c>
      <c r="Z32" s="8">
        <f t="shared" si="23"/>
        <v>0</v>
      </c>
      <c r="AA32" s="8">
        <v>0.43</v>
      </c>
      <c r="AB32" s="8">
        <f t="shared" ref="AB32:AB35" si="26">N32*25</f>
        <v>0</v>
      </c>
      <c r="AC32" s="8"/>
      <c r="AD32" s="8">
        <f t="shared" si="2"/>
        <v>0</v>
      </c>
      <c r="AE32" s="13">
        <v>29</v>
      </c>
      <c r="AF32" s="13">
        <f t="shared" si="3"/>
        <v>25.786799999999999</v>
      </c>
      <c r="AG32" s="13">
        <f t="shared" si="17"/>
        <v>8.1407206738151334</v>
      </c>
      <c r="AH32" s="13">
        <v>70</v>
      </c>
      <c r="AI32" s="13">
        <f t="shared" si="18"/>
        <v>9.6666666666666661</v>
      </c>
      <c r="AJ32" s="13">
        <f t="shared" si="19"/>
        <v>351.20154295133915</v>
      </c>
      <c r="AK32" s="13"/>
      <c r="AL32" s="13"/>
      <c r="AM32" s="13"/>
      <c r="AN32" s="13"/>
    </row>
    <row r="33" spans="1:40" x14ac:dyDescent="0.2">
      <c r="A33" s="23" t="s">
        <v>130</v>
      </c>
      <c r="B33" s="1" t="s">
        <v>131</v>
      </c>
      <c r="C33" s="1">
        <f>C35+(SUM(AM2:AM32)/(1+0.045)^30)</f>
        <v>250</v>
      </c>
      <c r="D33" s="1">
        <f>C33*$D$13</f>
        <v>1377.2750000000001</v>
      </c>
      <c r="E33" s="1">
        <v>30</v>
      </c>
      <c r="F33" s="8">
        <f t="shared" si="20"/>
        <v>346.0496491228069</v>
      </c>
      <c r="G33" s="15">
        <f>VLOOKUP(Calcul!E33,Acct!$A$2:$H$10,8,)</f>
        <v>28</v>
      </c>
      <c r="H33" s="8">
        <f t="shared" si="25"/>
        <v>193.44175385964905</v>
      </c>
      <c r="I33" s="8">
        <f t="shared" si="10"/>
        <v>48.300078906021874</v>
      </c>
      <c r="J33" s="8">
        <v>70</v>
      </c>
      <c r="K33" s="8">
        <f t="shared" si="4"/>
        <v>10</v>
      </c>
      <c r="L33" s="8">
        <f t="shared" si="21"/>
        <v>714.36702540021008</v>
      </c>
      <c r="M33" s="8">
        <f t="shared" si="11"/>
        <v>18.860359050144169</v>
      </c>
      <c r="N33" s="8">
        <v>61</v>
      </c>
      <c r="O33" s="1"/>
      <c r="P33" s="1">
        <v>20</v>
      </c>
      <c r="Q33" s="1">
        <v>41</v>
      </c>
      <c r="R33" s="1"/>
      <c r="S33" s="17">
        <f t="shared" si="5"/>
        <v>4.0110691278222603</v>
      </c>
      <c r="T33" s="17">
        <f t="shared" si="6"/>
        <v>14.84928992232191</v>
      </c>
      <c r="U33" s="17">
        <f t="shared" si="7"/>
        <v>0</v>
      </c>
      <c r="V33">
        <f t="shared" si="13"/>
        <v>0</v>
      </c>
      <c r="W33">
        <f t="shared" si="14"/>
        <v>0</v>
      </c>
      <c r="X33">
        <f t="shared" si="15"/>
        <v>31.57</v>
      </c>
      <c r="Y33">
        <f t="shared" si="16"/>
        <v>0</v>
      </c>
      <c r="Z33" s="8">
        <f t="shared" si="23"/>
        <v>26.23</v>
      </c>
      <c r="AA33" s="8">
        <v>0.43</v>
      </c>
      <c r="AB33" s="8">
        <f t="shared" si="26"/>
        <v>1525</v>
      </c>
      <c r="AC33" s="8"/>
      <c r="AD33" s="8">
        <f t="shared" si="2"/>
        <v>407.1750236481796</v>
      </c>
      <c r="AE33" s="13">
        <v>30</v>
      </c>
      <c r="AF33" s="13">
        <f t="shared" si="3"/>
        <v>26.675999999999998</v>
      </c>
      <c r="AG33" s="13">
        <f t="shared" si="17"/>
        <v>8.388268495647786</v>
      </c>
      <c r="AH33" s="13">
        <v>70</v>
      </c>
      <c r="AI33" s="13">
        <f t="shared" si="18"/>
        <v>10</v>
      </c>
      <c r="AJ33" s="13">
        <f t="shared" si="19"/>
        <v>354.40360096325321</v>
      </c>
      <c r="AK33" s="13">
        <v>30</v>
      </c>
      <c r="AL33" s="13">
        <v>0.25</v>
      </c>
      <c r="AM33" s="13">
        <f>AL33*AK33</f>
        <v>7.5</v>
      </c>
      <c r="AN33" s="13">
        <f>AK33*7</f>
        <v>210</v>
      </c>
    </row>
    <row r="34" spans="1:40" x14ac:dyDescent="0.2">
      <c r="A34" s="23"/>
      <c r="B34" s="1" t="s">
        <v>132</v>
      </c>
      <c r="C34" s="1">
        <f>C35+SUM(AD4:AD63)</f>
        <v>-7422.6268654961914</v>
      </c>
      <c r="D34" s="1">
        <f t="shared" ref="D34:D36" si="27">C34*$D$13</f>
        <v>-40891.993664705071</v>
      </c>
      <c r="E34" s="1">
        <v>31</v>
      </c>
      <c r="F34" s="8">
        <f t="shared" si="20"/>
        <v>373.64964912280692</v>
      </c>
      <c r="G34" s="15">
        <v>27.6</v>
      </c>
      <c r="H34" s="8">
        <f t="shared" si="25"/>
        <v>208.87015385964906</v>
      </c>
      <c r="I34" s="8">
        <f t="shared" si="10"/>
        <v>51.68860842345007</v>
      </c>
      <c r="J34" s="8">
        <v>70</v>
      </c>
      <c r="K34" s="8">
        <f t="shared" si="4"/>
        <v>10</v>
      </c>
      <c r="L34" s="8">
        <f t="shared" ref="L34:L47" si="28">((H34+I34)*0.475+J34+K34)*(44/12)</f>
        <v>747.13984430973096</v>
      </c>
      <c r="M34" s="8">
        <f t="shared" si="11"/>
        <v>17.27948948859693</v>
      </c>
      <c r="N34" s="8">
        <f t="shared" si="12"/>
        <v>0</v>
      </c>
      <c r="O34" s="1"/>
      <c r="P34" s="1"/>
      <c r="Q34" s="1"/>
      <c r="R34" s="1"/>
      <c r="S34" s="17">
        <f t="shared" si="5"/>
        <v>2.8362541800911312</v>
      </c>
      <c r="T34" s="17">
        <f t="shared" si="6"/>
        <v>14.443235308505798</v>
      </c>
      <c r="U34" s="17">
        <f t="shared" si="7"/>
        <v>0</v>
      </c>
      <c r="V34">
        <f t="shared" si="13"/>
        <v>0</v>
      </c>
      <c r="W34">
        <f t="shared" si="14"/>
        <v>0</v>
      </c>
      <c r="X34">
        <f t="shared" si="15"/>
        <v>0</v>
      </c>
      <c r="Y34">
        <f t="shared" si="16"/>
        <v>0</v>
      </c>
      <c r="Z34" s="8">
        <f t="shared" ref="Z34:Z62" si="29">Y34+X34+W34+V34</f>
        <v>0</v>
      </c>
      <c r="AA34" s="8"/>
      <c r="AB34" s="8">
        <f t="shared" si="26"/>
        <v>0</v>
      </c>
      <c r="AC34" s="8"/>
      <c r="AD34" s="8">
        <f t="shared" si="2"/>
        <v>0</v>
      </c>
    </row>
    <row r="35" spans="1:40" x14ac:dyDescent="0.2">
      <c r="A35" s="23"/>
      <c r="B35" s="1" t="s">
        <v>133</v>
      </c>
      <c r="C35" s="1">
        <v>250</v>
      </c>
      <c r="D35" s="1">
        <f>C35*$D$13</f>
        <v>1377.2750000000001</v>
      </c>
      <c r="E35" s="1">
        <v>32</v>
      </c>
      <c r="F35" s="8">
        <f t="shared" si="20"/>
        <v>401.24964912280694</v>
      </c>
      <c r="G35" s="15">
        <v>27.6</v>
      </c>
      <c r="H35" s="8">
        <f t="shared" si="0"/>
        <v>224.2985538596491</v>
      </c>
      <c r="I35" s="8">
        <f t="shared" si="10"/>
        <v>55.048100393139237</v>
      </c>
      <c r="J35" s="8">
        <v>70</v>
      </c>
      <c r="K35" s="8">
        <f t="shared" si="4"/>
        <v>10</v>
      </c>
      <c r="L35" s="8">
        <f t="shared" si="28"/>
        <v>779.86208949027298</v>
      </c>
      <c r="M35" s="8">
        <f t="shared" si="11"/>
        <v>16.0538188433691</v>
      </c>
      <c r="N35" s="8">
        <f t="shared" si="12"/>
        <v>0</v>
      </c>
      <c r="O35" s="1"/>
      <c r="P35" s="1"/>
      <c r="Q35" s="1"/>
      <c r="R35" s="1"/>
      <c r="S35" s="17">
        <f t="shared" si="5"/>
        <v>2.0055345639111302</v>
      </c>
      <c r="T35" s="17">
        <f t="shared" si="6"/>
        <v>14.048284279457972</v>
      </c>
      <c r="U35" s="17">
        <f t="shared" si="7"/>
        <v>0</v>
      </c>
      <c r="V35">
        <f t="shared" si="13"/>
        <v>0</v>
      </c>
      <c r="W35">
        <f t="shared" si="14"/>
        <v>0</v>
      </c>
      <c r="X35">
        <f t="shared" si="15"/>
        <v>0</v>
      </c>
      <c r="Y35">
        <f t="shared" si="16"/>
        <v>0</v>
      </c>
      <c r="Z35" s="8">
        <f t="shared" si="29"/>
        <v>0</v>
      </c>
      <c r="AA35" s="8"/>
      <c r="AB35" s="8">
        <f t="shared" si="26"/>
        <v>0</v>
      </c>
      <c r="AC35" s="8"/>
      <c r="AD35" s="8">
        <f t="shared" ref="AD35:AD63" si="30">(AB35-AC35)/((1+0.045)^E35)</f>
        <v>0</v>
      </c>
    </row>
    <row r="36" spans="1:40" x14ac:dyDescent="0.2">
      <c r="A36" s="23"/>
      <c r="B36" s="1" t="s">
        <v>134</v>
      </c>
      <c r="C36" s="1">
        <f>C34-C33</f>
        <v>-7672.6268654961914</v>
      </c>
      <c r="D36" s="1">
        <f t="shared" si="27"/>
        <v>-42269.268664705072</v>
      </c>
      <c r="E36" s="1">
        <v>33</v>
      </c>
      <c r="F36" s="8">
        <f t="shared" si="20"/>
        <v>428.84964912280697</v>
      </c>
      <c r="G36" s="15">
        <v>27.6</v>
      </c>
      <c r="H36" s="8">
        <f t="shared" si="0"/>
        <v>239.72695385964909</v>
      </c>
      <c r="I36" s="8">
        <f t="shared" si="10"/>
        <v>58.380779383486036</v>
      </c>
      <c r="J36" s="8">
        <v>70</v>
      </c>
      <c r="K36" s="8">
        <f t="shared" ref="K36:K63" si="31">MIN(10,E36*((10-10*Pourcentage_nettoyage)/30))</f>
        <v>10</v>
      </c>
      <c r="L36" s="8">
        <f t="shared" si="28"/>
        <v>812.53763539846022</v>
      </c>
      <c r="M36" s="8">
        <f t="shared" si="11"/>
        <v>15.082260297114598</v>
      </c>
      <c r="N36" s="8">
        <f t="shared" si="12"/>
        <v>0</v>
      </c>
      <c r="O36" s="1"/>
      <c r="P36" s="1"/>
      <c r="Q36" s="1"/>
      <c r="R36" s="1"/>
      <c r="S36" s="17">
        <f t="shared" ref="S36:S63" si="32">(1/(EXP(1)^(LN(2)/$P$1)))*S35+((1-(1/(EXP(1)^(LN(2)/$P$1))))/(LN(2)/$P$1))*(P36*infran_projet*0.475)</f>
        <v>1.4181270900455656</v>
      </c>
      <c r="T36" s="17">
        <f t="shared" ref="T36:T63" si="33">(1/(EXP(1)^(LN(2)/$Q$1)))*T35+((1-(1/(EXP(1)^(LN(2)/$Q$1))))/(LN(2)/$Q$1))*(Q36*infran_projet*0.475)</f>
        <v>13.664133207069032</v>
      </c>
      <c r="U36" s="17">
        <f t="shared" ref="U36:U63" si="34">(1/(EXP(1)^(LN(2)/$R$1)))*U35+((1-(1/(EXP(1)^(LN(2)/$R$1))))/(LN(2)/$R$1))*(R36*0.5*infran_projet*0.475)</f>
        <v>0</v>
      </c>
      <c r="V36">
        <f t="shared" si="13"/>
        <v>0</v>
      </c>
      <c r="W36">
        <f t="shared" si="14"/>
        <v>0</v>
      </c>
      <c r="X36">
        <f t="shared" si="15"/>
        <v>0</v>
      </c>
      <c r="Y36">
        <f t="shared" si="16"/>
        <v>0</v>
      </c>
      <c r="Z36" s="8">
        <f t="shared" si="29"/>
        <v>0</v>
      </c>
      <c r="AA36" s="8"/>
      <c r="AB36" s="8">
        <f>N36*30</f>
        <v>0</v>
      </c>
      <c r="AC36" s="8"/>
      <c r="AD36" s="8">
        <f t="shared" si="30"/>
        <v>0</v>
      </c>
    </row>
    <row r="37" spans="1:40" x14ac:dyDescent="0.2">
      <c r="E37" s="1">
        <v>34</v>
      </c>
      <c r="F37" s="8">
        <f t="shared" si="20"/>
        <v>456.44964912280699</v>
      </c>
      <c r="G37" s="15">
        <v>27.6</v>
      </c>
      <c r="H37" s="8">
        <f t="shared" si="0"/>
        <v>255.1553538596491</v>
      </c>
      <c r="I37" s="8">
        <f t="shared" si="10"/>
        <v>61.68856743430436</v>
      </c>
      <c r="J37" s="8">
        <v>70</v>
      </c>
      <c r="K37" s="8">
        <f t="shared" si="31"/>
        <v>10</v>
      </c>
      <c r="L37" s="8">
        <f t="shared" si="28"/>
        <v>845.16982958696894</v>
      </c>
      <c r="M37" s="8">
        <f t="shared" si="11"/>
        <v>14.293254047911759</v>
      </c>
      <c r="N37" s="8">
        <f t="shared" si="12"/>
        <v>0</v>
      </c>
      <c r="O37" s="1"/>
      <c r="P37" s="1"/>
      <c r="Q37" s="1"/>
      <c r="R37" s="1"/>
      <c r="S37" s="17">
        <f t="shared" si="32"/>
        <v>1.0027672819555651</v>
      </c>
      <c r="T37" s="17">
        <f t="shared" si="33"/>
        <v>13.290486765956194</v>
      </c>
      <c r="U37" s="17">
        <f t="shared" si="34"/>
        <v>0</v>
      </c>
      <c r="V37">
        <f t="shared" si="13"/>
        <v>0</v>
      </c>
      <c r="W37">
        <f t="shared" si="14"/>
        <v>0</v>
      </c>
      <c r="X37">
        <f t="shared" si="15"/>
        <v>0</v>
      </c>
      <c r="Y37">
        <f t="shared" si="16"/>
        <v>0</v>
      </c>
      <c r="Z37" s="8">
        <f t="shared" si="29"/>
        <v>0</v>
      </c>
      <c r="AA37" s="8"/>
      <c r="AB37" s="8">
        <f t="shared" ref="AB37:AB41" si="35">N37*30</f>
        <v>0</v>
      </c>
      <c r="AC37" s="8"/>
      <c r="AD37" s="8">
        <f t="shared" si="30"/>
        <v>0</v>
      </c>
    </row>
    <row r="38" spans="1:40" x14ac:dyDescent="0.2">
      <c r="E38" s="1">
        <v>35</v>
      </c>
      <c r="F38" s="8">
        <f t="shared" si="20"/>
        <v>420.04964912280701</v>
      </c>
      <c r="G38" s="15">
        <f>VLOOKUP(Calcul!E38,Acct!$A$2:$H$10,8,)</f>
        <v>27.6</v>
      </c>
      <c r="H38" s="8">
        <f t="shared" si="0"/>
        <v>234.80775385964913</v>
      </c>
      <c r="I38" s="8">
        <f t="shared" si="10"/>
        <v>57.320975366571119</v>
      </c>
      <c r="J38" s="8">
        <v>70</v>
      </c>
      <c r="K38" s="8">
        <f t="shared" si="31"/>
        <v>10</v>
      </c>
      <c r="L38" s="8">
        <f t="shared" si="28"/>
        <v>802.12420340233348</v>
      </c>
      <c r="M38" s="8">
        <f t="shared" si="11"/>
        <v>23.945475836844693</v>
      </c>
      <c r="N38" s="8">
        <v>64</v>
      </c>
      <c r="O38" s="1"/>
      <c r="P38" s="1">
        <v>20</v>
      </c>
      <c r="Q38" s="1">
        <v>24</v>
      </c>
      <c r="R38" s="1">
        <v>20</v>
      </c>
      <c r="S38" s="17">
        <f t="shared" si="32"/>
        <v>4.161342750389843</v>
      </c>
      <c r="T38" s="17">
        <f t="shared" si="33"/>
        <v>17.761725275752944</v>
      </c>
      <c r="U38" s="17">
        <f t="shared" si="34"/>
        <v>2.0224078107019059</v>
      </c>
      <c r="V38">
        <f t="shared" si="13"/>
        <v>0</v>
      </c>
      <c r="W38">
        <f t="shared" si="14"/>
        <v>0</v>
      </c>
      <c r="X38">
        <f t="shared" si="15"/>
        <v>18.48</v>
      </c>
      <c r="Y38">
        <f t="shared" si="16"/>
        <v>30.4</v>
      </c>
      <c r="Z38" s="8">
        <f t="shared" si="29"/>
        <v>48.879999999999995</v>
      </c>
      <c r="AA38" s="8"/>
      <c r="AB38" s="8">
        <f t="shared" si="35"/>
        <v>1920</v>
      </c>
      <c r="AC38" s="8"/>
      <c r="AD38" s="8">
        <f t="shared" si="30"/>
        <v>411.36852836984349</v>
      </c>
    </row>
    <row r="39" spans="1:40" x14ac:dyDescent="0.2">
      <c r="E39" s="1">
        <v>36</v>
      </c>
      <c r="F39" s="8">
        <f t="shared" si="20"/>
        <v>445.64964912280703</v>
      </c>
      <c r="G39" s="15">
        <v>25.6</v>
      </c>
      <c r="H39" s="8">
        <f t="shared" si="0"/>
        <v>249.11815385964917</v>
      </c>
      <c r="I39" s="8">
        <f t="shared" si="10"/>
        <v>60.397067956303204</v>
      </c>
      <c r="J39" s="8">
        <v>70</v>
      </c>
      <c r="K39" s="8">
        <f t="shared" si="31"/>
        <v>10</v>
      </c>
      <c r="L39" s="8">
        <f t="shared" si="28"/>
        <v>832.40567799611699</v>
      </c>
      <c r="M39" s="8">
        <f t="shared" si="11"/>
        <v>22.201293268762083</v>
      </c>
      <c r="N39" s="8">
        <f t="shared" si="12"/>
        <v>0</v>
      </c>
      <c r="O39" s="1"/>
      <c r="P39" s="1"/>
      <c r="Q39" s="1"/>
      <c r="R39" s="1"/>
      <c r="S39" s="17">
        <f t="shared" si="32"/>
        <v>2.942513677642137</v>
      </c>
      <c r="T39" s="17">
        <f t="shared" si="33"/>
        <v>17.276029964038944</v>
      </c>
      <c r="U39" s="17">
        <f t="shared" si="34"/>
        <v>1.9827496270810037</v>
      </c>
      <c r="V39">
        <f t="shared" si="13"/>
        <v>0</v>
      </c>
      <c r="W39">
        <f t="shared" si="14"/>
        <v>0</v>
      </c>
      <c r="X39">
        <f t="shared" si="15"/>
        <v>0</v>
      </c>
      <c r="Y39">
        <f t="shared" si="16"/>
        <v>0</v>
      </c>
      <c r="Z39" s="8">
        <f t="shared" si="29"/>
        <v>0</v>
      </c>
      <c r="AA39" s="8"/>
      <c r="AB39" s="8">
        <f t="shared" si="35"/>
        <v>0</v>
      </c>
      <c r="AC39" s="8"/>
      <c r="AD39" s="8">
        <f t="shared" si="30"/>
        <v>0</v>
      </c>
    </row>
    <row r="40" spans="1:40" x14ac:dyDescent="0.2">
      <c r="E40" s="1">
        <v>37</v>
      </c>
      <c r="F40" s="8">
        <f t="shared" si="20"/>
        <v>471.24964912280706</v>
      </c>
      <c r="G40" s="15">
        <v>25.6</v>
      </c>
      <c r="H40" s="8">
        <f t="shared" si="0"/>
        <v>263.42855385964913</v>
      </c>
      <c r="I40" s="8">
        <f t="shared" si="10"/>
        <v>63.45264893299364</v>
      </c>
      <c r="J40" s="8">
        <v>70</v>
      </c>
      <c r="K40" s="8">
        <f t="shared" si="31"/>
        <v>10</v>
      </c>
      <c r="L40" s="8">
        <f t="shared" si="28"/>
        <v>862.65142819718596</v>
      </c>
      <c r="M40" s="8">
        <f t="shared" si="11"/>
        <v>20.828156507612093</v>
      </c>
      <c r="N40" s="8">
        <f t="shared" si="12"/>
        <v>0</v>
      </c>
      <c r="O40" s="1"/>
      <c r="P40" s="1"/>
      <c r="Q40" s="1"/>
      <c r="R40" s="1"/>
      <c r="S40" s="17">
        <f t="shared" si="32"/>
        <v>2.080671375194922</v>
      </c>
      <c r="T40" s="17">
        <f t="shared" si="33"/>
        <v>16.803616016165368</v>
      </c>
      <c r="U40" s="17">
        <f t="shared" si="34"/>
        <v>1.9438691162518038</v>
      </c>
      <c r="V40">
        <f t="shared" si="13"/>
        <v>0</v>
      </c>
      <c r="W40">
        <f t="shared" si="14"/>
        <v>0</v>
      </c>
      <c r="X40">
        <f t="shared" si="15"/>
        <v>0</v>
      </c>
      <c r="Y40">
        <f t="shared" si="16"/>
        <v>0</v>
      </c>
      <c r="Z40" s="8">
        <f t="shared" si="29"/>
        <v>0</v>
      </c>
      <c r="AA40" s="8"/>
      <c r="AB40" s="8">
        <f t="shared" si="35"/>
        <v>0</v>
      </c>
      <c r="AC40" s="8"/>
      <c r="AD40" s="8">
        <f t="shared" si="30"/>
        <v>0</v>
      </c>
    </row>
    <row r="41" spans="1:40" x14ac:dyDescent="0.2">
      <c r="E41" s="1">
        <v>38</v>
      </c>
      <c r="F41" s="8">
        <f t="shared" si="20"/>
        <v>496.84964912280708</v>
      </c>
      <c r="G41" s="15">
        <v>25.6</v>
      </c>
      <c r="H41" s="8">
        <f t="shared" si="0"/>
        <v>277.7389538596492</v>
      </c>
      <c r="I41" s="8">
        <f t="shared" si="10"/>
        <v>66.488959591382724</v>
      </c>
      <c r="J41" s="8">
        <v>70</v>
      </c>
      <c r="K41" s="8">
        <f t="shared" si="31"/>
        <v>10</v>
      </c>
      <c r="L41" s="8">
        <f t="shared" si="28"/>
        <v>892.86361592721391</v>
      </c>
      <c r="M41" s="8">
        <f t="shared" si="11"/>
        <v>19.721128119885829</v>
      </c>
      <c r="N41" s="8">
        <f t="shared" si="12"/>
        <v>0</v>
      </c>
      <c r="O41" s="1"/>
      <c r="P41" s="1"/>
      <c r="Q41" s="1"/>
      <c r="R41" s="1"/>
      <c r="S41" s="17">
        <f t="shared" si="32"/>
        <v>1.4712568388210687</v>
      </c>
      <c r="T41" s="17">
        <f t="shared" si="33"/>
        <v>16.344120252539565</v>
      </c>
      <c r="U41" s="17">
        <f t="shared" si="34"/>
        <v>1.9057510285251946</v>
      </c>
      <c r="V41">
        <f t="shared" si="13"/>
        <v>0</v>
      </c>
      <c r="W41">
        <f t="shared" si="14"/>
        <v>0</v>
      </c>
      <c r="X41">
        <f t="shared" si="15"/>
        <v>0</v>
      </c>
      <c r="Y41">
        <f t="shared" si="16"/>
        <v>0</v>
      </c>
      <c r="Z41" s="8">
        <f t="shared" si="29"/>
        <v>0</v>
      </c>
      <c r="AA41" s="8"/>
      <c r="AB41" s="8">
        <f t="shared" si="35"/>
        <v>0</v>
      </c>
      <c r="AC41" s="8"/>
      <c r="AD41" s="8">
        <f t="shared" si="30"/>
        <v>0</v>
      </c>
    </row>
    <row r="42" spans="1:40" x14ac:dyDescent="0.2">
      <c r="E42" s="1">
        <v>39</v>
      </c>
      <c r="F42" s="8">
        <f t="shared" si="20"/>
        <v>522.44964912280705</v>
      </c>
      <c r="G42" s="15">
        <v>25.6</v>
      </c>
      <c r="H42" s="8">
        <f t="shared" si="0"/>
        <v>292.04935385964916</v>
      </c>
      <c r="I42" s="8">
        <f t="shared" si="10"/>
        <v>69.507106086706528</v>
      </c>
      <c r="J42" s="8">
        <v>70</v>
      </c>
      <c r="K42" s="8">
        <f t="shared" si="31"/>
        <v>10</v>
      </c>
      <c r="L42" s="8">
        <f t="shared" si="28"/>
        <v>923.04416773990272</v>
      </c>
      <c r="M42" s="8">
        <f t="shared" si="11"/>
        <v>18.80590552558057</v>
      </c>
      <c r="N42" s="8">
        <f t="shared" si="12"/>
        <v>0</v>
      </c>
      <c r="O42" s="1"/>
      <c r="P42" s="1"/>
      <c r="Q42" s="1"/>
      <c r="R42" s="1"/>
      <c r="S42" s="17">
        <f t="shared" si="32"/>
        <v>1.0403356875974612</v>
      </c>
      <c r="T42" s="17">
        <f t="shared" si="33"/>
        <v>15.897189424733941</v>
      </c>
      <c r="U42" s="17">
        <f t="shared" si="34"/>
        <v>1.8683804132491664</v>
      </c>
      <c r="V42">
        <f t="shared" si="13"/>
        <v>0</v>
      </c>
      <c r="W42">
        <f t="shared" si="14"/>
        <v>0</v>
      </c>
      <c r="X42">
        <f t="shared" si="15"/>
        <v>0</v>
      </c>
      <c r="Y42">
        <f t="shared" si="16"/>
        <v>0</v>
      </c>
      <c r="Z42" s="8">
        <f t="shared" si="29"/>
        <v>0</v>
      </c>
      <c r="AA42" s="8"/>
      <c r="AB42" s="8">
        <f>N42*30</f>
        <v>0</v>
      </c>
      <c r="AC42" s="8"/>
      <c r="AD42" s="8">
        <f t="shared" si="30"/>
        <v>0</v>
      </c>
    </row>
    <row r="43" spans="1:40" x14ac:dyDescent="0.2">
      <c r="E43" s="1">
        <v>40</v>
      </c>
      <c r="F43" s="8">
        <f t="shared" si="20"/>
        <v>484.04964912280707</v>
      </c>
      <c r="G43" s="15">
        <f>VLOOKUP(Calcul!E43,Acct!$A$2:$H$10,8,)</f>
        <v>25.6</v>
      </c>
      <c r="H43" s="8">
        <f t="shared" si="0"/>
        <v>270.58375385964916</v>
      </c>
      <c r="I43" s="8">
        <f t="shared" si="10"/>
        <v>64.973141013432027</v>
      </c>
      <c r="J43" s="8">
        <v>70</v>
      </c>
      <c r="K43" s="8">
        <f t="shared" si="31"/>
        <v>10</v>
      </c>
      <c r="L43" s="8">
        <f t="shared" si="28"/>
        <v>877.76159190394969</v>
      </c>
      <c r="M43" s="8">
        <f t="shared" si="11"/>
        <v>26.21973258305426</v>
      </c>
      <c r="N43" s="8">
        <v>64</v>
      </c>
      <c r="O43" s="1"/>
      <c r="P43" s="1">
        <v>10</v>
      </c>
      <c r="Q43" s="1">
        <v>10</v>
      </c>
      <c r="R43" s="1">
        <v>44</v>
      </c>
      <c r="S43" s="17">
        <f t="shared" si="32"/>
        <v>2.4617680220940645</v>
      </c>
      <c r="T43" s="17">
        <f t="shared" si="33"/>
        <v>17.476924764471129</v>
      </c>
      <c r="U43" s="17">
        <f t="shared" si="34"/>
        <v>6.2810397964890683</v>
      </c>
      <c r="V43">
        <f t="shared" si="13"/>
        <v>0</v>
      </c>
      <c r="W43">
        <f t="shared" si="14"/>
        <v>0</v>
      </c>
      <c r="X43">
        <f t="shared" si="15"/>
        <v>7.7</v>
      </c>
      <c r="Y43">
        <f t="shared" si="16"/>
        <v>66.88</v>
      </c>
      <c r="Z43" s="8">
        <f t="shared" si="29"/>
        <v>74.58</v>
      </c>
      <c r="AA43" s="8"/>
      <c r="AB43" s="8">
        <f t="shared" ref="AB43:AB47" si="36">N43*30</f>
        <v>1920</v>
      </c>
      <c r="AC43" s="8"/>
      <c r="AD43" s="8">
        <f t="shared" si="30"/>
        <v>330.10310608782731</v>
      </c>
    </row>
    <row r="44" spans="1:40" x14ac:dyDescent="0.2">
      <c r="E44" s="1">
        <v>41</v>
      </c>
      <c r="F44" s="8">
        <f t="shared" si="20"/>
        <v>506.84964912280708</v>
      </c>
      <c r="G44" s="15">
        <v>22.8</v>
      </c>
      <c r="H44" s="8">
        <f t="shared" si="0"/>
        <v>283.32895385964918</v>
      </c>
      <c r="I44" s="8">
        <f t="shared" si="10"/>
        <v>67.670027880887773</v>
      </c>
      <c r="J44" s="8">
        <v>70</v>
      </c>
      <c r="K44" s="8">
        <f t="shared" si="31"/>
        <v>10</v>
      </c>
      <c r="L44" s="8">
        <f t="shared" si="28"/>
        <v>904.65655986476838</v>
      </c>
      <c r="M44" s="8">
        <f t="shared" si="11"/>
        <v>24.897622636981957</v>
      </c>
      <c r="N44" s="8">
        <f t="shared" si="12"/>
        <v>0</v>
      </c>
      <c r="O44" s="1"/>
      <c r="P44" s="1"/>
      <c r="Q44" s="1"/>
      <c r="R44" s="1"/>
      <c r="S44" s="17">
        <f t="shared" si="32"/>
        <v>1.7407328621309077</v>
      </c>
      <c r="T44" s="17">
        <f t="shared" si="33"/>
        <v>16.999017337715138</v>
      </c>
      <c r="U44" s="17">
        <f t="shared" si="34"/>
        <v>6.157872437135909</v>
      </c>
      <c r="V44">
        <f t="shared" si="13"/>
        <v>0</v>
      </c>
      <c r="W44">
        <f t="shared" si="14"/>
        <v>0</v>
      </c>
      <c r="X44">
        <f t="shared" si="15"/>
        <v>0</v>
      </c>
      <c r="Y44">
        <f t="shared" si="16"/>
        <v>0</v>
      </c>
      <c r="Z44" s="8">
        <f t="shared" si="29"/>
        <v>0</v>
      </c>
      <c r="AA44" s="8"/>
      <c r="AB44" s="8">
        <f t="shared" si="36"/>
        <v>0</v>
      </c>
      <c r="AC44" s="8"/>
      <c r="AD44" s="8">
        <f t="shared" si="30"/>
        <v>0</v>
      </c>
    </row>
    <row r="45" spans="1:40" x14ac:dyDescent="0.2">
      <c r="E45" s="1">
        <v>42</v>
      </c>
      <c r="F45" s="8">
        <f t="shared" si="20"/>
        <v>529.64964912280709</v>
      </c>
      <c r="G45" s="15">
        <v>22.8</v>
      </c>
      <c r="H45" s="8">
        <f t="shared" si="0"/>
        <v>296.07415385964919</v>
      </c>
      <c r="I45" s="8">
        <f t="shared" si="10"/>
        <v>70.352825442840583</v>
      </c>
      <c r="J45" s="8">
        <v>70</v>
      </c>
      <c r="K45" s="8">
        <f t="shared" si="31"/>
        <v>10</v>
      </c>
      <c r="L45" s="8">
        <f t="shared" si="28"/>
        <v>931.5269889518363</v>
      </c>
      <c r="M45" s="8">
        <f t="shared" si="11"/>
        <v>23.802182640297872</v>
      </c>
      <c r="N45" s="8">
        <f t="shared" si="12"/>
        <v>0</v>
      </c>
      <c r="O45" s="1"/>
      <c r="P45" s="1"/>
      <c r="Q45" s="1"/>
      <c r="R45" s="1"/>
      <c r="S45" s="17">
        <f t="shared" si="32"/>
        <v>1.2308840110470325</v>
      </c>
      <c r="T45" s="17">
        <f t="shared" si="33"/>
        <v>16.534178314675849</v>
      </c>
      <c r="U45" s="17">
        <f t="shared" si="34"/>
        <v>6.0371203145749934</v>
      </c>
      <c r="V45">
        <f t="shared" si="13"/>
        <v>0</v>
      </c>
      <c r="W45">
        <f t="shared" si="14"/>
        <v>0</v>
      </c>
      <c r="X45">
        <f t="shared" si="15"/>
        <v>0</v>
      </c>
      <c r="Y45">
        <f t="shared" si="16"/>
        <v>0</v>
      </c>
      <c r="Z45" s="8">
        <f t="shared" si="29"/>
        <v>0</v>
      </c>
      <c r="AA45" s="8"/>
      <c r="AB45" s="8">
        <f t="shared" si="36"/>
        <v>0</v>
      </c>
      <c r="AC45" s="8"/>
      <c r="AD45" s="8">
        <f t="shared" si="30"/>
        <v>0</v>
      </c>
    </row>
    <row r="46" spans="1:40" x14ac:dyDescent="0.2">
      <c r="E46" s="1">
        <v>43</v>
      </c>
      <c r="F46" s="8">
        <f t="shared" si="20"/>
        <v>552.44964912280705</v>
      </c>
      <c r="G46" s="15">
        <v>22.8</v>
      </c>
      <c r="H46" s="8">
        <f t="shared" si="0"/>
        <v>308.81935385964914</v>
      </c>
      <c r="I46" s="8">
        <f t="shared" si="10"/>
        <v>73.022209536042411</v>
      </c>
      <c r="J46" s="8">
        <v>70</v>
      </c>
      <c r="K46" s="8">
        <f t="shared" si="31"/>
        <v>10</v>
      </c>
      <c r="L46" s="8">
        <f t="shared" si="28"/>
        <v>958.37405624749601</v>
      </c>
      <c r="M46" s="8">
        <f t="shared" si="11"/>
        <v>22.871152837717815</v>
      </c>
      <c r="N46" s="8">
        <f t="shared" si="12"/>
        <v>0</v>
      </c>
      <c r="O46" s="1"/>
      <c r="P46" s="1"/>
      <c r="Q46" s="1"/>
      <c r="R46" s="1"/>
      <c r="S46" s="17">
        <f t="shared" si="32"/>
        <v>0.87036643106545397</v>
      </c>
      <c r="T46" s="17">
        <f t="shared" si="33"/>
        <v>16.08205033916639</v>
      </c>
      <c r="U46" s="17">
        <f t="shared" si="34"/>
        <v>5.918736067485975</v>
      </c>
      <c r="V46">
        <f t="shared" si="13"/>
        <v>0</v>
      </c>
      <c r="W46">
        <f t="shared" si="14"/>
        <v>0</v>
      </c>
      <c r="X46">
        <f t="shared" si="15"/>
        <v>0</v>
      </c>
      <c r="Y46">
        <f t="shared" si="16"/>
        <v>0</v>
      </c>
      <c r="Z46" s="8">
        <f t="shared" si="29"/>
        <v>0</v>
      </c>
      <c r="AA46" s="8"/>
      <c r="AB46" s="8">
        <f t="shared" si="36"/>
        <v>0</v>
      </c>
      <c r="AC46" s="8"/>
      <c r="AD46" s="8">
        <f t="shared" si="30"/>
        <v>0</v>
      </c>
    </row>
    <row r="47" spans="1:40" x14ac:dyDescent="0.2">
      <c r="E47" s="1">
        <v>44</v>
      </c>
      <c r="F47" s="8">
        <f t="shared" si="20"/>
        <v>575.249649122807</v>
      </c>
      <c r="G47" s="15">
        <v>22.8</v>
      </c>
      <c r="H47" s="8">
        <f t="shared" si="0"/>
        <v>321.5645538596491</v>
      </c>
      <c r="I47" s="8">
        <f t="shared" si="10"/>
        <v>75.678797056285916</v>
      </c>
      <c r="J47" s="8">
        <v>70</v>
      </c>
      <c r="K47" s="8">
        <f t="shared" si="31"/>
        <v>10</v>
      </c>
      <c r="L47" s="8">
        <f t="shared" si="28"/>
        <v>985.19883617858682</v>
      </c>
      <c r="M47" s="8">
        <f t="shared" si="11"/>
        <v>22.060401095722241</v>
      </c>
      <c r="N47" s="8">
        <f t="shared" si="12"/>
        <v>0</v>
      </c>
      <c r="O47" s="1"/>
      <c r="P47" s="1"/>
      <c r="Q47" s="1"/>
      <c r="R47" s="1"/>
      <c r="S47" s="17">
        <f t="shared" si="32"/>
        <v>0.61544200552351636</v>
      </c>
      <c r="T47" s="17">
        <f t="shared" si="33"/>
        <v>15.642285826923613</v>
      </c>
      <c r="U47" s="17">
        <f t="shared" si="34"/>
        <v>5.8026732632751115</v>
      </c>
      <c r="V47">
        <f t="shared" si="13"/>
        <v>0</v>
      </c>
      <c r="W47">
        <f t="shared" si="14"/>
        <v>0</v>
      </c>
      <c r="X47">
        <f t="shared" si="15"/>
        <v>0</v>
      </c>
      <c r="Y47">
        <f t="shared" si="16"/>
        <v>0</v>
      </c>
      <c r="Z47" s="8">
        <f t="shared" si="29"/>
        <v>0</v>
      </c>
      <c r="AA47" s="8"/>
      <c r="AB47" s="8">
        <f t="shared" si="36"/>
        <v>0</v>
      </c>
      <c r="AC47" s="8"/>
      <c r="AD47" s="8">
        <f t="shared" si="30"/>
        <v>0</v>
      </c>
    </row>
    <row r="48" spans="1:40" x14ac:dyDescent="0.2">
      <c r="E48" s="1">
        <v>45</v>
      </c>
      <c r="F48" s="8">
        <f t="shared" si="20"/>
        <v>528.04964912280695</v>
      </c>
      <c r="G48" s="15">
        <f>VLOOKUP(Calcul!E48,Acct!$A$2:$H$10,8,)</f>
        <v>22.8</v>
      </c>
      <c r="H48" s="8">
        <f t="shared" ref="H48:H63" si="37">F48*Fact_exp_projet*infran_projet</f>
        <v>295.17975385964911</v>
      </c>
      <c r="I48" s="8">
        <f t="shared" si="10"/>
        <v>70.16500408357139</v>
      </c>
      <c r="J48" s="8">
        <v>70</v>
      </c>
      <c r="K48" s="8">
        <f t="shared" si="31"/>
        <v>10</v>
      </c>
      <c r="L48" s="8">
        <f>((H48+I48)*0.475+J48+K48)*(44/12)</f>
        <v>929.64212008444224</v>
      </c>
      <c r="M48" s="8">
        <f t="shared" si="11"/>
        <v>30.636840701383466</v>
      </c>
      <c r="N48" s="8">
        <v>70</v>
      </c>
      <c r="O48" s="1"/>
      <c r="P48" s="1">
        <v>10</v>
      </c>
      <c r="Q48" s="1">
        <v>15</v>
      </c>
      <c r="R48" s="1">
        <v>45</v>
      </c>
      <c r="S48" s="17">
        <f t="shared" si="32"/>
        <v>2.1613228182162576</v>
      </c>
      <c r="T48" s="17">
        <f t="shared" si="33"/>
        <v>18.236213929224416</v>
      </c>
      <c r="U48" s="17">
        <f t="shared" si="34"/>
        <v>10.239303953942791</v>
      </c>
      <c r="V48">
        <f t="shared" si="13"/>
        <v>0</v>
      </c>
      <c r="W48">
        <f t="shared" si="14"/>
        <v>0</v>
      </c>
      <c r="X48">
        <f t="shared" si="15"/>
        <v>11.55</v>
      </c>
      <c r="Y48">
        <f t="shared" si="16"/>
        <v>68.400000000000006</v>
      </c>
      <c r="Z48" s="8">
        <f t="shared" si="29"/>
        <v>79.95</v>
      </c>
      <c r="AA48" s="8"/>
      <c r="AB48" s="8">
        <f>N48*40</f>
        <v>2800</v>
      </c>
      <c r="AC48" s="8"/>
      <c r="AD48" s="8">
        <f t="shared" si="30"/>
        <v>386.30022511106745</v>
      </c>
    </row>
    <row r="49" spans="5:30" x14ac:dyDescent="0.2">
      <c r="E49" s="1">
        <v>46</v>
      </c>
      <c r="F49" s="8">
        <f t="shared" si="20"/>
        <v>545.84964912280691</v>
      </c>
      <c r="G49" s="15">
        <v>17.8</v>
      </c>
      <c r="H49" s="8">
        <f t="shared" si="37"/>
        <v>305.12995385964905</v>
      </c>
      <c r="I49" s="8">
        <f t="shared" ref="I49:I62" si="38">EXP(-1.0587+0.8836*(LN(H49))+0.284)</f>
        <v>72.250835312913424</v>
      </c>
      <c r="J49" s="8">
        <v>70</v>
      </c>
      <c r="K49" s="8">
        <f t="shared" si="31"/>
        <v>10</v>
      </c>
      <c r="L49" s="8">
        <f t="shared" ref="L49:L62" si="39">((H49+I49)*0.475+J49+K49)*(44/12)</f>
        <v>950.60487447554613</v>
      </c>
      <c r="M49" s="8">
        <f t="shared" si="11"/>
        <v>29.304347170187608</v>
      </c>
      <c r="N49" s="8">
        <f t="shared" si="12"/>
        <v>0</v>
      </c>
      <c r="O49" s="1"/>
      <c r="P49" s="1"/>
      <c r="Q49" s="1"/>
      <c r="R49" s="1"/>
      <c r="S49" s="17">
        <f t="shared" si="32"/>
        <v>1.5282860210939355</v>
      </c>
      <c r="T49" s="17">
        <f t="shared" si="33"/>
        <v>17.737543700328963</v>
      </c>
      <c r="U49" s="17">
        <f t="shared" si="34"/>
        <v>10.038517448764708</v>
      </c>
      <c r="V49">
        <f t="shared" si="13"/>
        <v>0</v>
      </c>
      <c r="W49">
        <f t="shared" si="14"/>
        <v>0</v>
      </c>
      <c r="X49">
        <f t="shared" si="15"/>
        <v>0</v>
      </c>
      <c r="Y49">
        <f t="shared" si="16"/>
        <v>0</v>
      </c>
      <c r="Z49" s="8">
        <f t="shared" si="29"/>
        <v>0</v>
      </c>
      <c r="AA49" s="8"/>
      <c r="AB49" s="8">
        <f t="shared" ref="AB49:AB62" si="40">N49*40</f>
        <v>0</v>
      </c>
      <c r="AC49" s="8"/>
      <c r="AD49" s="8">
        <f t="shared" si="30"/>
        <v>0</v>
      </c>
    </row>
    <row r="50" spans="5:30" x14ac:dyDescent="0.2">
      <c r="E50" s="1">
        <v>47</v>
      </c>
      <c r="F50" s="8">
        <f t="shared" si="20"/>
        <v>563.64964912280686</v>
      </c>
      <c r="G50" s="15">
        <v>17.8</v>
      </c>
      <c r="H50" s="8">
        <f t="shared" si="37"/>
        <v>315.08015385964904</v>
      </c>
      <c r="I50" s="8">
        <f t="shared" si="38"/>
        <v>74.328762732885934</v>
      </c>
      <c r="J50" s="8">
        <v>70</v>
      </c>
      <c r="K50" s="8">
        <f t="shared" si="31"/>
        <v>10</v>
      </c>
      <c r="L50" s="8">
        <f t="shared" si="39"/>
        <v>971.5538630653316</v>
      </c>
      <c r="M50" s="8">
        <f t="shared" si="11"/>
        <v>28.174839288660202</v>
      </c>
      <c r="N50" s="8">
        <f t="shared" si="12"/>
        <v>0</v>
      </c>
      <c r="O50" s="1"/>
      <c r="P50" s="1"/>
      <c r="Q50" s="1"/>
      <c r="R50" s="1"/>
      <c r="S50" s="17">
        <f t="shared" si="32"/>
        <v>1.0806614091081288</v>
      </c>
      <c r="T50" s="17">
        <f t="shared" si="33"/>
        <v>17.252509635066584</v>
      </c>
      <c r="U50" s="17">
        <f t="shared" si="34"/>
        <v>9.8416682444854917</v>
      </c>
      <c r="V50">
        <f t="shared" si="13"/>
        <v>0</v>
      </c>
      <c r="W50">
        <f t="shared" si="14"/>
        <v>0</v>
      </c>
      <c r="X50">
        <f t="shared" si="15"/>
        <v>0</v>
      </c>
      <c r="Y50">
        <f t="shared" si="16"/>
        <v>0</v>
      </c>
      <c r="Z50" s="8">
        <f t="shared" si="29"/>
        <v>0</v>
      </c>
      <c r="AA50" s="8"/>
      <c r="AB50" s="8">
        <f t="shared" si="40"/>
        <v>0</v>
      </c>
      <c r="AC50" s="8"/>
      <c r="AD50" s="8">
        <f t="shared" si="30"/>
        <v>0</v>
      </c>
    </row>
    <row r="51" spans="5:30" x14ac:dyDescent="0.2">
      <c r="E51" s="1">
        <v>48</v>
      </c>
      <c r="F51" s="8">
        <f t="shared" si="20"/>
        <v>581.44964912280682</v>
      </c>
      <c r="G51" s="15">
        <v>17.8</v>
      </c>
      <c r="H51" s="8">
        <f t="shared" si="37"/>
        <v>325.03035385964904</v>
      </c>
      <c r="I51" s="8">
        <f t="shared" si="38"/>
        <v>76.399064580949158</v>
      </c>
      <c r="J51" s="8">
        <v>70</v>
      </c>
      <c r="K51" s="8">
        <f t="shared" si="31"/>
        <v>10</v>
      </c>
      <c r="L51" s="8">
        <f t="shared" si="39"/>
        <v>992.48957045070847</v>
      </c>
      <c r="M51" s="8">
        <f t="shared" si="11"/>
        <v>27.193560995408639</v>
      </c>
      <c r="N51" s="8">
        <f t="shared" si="12"/>
        <v>0</v>
      </c>
      <c r="O51" s="1"/>
      <c r="P51" s="1"/>
      <c r="Q51" s="1"/>
      <c r="R51" s="1"/>
      <c r="S51" s="17">
        <f t="shared" si="32"/>
        <v>0.76414301054696776</v>
      </c>
      <c r="T51" s="17">
        <f t="shared" si="33"/>
        <v>16.780738851825639</v>
      </c>
      <c r="U51" s="17">
        <f t="shared" si="34"/>
        <v>9.6486791330360315</v>
      </c>
      <c r="V51">
        <f t="shared" si="13"/>
        <v>0</v>
      </c>
      <c r="W51">
        <f t="shared" si="14"/>
        <v>0</v>
      </c>
      <c r="X51">
        <f t="shared" si="15"/>
        <v>0</v>
      </c>
      <c r="Y51">
        <f t="shared" si="16"/>
        <v>0</v>
      </c>
      <c r="Z51" s="8">
        <f t="shared" si="29"/>
        <v>0</v>
      </c>
      <c r="AA51" s="8"/>
      <c r="AB51" s="8">
        <f t="shared" si="40"/>
        <v>0</v>
      </c>
      <c r="AC51" s="8"/>
      <c r="AD51" s="8">
        <f t="shared" si="30"/>
        <v>0</v>
      </c>
    </row>
    <row r="52" spans="5:30" x14ac:dyDescent="0.2">
      <c r="E52" s="1">
        <v>49</v>
      </c>
      <c r="F52" s="8">
        <f t="shared" si="20"/>
        <v>599.24964912280677</v>
      </c>
      <c r="G52" s="15">
        <v>17.8</v>
      </c>
      <c r="H52" s="8">
        <f t="shared" si="37"/>
        <v>334.98055385964898</v>
      </c>
      <c r="I52" s="8">
        <f t="shared" si="38"/>
        <v>78.462001091208947</v>
      </c>
      <c r="J52" s="8">
        <v>70</v>
      </c>
      <c r="K52" s="8">
        <f t="shared" si="31"/>
        <v>10</v>
      </c>
      <c r="L52" s="8">
        <f t="shared" si="39"/>
        <v>1013.4124498727441</v>
      </c>
      <c r="M52" s="8">
        <f t="shared" si="11"/>
        <v>26.321673790366191</v>
      </c>
      <c r="N52" s="8">
        <f t="shared" si="12"/>
        <v>0</v>
      </c>
      <c r="O52" s="1"/>
      <c r="P52" s="1"/>
      <c r="Q52" s="1"/>
      <c r="R52" s="1"/>
      <c r="S52" s="17">
        <f t="shared" si="32"/>
        <v>0.5403307045540644</v>
      </c>
      <c r="T52" s="17">
        <f t="shared" si="33"/>
        <v>16.321868665461764</v>
      </c>
      <c r="U52" s="17">
        <f t="shared" si="34"/>
        <v>9.4594744203503609</v>
      </c>
      <c r="V52">
        <f t="shared" si="13"/>
        <v>0</v>
      </c>
      <c r="W52">
        <f t="shared" si="14"/>
        <v>0</v>
      </c>
      <c r="X52">
        <f t="shared" si="15"/>
        <v>0</v>
      </c>
      <c r="Y52">
        <f t="shared" si="16"/>
        <v>0</v>
      </c>
      <c r="Z52" s="8">
        <f t="shared" si="29"/>
        <v>0</v>
      </c>
      <c r="AA52" s="8"/>
      <c r="AB52" s="8">
        <f t="shared" si="40"/>
        <v>0</v>
      </c>
      <c r="AC52" s="8"/>
      <c r="AD52" s="8">
        <f t="shared" si="30"/>
        <v>0</v>
      </c>
    </row>
    <row r="53" spans="5:30" x14ac:dyDescent="0.2">
      <c r="E53" s="1">
        <v>50</v>
      </c>
      <c r="F53" s="8">
        <f t="shared" si="20"/>
        <v>544.04964912280673</v>
      </c>
      <c r="G53" s="15">
        <f>VLOOKUP(Calcul!E53,Acct!$A$2:$H$10,8,)</f>
        <v>17.8</v>
      </c>
      <c r="H53" s="8">
        <f t="shared" si="37"/>
        <v>304.12375385964901</v>
      </c>
      <c r="I53" s="8">
        <f t="shared" si="38"/>
        <v>72.040272587155954</v>
      </c>
      <c r="J53" s="8">
        <v>70</v>
      </c>
      <c r="K53" s="8">
        <f t="shared" si="31"/>
        <v>10</v>
      </c>
      <c r="L53" s="8">
        <f t="shared" si="39"/>
        <v>948.4856793948519</v>
      </c>
      <c r="M53" s="8">
        <f t="shared" si="11"/>
        <v>35.133183289623602</v>
      </c>
      <c r="N53" s="8">
        <v>73</v>
      </c>
      <c r="O53" s="1"/>
      <c r="P53" s="1">
        <v>10</v>
      </c>
      <c r="Q53" s="1">
        <v>15</v>
      </c>
      <c r="R53" s="1">
        <v>48</v>
      </c>
      <c r="S53" s="17">
        <f t="shared" si="32"/>
        <v>2.1082111079570143</v>
      </c>
      <c r="T53" s="17">
        <f t="shared" si="33"/>
        <v>18.897213539305035</v>
      </c>
      <c r="U53" s="17">
        <f t="shared" si="34"/>
        <v>14.127758642361552</v>
      </c>
      <c r="V53">
        <f t="shared" si="13"/>
        <v>0</v>
      </c>
      <c r="W53">
        <f t="shared" si="14"/>
        <v>0</v>
      </c>
      <c r="X53">
        <f t="shared" si="15"/>
        <v>11.55</v>
      </c>
      <c r="Y53">
        <f t="shared" si="16"/>
        <v>72.960000000000008</v>
      </c>
      <c r="Z53" s="8">
        <f t="shared" si="29"/>
        <v>84.51</v>
      </c>
      <c r="AA53" s="8"/>
      <c r="AB53" s="8">
        <f t="shared" si="40"/>
        <v>2920</v>
      </c>
      <c r="AC53" s="8"/>
      <c r="AD53" s="8">
        <f t="shared" si="30"/>
        <v>323.27217789970427</v>
      </c>
    </row>
    <row r="54" spans="5:30" x14ac:dyDescent="0.2">
      <c r="E54" s="1">
        <v>51</v>
      </c>
      <c r="F54" s="8">
        <f t="shared" si="20"/>
        <v>557.84964912280668</v>
      </c>
      <c r="G54" s="15">
        <v>13.8</v>
      </c>
      <c r="H54" s="8">
        <f t="shared" si="37"/>
        <v>311.83795385964896</v>
      </c>
      <c r="I54" s="8">
        <f t="shared" si="38"/>
        <v>73.652535934062158</v>
      </c>
      <c r="J54" s="8">
        <v>70</v>
      </c>
      <c r="K54" s="8">
        <f t="shared" si="31"/>
        <v>10</v>
      </c>
      <c r="L54" s="8">
        <f t="shared" si="39"/>
        <v>964.72926972404673</v>
      </c>
      <c r="M54" s="8">
        <f t="shared" si="11"/>
        <v>33.721920524387428</v>
      </c>
      <c r="N54" s="8">
        <f t="shared" si="12"/>
        <v>0</v>
      </c>
      <c r="O54" s="1"/>
      <c r="P54" s="1"/>
      <c r="Q54" s="1"/>
      <c r="R54" s="1"/>
      <c r="S54" s="17">
        <f t="shared" si="32"/>
        <v>1.4907303706092094</v>
      </c>
      <c r="T54" s="17">
        <f t="shared" si="33"/>
        <v>18.380468241311469</v>
      </c>
      <c r="U54" s="17">
        <f t="shared" si="34"/>
        <v>13.850721912466749</v>
      </c>
      <c r="V54">
        <f t="shared" si="13"/>
        <v>0</v>
      </c>
      <c r="W54">
        <f t="shared" si="14"/>
        <v>0</v>
      </c>
      <c r="X54">
        <f t="shared" si="15"/>
        <v>0</v>
      </c>
      <c r="Y54">
        <f t="shared" si="16"/>
        <v>0</v>
      </c>
      <c r="Z54" s="8">
        <f t="shared" si="29"/>
        <v>0</v>
      </c>
      <c r="AA54" s="8"/>
      <c r="AB54" s="8">
        <f t="shared" si="40"/>
        <v>0</v>
      </c>
      <c r="AC54" s="8"/>
      <c r="AD54" s="8">
        <f t="shared" si="30"/>
        <v>0</v>
      </c>
    </row>
    <row r="55" spans="5:30" x14ac:dyDescent="0.2">
      <c r="E55" s="1">
        <v>52</v>
      </c>
      <c r="F55" s="8">
        <f t="shared" si="20"/>
        <v>571.64964912280664</v>
      </c>
      <c r="G55" s="15">
        <v>13.8</v>
      </c>
      <c r="H55" s="8">
        <f t="shared" si="37"/>
        <v>319.55215385964891</v>
      </c>
      <c r="I55" s="8">
        <f t="shared" si="38"/>
        <v>75.260162969799083</v>
      </c>
      <c r="J55" s="8">
        <v>70</v>
      </c>
      <c r="K55" s="8">
        <f t="shared" si="31"/>
        <v>10</v>
      </c>
      <c r="L55" s="8">
        <f t="shared" si="39"/>
        <v>980.96478514462194</v>
      </c>
      <c r="M55" s="8">
        <f t="shared" si="11"/>
        <v>32.511076628513962</v>
      </c>
      <c r="N55" s="8">
        <f t="shared" si="12"/>
        <v>0</v>
      </c>
      <c r="O55" s="1"/>
      <c r="P55" s="1"/>
      <c r="Q55" s="1"/>
      <c r="R55" s="1"/>
      <c r="S55" s="17">
        <f t="shared" si="32"/>
        <v>1.0541055539785071</v>
      </c>
      <c r="T55" s="17">
        <f t="shared" si="33"/>
        <v>17.877853370665992</v>
      </c>
      <c r="U55" s="17">
        <f t="shared" si="34"/>
        <v>13.579117703869464</v>
      </c>
      <c r="V55">
        <f t="shared" si="13"/>
        <v>0</v>
      </c>
      <c r="W55">
        <f t="shared" si="14"/>
        <v>0</v>
      </c>
      <c r="X55">
        <f t="shared" si="15"/>
        <v>0</v>
      </c>
      <c r="Y55">
        <f t="shared" si="16"/>
        <v>0</v>
      </c>
      <c r="Z55" s="8">
        <f t="shared" si="29"/>
        <v>0</v>
      </c>
      <c r="AA55" s="8"/>
      <c r="AB55" s="8">
        <f t="shared" si="40"/>
        <v>0</v>
      </c>
      <c r="AC55" s="8"/>
      <c r="AD55" s="8">
        <f t="shared" si="30"/>
        <v>0</v>
      </c>
    </row>
    <row r="56" spans="5:30" x14ac:dyDescent="0.2">
      <c r="E56" s="1">
        <v>53</v>
      </c>
      <c r="F56" s="8">
        <f t="shared" si="20"/>
        <v>585.44964912280659</v>
      </c>
      <c r="G56" s="15">
        <v>13.8</v>
      </c>
      <c r="H56" s="8">
        <f t="shared" si="37"/>
        <v>327.26635385964892</v>
      </c>
      <c r="I56" s="8">
        <f t="shared" si="38"/>
        <v>76.863278495009794</v>
      </c>
      <c r="J56" s="8">
        <v>70</v>
      </c>
      <c r="K56" s="8">
        <f t="shared" si="31"/>
        <v>10</v>
      </c>
      <c r="L56" s="8">
        <f t="shared" si="39"/>
        <v>997.1924430176972</v>
      </c>
      <c r="M56" s="8">
        <f t="shared" si="11"/>
        <v>31.447187203534845</v>
      </c>
      <c r="N56" s="8">
        <f t="shared" si="12"/>
        <v>0</v>
      </c>
      <c r="O56" s="1"/>
      <c r="P56" s="1"/>
      <c r="Q56" s="1"/>
      <c r="R56" s="1"/>
      <c r="S56" s="17">
        <f t="shared" si="32"/>
        <v>0.74536518530460472</v>
      </c>
      <c r="T56" s="17">
        <f t="shared" si="33"/>
        <v>17.388982530089681</v>
      </c>
      <c r="U56" s="17">
        <f t="shared" si="34"/>
        <v>13.312839488140561</v>
      </c>
      <c r="V56">
        <f t="shared" si="13"/>
        <v>0</v>
      </c>
      <c r="W56">
        <f t="shared" si="14"/>
        <v>0</v>
      </c>
      <c r="X56">
        <f t="shared" si="15"/>
        <v>0</v>
      </c>
      <c r="Y56">
        <f t="shared" si="16"/>
        <v>0</v>
      </c>
      <c r="Z56" s="8">
        <f t="shared" si="29"/>
        <v>0</v>
      </c>
      <c r="AA56" s="8"/>
      <c r="AB56" s="8">
        <f t="shared" si="40"/>
        <v>0</v>
      </c>
      <c r="AC56" s="8"/>
      <c r="AD56" s="8">
        <f t="shared" si="30"/>
        <v>0</v>
      </c>
    </row>
    <row r="57" spans="5:30" x14ac:dyDescent="0.2">
      <c r="E57" s="1">
        <v>54</v>
      </c>
      <c r="F57" s="8">
        <f t="shared" si="20"/>
        <v>599.24964912280655</v>
      </c>
      <c r="G57" s="15">
        <v>13.8</v>
      </c>
      <c r="H57" s="8">
        <f t="shared" si="37"/>
        <v>334.98055385964886</v>
      </c>
      <c r="I57" s="8">
        <f t="shared" si="38"/>
        <v>78.462001091208876</v>
      </c>
      <c r="J57" s="8">
        <v>70</v>
      </c>
      <c r="K57" s="8">
        <f t="shared" si="31"/>
        <v>10</v>
      </c>
      <c r="L57" s="8">
        <f t="shared" si="39"/>
        <v>1013.4124498727439</v>
      </c>
      <c r="M57" s="8">
        <f t="shared" si="11"/>
        <v>30.492315491155214</v>
      </c>
      <c r="N57" s="8">
        <f t="shared" si="12"/>
        <v>0</v>
      </c>
      <c r="O57" s="1"/>
      <c r="P57" s="1"/>
      <c r="Q57" s="1"/>
      <c r="R57" s="1"/>
      <c r="S57" s="17">
        <f t="shared" si="32"/>
        <v>0.52705277698925357</v>
      </c>
      <c r="T57" s="17">
        <f t="shared" si="33"/>
        <v>16.913479888357532</v>
      </c>
      <c r="U57" s="17">
        <f t="shared" si="34"/>
        <v>13.051782825808427</v>
      </c>
      <c r="V57">
        <f t="shared" si="13"/>
        <v>0</v>
      </c>
      <c r="W57">
        <f t="shared" si="14"/>
        <v>0</v>
      </c>
      <c r="X57">
        <f t="shared" si="15"/>
        <v>0</v>
      </c>
      <c r="Y57">
        <f t="shared" si="16"/>
        <v>0</v>
      </c>
      <c r="Z57" s="8">
        <f t="shared" si="29"/>
        <v>0</v>
      </c>
      <c r="AA57" s="8"/>
      <c r="AB57" s="8">
        <f t="shared" si="40"/>
        <v>0</v>
      </c>
      <c r="AC57" s="8"/>
      <c r="AD57" s="8">
        <f t="shared" si="30"/>
        <v>0</v>
      </c>
    </row>
    <row r="58" spans="5:30" x14ac:dyDescent="0.2">
      <c r="E58" s="1">
        <v>55</v>
      </c>
      <c r="F58" s="8">
        <f t="shared" si="20"/>
        <v>613.0496491228065</v>
      </c>
      <c r="G58" s="15">
        <f>VLOOKUP(Calcul!E58,Acct!$A$2:$H$10,8,)</f>
        <v>13.8</v>
      </c>
      <c r="H58" s="8">
        <f t="shared" si="37"/>
        <v>342.69475385964887</v>
      </c>
      <c r="I58" s="8">
        <f t="shared" si="38"/>
        <v>80.056443566671049</v>
      </c>
      <c r="J58" s="8">
        <v>70</v>
      </c>
      <c r="K58" s="8">
        <f t="shared" si="31"/>
        <v>10</v>
      </c>
      <c r="L58" s="8">
        <f t="shared" si="39"/>
        <v>1029.6250021841736</v>
      </c>
      <c r="M58" s="8">
        <f t="shared" si="11"/>
        <v>29.619507809417232</v>
      </c>
      <c r="N58" s="8">
        <f t="shared" si="12"/>
        <v>0</v>
      </c>
      <c r="O58" s="1"/>
      <c r="P58" s="1"/>
      <c r="Q58" s="1"/>
      <c r="R58" s="1"/>
      <c r="S58" s="17">
        <f t="shared" si="32"/>
        <v>0.37268259265230236</v>
      </c>
      <c r="T58" s="17">
        <f t="shared" si="33"/>
        <v>16.450979891369144</v>
      </c>
      <c r="U58" s="17">
        <f t="shared" si="34"/>
        <v>12.795845325395785</v>
      </c>
      <c r="V58">
        <f t="shared" si="13"/>
        <v>0</v>
      </c>
      <c r="W58">
        <f t="shared" si="14"/>
        <v>0</v>
      </c>
      <c r="X58">
        <f t="shared" si="15"/>
        <v>0</v>
      </c>
      <c r="Y58">
        <f t="shared" si="16"/>
        <v>0</v>
      </c>
      <c r="Z58" s="8">
        <f t="shared" si="29"/>
        <v>0</v>
      </c>
      <c r="AA58" s="8"/>
      <c r="AB58" s="8">
        <f t="shared" si="40"/>
        <v>0</v>
      </c>
      <c r="AC58" s="8"/>
      <c r="AD58" s="8">
        <f t="shared" si="30"/>
        <v>0</v>
      </c>
    </row>
    <row r="59" spans="5:30" x14ac:dyDescent="0.2">
      <c r="E59" s="1">
        <v>56</v>
      </c>
      <c r="F59" s="8">
        <f t="shared" si="20"/>
        <v>623.24964912280655</v>
      </c>
      <c r="G59" s="15">
        <v>10.199999999999999</v>
      </c>
      <c r="H59" s="8">
        <f t="shared" si="37"/>
        <v>348.39655385964886</v>
      </c>
      <c r="I59" s="8">
        <f t="shared" si="38"/>
        <v>81.232256842418892</v>
      </c>
      <c r="J59" s="8">
        <v>70</v>
      </c>
      <c r="K59" s="8">
        <f t="shared" si="31"/>
        <v>10</v>
      </c>
      <c r="L59" s="8">
        <f t="shared" si="39"/>
        <v>1041.603511972768</v>
      </c>
      <c r="M59" s="8">
        <f t="shared" si="11"/>
        <v>28.809579972874623</v>
      </c>
      <c r="N59" s="8">
        <f t="shared" si="12"/>
        <v>0</v>
      </c>
      <c r="O59" s="1"/>
      <c r="P59" s="1"/>
      <c r="Q59" s="1"/>
      <c r="R59" s="1"/>
      <c r="S59" s="17">
        <f t="shared" si="32"/>
        <v>0.26352638849462678</v>
      </c>
      <c r="T59" s="17">
        <f t="shared" si="33"/>
        <v>16.001126981120223</v>
      </c>
      <c r="U59" s="17">
        <f t="shared" si="34"/>
        <v>12.544926603259773</v>
      </c>
      <c r="V59">
        <f t="shared" si="13"/>
        <v>0</v>
      </c>
      <c r="W59">
        <f t="shared" si="14"/>
        <v>0</v>
      </c>
      <c r="X59">
        <f t="shared" si="15"/>
        <v>0</v>
      </c>
      <c r="Y59">
        <f t="shared" si="16"/>
        <v>0</v>
      </c>
      <c r="Z59" s="8">
        <f t="shared" si="29"/>
        <v>0</v>
      </c>
      <c r="AA59" s="8"/>
      <c r="AB59" s="8">
        <f t="shared" si="40"/>
        <v>0</v>
      </c>
      <c r="AC59" s="8"/>
      <c r="AD59" s="8">
        <f t="shared" si="30"/>
        <v>0</v>
      </c>
    </row>
    <row r="60" spans="5:30" x14ac:dyDescent="0.2">
      <c r="E60" s="1">
        <v>57</v>
      </c>
      <c r="F60" s="8">
        <f t="shared" si="20"/>
        <v>633.44964912280659</v>
      </c>
      <c r="G60" s="15">
        <v>10.199999999999999</v>
      </c>
      <c r="H60" s="8">
        <f t="shared" si="37"/>
        <v>354.09835385964891</v>
      </c>
      <c r="I60" s="8">
        <f t="shared" si="38"/>
        <v>82.405832240355778</v>
      </c>
      <c r="J60" s="8">
        <v>70</v>
      </c>
      <c r="K60" s="8">
        <f t="shared" si="31"/>
        <v>10</v>
      </c>
      <c r="L60" s="8">
        <f t="shared" si="39"/>
        <v>1053.5781241241748</v>
      </c>
      <c r="M60" s="8">
        <f t="shared" si="11"/>
        <v>28.048844862904488</v>
      </c>
      <c r="N60" s="8">
        <f t="shared" si="12"/>
        <v>0</v>
      </c>
      <c r="O60" s="1"/>
      <c r="P60" s="1"/>
      <c r="Q60" s="1"/>
      <c r="R60" s="1"/>
      <c r="S60" s="17">
        <f t="shared" si="32"/>
        <v>0.18634129632615118</v>
      </c>
      <c r="T60" s="17">
        <f t="shared" si="33"/>
        <v>15.563575322358794</v>
      </c>
      <c r="U60" s="17">
        <f t="shared" si="34"/>
        <v>12.298928244219541</v>
      </c>
      <c r="V60">
        <f t="shared" si="13"/>
        <v>0</v>
      </c>
      <c r="W60">
        <f t="shared" si="14"/>
        <v>0</v>
      </c>
      <c r="X60">
        <f t="shared" si="15"/>
        <v>0</v>
      </c>
      <c r="Y60">
        <f t="shared" si="16"/>
        <v>0</v>
      </c>
      <c r="Z60" s="8">
        <f t="shared" si="29"/>
        <v>0</v>
      </c>
      <c r="AA60" s="8"/>
      <c r="AB60" s="8">
        <f t="shared" si="40"/>
        <v>0</v>
      </c>
      <c r="AC60" s="8"/>
      <c r="AD60" s="8">
        <f t="shared" si="30"/>
        <v>0</v>
      </c>
    </row>
    <row r="61" spans="5:30" x14ac:dyDescent="0.2">
      <c r="E61" s="1">
        <v>58</v>
      </c>
      <c r="F61" s="8">
        <f t="shared" si="20"/>
        <v>643.64964912280664</v>
      </c>
      <c r="G61" s="15">
        <v>10.199999999999999</v>
      </c>
      <c r="H61" s="8">
        <f t="shared" si="37"/>
        <v>359.8001538596489</v>
      </c>
      <c r="I61" s="8">
        <f t="shared" si="38"/>
        <v>83.577209955769604</v>
      </c>
      <c r="J61" s="8">
        <v>70</v>
      </c>
      <c r="K61" s="8">
        <f t="shared" si="31"/>
        <v>10</v>
      </c>
      <c r="L61" s="8">
        <f t="shared" si="39"/>
        <v>1065.5489086451873</v>
      </c>
      <c r="M61" s="8">
        <f t="shared" si="11"/>
        <v>27.327505493919254</v>
      </c>
      <c r="N61" s="8">
        <f t="shared" si="12"/>
        <v>0</v>
      </c>
      <c r="O61" s="1"/>
      <c r="P61" s="1"/>
      <c r="Q61" s="1"/>
      <c r="R61" s="1"/>
      <c r="S61" s="17">
        <f t="shared" si="32"/>
        <v>0.13176319424731339</v>
      </c>
      <c r="T61" s="17">
        <f t="shared" si="33"/>
        <v>15.137988536716037</v>
      </c>
      <c r="U61" s="17">
        <f t="shared" si="34"/>
        <v>12.057753762955905</v>
      </c>
      <c r="V61">
        <f t="shared" si="13"/>
        <v>0</v>
      </c>
      <c r="W61">
        <f t="shared" si="14"/>
        <v>0</v>
      </c>
      <c r="X61">
        <f t="shared" si="15"/>
        <v>0</v>
      </c>
      <c r="Y61">
        <f t="shared" si="16"/>
        <v>0</v>
      </c>
      <c r="Z61" s="8">
        <f t="shared" si="29"/>
        <v>0</v>
      </c>
      <c r="AA61" s="8"/>
      <c r="AB61" s="8">
        <f t="shared" si="40"/>
        <v>0</v>
      </c>
      <c r="AC61" s="8"/>
      <c r="AD61" s="8">
        <f t="shared" si="30"/>
        <v>0</v>
      </c>
    </row>
    <row r="62" spans="5:30" x14ac:dyDescent="0.2">
      <c r="E62" s="1">
        <v>59</v>
      </c>
      <c r="F62" s="8">
        <f t="shared" si="20"/>
        <v>653.84964912280668</v>
      </c>
      <c r="G62" s="15">
        <v>10.199999999999999</v>
      </c>
      <c r="H62" s="8">
        <f t="shared" si="37"/>
        <v>365.50195385964895</v>
      </c>
      <c r="I62" s="8">
        <f t="shared" si="38"/>
        <v>84.746428836918099</v>
      </c>
      <c r="J62" s="8">
        <v>70</v>
      </c>
      <c r="K62" s="8">
        <f t="shared" si="31"/>
        <v>10</v>
      </c>
      <c r="L62" s="8">
        <f t="shared" si="39"/>
        <v>1077.5159331965208</v>
      </c>
      <c r="M62" s="8">
        <f t="shared" si="11"/>
        <v>26.638518658438333</v>
      </c>
      <c r="N62" s="8">
        <f t="shared" si="12"/>
        <v>0</v>
      </c>
      <c r="O62" s="1"/>
      <c r="P62" s="1"/>
      <c r="Q62" s="1"/>
      <c r="R62" s="1"/>
      <c r="S62" s="17">
        <f t="shared" si="32"/>
        <v>9.3170648163075589E-2</v>
      </c>
      <c r="T62" s="17">
        <f t="shared" si="33"/>
        <v>14.724039444107317</v>
      </c>
      <c r="U62" s="17">
        <f t="shared" si="34"/>
        <v>11.821308566167939</v>
      </c>
      <c r="V62">
        <f t="shared" si="13"/>
        <v>0</v>
      </c>
      <c r="W62">
        <f t="shared" si="14"/>
        <v>0</v>
      </c>
      <c r="X62">
        <f t="shared" si="15"/>
        <v>0</v>
      </c>
      <c r="Y62">
        <f t="shared" si="16"/>
        <v>0</v>
      </c>
      <c r="Z62" s="8">
        <f t="shared" si="29"/>
        <v>0</v>
      </c>
      <c r="AA62" s="8"/>
      <c r="AB62" s="8">
        <f t="shared" si="40"/>
        <v>0</v>
      </c>
      <c r="AC62" s="8"/>
      <c r="AD62" s="8">
        <f t="shared" si="30"/>
        <v>0</v>
      </c>
    </row>
    <row r="63" spans="5:30" x14ac:dyDescent="0.2">
      <c r="E63" s="1">
        <v>60</v>
      </c>
      <c r="F63" s="15">
        <f>F62+G63</f>
        <v>664.04964912280673</v>
      </c>
      <c r="G63" s="15">
        <f>VLOOKUP(Calcul!E63,Acct!$A$2:$H$10,8,)</f>
        <v>10.199999999999999</v>
      </c>
      <c r="H63" s="8">
        <f t="shared" si="37"/>
        <v>371.203753859649</v>
      </c>
      <c r="I63" s="8">
        <f t="shared" ref="I63" si="41">EXP(-1.0587+0.8836*(LN(H63))+0.284)</f>
        <v>85.913526450466279</v>
      </c>
      <c r="J63" s="8">
        <v>70</v>
      </c>
      <c r="K63" s="8">
        <f t="shared" si="31"/>
        <v>10</v>
      </c>
      <c r="L63" s="8">
        <f>((H63+I63)*0.475+J63+K63)*(44/12)</f>
        <v>1089.479263206784</v>
      </c>
      <c r="M63" s="8">
        <f>S63+T63+U63</f>
        <v>109.78079562093677</v>
      </c>
      <c r="N63" s="15">
        <f>F63</f>
        <v>664.04964912280673</v>
      </c>
      <c r="O63" s="1"/>
      <c r="P63" s="1"/>
      <c r="Q63" s="1">
        <f>N63*0.25</f>
        <v>166.01241228070168</v>
      </c>
      <c r="R63" s="1">
        <f>N63*0.75</f>
        <v>498.03723684210502</v>
      </c>
      <c r="S63" s="17">
        <f t="shared" si="32"/>
        <v>6.5881597123656696E-2</v>
      </c>
      <c r="T63" s="17">
        <f t="shared" si="33"/>
        <v>47.763694217848041</v>
      </c>
      <c r="U63" s="17">
        <f t="shared" si="34"/>
        <v>61.951219805965067</v>
      </c>
      <c r="V63">
        <f t="shared" si="13"/>
        <v>0</v>
      </c>
      <c r="W63">
        <f t="shared" si="14"/>
        <v>0</v>
      </c>
      <c r="X63">
        <f t="shared" si="15"/>
        <v>127.82955745614029</v>
      </c>
      <c r="Y63">
        <f>R63*$Y$1</f>
        <v>757.01659999999958</v>
      </c>
      <c r="Z63" s="8">
        <f>Y63+X63+W63+V63</f>
        <v>884.84615745613985</v>
      </c>
      <c r="AA63" s="8"/>
      <c r="AB63" s="8">
        <f>N63*50</f>
        <v>33202.482456140337</v>
      </c>
      <c r="AC63" s="8"/>
      <c r="AD63" s="8">
        <f t="shared" si="30"/>
        <v>2366.9720467569082</v>
      </c>
    </row>
  </sheetData>
  <mergeCells count="6">
    <mergeCell ref="A33:A36"/>
    <mergeCell ref="A28:A31"/>
    <mergeCell ref="F1:L1"/>
    <mergeCell ref="AE1:AJ1"/>
    <mergeCell ref="A9:A11"/>
    <mergeCell ref="A2:A5"/>
  </mergeCells>
  <pageMargins left="0.25" right="0.25" top="0.75" bottom="0.75" header="0.3" footer="0.3"/>
  <pageSetup paperSize="8" scale="58" orientation="landscape" horizontalDpi="0" verticalDpi="0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E548D3D-94DE-6D43-A6E2-BF93CA0C4EEA}">
          <x14:formula1>
            <xm:f>Infra!$A$2:$A$67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179E4-802E-2D4F-9139-1D9002D24BEF}">
  <dimension ref="A1:H12"/>
  <sheetViews>
    <sheetView zoomScale="174" workbookViewId="0">
      <selection activeCell="A2" sqref="A2"/>
    </sheetView>
  </sheetViews>
  <sheetFormatPr baseColWidth="10" defaultRowHeight="16" x14ac:dyDescent="0.2"/>
  <cols>
    <col min="5" max="5" width="19.83203125" bestFit="1" customWidth="1"/>
    <col min="6" max="6" width="27.5" bestFit="1" customWidth="1"/>
  </cols>
  <sheetData>
    <row r="1" spans="1:8" x14ac:dyDescent="0.2">
      <c r="A1" s="16" t="s">
        <v>46</v>
      </c>
      <c r="B1" s="16" t="s">
        <v>43</v>
      </c>
      <c r="C1" s="16" t="s">
        <v>44</v>
      </c>
      <c r="D1" s="16" t="s">
        <v>45</v>
      </c>
      <c r="E1" s="16" t="s">
        <v>47</v>
      </c>
      <c r="F1" s="16" t="s">
        <v>48</v>
      </c>
      <c r="G1" s="16" t="s">
        <v>49</v>
      </c>
      <c r="H1" s="16" t="s">
        <v>50</v>
      </c>
    </row>
    <row r="2" spans="1:8" x14ac:dyDescent="0.2">
      <c r="A2" s="16">
        <v>19</v>
      </c>
      <c r="B2" s="16" t="s">
        <v>122</v>
      </c>
      <c r="C2" s="16" t="s">
        <v>129</v>
      </c>
      <c r="D2" s="16">
        <v>2</v>
      </c>
      <c r="E2" s="16">
        <v>162</v>
      </c>
      <c r="F2" s="16"/>
      <c r="G2" s="16"/>
      <c r="H2" s="16">
        <f>E2/A2</f>
        <v>8.526315789473685</v>
      </c>
    </row>
    <row r="3" spans="1:8" x14ac:dyDescent="0.2">
      <c r="A3" s="16">
        <v>25</v>
      </c>
      <c r="B3" s="16" t="s">
        <v>122</v>
      </c>
      <c r="C3" s="16" t="s">
        <v>129</v>
      </c>
      <c r="D3" s="16">
        <v>2</v>
      </c>
      <c r="E3" s="16">
        <v>335</v>
      </c>
      <c r="F3" s="16"/>
      <c r="G3" s="16"/>
      <c r="H3" s="16">
        <f t="shared" ref="H3:H10" si="0">(E3-E2)/(A3-A2)</f>
        <v>28.833333333333332</v>
      </c>
    </row>
    <row r="4" spans="1:8" x14ac:dyDescent="0.2">
      <c r="A4" s="16">
        <v>30</v>
      </c>
      <c r="B4" s="16" t="s">
        <v>122</v>
      </c>
      <c r="C4" s="16" t="s">
        <v>129</v>
      </c>
      <c r="D4" s="16">
        <v>2</v>
      </c>
      <c r="E4" s="16">
        <v>475</v>
      </c>
      <c r="F4" s="16"/>
      <c r="G4" s="16"/>
      <c r="H4" s="16">
        <f t="shared" si="0"/>
        <v>28</v>
      </c>
    </row>
    <row r="5" spans="1:8" x14ac:dyDescent="0.2">
      <c r="A5" s="16">
        <v>35</v>
      </c>
      <c r="B5" s="16" t="s">
        <v>122</v>
      </c>
      <c r="C5" s="16" t="s">
        <v>129</v>
      </c>
      <c r="D5" s="16">
        <v>2</v>
      </c>
      <c r="E5" s="16">
        <v>613</v>
      </c>
      <c r="F5" s="16"/>
      <c r="G5" s="16"/>
      <c r="H5" s="16">
        <f t="shared" si="0"/>
        <v>27.6</v>
      </c>
    </row>
    <row r="6" spans="1:8" x14ac:dyDescent="0.2">
      <c r="A6" s="16">
        <v>40</v>
      </c>
      <c r="B6" s="16" t="s">
        <v>122</v>
      </c>
      <c r="C6" s="16" t="s">
        <v>129</v>
      </c>
      <c r="D6" s="16">
        <v>2</v>
      </c>
      <c r="E6" s="16">
        <v>741</v>
      </c>
      <c r="F6" s="16"/>
      <c r="G6" s="16"/>
      <c r="H6" s="16">
        <f t="shared" si="0"/>
        <v>25.6</v>
      </c>
    </row>
    <row r="7" spans="1:8" x14ac:dyDescent="0.2">
      <c r="A7" s="16">
        <v>45</v>
      </c>
      <c r="B7" s="16" t="s">
        <v>122</v>
      </c>
      <c r="C7" s="16" t="s">
        <v>129</v>
      </c>
      <c r="D7" s="16">
        <v>2</v>
      </c>
      <c r="E7" s="16">
        <v>855</v>
      </c>
      <c r="F7" s="16"/>
      <c r="G7" s="16"/>
      <c r="H7" s="16">
        <f t="shared" si="0"/>
        <v>22.8</v>
      </c>
    </row>
    <row r="8" spans="1:8" x14ac:dyDescent="0.2">
      <c r="A8" s="16">
        <v>50</v>
      </c>
      <c r="B8" s="16" t="s">
        <v>122</v>
      </c>
      <c r="C8" s="16" t="s">
        <v>129</v>
      </c>
      <c r="D8" s="16">
        <v>2</v>
      </c>
      <c r="E8" s="16">
        <v>944</v>
      </c>
      <c r="F8" s="16"/>
      <c r="G8" s="16"/>
      <c r="H8" s="16">
        <f t="shared" si="0"/>
        <v>17.8</v>
      </c>
    </row>
    <row r="9" spans="1:8" x14ac:dyDescent="0.2">
      <c r="A9" s="16">
        <v>55</v>
      </c>
      <c r="B9" s="16" t="s">
        <v>122</v>
      </c>
      <c r="C9" s="16" t="s">
        <v>129</v>
      </c>
      <c r="D9" s="16">
        <v>2</v>
      </c>
      <c r="E9" s="16">
        <v>1013</v>
      </c>
      <c r="F9" s="16"/>
      <c r="G9" s="16"/>
      <c r="H9" s="16">
        <f t="shared" si="0"/>
        <v>13.8</v>
      </c>
    </row>
    <row r="10" spans="1:8" x14ac:dyDescent="0.2">
      <c r="A10" s="16">
        <v>60</v>
      </c>
      <c r="B10" s="16" t="s">
        <v>122</v>
      </c>
      <c r="C10" s="16" t="s">
        <v>129</v>
      </c>
      <c r="D10" s="16">
        <v>2</v>
      </c>
      <c r="E10" s="16">
        <v>1064</v>
      </c>
      <c r="F10" s="16"/>
      <c r="G10" s="16"/>
      <c r="H10" s="16">
        <f t="shared" si="0"/>
        <v>10.199999999999999</v>
      </c>
    </row>
    <row r="11" spans="1:8" x14ac:dyDescent="0.2">
      <c r="A11" s="16"/>
      <c r="B11" s="16"/>
      <c r="C11" s="21"/>
      <c r="D11" s="16"/>
      <c r="E11" s="16"/>
      <c r="G11" s="16"/>
      <c r="H11" s="16"/>
    </row>
    <row r="12" spans="1:8" x14ac:dyDescent="0.2">
      <c r="A12" s="16"/>
      <c r="B12" s="16"/>
      <c r="C12" s="21"/>
      <c r="D12" s="16"/>
      <c r="E12" s="16"/>
      <c r="G12" s="16"/>
      <c r="H12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E1BFC-C600-BB44-8317-FA9BC5CB0C24}">
  <dimension ref="A1:C67"/>
  <sheetViews>
    <sheetView zoomScale="231" workbookViewId="0">
      <selection activeCell="B64" sqref="B64"/>
    </sheetView>
  </sheetViews>
  <sheetFormatPr baseColWidth="10" defaultRowHeight="16" x14ac:dyDescent="0.2"/>
  <cols>
    <col min="1" max="1" width="18.33203125" bestFit="1" customWidth="1"/>
    <col min="2" max="2" width="16.33203125" bestFit="1" customWidth="1"/>
  </cols>
  <sheetData>
    <row r="1" spans="1:3" x14ac:dyDescent="0.2">
      <c r="A1" s="19" t="s">
        <v>44</v>
      </c>
      <c r="B1" s="19" t="s">
        <v>54</v>
      </c>
      <c r="C1" t="s">
        <v>123</v>
      </c>
    </row>
    <row r="2" spans="1:3" x14ac:dyDescent="0.2">
      <c r="A2" s="19" t="s">
        <v>55</v>
      </c>
      <c r="B2" s="19">
        <v>0.62</v>
      </c>
      <c r="C2" t="s">
        <v>126</v>
      </c>
    </row>
    <row r="3" spans="1:3" x14ac:dyDescent="0.2">
      <c r="A3" s="19" t="s">
        <v>56</v>
      </c>
      <c r="B3" s="19">
        <v>0.64</v>
      </c>
      <c r="C3" t="s">
        <v>126</v>
      </c>
    </row>
    <row r="4" spans="1:3" x14ac:dyDescent="0.2">
      <c r="A4" s="19" t="s">
        <v>57</v>
      </c>
      <c r="B4" s="19">
        <v>0.42</v>
      </c>
      <c r="C4" t="s">
        <v>126</v>
      </c>
    </row>
    <row r="5" spans="1:3" x14ac:dyDescent="0.2">
      <c r="A5" s="19" t="s">
        <v>58</v>
      </c>
      <c r="B5" s="19">
        <v>0.42</v>
      </c>
      <c r="C5" t="s">
        <v>126</v>
      </c>
    </row>
    <row r="6" spans="1:3" x14ac:dyDescent="0.2">
      <c r="A6" s="19" t="s">
        <v>59</v>
      </c>
      <c r="B6" s="19">
        <v>0.52</v>
      </c>
      <c r="C6" t="s">
        <v>126</v>
      </c>
    </row>
    <row r="7" spans="1:3" x14ac:dyDescent="0.2">
      <c r="A7" s="19" t="s">
        <v>60</v>
      </c>
      <c r="B7" s="19">
        <v>0.36</v>
      </c>
      <c r="C7" t="s">
        <v>125</v>
      </c>
    </row>
    <row r="8" spans="1:3" x14ac:dyDescent="0.2">
      <c r="A8" s="19" t="s">
        <v>61</v>
      </c>
      <c r="B8" s="19">
        <v>0.61</v>
      </c>
      <c r="C8" t="s">
        <v>126</v>
      </c>
    </row>
    <row r="9" spans="1:3" x14ac:dyDescent="0.2">
      <c r="A9" s="19" t="s">
        <v>62</v>
      </c>
      <c r="B9" s="19">
        <v>0.66</v>
      </c>
      <c r="C9" t="s">
        <v>126</v>
      </c>
    </row>
    <row r="10" spans="1:3" x14ac:dyDescent="0.2">
      <c r="A10" s="19" t="s">
        <v>63</v>
      </c>
      <c r="B10" s="19">
        <v>0.47</v>
      </c>
      <c r="C10" t="s">
        <v>126</v>
      </c>
    </row>
    <row r="11" spans="1:3" x14ac:dyDescent="0.2">
      <c r="A11" s="19" t="s">
        <v>64</v>
      </c>
      <c r="B11" s="19">
        <v>0.67</v>
      </c>
      <c r="C11" t="s">
        <v>126</v>
      </c>
    </row>
    <row r="12" spans="1:3" x14ac:dyDescent="0.2">
      <c r="A12" s="19" t="s">
        <v>65</v>
      </c>
      <c r="B12" s="19">
        <v>0.7</v>
      </c>
      <c r="C12" t="s">
        <v>126</v>
      </c>
    </row>
    <row r="13" spans="1:3" x14ac:dyDescent="0.2">
      <c r="A13" s="19" t="s">
        <v>66</v>
      </c>
      <c r="B13" s="19">
        <v>0.54</v>
      </c>
      <c r="C13" t="s">
        <v>126</v>
      </c>
    </row>
    <row r="14" spans="1:3" x14ac:dyDescent="0.2">
      <c r="A14" s="19" t="s">
        <v>67</v>
      </c>
      <c r="B14" s="19">
        <v>0.65</v>
      </c>
      <c r="C14" t="s">
        <v>126</v>
      </c>
    </row>
    <row r="15" spans="1:3" x14ac:dyDescent="0.2">
      <c r="A15" s="19" t="s">
        <v>68</v>
      </c>
      <c r="B15" s="19">
        <v>0.56000000000000005</v>
      </c>
      <c r="C15" t="s">
        <v>126</v>
      </c>
    </row>
    <row r="16" spans="1:3" x14ac:dyDescent="0.2">
      <c r="A16" s="19" t="s">
        <v>69</v>
      </c>
      <c r="B16" s="19">
        <v>0.57999999999999996</v>
      </c>
      <c r="C16" t="s">
        <v>126</v>
      </c>
    </row>
    <row r="17" spans="1:3" x14ac:dyDescent="0.2">
      <c r="A17" s="19" t="s">
        <v>70</v>
      </c>
      <c r="B17" s="19">
        <v>0.64</v>
      </c>
      <c r="C17" t="s">
        <v>126</v>
      </c>
    </row>
    <row r="18" spans="1:3" x14ac:dyDescent="0.2">
      <c r="A18" s="19" t="s">
        <v>71</v>
      </c>
      <c r="B18" s="19">
        <v>0.73</v>
      </c>
      <c r="C18" t="s">
        <v>126</v>
      </c>
    </row>
    <row r="19" spans="1:3" x14ac:dyDescent="0.2">
      <c r="A19" s="19" t="s">
        <v>72</v>
      </c>
      <c r="B19" s="19">
        <v>0.56000000000000005</v>
      </c>
      <c r="C19" t="s">
        <v>126</v>
      </c>
    </row>
    <row r="20" spans="1:3" x14ac:dyDescent="0.2">
      <c r="A20" s="19" t="s">
        <v>73</v>
      </c>
      <c r="B20" s="19">
        <v>0.74</v>
      </c>
      <c r="C20" t="s">
        <v>126</v>
      </c>
    </row>
    <row r="21" spans="1:3" x14ac:dyDescent="0.2">
      <c r="A21" s="19" t="s">
        <v>74</v>
      </c>
      <c r="B21" s="19">
        <v>0.4</v>
      </c>
      <c r="C21" t="s">
        <v>125</v>
      </c>
    </row>
    <row r="22" spans="1:3" x14ac:dyDescent="0.2">
      <c r="A22" s="19" t="s">
        <v>75</v>
      </c>
      <c r="B22" s="19">
        <v>0.6</v>
      </c>
      <c r="C22" t="s">
        <v>126</v>
      </c>
    </row>
    <row r="23" spans="1:3" x14ac:dyDescent="0.2">
      <c r="A23" s="19" t="s">
        <v>76</v>
      </c>
      <c r="B23" s="19">
        <v>0.43</v>
      </c>
      <c r="C23" t="s">
        <v>125</v>
      </c>
    </row>
    <row r="24" spans="1:3" x14ac:dyDescent="0.2">
      <c r="A24" s="19" t="s">
        <v>77</v>
      </c>
      <c r="B24" s="19">
        <v>0.37</v>
      </c>
      <c r="C24" t="s">
        <v>125</v>
      </c>
    </row>
    <row r="25" spans="1:3" x14ac:dyDescent="0.2">
      <c r="A25" s="19" t="s">
        <v>78</v>
      </c>
      <c r="B25" s="19">
        <v>0.36</v>
      </c>
      <c r="C25" t="s">
        <v>125</v>
      </c>
    </row>
    <row r="26" spans="1:3" x14ac:dyDescent="0.2">
      <c r="A26" s="19" t="s">
        <v>79</v>
      </c>
      <c r="B26" s="19">
        <v>0.51</v>
      </c>
      <c r="C26" t="s">
        <v>126</v>
      </c>
    </row>
    <row r="27" spans="1:3" x14ac:dyDescent="0.2">
      <c r="A27" s="19" t="s">
        <v>80</v>
      </c>
      <c r="B27" s="19">
        <v>0.56000000000000005</v>
      </c>
      <c r="C27" t="s">
        <v>126</v>
      </c>
    </row>
    <row r="28" spans="1:3" x14ac:dyDescent="0.2">
      <c r="A28" s="19" t="s">
        <v>81</v>
      </c>
      <c r="B28" s="19">
        <v>0.56000000000000005</v>
      </c>
      <c r="C28" t="s">
        <v>126</v>
      </c>
    </row>
    <row r="29" spans="1:3" x14ac:dyDescent="0.2">
      <c r="A29" s="19" t="s">
        <v>82</v>
      </c>
      <c r="B29" s="19">
        <v>0.48</v>
      </c>
      <c r="C29" t="s">
        <v>126</v>
      </c>
    </row>
    <row r="30" spans="1:3" x14ac:dyDescent="0.2">
      <c r="A30" s="19" t="s">
        <v>83</v>
      </c>
      <c r="B30" s="19">
        <v>0.55000000000000004</v>
      </c>
      <c r="C30" t="s">
        <v>126</v>
      </c>
    </row>
    <row r="31" spans="1:3" x14ac:dyDescent="0.2">
      <c r="A31" s="19" t="s">
        <v>84</v>
      </c>
      <c r="B31" s="19">
        <v>0.56000000000000005</v>
      </c>
      <c r="C31" t="s">
        <v>126</v>
      </c>
    </row>
    <row r="32" spans="1:3" x14ac:dyDescent="0.2">
      <c r="A32" s="19" t="s">
        <v>85</v>
      </c>
      <c r="B32" s="19">
        <v>0.57999999999999996</v>
      </c>
      <c r="C32" t="s">
        <v>126</v>
      </c>
    </row>
    <row r="33" spans="1:3" x14ac:dyDescent="0.2">
      <c r="A33" s="19" t="s">
        <v>86</v>
      </c>
      <c r="B33" s="19">
        <v>0.57999999999999996</v>
      </c>
      <c r="C33" t="s">
        <v>125</v>
      </c>
    </row>
    <row r="34" spans="1:3" x14ac:dyDescent="0.2">
      <c r="A34" s="19" t="s">
        <v>87</v>
      </c>
      <c r="B34" s="19">
        <v>0.48</v>
      </c>
      <c r="C34" t="s">
        <v>125</v>
      </c>
    </row>
    <row r="35" spans="1:3" x14ac:dyDescent="0.2">
      <c r="A35" s="19" t="s">
        <v>88</v>
      </c>
      <c r="B35" s="19">
        <v>0.42</v>
      </c>
      <c r="C35" t="s">
        <v>125</v>
      </c>
    </row>
    <row r="36" spans="1:3" x14ac:dyDescent="0.2">
      <c r="A36" s="19" t="s">
        <v>89</v>
      </c>
      <c r="B36" s="19">
        <v>0.5</v>
      </c>
      <c r="C36" t="s">
        <v>126</v>
      </c>
    </row>
    <row r="37" spans="1:3" x14ac:dyDescent="0.2">
      <c r="A37" s="19" t="s">
        <v>90</v>
      </c>
      <c r="B37" s="19">
        <v>0.55000000000000004</v>
      </c>
      <c r="C37" t="s">
        <v>126</v>
      </c>
    </row>
    <row r="38" spans="1:3" x14ac:dyDescent="0.2">
      <c r="A38" s="19" t="s">
        <v>91</v>
      </c>
      <c r="B38" s="19">
        <v>0.53</v>
      </c>
      <c r="C38" t="s">
        <v>126</v>
      </c>
    </row>
    <row r="39" spans="1:3" x14ac:dyDescent="0.2">
      <c r="A39" s="19" t="s">
        <v>92</v>
      </c>
      <c r="B39" s="19">
        <v>0.52</v>
      </c>
      <c r="C39" t="s">
        <v>126</v>
      </c>
    </row>
    <row r="40" spans="1:3" x14ac:dyDescent="0.2">
      <c r="A40" s="19" t="s">
        <v>93</v>
      </c>
      <c r="B40" s="19">
        <v>0.52</v>
      </c>
      <c r="C40" t="s">
        <v>126</v>
      </c>
    </row>
    <row r="41" spans="1:3" x14ac:dyDescent="0.2">
      <c r="A41" s="19" t="s">
        <v>94</v>
      </c>
      <c r="B41" s="19">
        <v>0.75</v>
      </c>
      <c r="C41" t="s">
        <v>126</v>
      </c>
    </row>
    <row r="42" spans="1:3" x14ac:dyDescent="0.2">
      <c r="A42" s="19" t="s">
        <v>95</v>
      </c>
      <c r="B42" s="19">
        <v>0.52</v>
      </c>
      <c r="C42" t="s">
        <v>126</v>
      </c>
    </row>
    <row r="43" spans="1:3" x14ac:dyDescent="0.2">
      <c r="A43" s="19" t="s">
        <v>96</v>
      </c>
      <c r="B43" s="19">
        <v>0.35</v>
      </c>
      <c r="C43" t="s">
        <v>127</v>
      </c>
    </row>
    <row r="44" spans="1:3" x14ac:dyDescent="0.2">
      <c r="A44" s="19" t="s">
        <v>97</v>
      </c>
      <c r="B44" s="19">
        <v>0.37</v>
      </c>
      <c r="C44" t="s">
        <v>127</v>
      </c>
    </row>
    <row r="45" spans="1:3" x14ac:dyDescent="0.2">
      <c r="A45" s="19" t="s">
        <v>98</v>
      </c>
      <c r="B45" s="19">
        <v>0.45</v>
      </c>
      <c r="C45" t="s">
        <v>125</v>
      </c>
    </row>
    <row r="46" spans="1:3" x14ac:dyDescent="0.2">
      <c r="A46" s="19" t="s">
        <v>99</v>
      </c>
      <c r="B46" s="19">
        <v>0.39</v>
      </c>
      <c r="C46" t="s">
        <v>125</v>
      </c>
    </row>
    <row r="47" spans="1:3" x14ac:dyDescent="0.2">
      <c r="A47" s="19" t="s">
        <v>100</v>
      </c>
      <c r="B47" s="19">
        <v>0.44</v>
      </c>
      <c r="C47" t="s">
        <v>125</v>
      </c>
    </row>
    <row r="48" spans="1:3" x14ac:dyDescent="0.2">
      <c r="A48" s="19" t="s">
        <v>101</v>
      </c>
      <c r="B48" s="19">
        <v>0.46</v>
      </c>
      <c r="C48" t="s">
        <v>125</v>
      </c>
    </row>
    <row r="49" spans="1:3" x14ac:dyDescent="0.2">
      <c r="A49" s="19" t="s">
        <v>102</v>
      </c>
      <c r="B49" s="19">
        <v>0.46</v>
      </c>
      <c r="C49" t="s">
        <v>128</v>
      </c>
    </row>
    <row r="50" spans="1:3" x14ac:dyDescent="0.2">
      <c r="A50" s="19" t="s">
        <v>103</v>
      </c>
      <c r="B50" s="19">
        <v>0.44</v>
      </c>
      <c r="C50" t="s">
        <v>125</v>
      </c>
    </row>
    <row r="51" spans="1:3" x14ac:dyDescent="0.2">
      <c r="A51" s="19" t="s">
        <v>104</v>
      </c>
      <c r="B51" s="19">
        <v>0.46</v>
      </c>
      <c r="C51" t="s">
        <v>125</v>
      </c>
    </row>
    <row r="52" spans="1:3" x14ac:dyDescent="0.2">
      <c r="A52" s="19" t="s">
        <v>105</v>
      </c>
      <c r="B52" s="19">
        <v>0.48</v>
      </c>
      <c r="C52" t="s">
        <v>125</v>
      </c>
    </row>
    <row r="53" spans="1:3" x14ac:dyDescent="0.2">
      <c r="A53" s="19" t="s">
        <v>106</v>
      </c>
      <c r="B53" s="19">
        <v>0.44</v>
      </c>
      <c r="C53" t="s">
        <v>125</v>
      </c>
    </row>
    <row r="54" spans="1:3" x14ac:dyDescent="0.2">
      <c r="A54" s="19" t="s">
        <v>107</v>
      </c>
      <c r="B54" s="19">
        <v>0.34</v>
      </c>
      <c r="C54" t="s">
        <v>125</v>
      </c>
    </row>
    <row r="55" spans="1:3" x14ac:dyDescent="0.2">
      <c r="A55" s="19" t="s">
        <v>108</v>
      </c>
      <c r="B55" s="19">
        <v>0.5</v>
      </c>
      <c r="C55" t="s">
        <v>126</v>
      </c>
    </row>
    <row r="56" spans="1:3" x14ac:dyDescent="0.2">
      <c r="A56" s="19" t="s">
        <v>109</v>
      </c>
      <c r="B56" s="19">
        <v>0.57999999999999996</v>
      </c>
      <c r="C56" t="s">
        <v>126</v>
      </c>
    </row>
    <row r="57" spans="1:3" x14ac:dyDescent="0.2">
      <c r="A57" s="19" t="s">
        <v>110</v>
      </c>
      <c r="B57" s="19">
        <v>0.37</v>
      </c>
      <c r="C57" t="s">
        <v>125</v>
      </c>
    </row>
    <row r="58" spans="1:3" x14ac:dyDescent="0.2">
      <c r="A58" s="19" t="s">
        <v>111</v>
      </c>
      <c r="B58" s="19">
        <v>0.37</v>
      </c>
      <c r="C58" t="s">
        <v>125</v>
      </c>
    </row>
    <row r="59" spans="1:3" x14ac:dyDescent="0.2">
      <c r="A59" s="19" t="s">
        <v>112</v>
      </c>
      <c r="B59" s="19">
        <v>0.38</v>
      </c>
      <c r="C59" t="s">
        <v>125</v>
      </c>
    </row>
    <row r="60" spans="1:3" x14ac:dyDescent="0.2">
      <c r="A60" s="19" t="s">
        <v>113</v>
      </c>
      <c r="B60" s="19">
        <v>0.36</v>
      </c>
      <c r="C60" t="s">
        <v>125</v>
      </c>
    </row>
    <row r="61" spans="1:3" x14ac:dyDescent="0.2">
      <c r="A61" s="19" t="s">
        <v>114</v>
      </c>
      <c r="B61" s="19">
        <v>0.37</v>
      </c>
      <c r="C61" t="s">
        <v>126</v>
      </c>
    </row>
    <row r="62" spans="1:3" x14ac:dyDescent="0.2">
      <c r="A62" s="19" t="s">
        <v>115</v>
      </c>
      <c r="B62" s="19">
        <v>0.53</v>
      </c>
      <c r="C62" t="s">
        <v>126</v>
      </c>
    </row>
    <row r="63" spans="1:3" x14ac:dyDescent="0.2">
      <c r="A63" s="19" t="s">
        <v>116</v>
      </c>
      <c r="B63" s="19">
        <v>0.43</v>
      </c>
      <c r="C63" t="s">
        <v>126</v>
      </c>
    </row>
    <row r="64" spans="1:3" x14ac:dyDescent="0.2">
      <c r="A64" s="19" t="s">
        <v>117</v>
      </c>
      <c r="B64" s="19">
        <v>0.38</v>
      </c>
      <c r="C64" t="s">
        <v>126</v>
      </c>
    </row>
    <row r="65" spans="1:3" x14ac:dyDescent="0.2">
      <c r="A65" s="19" t="s">
        <v>118</v>
      </c>
      <c r="B65" s="19">
        <v>0.42</v>
      </c>
      <c r="C65" t="s">
        <v>125</v>
      </c>
    </row>
    <row r="66" spans="1:3" x14ac:dyDescent="0.2">
      <c r="A66" s="19" t="s">
        <v>119</v>
      </c>
      <c r="B66" s="19">
        <v>0.56999999999999995</v>
      </c>
      <c r="C66" t="s">
        <v>124</v>
      </c>
    </row>
    <row r="67" spans="1:3" x14ac:dyDescent="0.2">
      <c r="A67" s="19" t="s">
        <v>120</v>
      </c>
      <c r="B67" s="19">
        <v>0.54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Calcul</vt:lpstr>
      <vt:lpstr>Acct</vt:lpstr>
      <vt:lpstr>Infra</vt:lpstr>
      <vt:lpstr>Fact_exp_projet</vt:lpstr>
      <vt:lpstr>Fact_exp_ref</vt:lpstr>
      <vt:lpstr>infran_projet</vt:lpstr>
      <vt:lpstr>Infran_ref</vt:lpstr>
      <vt:lpstr>Pourcent_Nett_ref</vt:lpstr>
      <vt:lpstr>Pourcentage_nettoyage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Thibault ANSELIN</dc:creator>
  <cp:lastModifiedBy>Thibault Anselin</cp:lastModifiedBy>
  <cp:lastPrinted>2020-03-25T12:48:18Z</cp:lastPrinted>
  <dcterms:created xsi:type="dcterms:W3CDTF">2018-02-01T11:16:46Z</dcterms:created>
  <dcterms:modified xsi:type="dcterms:W3CDTF">2021-07-22T13:44:06Z</dcterms:modified>
</cp:coreProperties>
</file>