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du Périgord\Projet Mareuil-en-Périgord_042021\"/>
    </mc:Choice>
  </mc:AlternateContent>
  <bookViews>
    <workbookView xWindow="0" yWindow="0" windowWidth="19200" windowHeight="7310" activeTab="3"/>
  </bookViews>
  <sheets>
    <sheet name="REAforêtReboisement" sheetId="1" r:id="rId1"/>
    <sheet name="REAproduitsReboisement" sheetId="3" r:id="rId2"/>
    <sheet name="REEsubsRe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1" i="1" l="1"/>
  <c r="B22" i="1"/>
  <c r="BI29" i="1"/>
  <c r="I29" i="1"/>
  <c r="J29" i="1"/>
  <c r="K29" i="1"/>
  <c r="Q29" i="1"/>
  <c r="R29" i="1"/>
  <c r="S29" i="1"/>
  <c r="Y29" i="1"/>
  <c r="Z29" i="1"/>
  <c r="AA29" i="1"/>
  <c r="AG29" i="1"/>
  <c r="AH29" i="1"/>
  <c r="AI29" i="1"/>
  <c r="AO29" i="1"/>
  <c r="AP29" i="1"/>
  <c r="AQ29" i="1"/>
  <c r="AW29" i="1"/>
  <c r="AX29" i="1"/>
  <c r="AY29" i="1"/>
  <c r="BE29" i="1"/>
  <c r="BF29" i="1"/>
  <c r="BG29" i="1"/>
  <c r="BM29" i="1"/>
  <c r="BN29" i="1"/>
  <c r="BO29" i="1"/>
  <c r="BU29" i="1"/>
  <c r="BV29" i="1"/>
  <c r="BW29" i="1"/>
  <c r="CC29" i="1"/>
  <c r="CD29" i="1"/>
  <c r="D30" i="1"/>
  <c r="D29" i="1" s="1"/>
  <c r="E30" i="1"/>
  <c r="E29" i="1" s="1"/>
  <c r="F30" i="1"/>
  <c r="G30" i="1"/>
  <c r="G29" i="1" s="1"/>
  <c r="H30" i="1"/>
  <c r="H29" i="1" s="1"/>
  <c r="I30" i="1"/>
  <c r="J30" i="1"/>
  <c r="K30" i="1"/>
  <c r="L30" i="1"/>
  <c r="L29" i="1" s="1"/>
  <c r="M30" i="1"/>
  <c r="M29" i="1" s="1"/>
  <c r="N30" i="1"/>
  <c r="O30" i="1"/>
  <c r="O29" i="1" s="1"/>
  <c r="P30" i="1"/>
  <c r="P29" i="1" s="1"/>
  <c r="Q30" i="1"/>
  <c r="R30" i="1"/>
  <c r="S30" i="1"/>
  <c r="T30" i="1"/>
  <c r="T29" i="1" s="1"/>
  <c r="U30" i="1"/>
  <c r="U29" i="1" s="1"/>
  <c r="V30" i="1"/>
  <c r="W30" i="1"/>
  <c r="W29" i="1" s="1"/>
  <c r="X30" i="1"/>
  <c r="X29" i="1" s="1"/>
  <c r="Y30" i="1"/>
  <c r="Z30" i="1"/>
  <c r="AA30" i="1"/>
  <c r="AB30" i="1"/>
  <c r="AB29" i="1" s="1"/>
  <c r="AC30" i="1"/>
  <c r="AC29" i="1" s="1"/>
  <c r="AD30" i="1"/>
  <c r="AE30" i="1"/>
  <c r="AE29" i="1" s="1"/>
  <c r="AF30" i="1"/>
  <c r="AF29" i="1" s="1"/>
  <c r="AG30" i="1"/>
  <c r="AH30" i="1"/>
  <c r="AI30" i="1"/>
  <c r="AJ30" i="1"/>
  <c r="AJ29" i="1" s="1"/>
  <c r="AK30" i="1"/>
  <c r="AK29" i="1" s="1"/>
  <c r="AL30" i="1"/>
  <c r="AM30" i="1"/>
  <c r="AM29" i="1" s="1"/>
  <c r="AN30" i="1"/>
  <c r="AN29" i="1" s="1"/>
  <c r="AO30" i="1"/>
  <c r="AP30" i="1"/>
  <c r="AQ30" i="1"/>
  <c r="AR30" i="1"/>
  <c r="AR29" i="1" s="1"/>
  <c r="AS30" i="1"/>
  <c r="AS29" i="1" s="1"/>
  <c r="AT30" i="1"/>
  <c r="AU30" i="1"/>
  <c r="AU29" i="1" s="1"/>
  <c r="AV30" i="1"/>
  <c r="AV29" i="1" s="1"/>
  <c r="AW30" i="1"/>
  <c r="AX30" i="1"/>
  <c r="AY30" i="1"/>
  <c r="AZ30" i="1"/>
  <c r="AZ29" i="1" s="1"/>
  <c r="BA30" i="1"/>
  <c r="BA29" i="1" s="1"/>
  <c r="BB30" i="1"/>
  <c r="BC30" i="1"/>
  <c r="BC29" i="1" s="1"/>
  <c r="BD30" i="1"/>
  <c r="BD29" i="1" s="1"/>
  <c r="BE30" i="1"/>
  <c r="BF30" i="1"/>
  <c r="BG30" i="1"/>
  <c r="BH30" i="1"/>
  <c r="BH29" i="1" s="1"/>
  <c r="BI30" i="1"/>
  <c r="BJ30" i="1"/>
  <c r="BK30" i="1"/>
  <c r="BK29" i="1" s="1"/>
  <c r="BL30" i="1"/>
  <c r="BL29" i="1" s="1"/>
  <c r="BM30" i="1"/>
  <c r="BN30" i="1"/>
  <c r="BO30" i="1"/>
  <c r="BP30" i="1"/>
  <c r="BP29" i="1" s="1"/>
  <c r="BQ30" i="1"/>
  <c r="BQ29" i="1" s="1"/>
  <c r="BR30" i="1"/>
  <c r="BS30" i="1"/>
  <c r="BS29" i="1" s="1"/>
  <c r="BT30" i="1"/>
  <c r="BT29" i="1" s="1"/>
  <c r="BU30" i="1"/>
  <c r="BV30" i="1"/>
  <c r="BW30" i="1"/>
  <c r="BX30" i="1"/>
  <c r="BX29" i="1" s="1"/>
  <c r="BY30" i="1"/>
  <c r="BY29" i="1" s="1"/>
  <c r="BZ30" i="1"/>
  <c r="CA30" i="1"/>
  <c r="CA29" i="1" s="1"/>
  <c r="CB30" i="1"/>
  <c r="CB29" i="1" s="1"/>
  <c r="CC30" i="1"/>
  <c r="CD30" i="1"/>
  <c r="D31" i="1"/>
  <c r="E31" i="1"/>
  <c r="F31" i="1"/>
  <c r="F29" i="1" s="1"/>
  <c r="G31" i="1"/>
  <c r="H31" i="1"/>
  <c r="I31" i="1"/>
  <c r="J31" i="1"/>
  <c r="K31" i="1"/>
  <c r="L31" i="1"/>
  <c r="M31" i="1"/>
  <c r="N31" i="1"/>
  <c r="N29" i="1" s="1"/>
  <c r="O31" i="1"/>
  <c r="P31" i="1"/>
  <c r="Q31" i="1"/>
  <c r="R31" i="1"/>
  <c r="S31" i="1"/>
  <c r="T31" i="1"/>
  <c r="U31" i="1"/>
  <c r="V31" i="1"/>
  <c r="V29" i="1" s="1"/>
  <c r="W31" i="1"/>
  <c r="X31" i="1"/>
  <c r="Y31" i="1"/>
  <c r="Z31" i="1"/>
  <c r="AA31" i="1"/>
  <c r="AB31" i="1"/>
  <c r="AC31" i="1"/>
  <c r="AD31" i="1"/>
  <c r="AD29" i="1" s="1"/>
  <c r="AE31" i="1"/>
  <c r="AF31" i="1"/>
  <c r="AG31" i="1"/>
  <c r="AH31" i="1"/>
  <c r="AI31" i="1"/>
  <c r="AJ31" i="1"/>
  <c r="AK31" i="1"/>
  <c r="AL31" i="1"/>
  <c r="AL29" i="1" s="1"/>
  <c r="AM31" i="1"/>
  <c r="AN31" i="1"/>
  <c r="AO31" i="1"/>
  <c r="AP31" i="1"/>
  <c r="AQ31" i="1"/>
  <c r="AR31" i="1"/>
  <c r="AS31" i="1"/>
  <c r="AT31" i="1"/>
  <c r="AT29" i="1" s="1"/>
  <c r="AU31" i="1"/>
  <c r="AV31" i="1"/>
  <c r="AW31" i="1"/>
  <c r="AX31" i="1"/>
  <c r="AY31" i="1"/>
  <c r="AZ31" i="1"/>
  <c r="BA31" i="1"/>
  <c r="BB31" i="1"/>
  <c r="BB29" i="1" s="1"/>
  <c r="BC31" i="1"/>
  <c r="BD31" i="1"/>
  <c r="BE31" i="1"/>
  <c r="BF31" i="1"/>
  <c r="BG31" i="1"/>
  <c r="BH31" i="1"/>
  <c r="BI31" i="1"/>
  <c r="BJ31" i="1"/>
  <c r="BJ29" i="1" s="1"/>
  <c r="BK31" i="1"/>
  <c r="BL31" i="1"/>
  <c r="BM31" i="1"/>
  <c r="BN31" i="1"/>
  <c r="BO31" i="1"/>
  <c r="BP31" i="1"/>
  <c r="BQ31" i="1"/>
  <c r="BR31" i="1"/>
  <c r="BR29" i="1" s="1"/>
  <c r="BS31" i="1"/>
  <c r="BT31" i="1"/>
  <c r="BU31" i="1"/>
  <c r="BV31" i="1"/>
  <c r="BW31" i="1"/>
  <c r="BX31" i="1"/>
  <c r="BY31" i="1"/>
  <c r="BZ31" i="1"/>
  <c r="BZ29" i="1" s="1"/>
  <c r="CA31" i="1"/>
  <c r="CB31" i="1"/>
  <c r="CC31" i="1"/>
  <c r="CD31" i="1"/>
  <c r="D32" i="1"/>
  <c r="E32" i="1"/>
  <c r="F32" i="1"/>
  <c r="G32" i="1"/>
  <c r="H32" i="1"/>
  <c r="I32" i="1"/>
  <c r="J32" i="1"/>
  <c r="K32" i="1"/>
  <c r="L32" i="1"/>
  <c r="M32" i="1"/>
  <c r="N32" i="1"/>
  <c r="O32" i="1"/>
  <c r="P32" i="1"/>
  <c r="Q32" i="1"/>
  <c r="R32" i="1"/>
  <c r="S32" i="1"/>
  <c r="T32" i="1"/>
  <c r="U32" i="1"/>
  <c r="V32" i="1"/>
  <c r="W32" i="1"/>
  <c r="X32" i="1"/>
  <c r="Y32" i="1"/>
  <c r="Z32" i="1"/>
  <c r="AA32" i="1"/>
  <c r="AB32" i="1"/>
  <c r="AC32" i="1"/>
  <c r="AD32" i="1"/>
  <c r="AE32" i="1"/>
  <c r="AF32" i="1"/>
  <c r="AG32" i="1"/>
  <c r="AH32" i="1"/>
  <c r="AI32" i="1"/>
  <c r="AJ32" i="1"/>
  <c r="AK32" i="1"/>
  <c r="AL32" i="1"/>
  <c r="AM32" i="1"/>
  <c r="AN32" i="1"/>
  <c r="C29" i="1"/>
  <c r="C32" i="1"/>
  <c r="C31" i="1"/>
  <c r="C30" i="1"/>
  <c r="B23" i="1"/>
  <c r="B27" i="1"/>
  <c r="B25" i="1"/>
  <c r="B8" i="4" l="1"/>
  <c r="B6" i="4"/>
  <c r="B6" i="5"/>
  <c r="B5" i="5"/>
  <c r="Z20" i="5"/>
  <c r="V20" i="5"/>
  <c r="Q20" i="5"/>
  <c r="N20" i="5"/>
  <c r="Z21" i="5"/>
  <c r="V21" i="5"/>
  <c r="Q21" i="5"/>
  <c r="N21" i="5"/>
  <c r="B5" i="3"/>
  <c r="P14" i="3"/>
  <c r="AA25" i="3"/>
  <c r="AA26" i="3"/>
  <c r="W24" i="3"/>
  <c r="R24" i="3"/>
  <c r="W26" i="3"/>
  <c r="R26" i="3"/>
  <c r="O26" i="3"/>
  <c r="C22" i="3"/>
  <c r="C19" i="3"/>
  <c r="C16" i="3"/>
  <c r="B14" i="3"/>
  <c r="B50" i="1"/>
  <c r="BJ26" i="1" l="1"/>
  <c r="AU26" i="1"/>
  <c r="AK26" i="1"/>
  <c r="AA26" i="1"/>
  <c r="AB26" i="1" s="1"/>
  <c r="AC26" i="1" s="1"/>
  <c r="AD26" i="1" s="1"/>
  <c r="AE26" i="1" s="1"/>
  <c r="AF26" i="1" s="1"/>
  <c r="AG26" i="1" s="1"/>
  <c r="AH26" i="1" s="1"/>
  <c r="AI26" i="1" s="1"/>
  <c r="AJ26" i="1" s="1"/>
  <c r="BV24" i="1"/>
  <c r="BN24" i="1"/>
  <c r="BF24" i="1"/>
  <c r="AX24" i="1"/>
  <c r="AR24" i="1"/>
  <c r="AA24" i="1"/>
  <c r="D28" i="1"/>
  <c r="E28" i="1" s="1"/>
  <c r="C28" i="1"/>
  <c r="C27" i="1" s="1"/>
  <c r="Z26" i="1"/>
  <c r="Y26" i="1"/>
  <c r="D26" i="1"/>
  <c r="E26" i="1"/>
  <c r="F26" i="1"/>
  <c r="G26" i="1"/>
  <c r="H26" i="1"/>
  <c r="I26" i="1"/>
  <c r="J26" i="1" s="1"/>
  <c r="K26" i="1" s="1"/>
  <c r="L26" i="1" s="1"/>
  <c r="M26" i="1" s="1"/>
  <c r="N26" i="1" s="1"/>
  <c r="O26" i="1" s="1"/>
  <c r="P26" i="1" s="1"/>
  <c r="Q26" i="1" s="1"/>
  <c r="R26" i="1" s="1"/>
  <c r="S26" i="1" s="1"/>
  <c r="T26" i="1" s="1"/>
  <c r="U26" i="1" s="1"/>
  <c r="V26" i="1" s="1"/>
  <c r="W26" i="1" s="1"/>
  <c r="X26" i="1" s="1"/>
  <c r="C26" i="1"/>
  <c r="D24" i="1"/>
  <c r="E24" i="1" s="1"/>
  <c r="F24" i="1" s="1"/>
  <c r="G24" i="1" s="1"/>
  <c r="H24" i="1" s="1"/>
  <c r="I24" i="1" s="1"/>
  <c r="J24" i="1" s="1"/>
  <c r="K24" i="1" s="1"/>
  <c r="L24" i="1" s="1"/>
  <c r="M24" i="1" s="1"/>
  <c r="N24" i="1" s="1"/>
  <c r="O24" i="1" s="1"/>
  <c r="P24" i="1" s="1"/>
  <c r="Q24" i="1" s="1"/>
  <c r="R24" i="1" s="1"/>
  <c r="S24" i="1" s="1"/>
  <c r="T24" i="1" s="1"/>
  <c r="U24" i="1" s="1"/>
  <c r="V24" i="1" s="1"/>
  <c r="W24" i="1" s="1"/>
  <c r="X24" i="1" s="1"/>
  <c r="Y24" i="1" s="1"/>
  <c r="Z24" i="1" s="1"/>
  <c r="C24" i="1"/>
  <c r="C36" i="1"/>
  <c r="AP37" i="1"/>
  <c r="AQ37" i="1" s="1"/>
  <c r="AP39" i="1"/>
  <c r="AQ39" i="1"/>
  <c r="AR39" i="1"/>
  <c r="AS39" i="1"/>
  <c r="AT39" i="1"/>
  <c r="AU39" i="1"/>
  <c r="AV39" i="1"/>
  <c r="AW39" i="1"/>
  <c r="AX39" i="1"/>
  <c r="AY39" i="1"/>
  <c r="AZ39" i="1"/>
  <c r="BA39" i="1"/>
  <c r="BB39" i="1"/>
  <c r="BC39" i="1"/>
  <c r="BD39" i="1"/>
  <c r="BE39" i="1"/>
  <c r="BF39" i="1"/>
  <c r="BG39" i="1"/>
  <c r="BH39" i="1"/>
  <c r="BI39" i="1"/>
  <c r="BJ39" i="1"/>
  <c r="BK39" i="1"/>
  <c r="BL39" i="1"/>
  <c r="BM39" i="1"/>
  <c r="BN39" i="1"/>
  <c r="BO39" i="1"/>
  <c r="BP39" i="1"/>
  <c r="BQ39" i="1"/>
  <c r="BR39" i="1"/>
  <c r="BS39" i="1"/>
  <c r="BT39" i="1"/>
  <c r="BU39" i="1"/>
  <c r="BV39" i="1"/>
  <c r="BW39" i="1"/>
  <c r="BX39" i="1"/>
  <c r="BY39" i="1"/>
  <c r="BZ39" i="1"/>
  <c r="CA39" i="1"/>
  <c r="CB39" i="1"/>
  <c r="CC39" i="1"/>
  <c r="CD39" i="1"/>
  <c r="AN27" i="1"/>
  <c r="D27" i="1"/>
  <c r="N27" i="1"/>
  <c r="O27" i="1"/>
  <c r="P27" i="1"/>
  <c r="Q27" i="1"/>
  <c r="R27" i="1"/>
  <c r="S27" i="1"/>
  <c r="T27" i="1"/>
  <c r="U27" i="1"/>
  <c r="V27" i="1"/>
  <c r="W27" i="1"/>
  <c r="X27" i="1"/>
  <c r="Y27" i="1"/>
  <c r="Z27" i="1"/>
  <c r="AA27" i="1"/>
  <c r="AB27" i="1"/>
  <c r="AC27" i="1"/>
  <c r="AD27" i="1"/>
  <c r="AE27" i="1"/>
  <c r="AF27" i="1"/>
  <c r="AG27" i="1"/>
  <c r="AH27" i="1"/>
  <c r="AI27" i="1"/>
  <c r="AJ27" i="1"/>
  <c r="AK27" i="1"/>
  <c r="AL27" i="1"/>
  <c r="AM27" i="1"/>
  <c r="B42" i="1"/>
  <c r="AL26" i="1" l="1"/>
  <c r="AM26" i="1" s="1"/>
  <c r="AN26" i="1" s="1"/>
  <c r="AO26" i="1" s="1"/>
  <c r="AP26" i="1" s="1"/>
  <c r="AQ26" i="1" s="1"/>
  <c r="AR26" i="1" s="1"/>
  <c r="AS26" i="1" s="1"/>
  <c r="AT26" i="1" s="1"/>
  <c r="AV26" i="1" s="1"/>
  <c r="AW26" i="1" s="1"/>
  <c r="AX26" i="1" s="1"/>
  <c r="AY26" i="1" s="1"/>
  <c r="AZ26" i="1" s="1"/>
  <c r="BA26" i="1" s="1"/>
  <c r="BB26" i="1" s="1"/>
  <c r="BC26" i="1" s="1"/>
  <c r="BD26" i="1" s="1"/>
  <c r="BE26" i="1" s="1"/>
  <c r="BF26" i="1" s="1"/>
  <c r="BG26" i="1" s="1"/>
  <c r="BH26" i="1" s="1"/>
  <c r="BI26" i="1" s="1"/>
  <c r="BK26" i="1" s="1"/>
  <c r="BL26" i="1" s="1"/>
  <c r="BM26" i="1" s="1"/>
  <c r="BN26" i="1" s="1"/>
  <c r="BO26" i="1" s="1"/>
  <c r="BP26" i="1" s="1"/>
  <c r="BQ26" i="1" s="1"/>
  <c r="BR26" i="1" s="1"/>
  <c r="BS26" i="1" s="1"/>
  <c r="BT26" i="1" s="1"/>
  <c r="BU26" i="1" s="1"/>
  <c r="BV26" i="1" s="1"/>
  <c r="BW26" i="1" s="1"/>
  <c r="BX26" i="1" s="1"/>
  <c r="BY26" i="1" s="1"/>
  <c r="BZ26" i="1" s="1"/>
  <c r="CA26" i="1" s="1"/>
  <c r="CB26" i="1" s="1"/>
  <c r="CC26" i="1" s="1"/>
  <c r="CD26" i="1" s="1"/>
  <c r="AB24" i="1"/>
  <c r="AC24" i="1" s="1"/>
  <c r="AD24" i="1" s="1"/>
  <c r="AE24" i="1" s="1"/>
  <c r="AF24" i="1" s="1"/>
  <c r="AG24" i="1" s="1"/>
  <c r="AH24" i="1" s="1"/>
  <c r="AI24" i="1" s="1"/>
  <c r="AJ24" i="1" s="1"/>
  <c r="E27" i="1"/>
  <c r="F28" i="1"/>
  <c r="AR37" i="1"/>
  <c r="AK24" i="1" l="1"/>
  <c r="AL24" i="1" s="1"/>
  <c r="AM24" i="1" s="1"/>
  <c r="AN24" i="1" s="1"/>
  <c r="AO24" i="1" s="1"/>
  <c r="AP24" i="1" s="1"/>
  <c r="AQ24" i="1" s="1"/>
  <c r="AS24" i="1" s="1"/>
  <c r="AT24" i="1" s="1"/>
  <c r="AU24" i="1" s="1"/>
  <c r="AV24" i="1" s="1"/>
  <c r="AW24" i="1" s="1"/>
  <c r="AY24" i="1" s="1"/>
  <c r="AZ24" i="1" s="1"/>
  <c r="BA24" i="1" s="1"/>
  <c r="BB24" i="1" s="1"/>
  <c r="BC24" i="1" s="1"/>
  <c r="BD24" i="1" s="1"/>
  <c r="BE24" i="1" s="1"/>
  <c r="BG24" i="1" s="1"/>
  <c r="BH24" i="1" s="1"/>
  <c r="BI24" i="1" s="1"/>
  <c r="BJ24" i="1" s="1"/>
  <c r="BK24" i="1" s="1"/>
  <c r="BL24" i="1" s="1"/>
  <c r="BM24" i="1" s="1"/>
  <c r="BO24" i="1" s="1"/>
  <c r="BP24" i="1" s="1"/>
  <c r="BQ24" i="1" s="1"/>
  <c r="BR24" i="1" s="1"/>
  <c r="BS24" i="1" s="1"/>
  <c r="BT24" i="1" s="1"/>
  <c r="BU24" i="1" s="1"/>
  <c r="BW24" i="1" s="1"/>
  <c r="BX24" i="1" s="1"/>
  <c r="BY24" i="1" s="1"/>
  <c r="BZ24" i="1" s="1"/>
  <c r="CA24" i="1" s="1"/>
  <c r="CB24" i="1" s="1"/>
  <c r="CC24" i="1" s="1"/>
  <c r="CD24" i="1" s="1"/>
  <c r="G28" i="1"/>
  <c r="F27" i="1"/>
  <c r="AS37" i="1"/>
  <c r="G27" i="1" l="1"/>
  <c r="H28" i="1"/>
  <c r="AT37" i="1"/>
  <c r="H27" i="1" l="1"/>
  <c r="I28" i="1"/>
  <c r="AU37" i="1"/>
  <c r="I27" i="1" l="1"/>
  <c r="J28" i="1"/>
  <c r="AV37" i="1"/>
  <c r="K28" i="1" l="1"/>
  <c r="J27" i="1"/>
  <c r="AW37" i="1"/>
  <c r="AH39" i="1"/>
  <c r="AI39" i="1"/>
  <c r="AJ39" i="1"/>
  <c r="AK39" i="1"/>
  <c r="AL39" i="1"/>
  <c r="AM39" i="1"/>
  <c r="AN39" i="1"/>
  <c r="AO39" i="1"/>
  <c r="AG39" i="1"/>
  <c r="G43" i="1"/>
  <c r="E43" i="1"/>
  <c r="AF33" i="1"/>
  <c r="L28" i="1" l="1"/>
  <c r="K27" i="1"/>
  <c r="AX37" i="1"/>
  <c r="CD25" i="1"/>
  <c r="J25" i="1"/>
  <c r="R25" i="1"/>
  <c r="Z25" i="1"/>
  <c r="AH25" i="1"/>
  <c r="AP25" i="1"/>
  <c r="AX25" i="1"/>
  <c r="BF25" i="1"/>
  <c r="BN25" i="1"/>
  <c r="BV25" i="1"/>
  <c r="N25" i="1"/>
  <c r="BJ25" i="1"/>
  <c r="AM25" i="1"/>
  <c r="P25" i="1"/>
  <c r="BD25" i="1"/>
  <c r="C25" i="1"/>
  <c r="K25" i="1"/>
  <c r="S25" i="1"/>
  <c r="AA25" i="1"/>
  <c r="AI25" i="1"/>
  <c r="AQ25" i="1"/>
  <c r="AY25" i="1"/>
  <c r="BG25" i="1"/>
  <c r="BO25" i="1"/>
  <c r="BW25" i="1"/>
  <c r="AD25" i="1"/>
  <c r="BR25" i="1"/>
  <c r="AE25" i="1"/>
  <c r="BS25" i="1"/>
  <c r="AN25" i="1"/>
  <c r="CB25" i="1"/>
  <c r="D25" i="1"/>
  <c r="L25" i="1"/>
  <c r="T25" i="1"/>
  <c r="AB25" i="1"/>
  <c r="AJ25" i="1"/>
  <c r="AR25" i="1"/>
  <c r="AZ25" i="1"/>
  <c r="BH25" i="1"/>
  <c r="BP25" i="1"/>
  <c r="BX25" i="1"/>
  <c r="V25" i="1"/>
  <c r="BB25" i="1"/>
  <c r="W25" i="1"/>
  <c r="CA25" i="1"/>
  <c r="AV25" i="1"/>
  <c r="E25" i="1"/>
  <c r="M25" i="1"/>
  <c r="U25" i="1"/>
  <c r="AC25" i="1"/>
  <c r="AK25" i="1"/>
  <c r="AS25" i="1"/>
  <c r="BA25" i="1"/>
  <c r="BI25" i="1"/>
  <c r="BQ25" i="1"/>
  <c r="BY25" i="1"/>
  <c r="F25" i="1"/>
  <c r="AT25" i="1"/>
  <c r="O25" i="1"/>
  <c r="AU25" i="1"/>
  <c r="X25" i="1"/>
  <c r="BL25" i="1"/>
  <c r="BK25" i="1"/>
  <c r="G25" i="1"/>
  <c r="H25" i="1"/>
  <c r="I25" i="1"/>
  <c r="Q25" i="1"/>
  <c r="Y25" i="1"/>
  <c r="AG25" i="1"/>
  <c r="AO25" i="1"/>
  <c r="AW25" i="1"/>
  <c r="BE25" i="1"/>
  <c r="BM25" i="1"/>
  <c r="BU25" i="1"/>
  <c r="CC25" i="1"/>
  <c r="AL25" i="1"/>
  <c r="BZ25" i="1"/>
  <c r="BC25" i="1"/>
  <c r="AF25" i="1"/>
  <c r="BT25" i="1"/>
  <c r="M28" i="1" l="1"/>
  <c r="M27" i="1" s="1"/>
  <c r="L27" i="1"/>
  <c r="AY37" i="1"/>
  <c r="B15" i="5"/>
  <c r="B14" i="5"/>
  <c r="C34" i="3"/>
  <c r="B20" i="5" l="1"/>
  <c r="AZ37" i="1"/>
  <c r="E20" i="5"/>
  <c r="BA37" i="1" l="1"/>
  <c r="C37" i="1"/>
  <c r="BB37" i="1" l="1"/>
  <c r="D37" i="1"/>
  <c r="E37" i="1" s="1"/>
  <c r="F37" i="1" s="1"/>
  <c r="G37" i="1" s="1"/>
  <c r="H37" i="1" s="1"/>
  <c r="I37" i="1" s="1"/>
  <c r="J37" i="1" s="1"/>
  <c r="K37" i="1" s="1"/>
  <c r="L37" i="1" s="1"/>
  <c r="M37" i="1" s="1"/>
  <c r="N37" i="1" s="1"/>
  <c r="O37" i="1" s="1"/>
  <c r="P37" i="1" s="1"/>
  <c r="Q37" i="1" s="1"/>
  <c r="R37" i="1" s="1"/>
  <c r="S37" i="1" s="1"/>
  <c r="T37" i="1" s="1"/>
  <c r="U37" i="1" s="1"/>
  <c r="V37" i="1" s="1"/>
  <c r="W37" i="1" s="1"/>
  <c r="X37" i="1" s="1"/>
  <c r="Y37" i="1" s="1"/>
  <c r="Z37" i="1" s="1"/>
  <c r="AA37" i="1" s="1"/>
  <c r="AB37" i="1" s="1"/>
  <c r="AC37" i="1" s="1"/>
  <c r="AD37" i="1" s="1"/>
  <c r="AE37" i="1" s="1"/>
  <c r="AF37" i="1" s="1"/>
  <c r="AG37" i="1" s="1"/>
  <c r="C39" i="1"/>
  <c r="D39" i="1"/>
  <c r="E39" i="1"/>
  <c r="F39" i="1"/>
  <c r="G39" i="1"/>
  <c r="H39" i="1"/>
  <c r="I39" i="1"/>
  <c r="J39" i="1"/>
  <c r="K39" i="1"/>
  <c r="L39" i="1"/>
  <c r="M39" i="1"/>
  <c r="N39" i="1"/>
  <c r="O39" i="1"/>
  <c r="P39" i="1"/>
  <c r="Q39" i="1"/>
  <c r="R39" i="1"/>
  <c r="S39" i="1"/>
  <c r="T39" i="1"/>
  <c r="U39" i="1"/>
  <c r="V39" i="1"/>
  <c r="W39" i="1"/>
  <c r="X39" i="1"/>
  <c r="Y39" i="1"/>
  <c r="Z39" i="1"/>
  <c r="AA39" i="1"/>
  <c r="AB39" i="1"/>
  <c r="AC39" i="1"/>
  <c r="AD39" i="1"/>
  <c r="AE39" i="1"/>
  <c r="AF39" i="1"/>
  <c r="B39" i="1"/>
  <c r="C33" i="1"/>
  <c r="D33" i="1"/>
  <c r="E33" i="1"/>
  <c r="F33" i="1"/>
  <c r="G33" i="1"/>
  <c r="H33" i="1"/>
  <c r="I33" i="1"/>
  <c r="J33" i="1"/>
  <c r="K33" i="1"/>
  <c r="L33" i="1"/>
  <c r="M33" i="1"/>
  <c r="N33" i="1"/>
  <c r="O33" i="1"/>
  <c r="P33" i="1"/>
  <c r="Q33" i="1"/>
  <c r="R33" i="1"/>
  <c r="S33" i="1"/>
  <c r="T33" i="1"/>
  <c r="U33" i="1"/>
  <c r="V33" i="1"/>
  <c r="W33" i="1"/>
  <c r="X33" i="1"/>
  <c r="Y33" i="1"/>
  <c r="Z33" i="1"/>
  <c r="AA33" i="1"/>
  <c r="AB33" i="1"/>
  <c r="AC33" i="1"/>
  <c r="AD33" i="1"/>
  <c r="AE33" i="1"/>
  <c r="B33" i="1"/>
  <c r="B23" i="5"/>
  <c r="C20" i="5"/>
  <c r="BC37" i="1" l="1"/>
  <c r="AH37" i="1"/>
  <c r="C15" i="4"/>
  <c r="BD37" i="1" l="1"/>
  <c r="AI37" i="1"/>
  <c r="B25" i="5"/>
  <c r="BE37" i="1" l="1"/>
  <c r="AJ37" i="1"/>
  <c r="BF37" i="1" l="1"/>
  <c r="AK37" i="1"/>
  <c r="C35" i="3"/>
  <c r="BG37" i="1" l="1"/>
  <c r="AL37" i="1"/>
  <c r="C17" i="4"/>
  <c r="C37" i="3"/>
  <c r="BH37" i="1" l="1"/>
  <c r="AM37" i="1"/>
  <c r="BI37" i="1" l="1"/>
  <c r="AN37" i="1"/>
  <c r="C23" i="5"/>
  <c r="C25" i="5" s="1"/>
  <c r="C36" i="3"/>
  <c r="BJ37" i="1" l="1"/>
  <c r="AO37" i="1"/>
  <c r="D20" i="5"/>
  <c r="J23" i="5"/>
  <c r="R23" i="5"/>
  <c r="Z23" i="5"/>
  <c r="AE23" i="5"/>
  <c r="K23" i="5"/>
  <c r="S23" i="5"/>
  <c r="AA23" i="5"/>
  <c r="Q23" i="5"/>
  <c r="D23" i="5"/>
  <c r="L23" i="5"/>
  <c r="T23" i="5"/>
  <c r="AB23" i="5"/>
  <c r="V23" i="5"/>
  <c r="Y23" i="5"/>
  <c r="E23" i="5"/>
  <c r="M23" i="5"/>
  <c r="U23" i="5"/>
  <c r="AC23" i="5"/>
  <c r="F23" i="5"/>
  <c r="N23" i="5"/>
  <c r="AD23" i="5"/>
  <c r="I23" i="5"/>
  <c r="G23" i="5"/>
  <c r="O23" i="5"/>
  <c r="W23" i="5"/>
  <c r="H23" i="5"/>
  <c r="P23" i="5"/>
  <c r="X23" i="5"/>
  <c r="M20" i="5"/>
  <c r="U20" i="5"/>
  <c r="AC20" i="5"/>
  <c r="O20" i="5"/>
  <c r="L20" i="5"/>
  <c r="F20" i="5"/>
  <c r="AD20" i="5"/>
  <c r="G20" i="5"/>
  <c r="W20" i="5"/>
  <c r="H20" i="5"/>
  <c r="P20" i="5"/>
  <c r="X20" i="5"/>
  <c r="R20" i="5"/>
  <c r="AE20" i="5"/>
  <c r="AA20" i="5"/>
  <c r="T20" i="5"/>
  <c r="I20" i="5"/>
  <c r="Y20" i="5"/>
  <c r="J20" i="5"/>
  <c r="K20" i="5"/>
  <c r="S20" i="5"/>
  <c r="AB20" i="5"/>
  <c r="C18" i="4"/>
  <c r="F25" i="5" l="1"/>
  <c r="BK37" i="1"/>
  <c r="AB25" i="5"/>
  <c r="L25" i="5"/>
  <c r="AD25" i="5"/>
  <c r="V25" i="5"/>
  <c r="K25" i="5"/>
  <c r="AC25" i="5"/>
  <c r="T25" i="5"/>
  <c r="U25" i="5"/>
  <c r="G25" i="5"/>
  <c r="R25" i="5"/>
  <c r="H25" i="5"/>
  <c r="I25" i="5"/>
  <c r="AA25" i="5"/>
  <c r="E25" i="5"/>
  <c r="S25" i="5"/>
  <c r="Y25" i="5"/>
  <c r="P25" i="5"/>
  <c r="M25" i="5"/>
  <c r="AE25" i="5"/>
  <c r="Z25" i="5"/>
  <c r="N25" i="5"/>
  <c r="D25" i="5"/>
  <c r="J25" i="5"/>
  <c r="X25" i="5"/>
  <c r="Q25" i="5"/>
  <c r="O25" i="5"/>
  <c r="W25" i="5"/>
  <c r="C29" i="3"/>
  <c r="R23" i="3" s="1"/>
  <c r="I43" i="1"/>
  <c r="C43" i="1"/>
  <c r="C42" i="1"/>
  <c r="G23" i="1" l="1"/>
  <c r="O23" i="1"/>
  <c r="W23" i="1"/>
  <c r="AE23" i="1"/>
  <c r="AM23" i="1"/>
  <c r="AU23" i="1"/>
  <c r="BC23" i="1"/>
  <c r="BK23" i="1"/>
  <c r="BS23" i="1"/>
  <c r="CA23" i="1"/>
  <c r="H23" i="1"/>
  <c r="P23" i="1"/>
  <c r="X23" i="1"/>
  <c r="AF23" i="1"/>
  <c r="AN23" i="1"/>
  <c r="AV23" i="1"/>
  <c r="BD23" i="1"/>
  <c r="BL23" i="1"/>
  <c r="BT23" i="1"/>
  <c r="CB23" i="1"/>
  <c r="S23" i="1"/>
  <c r="AI23" i="1"/>
  <c r="AY23" i="1"/>
  <c r="BO23" i="1"/>
  <c r="D23" i="1"/>
  <c r="T23" i="1"/>
  <c r="AJ23" i="1"/>
  <c r="AR23" i="1"/>
  <c r="BH23" i="1"/>
  <c r="E23" i="1"/>
  <c r="E22" i="1" s="1"/>
  <c r="E21" i="1" s="1"/>
  <c r="AC23" i="1"/>
  <c r="AS23" i="1"/>
  <c r="BA23" i="1"/>
  <c r="BQ23" i="1"/>
  <c r="F23" i="1"/>
  <c r="V23" i="1"/>
  <c r="AD23" i="1"/>
  <c r="AT23" i="1"/>
  <c r="BJ23" i="1"/>
  <c r="BZ23" i="1"/>
  <c r="I23" i="1"/>
  <c r="Q23" i="1"/>
  <c r="Y23" i="1"/>
  <c r="AG23" i="1"/>
  <c r="AO23" i="1"/>
  <c r="AW23" i="1"/>
  <c r="BE23" i="1"/>
  <c r="BM23" i="1"/>
  <c r="BU23" i="1"/>
  <c r="CC23" i="1"/>
  <c r="CD23" i="1"/>
  <c r="J23" i="1"/>
  <c r="R23" i="1"/>
  <c r="Z23" i="1"/>
  <c r="AH23" i="1"/>
  <c r="AP23" i="1"/>
  <c r="AX23" i="1"/>
  <c r="BF23" i="1"/>
  <c r="BN23" i="1"/>
  <c r="BV23" i="1"/>
  <c r="C23" i="1"/>
  <c r="K23" i="1"/>
  <c r="AA23" i="1"/>
  <c r="AQ23" i="1"/>
  <c r="BG23" i="1"/>
  <c r="BW23" i="1"/>
  <c r="L23" i="1"/>
  <c r="AB23" i="1"/>
  <c r="AZ23" i="1"/>
  <c r="BP23" i="1"/>
  <c r="BX23" i="1"/>
  <c r="M23" i="1"/>
  <c r="U23" i="1"/>
  <c r="AK23" i="1"/>
  <c r="BI23" i="1"/>
  <c r="BY23" i="1"/>
  <c r="N23" i="1"/>
  <c r="AL23" i="1"/>
  <c r="BB23" i="1"/>
  <c r="BR23" i="1"/>
  <c r="F23" i="3"/>
  <c r="N23" i="3"/>
  <c r="V23" i="3"/>
  <c r="AD23" i="3"/>
  <c r="G20" i="3"/>
  <c r="O20" i="3"/>
  <c r="W20" i="3"/>
  <c r="AE20" i="3"/>
  <c r="H17" i="3"/>
  <c r="P17" i="3"/>
  <c r="X17" i="3"/>
  <c r="G23" i="3"/>
  <c r="O23" i="3"/>
  <c r="W23" i="3"/>
  <c r="AE23" i="3"/>
  <c r="H20" i="3"/>
  <c r="P20" i="3"/>
  <c r="Q17" i="3"/>
  <c r="X20" i="3"/>
  <c r="H23" i="3"/>
  <c r="P23" i="3"/>
  <c r="X23" i="3"/>
  <c r="B23" i="3"/>
  <c r="C21" i="3" s="1"/>
  <c r="D22" i="3" s="1"/>
  <c r="I20" i="3"/>
  <c r="Q20" i="3"/>
  <c r="Y20" i="3"/>
  <c r="AF17" i="3"/>
  <c r="J17" i="3"/>
  <c r="R17" i="3"/>
  <c r="Z17" i="3"/>
  <c r="K23" i="3"/>
  <c r="D20" i="3"/>
  <c r="E17" i="3"/>
  <c r="AC17" i="3"/>
  <c r="L23" i="3"/>
  <c r="AB23" i="3"/>
  <c r="M20" i="3"/>
  <c r="AC20" i="3"/>
  <c r="N17" i="3"/>
  <c r="AD17" i="3"/>
  <c r="G17" i="3"/>
  <c r="AE17" i="3"/>
  <c r="Y17" i="3"/>
  <c r="I23" i="3"/>
  <c r="Q23" i="3"/>
  <c r="Y23" i="3"/>
  <c r="AF20" i="3"/>
  <c r="J20" i="3"/>
  <c r="R20" i="3"/>
  <c r="Z20" i="3"/>
  <c r="C17" i="3"/>
  <c r="K17" i="3"/>
  <c r="S17" i="3"/>
  <c r="AA17" i="3"/>
  <c r="C23" i="3"/>
  <c r="D21" i="3" s="1"/>
  <c r="E22" i="3" s="1"/>
  <c r="AA23" i="3"/>
  <c r="T20" i="3"/>
  <c r="M17" i="3"/>
  <c r="E23" i="3"/>
  <c r="M23" i="3"/>
  <c r="U23" i="3"/>
  <c r="AC23" i="3"/>
  <c r="F20" i="3"/>
  <c r="V20" i="3"/>
  <c r="O17" i="3"/>
  <c r="B20" i="3"/>
  <c r="C18" i="3" s="1"/>
  <c r="AF23" i="3"/>
  <c r="J23" i="3"/>
  <c r="Z23" i="3"/>
  <c r="C20" i="3"/>
  <c r="K20" i="3"/>
  <c r="S20" i="3"/>
  <c r="AA20" i="3"/>
  <c r="D17" i="3"/>
  <c r="L17" i="3"/>
  <c r="T17" i="3"/>
  <c r="AB17" i="3"/>
  <c r="S23" i="3"/>
  <c r="L20" i="3"/>
  <c r="AB20" i="3"/>
  <c r="U17" i="3"/>
  <c r="D23" i="3"/>
  <c r="T23" i="3"/>
  <c r="E20" i="3"/>
  <c r="U20" i="3"/>
  <c r="F17" i="3"/>
  <c r="V17" i="3"/>
  <c r="N20" i="3"/>
  <c r="AD20" i="3"/>
  <c r="W17" i="3"/>
  <c r="I17" i="3"/>
  <c r="B17" i="3"/>
  <c r="C15" i="3" s="1"/>
  <c r="B36" i="1"/>
  <c r="B35" i="1" s="1"/>
  <c r="AQ36" i="1"/>
  <c r="AP36" i="1"/>
  <c r="AP38" i="1" s="1"/>
  <c r="AP35" i="1" s="1"/>
  <c r="AR36" i="1"/>
  <c r="AR38" i="1" s="1"/>
  <c r="AR35" i="1" s="1"/>
  <c r="AS36" i="1"/>
  <c r="AT36" i="1"/>
  <c r="AT38" i="1" s="1"/>
  <c r="AT35" i="1" s="1"/>
  <c r="AU36" i="1"/>
  <c r="AU38" i="1" s="1"/>
  <c r="AU35" i="1" s="1"/>
  <c r="AV36" i="1"/>
  <c r="AV38" i="1" s="1"/>
  <c r="AV35" i="1" s="1"/>
  <c r="AW36" i="1"/>
  <c r="AW38" i="1" s="1"/>
  <c r="AW35" i="1" s="1"/>
  <c r="AX36" i="1"/>
  <c r="AX38" i="1" s="1"/>
  <c r="AX35" i="1" s="1"/>
  <c r="AY36" i="1"/>
  <c r="AZ36" i="1"/>
  <c r="BA36" i="1"/>
  <c r="BA38" i="1" s="1"/>
  <c r="BA35" i="1" s="1"/>
  <c r="BB36" i="1"/>
  <c r="BB38" i="1" s="1"/>
  <c r="BB35" i="1" s="1"/>
  <c r="BC36" i="1"/>
  <c r="BC38" i="1" s="1"/>
  <c r="BC35" i="1" s="1"/>
  <c r="BD36" i="1"/>
  <c r="BD38" i="1" s="1"/>
  <c r="BD35" i="1" s="1"/>
  <c r="BE36" i="1"/>
  <c r="BF36" i="1"/>
  <c r="BG36" i="1"/>
  <c r="BG38" i="1" s="1"/>
  <c r="BG35" i="1" s="1"/>
  <c r="BH36" i="1"/>
  <c r="BI36" i="1"/>
  <c r="BI38" i="1" s="1"/>
  <c r="BI35" i="1" s="1"/>
  <c r="BJ36" i="1"/>
  <c r="BJ38" i="1" s="1"/>
  <c r="BK36" i="1"/>
  <c r="BL37" i="1"/>
  <c r="CD22" i="1"/>
  <c r="AN22" i="1"/>
  <c r="I22" i="1"/>
  <c r="I21" i="1" s="1"/>
  <c r="B9" i="4"/>
  <c r="AG36" i="1"/>
  <c r="AH36" i="1"/>
  <c r="AI36" i="1"/>
  <c r="AI38" i="1" s="1"/>
  <c r="AI35" i="1" s="1"/>
  <c r="AJ36" i="1"/>
  <c r="AJ38" i="1" s="1"/>
  <c r="AJ35" i="1" s="1"/>
  <c r="AK36" i="1"/>
  <c r="AK38" i="1" s="1"/>
  <c r="AK35" i="1" s="1"/>
  <c r="AL36" i="1"/>
  <c r="AL38" i="1" s="1"/>
  <c r="AL35" i="1" s="1"/>
  <c r="AM36" i="1"/>
  <c r="AM38" i="1" s="1"/>
  <c r="AM35" i="1" s="1"/>
  <c r="AN36" i="1"/>
  <c r="AN38" i="1" s="1"/>
  <c r="AN35" i="1" s="1"/>
  <c r="P22" i="1"/>
  <c r="P21" i="1" s="1"/>
  <c r="H22" i="1"/>
  <c r="H21" i="1" s="1"/>
  <c r="AO36" i="1"/>
  <c r="AO38" i="1" s="1"/>
  <c r="AO35" i="1" s="1"/>
  <c r="D36" i="1"/>
  <c r="C38" i="1"/>
  <c r="C35" i="1" s="1"/>
  <c r="AF36" i="1"/>
  <c r="L36" i="1"/>
  <c r="T36" i="1"/>
  <c r="AB36" i="1"/>
  <c r="I36" i="1"/>
  <c r="E36" i="1"/>
  <c r="M36" i="1"/>
  <c r="U36" i="1"/>
  <c r="U38" i="1" s="1"/>
  <c r="U35" i="1" s="1"/>
  <c r="AC36" i="1"/>
  <c r="K36" i="1"/>
  <c r="F36" i="1"/>
  <c r="N36" i="1"/>
  <c r="V36" i="1"/>
  <c r="AD36" i="1"/>
  <c r="Y36" i="1"/>
  <c r="Z36" i="1"/>
  <c r="G36" i="1"/>
  <c r="O36" i="1"/>
  <c r="W36" i="1"/>
  <c r="AE36" i="1"/>
  <c r="Q36" i="1"/>
  <c r="AA36" i="1"/>
  <c r="H36" i="1"/>
  <c r="P36" i="1"/>
  <c r="X36" i="1"/>
  <c r="J36" i="1"/>
  <c r="R36" i="1"/>
  <c r="S36" i="1"/>
  <c r="I38" i="1"/>
  <c r="I35" i="1" s="1"/>
  <c r="D16" i="3" l="1"/>
  <c r="D15" i="3" s="1"/>
  <c r="E16" i="3" s="1"/>
  <c r="E15" i="3" s="1"/>
  <c r="F16" i="3" s="1"/>
  <c r="F15" i="3" s="1"/>
  <c r="G16" i="3" s="1"/>
  <c r="G15" i="3" s="1"/>
  <c r="H16" i="3" s="1"/>
  <c r="H15" i="3" s="1"/>
  <c r="I16" i="3" s="1"/>
  <c r="I15" i="3" s="1"/>
  <c r="J16" i="3" s="1"/>
  <c r="J15" i="3" s="1"/>
  <c r="K16" i="3" s="1"/>
  <c r="K15" i="3" s="1"/>
  <c r="L16" i="3" s="1"/>
  <c r="L15" i="3" s="1"/>
  <c r="M16" i="3" s="1"/>
  <c r="M15" i="3" s="1"/>
  <c r="N16" i="3" s="1"/>
  <c r="N15" i="3" s="1"/>
  <c r="O16" i="3" s="1"/>
  <c r="O15" i="3" s="1"/>
  <c r="P16" i="3" s="1"/>
  <c r="P15" i="3" s="1"/>
  <c r="Q16" i="3" s="1"/>
  <c r="Q15" i="3" s="1"/>
  <c r="R16" i="3" s="1"/>
  <c r="R15" i="3" s="1"/>
  <c r="S16" i="3" s="1"/>
  <c r="S15" i="3" s="1"/>
  <c r="T16" i="3" s="1"/>
  <c r="T15" i="3" s="1"/>
  <c r="U16" i="3" s="1"/>
  <c r="U15" i="3" s="1"/>
  <c r="V16" i="3" s="1"/>
  <c r="V15" i="3" s="1"/>
  <c r="W16" i="3" s="1"/>
  <c r="W15" i="3" s="1"/>
  <c r="X16" i="3" s="1"/>
  <c r="X15" i="3" s="1"/>
  <c r="Y16" i="3" s="1"/>
  <c r="Y15" i="3" s="1"/>
  <c r="Z16" i="3" s="1"/>
  <c r="Z15" i="3" s="1"/>
  <c r="AA16" i="3" s="1"/>
  <c r="AA15" i="3" s="1"/>
  <c r="AB16" i="3" s="1"/>
  <c r="AB15" i="3" s="1"/>
  <c r="AC16" i="3" s="1"/>
  <c r="AC15" i="3" s="1"/>
  <c r="AD16" i="3" s="1"/>
  <c r="AD15" i="3" s="1"/>
  <c r="AE16" i="3" s="1"/>
  <c r="AE15" i="3" s="1"/>
  <c r="AF16" i="3" s="1"/>
  <c r="AF15" i="3" s="1"/>
  <c r="C14" i="3"/>
  <c r="D19" i="3"/>
  <c r="D18" i="3" s="1"/>
  <c r="E21" i="3"/>
  <c r="F22" i="3" s="1"/>
  <c r="AS38" i="1"/>
  <c r="AS35" i="1" s="1"/>
  <c r="BH38" i="1"/>
  <c r="BH35" i="1"/>
  <c r="AZ38" i="1"/>
  <c r="AZ35" i="1" s="1"/>
  <c r="AY38" i="1"/>
  <c r="AY35" i="1" s="1"/>
  <c r="BJ35" i="1"/>
  <c r="BF38" i="1"/>
  <c r="BF35" i="1" s="1"/>
  <c r="AQ38" i="1"/>
  <c r="AQ35" i="1" s="1"/>
  <c r="BE38" i="1"/>
  <c r="BE35" i="1"/>
  <c r="BM37" i="1"/>
  <c r="BL36" i="1"/>
  <c r="BK38" i="1"/>
  <c r="BK35" i="1" s="1"/>
  <c r="C22" i="1"/>
  <c r="D22" i="1"/>
  <c r="D21" i="1" s="1"/>
  <c r="J22" i="1"/>
  <c r="J21" i="1" s="1"/>
  <c r="Q22" i="1"/>
  <c r="Q21" i="1" s="1"/>
  <c r="M22" i="1"/>
  <c r="M21" i="1" s="1"/>
  <c r="N22" i="1"/>
  <c r="N21" i="1" s="1"/>
  <c r="K22" i="1"/>
  <c r="K21" i="1" s="1"/>
  <c r="F22" i="1"/>
  <c r="F21" i="1" s="1"/>
  <c r="L22" i="1"/>
  <c r="L21" i="1" s="1"/>
  <c r="O22" i="1"/>
  <c r="O21" i="1" s="1"/>
  <c r="AA22" i="1"/>
  <c r="G22" i="1"/>
  <c r="G21" i="1" s="1"/>
  <c r="AH38" i="1"/>
  <c r="AH35" i="1" s="1"/>
  <c r="AG38" i="1"/>
  <c r="AG35" i="1" s="1"/>
  <c r="AC38" i="1"/>
  <c r="AC35" i="1" s="1"/>
  <c r="AF38" i="1"/>
  <c r="AF35" i="1" s="1"/>
  <c r="Y38" i="1"/>
  <c r="Y35" i="1" s="1"/>
  <c r="P38" i="1"/>
  <c r="P35" i="1" s="1"/>
  <c r="F38" i="1"/>
  <c r="F35" i="1" s="1"/>
  <c r="M38" i="1"/>
  <c r="M35" i="1" s="1"/>
  <c r="G38" i="1"/>
  <c r="G35" i="1" s="1"/>
  <c r="E38" i="1"/>
  <c r="E35" i="1" s="1"/>
  <c r="X38" i="1"/>
  <c r="X35" i="1" s="1"/>
  <c r="AA38" i="1"/>
  <c r="AA35" i="1" s="1"/>
  <c r="Q38" i="1"/>
  <c r="Q35" i="1" s="1"/>
  <c r="S38" i="1"/>
  <c r="S35" i="1" s="1"/>
  <c r="O38" i="1"/>
  <c r="O35" i="1" s="1"/>
  <c r="H38" i="1"/>
  <c r="H35" i="1" s="1"/>
  <c r="K38" i="1"/>
  <c r="K35" i="1" s="1"/>
  <c r="W38" i="1"/>
  <c r="W35" i="1" s="1"/>
  <c r="AE38" i="1"/>
  <c r="AE35" i="1" s="1"/>
  <c r="D38" i="1"/>
  <c r="D35" i="1" s="1"/>
  <c r="T38" i="1"/>
  <c r="T35" i="1" s="1"/>
  <c r="R38" i="1"/>
  <c r="R35" i="1" s="1"/>
  <c r="AB38" i="1"/>
  <c r="AB35" i="1" s="1"/>
  <c r="Z38" i="1"/>
  <c r="Z35" i="1" s="1"/>
  <c r="L38" i="1"/>
  <c r="L35" i="1" s="1"/>
  <c r="J38" i="1"/>
  <c r="J35" i="1" s="1"/>
  <c r="N38" i="1"/>
  <c r="N35" i="1" s="1"/>
  <c r="V38" i="1"/>
  <c r="V35" i="1" s="1"/>
  <c r="AD38" i="1"/>
  <c r="AD35" i="1" s="1"/>
  <c r="E19" i="3" l="1"/>
  <c r="E18" i="3" s="1"/>
  <c r="F19" i="3" s="1"/>
  <c r="F18" i="3" s="1"/>
  <c r="G19" i="3" s="1"/>
  <c r="G18" i="3" s="1"/>
  <c r="H19" i="3" s="1"/>
  <c r="H18" i="3" s="1"/>
  <c r="I19" i="3" s="1"/>
  <c r="I18" i="3" s="1"/>
  <c r="J19" i="3" s="1"/>
  <c r="J18" i="3" s="1"/>
  <c r="K19" i="3" s="1"/>
  <c r="K18" i="3" s="1"/>
  <c r="L19" i="3" s="1"/>
  <c r="L18" i="3" s="1"/>
  <c r="M19" i="3" s="1"/>
  <c r="M18" i="3" s="1"/>
  <c r="N19" i="3" s="1"/>
  <c r="N18" i="3" s="1"/>
  <c r="O19" i="3" s="1"/>
  <c r="O18" i="3" s="1"/>
  <c r="P19" i="3" s="1"/>
  <c r="P18" i="3" s="1"/>
  <c r="Q19" i="3" s="1"/>
  <c r="Q18" i="3" s="1"/>
  <c r="R19" i="3" s="1"/>
  <c r="R18" i="3" s="1"/>
  <c r="S19" i="3" s="1"/>
  <c r="S18" i="3" s="1"/>
  <c r="T19" i="3" s="1"/>
  <c r="T18" i="3" s="1"/>
  <c r="U19" i="3" s="1"/>
  <c r="U18" i="3" s="1"/>
  <c r="V19" i="3" s="1"/>
  <c r="V18" i="3" s="1"/>
  <c r="W19" i="3" s="1"/>
  <c r="W18" i="3" s="1"/>
  <c r="X19" i="3" s="1"/>
  <c r="X18" i="3" s="1"/>
  <c r="Y19" i="3" s="1"/>
  <c r="Y18" i="3" s="1"/>
  <c r="Z19" i="3" s="1"/>
  <c r="Z18" i="3" s="1"/>
  <c r="AA19" i="3" s="1"/>
  <c r="AA18" i="3" s="1"/>
  <c r="AB19" i="3" s="1"/>
  <c r="AB18" i="3" s="1"/>
  <c r="AC19" i="3" s="1"/>
  <c r="AC18" i="3" s="1"/>
  <c r="AD19" i="3" s="1"/>
  <c r="AD18" i="3" s="1"/>
  <c r="AE19" i="3" s="1"/>
  <c r="AE18" i="3" s="1"/>
  <c r="AF19" i="3" s="1"/>
  <c r="AF18" i="3" s="1"/>
  <c r="D14" i="3"/>
  <c r="F21" i="3"/>
  <c r="G22" i="3" s="1"/>
  <c r="G21" i="3" s="1"/>
  <c r="E14" i="3"/>
  <c r="BL38" i="1"/>
  <c r="BL35" i="1" s="1"/>
  <c r="BN37" i="1"/>
  <c r="BM36" i="1"/>
  <c r="C21" i="1"/>
  <c r="R22" i="1"/>
  <c r="S22" i="1"/>
  <c r="H22" i="3" l="1"/>
  <c r="F14" i="3"/>
  <c r="BO37" i="1"/>
  <c r="BN36" i="1"/>
  <c r="BM38" i="1"/>
  <c r="BM35" i="1" s="1"/>
  <c r="R21" i="1"/>
  <c r="S21" i="1"/>
  <c r="T22" i="1"/>
  <c r="H21" i="3" l="1"/>
  <c r="I22" i="3" s="1"/>
  <c r="G14" i="3"/>
  <c r="BN38" i="1"/>
  <c r="BN35" i="1" s="1"/>
  <c r="BO36" i="1"/>
  <c r="BP37" i="1"/>
  <c r="T21" i="1"/>
  <c r="I21" i="3" l="1"/>
  <c r="J22" i="3" s="1"/>
  <c r="H14" i="3"/>
  <c r="BO38" i="1"/>
  <c r="BO35" i="1" s="1"/>
  <c r="BP36" i="1"/>
  <c r="BQ37" i="1"/>
  <c r="U22" i="1"/>
  <c r="V22" i="1"/>
  <c r="J21" i="3" l="1"/>
  <c r="K22" i="3" s="1"/>
  <c r="I14" i="3"/>
  <c r="BQ36" i="1"/>
  <c r="BR37" i="1"/>
  <c r="BP38" i="1"/>
  <c r="BP35" i="1" s="1"/>
  <c r="U21" i="1"/>
  <c r="V21" i="1"/>
  <c r="W22" i="1"/>
  <c r="K21" i="3" l="1"/>
  <c r="L22" i="3" s="1"/>
  <c r="J14" i="3"/>
  <c r="BR36" i="1"/>
  <c r="BS37" i="1"/>
  <c r="BQ38" i="1"/>
  <c r="BQ35" i="1" s="1"/>
  <c r="W21" i="1"/>
  <c r="X22" i="1"/>
  <c r="L21" i="3" l="1"/>
  <c r="M22" i="3" s="1"/>
  <c r="K14" i="3"/>
  <c r="BS36" i="1"/>
  <c r="BT37" i="1"/>
  <c r="BR38" i="1"/>
  <c r="BR35" i="1" s="1"/>
  <c r="Y22" i="1"/>
  <c r="X21" i="1"/>
  <c r="M21" i="3" l="1"/>
  <c r="N22" i="3" s="1"/>
  <c r="L14" i="3"/>
  <c r="BU37" i="1"/>
  <c r="BT36" i="1"/>
  <c r="BS38" i="1"/>
  <c r="BS35" i="1" s="1"/>
  <c r="Y21" i="1"/>
  <c r="N21" i="3" l="1"/>
  <c r="O22" i="3" s="1"/>
  <c r="M14" i="3"/>
  <c r="BT38" i="1"/>
  <c r="BT35" i="1"/>
  <c r="BU36" i="1"/>
  <c r="BV37" i="1"/>
  <c r="Z22" i="1"/>
  <c r="N14" i="3" l="1"/>
  <c r="O21" i="3"/>
  <c r="P22" i="3" s="1"/>
  <c r="BU38" i="1"/>
  <c r="BU35" i="1"/>
  <c r="BW37" i="1"/>
  <c r="BV36" i="1"/>
  <c r="Z21" i="1"/>
  <c r="AB22" i="1"/>
  <c r="AA21" i="1"/>
  <c r="P21" i="3" l="1"/>
  <c r="Q22" i="3" s="1"/>
  <c r="O14" i="3"/>
  <c r="BX37" i="1"/>
  <c r="BW36" i="1"/>
  <c r="BV38" i="1"/>
  <c r="BV35" i="1"/>
  <c r="AC22" i="1"/>
  <c r="AB21" i="1"/>
  <c r="Q21" i="3" l="1"/>
  <c r="R22" i="3" s="1"/>
  <c r="BW38" i="1"/>
  <c r="BW35" i="1"/>
  <c r="BX36" i="1"/>
  <c r="BY37" i="1"/>
  <c r="AC21" i="1"/>
  <c r="AD22" i="1"/>
  <c r="R21" i="3" l="1"/>
  <c r="S22" i="3" s="1"/>
  <c r="Q14" i="3"/>
  <c r="BX38" i="1"/>
  <c r="BX35" i="1"/>
  <c r="BY36" i="1"/>
  <c r="BZ37" i="1"/>
  <c r="AE22" i="1"/>
  <c r="AD21" i="1"/>
  <c r="S21" i="3" l="1"/>
  <c r="T22" i="3" s="1"/>
  <c r="R14" i="3"/>
  <c r="BZ36" i="1"/>
  <c r="CA37" i="1"/>
  <c r="BY38" i="1"/>
  <c r="BY35" i="1" s="1"/>
  <c r="AE21" i="1"/>
  <c r="AF22" i="1"/>
  <c r="T21" i="3" l="1"/>
  <c r="U22" i="3" s="1"/>
  <c r="S14" i="3"/>
  <c r="BZ38" i="1"/>
  <c r="BZ35" i="1" s="1"/>
  <c r="CB37" i="1"/>
  <c r="CA36" i="1"/>
  <c r="AF21" i="1"/>
  <c r="B48" i="1" s="1"/>
  <c r="AG22" i="1"/>
  <c r="U21" i="3" l="1"/>
  <c r="V22" i="3" s="1"/>
  <c r="T14" i="3"/>
  <c r="CC37" i="1"/>
  <c r="CB36" i="1"/>
  <c r="CA38" i="1"/>
  <c r="CA35" i="1" s="1"/>
  <c r="AG21" i="1"/>
  <c r="AH22" i="1"/>
  <c r="V21" i="3" l="1"/>
  <c r="W22" i="3" s="1"/>
  <c r="U14" i="3"/>
  <c r="CD37" i="1"/>
  <c r="CD36" i="1" s="1"/>
  <c r="CC36" i="1"/>
  <c r="CB38" i="1"/>
  <c r="CB35" i="1"/>
  <c r="AH21" i="1"/>
  <c r="AI22" i="1"/>
  <c r="W21" i="3" l="1"/>
  <c r="X22" i="3" s="1"/>
  <c r="V14" i="3"/>
  <c r="CC38" i="1"/>
  <c r="CC35" i="1" s="1"/>
  <c r="CD38" i="1"/>
  <c r="CD35" i="1" s="1"/>
  <c r="AJ22" i="1"/>
  <c r="AI21" i="1"/>
  <c r="X21" i="3" l="1"/>
  <c r="Y22" i="3" s="1"/>
  <c r="W14" i="3"/>
  <c r="AK22" i="1"/>
  <c r="AJ21" i="1"/>
  <c r="Y21" i="3" l="1"/>
  <c r="Z22" i="3" s="1"/>
  <c r="X14" i="3"/>
  <c r="AK21" i="1"/>
  <c r="AL22" i="1"/>
  <c r="Z21" i="3" l="1"/>
  <c r="AA22" i="3" s="1"/>
  <c r="Y14" i="3"/>
  <c r="AL21" i="1"/>
  <c r="AM22" i="1"/>
  <c r="AA21" i="3" l="1"/>
  <c r="AB22" i="3" s="1"/>
  <c r="Z14" i="3"/>
  <c r="AM21" i="1"/>
  <c r="AB21" i="3" l="1"/>
  <c r="AC22" i="3" s="1"/>
  <c r="AA14" i="3"/>
  <c r="AO22" i="1"/>
  <c r="AN21" i="1"/>
  <c r="AC21" i="3" l="1"/>
  <c r="AD22" i="3" s="1"/>
  <c r="AB14" i="3"/>
  <c r="AO21" i="1"/>
  <c r="AP22" i="1"/>
  <c r="AD21" i="3" l="1"/>
  <c r="AE22" i="3" s="1"/>
  <c r="AC14" i="3"/>
  <c r="AQ22" i="1"/>
  <c r="AP21" i="1"/>
  <c r="AE21" i="3" l="1"/>
  <c r="AF22" i="3" s="1"/>
  <c r="AD14" i="3"/>
  <c r="AR22" i="1"/>
  <c r="AQ21" i="1"/>
  <c r="AF21" i="3" l="1"/>
  <c r="AF14" i="3" s="1"/>
  <c r="AE14" i="3"/>
  <c r="AS22" i="1"/>
  <c r="AR21" i="1"/>
  <c r="AT22" i="1" l="1"/>
  <c r="AS21" i="1"/>
  <c r="AU22" i="1" l="1"/>
  <c r="AT21" i="1"/>
  <c r="AU21" i="1" l="1"/>
  <c r="AV22" i="1"/>
  <c r="AW22" i="1" l="1"/>
  <c r="AV21" i="1"/>
  <c r="AW21" i="1" l="1"/>
  <c r="AX22" i="1"/>
  <c r="AY22" i="1" l="1"/>
  <c r="AX21" i="1"/>
  <c r="AZ22" i="1" l="1"/>
  <c r="AY21" i="1"/>
  <c r="BA22" i="1" l="1"/>
  <c r="AZ21" i="1"/>
  <c r="BA21" i="1" l="1"/>
  <c r="BB22" i="1"/>
  <c r="BC22" i="1" l="1"/>
  <c r="BB21" i="1"/>
  <c r="BD22" i="1" l="1"/>
  <c r="BC21" i="1"/>
  <c r="BD21" i="1" l="1"/>
  <c r="BE22" i="1"/>
  <c r="BF22" i="1" l="1"/>
  <c r="BE21" i="1"/>
  <c r="BF21" i="1" l="1"/>
  <c r="BG22" i="1"/>
  <c r="BG21" i="1" l="1"/>
  <c r="BH22" i="1"/>
  <c r="BI22" i="1" l="1"/>
  <c r="BJ22" i="1"/>
  <c r="BH21" i="1"/>
  <c r="BJ21" i="1" l="1"/>
  <c r="BI21" i="1"/>
  <c r="BK22" i="1"/>
  <c r="BK21" i="1" l="1"/>
  <c r="BL22" i="1"/>
  <c r="BL21" i="1" l="1"/>
  <c r="BM22" i="1"/>
  <c r="BM21" i="1" l="1"/>
  <c r="BN22" i="1"/>
  <c r="BN21" i="1" l="1"/>
  <c r="BO22" i="1"/>
  <c r="BO21" i="1" l="1"/>
  <c r="BP22" i="1"/>
  <c r="BP21" i="1" l="1"/>
  <c r="BQ22" i="1"/>
  <c r="B7" i="4" l="1"/>
  <c r="BQ21" i="1"/>
  <c r="BR22" i="1"/>
  <c r="BR21" i="1" l="1"/>
  <c r="BS22" i="1"/>
  <c r="BS21" i="1" l="1"/>
  <c r="BT22" i="1"/>
  <c r="BT21" i="1" l="1"/>
  <c r="BU22" i="1"/>
  <c r="BU21" i="1" l="1"/>
  <c r="BV22" i="1"/>
  <c r="BW22" i="1" l="1"/>
  <c r="BV21" i="1"/>
  <c r="BW21" i="1" l="1"/>
  <c r="BX22" i="1"/>
  <c r="BY22" i="1" l="1"/>
  <c r="BX21" i="1"/>
  <c r="BY21" i="1" l="1"/>
  <c r="BZ22" i="1"/>
  <c r="CA22" i="1" l="1"/>
  <c r="BZ21" i="1"/>
  <c r="CA21" i="1" l="1"/>
  <c r="CB22" i="1"/>
  <c r="CB21" i="1" l="1"/>
  <c r="CC22" i="1"/>
  <c r="CC21" i="1" l="1"/>
  <c r="CD21" i="1" l="1"/>
  <c r="B49" i="1" s="1"/>
  <c r="B51" i="1" s="1"/>
  <c r="B6" i="1" s="1"/>
  <c r="B5" i="1" l="1"/>
  <c r="B4" i="4"/>
  <c r="B5" i="4" s="1"/>
  <c r="B11" i="4" s="1"/>
  <c r="B3" i="4" l="1"/>
  <c r="B10" i="4" s="1"/>
</calcChain>
</file>

<file path=xl/comments1.xml><?xml version="1.0" encoding="utf-8"?>
<comments xmlns="http://schemas.openxmlformats.org/spreadsheetml/2006/main">
  <authors>
    <author>Florence HEUSCHMIDT</author>
  </authors>
  <commentList>
    <comment ref="A37" authorId="0" shapeId="0">
      <text>
        <r>
          <rPr>
            <sz val="9"/>
            <color indexed="81"/>
            <rFont val="Tahoma"/>
            <family val="2"/>
          </rPr>
          <t>colonisation lente par des accrus ayant une croissance linéaire de 1 m3/ha/an en volume bois fort (dès l’année 0), donc atteignant un volume bois fort de 30 m3/ha au bout de 30 ans. 
Pour les projets situés dans les GRECO de l’IGN « Méditerranée » et « Corse », pour tenir compte de conditions de production plus faibles et être plus réaliste, cette valeur par défaut sera fixée à 0,5 m3/ha/an en volume bois fort.</t>
        </r>
      </text>
    </comment>
    <comment ref="A38" authorId="0" shapeId="0">
      <text>
        <r>
          <rPr>
            <sz val="9"/>
            <color indexed="81"/>
            <rFont val="Tahoma"/>
            <family val="2"/>
          </rPr>
          <t>Pour forêt métropolitaine</t>
        </r>
      </text>
    </comment>
    <comment ref="B42" authorId="0" shapeId="0">
      <text>
        <r>
          <rPr>
            <b/>
            <sz val="9"/>
            <color indexed="81"/>
            <rFont val="Tahoma"/>
            <family val="2"/>
          </rPr>
          <t>Florence HEUSCHMIDT:</t>
        </r>
        <r>
          <rPr>
            <sz val="9"/>
            <color indexed="81"/>
            <rFont val="Tahoma"/>
            <family val="2"/>
          </rPr>
          <t xml:space="preserve">
Moyenne du FEB essences feuillues et résineuses</t>
        </r>
      </text>
    </comment>
    <comment ref="A46"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4" authorId="0" shapeId="0">
      <text>
        <r>
          <rPr>
            <b/>
            <sz val="9"/>
            <color indexed="81"/>
            <rFont val="Tahoma"/>
            <family val="2"/>
          </rPr>
          <t>Stock de carbone au début de l'année n dans les produits bois déjà récoltés</t>
        </r>
      </text>
    </comment>
    <comment ref="A17" authorId="0" shapeId="0">
      <text>
        <r>
          <rPr>
            <b/>
            <sz val="9"/>
            <color indexed="81"/>
            <rFont val="Tahoma"/>
            <family val="2"/>
          </rPr>
          <t>Flux(n) = flux entrant de carbone au cours de l’année n (sur la période entre l’année n et l’année n+1),
c’est-à-dire le stock de carbone des produits bois récoltés (volume bois fort éclairci) au cours de l’année
n (= 0 en l’absence d’éclaircie). Flux(n) est exprimé en tCO2/ha.</t>
        </r>
      </text>
    </comment>
    <comment ref="A24" authorId="0" shapeId="0">
      <text>
        <r>
          <rPr>
            <sz val="9"/>
            <color indexed="81"/>
            <rFont val="Tahoma"/>
            <family val="2"/>
          </rPr>
          <t xml:space="preserve"> Porteur de projet devra intégrer un rendement
sciage pour les produits bois valorisés dans la catégorie « sciages » ; celui-ci est fixé par défaut à 50 %
(le reste étant valorisé en bois énergie, c’est-à-dire négligé car aucun temps de demi-vie est fixé pour
cette catégorie). Par exemple, une éclaircie qui viserait à produire 60 % de bois d’œuvre (= sciages)
constituerait un stock de carbone que pour 30 % du volume entrant.</t>
        </r>
      </text>
    </comment>
  </commentList>
</comments>
</file>

<file path=xl/comments3.xml><?xml version="1.0" encoding="utf-8"?>
<comments xmlns="http://schemas.openxmlformats.org/spreadsheetml/2006/main">
  <authors>
    <author>Florence HEUSCHMIDT</author>
  </authors>
  <commentList>
    <comment ref="A21" authorId="0" shapeId="0">
      <text>
        <r>
          <rPr>
            <b/>
            <sz val="9"/>
            <color indexed="81"/>
            <rFont val="Tahoma"/>
            <family val="2"/>
          </rPr>
          <t>Flux entrant issu des produits bois récoltés au cours de l’année n (sur la période entre l’année n et l’année n+1) dans le scénario de projet</t>
        </r>
      </text>
    </comment>
    <comment ref="A24" authorId="0" shapeId="0">
      <text>
        <r>
          <rPr>
            <b/>
            <sz val="9"/>
            <color indexed="81"/>
            <rFont val="Tahoma"/>
            <family val="2"/>
          </rPr>
          <t>Flux entrant issu des produits bois récoltés au cours de l’année n (sur la période entre l’année n et l’année n+1) dans le scénario de référence
Si essence feuillus : pas d'éclaircie sur les 30ères années, 
si Résineux 1 éclaircie avec pour destination du bois industrie sur les 30ères années.</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<sst xmlns="http://schemas.openxmlformats.org/spreadsheetml/2006/main" count="302" uniqueCount="233">
  <si>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</si>
  <si>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</si>
  <si>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</si>
  <si>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</si>
  <si>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</si>
  <si>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</si>
  <si>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</si>
  <si>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</si>
  <si>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</si>
  <si>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</si>
  <si>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L0 (carbone de la litière avant le projet de reboisement) (en tC/ha)</t>
  </si>
  <si>
    <t xml:space="preserve">Constantes </t>
  </si>
  <si>
    <t>Carbone organique du sol (n) (en tC/ha)</t>
  </si>
  <si>
    <t>Volume bois fort tige (n) (en m3/ha)</t>
  </si>
  <si>
    <t>Informations générales :</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</si>
  <si>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</si>
  <si>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</si>
  <si>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</si>
  <si>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</si>
  <si>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</si>
  <si>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</si>
  <si>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</si>
  <si>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</si>
  <si>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</si>
  <si>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</si>
  <si>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</si>
  <si>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</si>
  <si>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</si>
  <si>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</si>
  <si>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</si>
  <si>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</si>
  <si>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</si>
  <si>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</si>
  <si>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</si>
  <si>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</si>
  <si>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</si>
  <si>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</si>
  <si>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</si>
  <si>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</si>
  <si>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</si>
  <si>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</si>
  <si>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</si>
  <si>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</si>
  <si>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</si>
  <si>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</si>
  <si>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</si>
  <si>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</si>
  <si>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</si>
  <si>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</si>
  <si>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</si>
  <si>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</si>
  <si>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</si>
  <si>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</si>
  <si>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</si>
  <si>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</si>
  <si>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</si>
  <si>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</si>
  <si>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</si>
  <si>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</si>
  <si>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</si>
  <si>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</si>
  <si>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</si>
  <si>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</si>
  <si>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</si>
  <si>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</si>
  <si>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</si>
  <si>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</si>
  <si>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</si>
  <si>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</si>
  <si>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</si>
  <si>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</si>
  <si>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</si>
  <si>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</si>
  <si>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</si>
  <si>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</si>
  <si>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</si>
  <si>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</si>
  <si>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</si>
  <si>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</si>
  <si>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</si>
  <si>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</si>
  <si>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</si>
  <si>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</si>
  <si>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</si>
  <si>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</si>
  <si>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</si>
  <si>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</si>
  <si>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Essence accrus</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</si>
  <si>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</si>
  <si>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</si>
  <si>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</si>
  <si>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</si>
  <si>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</si>
  <si>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</si>
  <si>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</si>
  <si>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</si>
  <si>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</si>
  <si>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</si>
  <si>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</si>
  <si>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</si>
  <si>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</si>
  <si>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</si>
  <si>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</si>
  <si>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</si>
  <si>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</si>
  <si>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</si>
  <si>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</si>
  <si>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</si>
  <si>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</si>
  <si>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</si>
  <si>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</si>
  <si>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CS (coefficient de substitution) (en tCO2/m3) scénario référence après récolte</t>
  </si>
  <si>
    <t>Type de friches</t>
  </si>
  <si>
    <t>Résineux pionniers (PM, PA, PS…)</t>
  </si>
  <si>
    <t>Reboisement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</si>
  <si>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</si>
  <si>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</si>
  <si>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</si>
  <si>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</si>
  <si>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</si>
  <si>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</si>
  <si>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</si>
  <si>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</si>
  <si>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</si>
  <si>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</si>
  <si>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</si>
  <si>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</si>
  <si>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</si>
  <si>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</si>
  <si>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</si>
  <si>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</si>
  <si>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</si>
  <si>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</si>
  <si>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</si>
  <si>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</si>
  <si>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</si>
  <si>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</si>
  <si>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</si>
  <si>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</si>
  <si>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</si>
  <si>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</si>
  <si>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</si>
  <si>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</si>
  <si>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Situation de référence</t>
  </si>
  <si>
    <t>Embroussaillement</t>
  </si>
  <si>
    <t>Culture agricole</t>
  </si>
  <si>
    <t>Nature de prairie ou pâture</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</si>
  <si>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</si>
  <si>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</si>
  <si>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</si>
  <si>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</si>
  <si>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</si>
  <si>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</si>
  <si>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</si>
  <si>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</si>
  <si>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</si>
  <si>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</si>
  <si>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</si>
  <si>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</si>
  <si>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</si>
  <si>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</si>
  <si>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</si>
  <si>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</si>
  <si>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</si>
  <si>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</si>
  <si>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</si>
  <si>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</si>
  <si>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</si>
  <si>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</si>
  <si>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</si>
  <si>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</si>
  <si>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</si>
  <si>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</si>
  <si>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</si>
  <si>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</si>
  <si>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</si>
  <si>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</si>
  <si>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REA forêt (compartiments forestiers) (en tCO2/ha) =</t>
  </si>
  <si>
    <t xml:space="preserve">REE substitution (en tCO2/ha) = </t>
  </si>
  <si>
    <t>Biomasse Aérienne (n) (en tMS/ha)</t>
  </si>
  <si>
    <t>Biomasse Racinaire (n) (en tMS/ha)</t>
  </si>
  <si>
    <t>Litière (n) (en tC/ha)</t>
  </si>
  <si>
    <t>S réf (n) (en tCO2/ha)</t>
  </si>
  <si>
    <r>
      <t xml:space="preserve">deltaS(30) (différence de stock de C à l’année 30 entre le projet et le scénario de référence) (en </t>
    </r>
    <r>
      <rPr>
        <b/>
        <sz val="11"/>
        <color theme="1"/>
        <rFont val="Calibri"/>
        <family val="2"/>
        <scheme val="minor"/>
      </rPr>
      <t>tCO2</t>
    </r>
    <r>
      <rPr>
        <sz val="11"/>
        <color theme="1"/>
        <rFont val="Calibri"/>
        <family val="2"/>
        <scheme val="minor"/>
      </rPr>
      <t xml:space="preserve"> à 30 ans)</t>
    </r>
  </si>
  <si>
    <r>
      <t xml:space="preserve">moyenne du carbone stocké dans le projet pendant sa durée de vie (en </t>
    </r>
    <r>
      <rPr>
        <b/>
        <sz val="11"/>
        <color theme="1"/>
        <rFont val="Calibri"/>
        <family val="2"/>
        <scheme val="minor"/>
      </rPr>
      <t>tCO2/an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</si>
  <si>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</si>
  <si>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tCO2/an</t>
    </r>
    <r>
      <rPr>
        <sz val="11"/>
        <color theme="1"/>
        <rFont val="Calibri"/>
        <family val="2"/>
        <scheme val="minor"/>
      </rPr>
      <t xml:space="preserve">) </t>
    </r>
  </si>
  <si>
    <t>Moyenne</t>
  </si>
  <si>
    <t>Projet situé dans les GRECO de l'IGN "Méditerranée" et "Corse"</t>
  </si>
  <si>
    <t>GRECO IGN</t>
  </si>
  <si>
    <t>OUI</t>
  </si>
  <si>
    <t>NON</t>
  </si>
  <si>
    <t>Si embroussaillement de la parcelle, enfrichement par des :</t>
  </si>
  <si>
    <t>Analyse économique de l’additionnalité</t>
  </si>
  <si>
    <t>Risques généraux difficilement maîtrisables</t>
  </si>
  <si>
    <t>R essence plantée la plus longue : Chêne sessile (ans)</t>
  </si>
  <si>
    <t>Essences plantées</t>
  </si>
  <si>
    <t>R' essence scénario référence (accrus châtaignier) (ans)</t>
  </si>
  <si>
    <t xml:space="preserve">REA produits (produits bois) pour les 0.9997 ha où sera planté l'Acacia (en tCO2) = </t>
  </si>
  <si>
    <t>Flux projet (n) (en m3)</t>
  </si>
  <si>
    <t>CS*Flux projet (n) (en TCO2)</t>
  </si>
  <si>
    <t>CS*Flux réf (n) (en TCO2)</t>
  </si>
  <si>
    <t>Flux réf (n) (en m3)</t>
  </si>
  <si>
    <t>CSp*Flux projet (n) - CSr*Flux réf (n) (en tCO2)</t>
  </si>
  <si>
    <t xml:space="preserve">Mélange d'essences feuillues et résineuses </t>
  </si>
  <si>
    <t>Mélange de chêne sessile, pin laricio et châtaignier</t>
  </si>
  <si>
    <t>S projet TOTAL pour les 14.5 ha (n) (en tCO2)</t>
  </si>
  <si>
    <t>Biomasse Aérienne TOTALE pour les 14.5 ha (n) (en tMS)</t>
  </si>
  <si>
    <t>Biomasse Aérienne CHENES sur 8.51 ha : Chêne sessile 80% de 9.2 ha soit 7.36 ha + Chêne pubescent 50% de 2.3 ha soit 1.15 ha (n) (en tMS)</t>
  </si>
  <si>
    <t>Volume bois fort Chêne (n) (en m3/ha)</t>
  </si>
  <si>
    <t>Biomasse Aérienne Pin sylvestre sur 2.99 ha : 20% de 9.2 ha soit 1.84 ha + 50% de 2.3 ha soit 1.15 ha (n) (en tMS)</t>
  </si>
  <si>
    <t>Volume bois fort Pin Sylvestre (n) (en m3/ha)</t>
  </si>
  <si>
    <t>Biomasse Aérienne Pin maritime 3 ha (n) (en tMS)</t>
  </si>
  <si>
    <t>Volume bois fort tige Pin Maritime (n) (en m3/ha)</t>
  </si>
  <si>
    <t>Biomasse Racinaire TOTALE pour les 14.5 ha (n) (en tMS)</t>
  </si>
  <si>
    <t>C projet (n) pour les 5.99 ha de pin sylvestre + pin maritime (en tC)</t>
  </si>
  <si>
    <t>Volume bois fort Bois de sciage (n) (en m3)</t>
  </si>
  <si>
    <t>Volume  bois fort Panneaux de bois (n) (en m3)</t>
  </si>
  <si>
    <t>Volume  bois fort Papier (n) (en m3)</t>
  </si>
  <si>
    <t>Flux entrant de carbone en papiers au cours de l'année n et dégradation (en tC)</t>
  </si>
  <si>
    <t>Dégradation des papiers déjà récoltés (en tC)</t>
  </si>
  <si>
    <t>C projet Papier (n) (en tC)</t>
  </si>
  <si>
    <t>Flux entrant de carbone en panneaux de bois  au cours de l'année n et dégradation (en tC)</t>
  </si>
  <si>
    <t>Dégradation des panneaux de bois déjà récoltés (en tC)</t>
  </si>
  <si>
    <t>C projet Panneaux de bois (n) (en tC)</t>
  </si>
  <si>
    <t>Flux entrant de carbone en bois de sciage au cours de l'année n et dégradation (en tC)</t>
  </si>
  <si>
    <t>Dégradation du bois de sciage déjà récoltés (en tC)</t>
  </si>
  <si>
    <t>C projet Bois de sciage (n) (en tC)</t>
  </si>
  <si>
    <t>Mélange d'essences feuillues et résineuses (mais sur les 30 premières années produits d'essences résineuses)</t>
  </si>
  <si>
    <t>Pin Maritime CS = 0.59 ; Pin sylvestre CS = 0.43</t>
  </si>
  <si>
    <t>Biomasse Racinaire pour les 8.51 ha de chênes (n) (en tMS)</t>
  </si>
  <si>
    <t>Biomasse Racinaire pour les 2.99 ha de pin sylvestre (n) (en tMS)</t>
  </si>
  <si>
    <t>Biomasse Racinaire pour les 3 ha de pin maritime (n) (en tMS)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</si>
</sst>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9"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1"/>
      <color rgb="FFFF0000"/>
      <name val="Calibri"/>
      <family val="2"/>
      <scheme val="minor"/>
    </font>
  </fonts>
  <fills count="18">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99FF99"/>
        <bgColor indexed="64"/>
      </patternFill>
    </fill>
  </fills>
  <borders count="6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cellStyleXfs>
  <cellXfs count="204">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5" borderId="22" xfId="0" applyFont="1" applyFill="1" applyBorder="1" applyAlignment="1">
      <alignment vertical="center" wrapText="1"/>
    </xf>
    <xf numFmtId="0" fontId="0" fillId="7" borderId="9" xfId="0" applyFill="1" applyBorder="1" applyAlignment="1">
      <alignment horizontal="center"/>
    </xf>
    <xf numFmtId="0" fontId="0" fillId="0" borderId="20" xfId="0" applyFill="1" applyBorder="1" applyAlignment="1">
      <alignment horizontal="center" vertical="center"/>
    </xf>
    <xf numFmtId="0" fontId="0" fillId="7" borderId="11" xfId="0" applyFill="1" applyBorder="1" applyAlignment="1">
      <alignment horizontal="center" vertical="center"/>
    </xf>
    <xf numFmtId="0" fontId="0" fillId="3" borderId="25" xfId="0" applyFill="1" applyBorder="1" applyAlignment="1">
      <alignment horizontal="center" vertical="center"/>
    </xf>
    <xf numFmtId="0" fontId="0" fillId="7" borderId="7" xfId="0" applyFill="1" applyBorder="1" applyAlignment="1">
      <alignment horizontal="center" vertical="center"/>
    </xf>
    <xf numFmtId="0" fontId="0" fillId="7" borderId="27" xfId="0" applyFill="1" applyBorder="1" applyAlignment="1">
      <alignment horizontal="center" vertical="center"/>
    </xf>
    <xf numFmtId="164" fontId="0" fillId="7" borderId="3" xfId="0" applyNumberFormat="1" applyFill="1" applyBorder="1" applyAlignment="1">
      <alignment horizontal="center" vertical="center"/>
    </xf>
    <xf numFmtId="0" fontId="4" fillId="5" borderId="4" xfId="0" applyFont="1" applyFill="1" applyBorder="1" applyAlignment="1">
      <alignment horizontal="center" vertical="center" wrapText="1"/>
    </xf>
    <xf numFmtId="0" fontId="5" fillId="5" borderId="22"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7" borderId="23"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7" borderId="9" xfId="0" applyFill="1" applyBorder="1" applyAlignment="1">
      <alignment horizontal="center" vertical="center"/>
    </xf>
    <xf numFmtId="0" fontId="0" fillId="10" borderId="6" xfId="0" applyFill="1" applyBorder="1" applyAlignment="1">
      <alignment vertical="center" wrapText="1"/>
    </xf>
    <xf numFmtId="0" fontId="4" fillId="0" borderId="32"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0" fillId="0" borderId="0" xfId="0" applyAlignment="1">
      <alignment wrapText="1"/>
    </xf>
    <xf numFmtId="0" fontId="4" fillId="2" borderId="22"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3"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29" xfId="0" applyFill="1" applyBorder="1" applyAlignment="1">
      <alignment horizontal="center" vertical="center"/>
    </xf>
    <xf numFmtId="164" fontId="0" fillId="0" borderId="7" xfId="0" applyNumberFormat="1" applyFill="1" applyBorder="1" applyAlignment="1">
      <alignment horizontal="center" vertical="center"/>
    </xf>
    <xf numFmtId="0" fontId="0" fillId="7" borderId="20" xfId="0" applyFill="1" applyBorder="1" applyAlignment="1">
      <alignment horizontal="center" vertical="center"/>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0" fillId="7" borderId="7" xfId="0" applyFont="1" applyFill="1" applyBorder="1" applyAlignment="1">
      <alignment horizontal="center" vertical="center" wrapText="1"/>
    </xf>
    <xf numFmtId="0" fontId="4" fillId="2" borderId="34" xfId="0" applyFont="1" applyFill="1" applyBorder="1" applyAlignment="1">
      <alignment horizontal="center" vertical="center"/>
    </xf>
    <xf numFmtId="0" fontId="0" fillId="4" borderId="43" xfId="0" applyFill="1" applyBorder="1" applyAlignment="1">
      <alignment horizontal="center" vertical="center" wrapText="1"/>
    </xf>
    <xf numFmtId="0" fontId="0" fillId="4" borderId="44" xfId="0" applyFill="1" applyBorder="1" applyAlignment="1">
      <alignment horizontal="center" vertical="center" wrapText="1"/>
    </xf>
    <xf numFmtId="0" fontId="0" fillId="4" borderId="45" xfId="0" applyFill="1" applyBorder="1" applyAlignment="1">
      <alignment horizontal="center" vertical="center" wrapText="1"/>
    </xf>
    <xf numFmtId="0" fontId="1" fillId="10" borderId="32" xfId="0" applyFont="1" applyFill="1" applyBorder="1" applyAlignment="1">
      <alignment horizontal="center" vertical="center" wrapText="1"/>
    </xf>
    <xf numFmtId="0" fontId="0" fillId="4" borderId="46"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7" xfId="0" applyFill="1" applyBorder="1" applyAlignment="1">
      <alignment horizontal="center" vertical="center" wrapText="1"/>
    </xf>
    <xf numFmtId="0" fontId="1" fillId="10" borderId="4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4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6" xfId="0" applyFill="1" applyBorder="1" applyAlignment="1">
      <alignment horizontal="center" vertical="center" wrapText="1"/>
    </xf>
    <xf numFmtId="0" fontId="0" fillId="4" borderId="14" xfId="0" applyFill="1" applyBorder="1" applyAlignment="1">
      <alignment horizontal="center" vertical="center" wrapText="1"/>
    </xf>
    <xf numFmtId="0" fontId="4" fillId="2" borderId="32" xfId="0" applyFont="1" applyFill="1" applyBorder="1" applyAlignment="1">
      <alignment horizontal="center" vertical="center" wrapText="1"/>
    </xf>
    <xf numFmtId="0" fontId="0" fillId="4" borderId="33"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35" xfId="0" applyFill="1" applyBorder="1" applyAlignment="1">
      <alignment horizontal="center" vertical="center" wrapText="1"/>
    </xf>
    <xf numFmtId="0" fontId="0" fillId="0" borderId="0" xfId="0" applyFill="1" applyBorder="1" applyAlignment="1">
      <alignment horizontal="center" vertical="center" wrapText="1"/>
    </xf>
    <xf numFmtId="0" fontId="0" fillId="4" borderId="40" xfId="0" applyFill="1" applyBorder="1" applyAlignment="1">
      <alignment horizontal="center" vertical="center" wrapText="1"/>
    </xf>
    <xf numFmtId="0" fontId="4" fillId="2" borderId="25"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0" fillId="7" borderId="3" xfId="0" applyNumberFormat="1" applyFill="1" applyBorder="1" applyAlignment="1">
      <alignment horizontal="center" vertical="center"/>
    </xf>
    <xf numFmtId="0" fontId="0" fillId="4" borderId="30" xfId="0" applyFill="1" applyBorder="1" applyAlignment="1">
      <alignment vertical="center" wrapText="1"/>
    </xf>
    <xf numFmtId="1" fontId="0" fillId="7" borderId="9" xfId="0" applyNumberFormat="1" applyFill="1" applyBorder="1" applyAlignment="1">
      <alignment horizontal="center" vertical="center"/>
    </xf>
    <xf numFmtId="0" fontId="0" fillId="3" borderId="5" xfId="0" applyFill="1" applyBorder="1" applyAlignment="1">
      <alignment horizontal="center" vertical="center"/>
    </xf>
    <xf numFmtId="0" fontId="0" fillId="0" borderId="0" xfId="0" applyBorder="1"/>
    <xf numFmtId="0" fontId="0" fillId="7" borderId="23" xfId="0" applyFill="1" applyBorder="1" applyAlignment="1">
      <alignment horizontal="center"/>
    </xf>
    <xf numFmtId="1" fontId="0" fillId="12" borderId="9" xfId="0" applyNumberFormat="1" applyFill="1" applyBorder="1" applyAlignment="1">
      <alignment horizontal="center" vertical="center"/>
    </xf>
    <xf numFmtId="165" fontId="0" fillId="9" borderId="25" xfId="0" applyNumberFormat="1" applyFill="1" applyBorder="1" applyAlignment="1">
      <alignment horizontal="center" vertical="center"/>
    </xf>
    <xf numFmtId="0" fontId="4" fillId="13" borderId="6" xfId="0" applyFont="1" applyFill="1" applyBorder="1" applyAlignment="1">
      <alignment horizontal="center" vertical="center" wrapText="1"/>
    </xf>
    <xf numFmtId="0" fontId="4" fillId="13" borderId="8" xfId="0" applyFont="1" applyFill="1" applyBorder="1" applyAlignment="1">
      <alignment horizontal="center" vertical="center" wrapText="1"/>
    </xf>
    <xf numFmtId="165" fontId="0" fillId="0" borderId="0" xfId="0" applyNumberFormat="1" applyFill="1" applyBorder="1" applyAlignment="1">
      <alignment horizontal="center" vertical="center"/>
    </xf>
    <xf numFmtId="0" fontId="0" fillId="0" borderId="0" xfId="0" applyFill="1" applyAlignment="1">
      <alignment wrapText="1"/>
    </xf>
    <xf numFmtId="0" fontId="0" fillId="4" borderId="8" xfId="0" applyFill="1" applyBorder="1" applyAlignment="1">
      <alignment horizontal="center" vertical="center" wrapText="1"/>
    </xf>
    <xf numFmtId="165" fontId="0" fillId="7" borderId="11" xfId="0" applyNumberFormat="1" applyFill="1" applyBorder="1" applyAlignment="1">
      <alignment horizontal="center" vertical="center"/>
    </xf>
    <xf numFmtId="0" fontId="0" fillId="14" borderId="9" xfId="0" applyFill="1" applyBorder="1" applyAlignment="1">
      <alignment horizontal="center" vertical="center" wrapText="1"/>
    </xf>
    <xf numFmtId="0" fontId="1" fillId="10" borderId="53" xfId="0" applyFont="1" applyFill="1" applyBorder="1" applyAlignment="1">
      <alignment horizontal="center" vertical="center" wrapText="1"/>
    </xf>
    <xf numFmtId="0" fontId="4" fillId="0" borderId="41"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9" xfId="0" applyFont="1" applyFill="1" applyBorder="1" applyAlignment="1">
      <alignment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0" fillId="15" borderId="3" xfId="0" applyFill="1" applyBorder="1" applyAlignment="1">
      <alignment horizontal="center" vertical="center"/>
    </xf>
    <xf numFmtId="0" fontId="0" fillId="9" borderId="3" xfId="0" applyFill="1" applyBorder="1" applyAlignment="1">
      <alignment horizontal="center" vertical="center"/>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165" fontId="0" fillId="7" borderId="20" xfId="0" applyNumberFormat="1" applyFill="1" applyBorder="1" applyAlignment="1">
      <alignment horizontal="center" vertical="center"/>
    </xf>
    <xf numFmtId="165" fontId="0" fillId="7" borderId="10" xfId="0" applyNumberFormat="1" applyFill="1" applyBorder="1" applyAlignment="1">
      <alignment horizontal="center" vertical="center"/>
    </xf>
    <xf numFmtId="0" fontId="0" fillId="0" borderId="3" xfId="0" applyBorder="1" applyAlignment="1">
      <alignment horizontal="center" vertical="center"/>
    </xf>
    <xf numFmtId="0" fontId="0" fillId="0" borderId="29" xfId="0" applyFill="1" applyBorder="1"/>
    <xf numFmtId="165" fontId="0" fillId="7" borderId="21" xfId="0" applyNumberFormat="1" applyFill="1" applyBorder="1" applyAlignment="1">
      <alignment horizontal="center" vertical="center"/>
    </xf>
    <xf numFmtId="0" fontId="0" fillId="7" borderId="11" xfId="0" applyFill="1" applyBorder="1" applyAlignment="1">
      <alignment horizontal="center" vertical="center" wrapText="1"/>
    </xf>
    <xf numFmtId="0" fontId="0" fillId="0" borderId="34" xfId="0" applyFill="1" applyBorder="1" applyAlignment="1">
      <alignment horizontal="center" vertical="center" wrapText="1"/>
    </xf>
    <xf numFmtId="0" fontId="0" fillId="7" borderId="34" xfId="0" applyFill="1" applyBorder="1" applyAlignment="1">
      <alignment horizontal="center" vertical="center" wrapText="1"/>
    </xf>
    <xf numFmtId="0" fontId="0" fillId="0" borderId="26" xfId="0" applyFill="1" applyBorder="1" applyAlignment="1">
      <alignment horizontal="center" vertical="center" wrapText="1"/>
    </xf>
    <xf numFmtId="0" fontId="1" fillId="6" borderId="14" xfId="0" applyFont="1" applyFill="1" applyBorder="1" applyAlignment="1">
      <alignment vertical="center" wrapText="1"/>
    </xf>
    <xf numFmtId="0" fontId="1" fillId="6" borderId="15" xfId="0" applyFont="1" applyFill="1" applyBorder="1" applyAlignment="1">
      <alignment vertical="center" wrapText="1"/>
    </xf>
    <xf numFmtId="1" fontId="6" fillId="9" borderId="25" xfId="0" applyNumberFormat="1" applyFont="1" applyFill="1" applyBorder="1" applyAlignment="1">
      <alignment horizontal="center" vertical="center"/>
    </xf>
    <xf numFmtId="0" fontId="0" fillId="9" borderId="10" xfId="0" applyFill="1" applyBorder="1" applyAlignment="1">
      <alignment horizontal="center" vertical="center"/>
    </xf>
    <xf numFmtId="165" fontId="0" fillId="7" borderId="9" xfId="0" applyNumberFormat="1" applyFill="1" applyBorder="1" applyAlignment="1">
      <alignment horizontal="center" vertical="center"/>
    </xf>
    <xf numFmtId="165" fontId="0" fillId="7" borderId="36" xfId="0" applyNumberFormat="1" applyFill="1" applyBorder="1" applyAlignment="1">
      <alignment horizontal="center" vertical="center"/>
    </xf>
    <xf numFmtId="0" fontId="0" fillId="0" borderId="29" xfId="0" applyBorder="1"/>
    <xf numFmtId="2" fontId="6" fillId="9" borderId="25" xfId="0" applyNumberFormat="1" applyFont="1" applyFill="1" applyBorder="1" applyAlignment="1">
      <alignment horizontal="center" vertical="center"/>
    </xf>
    <xf numFmtId="0" fontId="0" fillId="7" borderId="56" xfId="0" applyFill="1" applyBorder="1" applyAlignment="1">
      <alignment horizontal="center" vertical="center"/>
    </xf>
    <xf numFmtId="0" fontId="0" fillId="7" borderId="57" xfId="0" applyFill="1" applyBorder="1" applyAlignment="1">
      <alignment horizontal="center" vertical="center"/>
    </xf>
    <xf numFmtId="164" fontId="0" fillId="7" borderId="57" xfId="0" applyNumberFormat="1" applyFill="1" applyBorder="1" applyAlignment="1">
      <alignment horizontal="center" vertical="center"/>
    </xf>
    <xf numFmtId="164" fontId="0" fillId="7" borderId="21" xfId="0" applyNumberFormat="1" applyFill="1" applyBorder="1" applyAlignment="1">
      <alignment horizontal="center" vertical="center"/>
    </xf>
    <xf numFmtId="164" fontId="0" fillId="7" borderId="36" xfId="0" applyNumberFormat="1" applyFill="1" applyBorder="1" applyAlignment="1">
      <alignment horizontal="center" vertical="center"/>
    </xf>
    <xf numFmtId="165" fontId="0" fillId="0" borderId="3" xfId="0" applyNumberFormat="1" applyFill="1" applyBorder="1" applyAlignment="1">
      <alignment horizontal="center" vertical="center"/>
    </xf>
    <xf numFmtId="165" fontId="0" fillId="7" borderId="3" xfId="0" applyNumberFormat="1" applyFont="1" applyFill="1" applyBorder="1" applyAlignment="1">
      <alignment horizontal="center" vertical="center" wrapText="1"/>
    </xf>
    <xf numFmtId="165" fontId="0" fillId="7" borderId="7" xfId="0" applyNumberFormat="1" applyFont="1" applyFill="1" applyBorder="1" applyAlignment="1">
      <alignment horizontal="center" vertical="center" wrapText="1"/>
    </xf>
    <xf numFmtId="165" fontId="0" fillId="0" borderId="7" xfId="0" applyNumberFormat="1" applyFill="1" applyBorder="1" applyAlignment="1">
      <alignment horizontal="center" vertical="center"/>
    </xf>
    <xf numFmtId="165" fontId="4" fillId="9" borderId="49" xfId="0" applyNumberFormat="1" applyFont="1" applyFill="1" applyBorder="1" applyAlignment="1">
      <alignment horizontal="center" vertical="center" wrapText="1"/>
    </xf>
    <xf numFmtId="165" fontId="4" fillId="9" borderId="10" xfId="0" applyNumberFormat="1" applyFont="1" applyFill="1" applyBorder="1" applyAlignment="1">
      <alignment horizontal="center" vertical="center" wrapText="1"/>
    </xf>
    <xf numFmtId="165" fontId="4" fillId="9" borderId="36" xfId="0" applyNumberFormat="1" applyFont="1" applyFill="1" applyBorder="1" applyAlignment="1">
      <alignment horizontal="center" vertical="center" wrapText="1"/>
    </xf>
    <xf numFmtId="165" fontId="0" fillId="11" borderId="49" xfId="0" applyNumberFormat="1" applyFill="1" applyBorder="1" applyAlignment="1">
      <alignment horizontal="center" vertical="center"/>
    </xf>
    <xf numFmtId="165" fontId="0" fillId="11" borderId="36" xfId="0" applyNumberFormat="1" applyFill="1" applyBorder="1" applyAlignment="1">
      <alignment horizontal="center" vertical="center"/>
    </xf>
    <xf numFmtId="0" fontId="8" fillId="0" borderId="0" xfId="0" applyFont="1" applyAlignment="1">
      <alignment wrapText="1"/>
    </xf>
    <xf numFmtId="0" fontId="0" fillId="0" borderId="10" xfId="0" applyBorder="1" applyAlignment="1">
      <alignment horizontal="center" vertical="center"/>
    </xf>
    <xf numFmtId="0" fontId="0" fillId="16" borderId="3" xfId="0" applyFill="1" applyBorder="1" applyAlignment="1">
      <alignment horizontal="center" vertical="center"/>
    </xf>
    <xf numFmtId="0" fontId="0" fillId="9" borderId="6" xfId="0" applyFill="1" applyBorder="1" applyAlignment="1">
      <alignment vertical="center" wrapText="1"/>
    </xf>
    <xf numFmtId="0" fontId="0" fillId="16" borderId="6" xfId="0" applyFill="1" applyBorder="1" applyAlignment="1">
      <alignment vertical="center" wrapText="1"/>
    </xf>
    <xf numFmtId="0" fontId="0" fillId="15" borderId="6" xfId="0" applyFill="1" applyBorder="1" applyAlignment="1">
      <alignment vertical="center" wrapText="1"/>
    </xf>
    <xf numFmtId="165" fontId="0" fillId="7" borderId="27" xfId="0" applyNumberFormat="1" applyFill="1" applyBorder="1" applyAlignment="1">
      <alignment horizontal="center" vertical="center"/>
    </xf>
    <xf numFmtId="0" fontId="1" fillId="0" borderId="29" xfId="0" applyFont="1" applyFill="1" applyBorder="1" applyAlignment="1">
      <alignment vertical="center" wrapText="1"/>
    </xf>
    <xf numFmtId="165" fontId="0" fillId="0" borderId="29" xfId="0" applyNumberFormat="1" applyFill="1" applyBorder="1" applyAlignment="1">
      <alignment horizontal="center" vertical="center"/>
    </xf>
    <xf numFmtId="165" fontId="0" fillId="0" borderId="1" xfId="0" applyNumberFormat="1" applyFill="1" applyBorder="1" applyAlignment="1">
      <alignment horizontal="center" vertical="center"/>
    </xf>
    <xf numFmtId="165" fontId="0" fillId="0" borderId="53" xfId="0" applyNumberFormat="1" applyFill="1" applyBorder="1" applyAlignment="1">
      <alignment horizontal="center" vertical="center"/>
    </xf>
    <xf numFmtId="0" fontId="0" fillId="0" borderId="54" xfId="0" applyFill="1" applyBorder="1" applyAlignment="1">
      <alignment horizontal="center" vertical="center"/>
    </xf>
    <xf numFmtId="0" fontId="0" fillId="0" borderId="55" xfId="0" applyFill="1" applyBorder="1" applyAlignment="1">
      <alignment horizontal="center" vertical="center"/>
    </xf>
    <xf numFmtId="165" fontId="0" fillId="0" borderId="3" xfId="0" applyNumberFormat="1" applyBorder="1" applyAlignment="1">
      <alignment horizontal="center" vertical="center"/>
    </xf>
    <xf numFmtId="0" fontId="0" fillId="16" borderId="10" xfId="0" applyFill="1" applyBorder="1" applyAlignment="1">
      <alignment horizontal="center" vertical="center"/>
    </xf>
    <xf numFmtId="0" fontId="0" fillId="4" borderId="19" xfId="0"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4" borderId="38" xfId="0" applyFill="1" applyBorder="1" applyAlignment="1">
      <alignment horizontal="center" vertical="center" wrapText="1"/>
    </xf>
    <xf numFmtId="164" fontId="0" fillId="7" borderId="7" xfId="0" applyNumberFormat="1" applyFill="1" applyBorder="1" applyAlignment="1">
      <alignment horizontal="center" vertical="center"/>
    </xf>
    <xf numFmtId="0" fontId="0" fillId="11" borderId="6" xfId="0" applyFill="1" applyBorder="1" applyAlignment="1">
      <alignment vertical="center" wrapText="1"/>
    </xf>
    <xf numFmtId="0" fontId="0" fillId="17" borderId="6" xfId="0" applyFill="1" applyBorder="1" applyAlignment="1">
      <alignment vertical="center" wrapText="1"/>
    </xf>
    <xf numFmtId="0" fontId="0" fillId="0" borderId="7" xfId="0" applyFill="1" applyBorder="1" applyAlignment="1">
      <alignment horizontal="center" vertical="center"/>
    </xf>
    <xf numFmtId="0" fontId="0" fillId="0" borderId="28" xfId="0" applyFill="1" applyBorder="1" applyAlignment="1">
      <alignment horizontal="center" vertical="center"/>
    </xf>
    <xf numFmtId="0" fontId="1" fillId="0" borderId="1" xfId="0" applyFont="1" applyFill="1" applyBorder="1" applyAlignment="1">
      <alignment vertical="center" wrapText="1"/>
    </xf>
    <xf numFmtId="0" fontId="1" fillId="0" borderId="53" xfId="0" applyFont="1" applyFill="1" applyBorder="1" applyAlignment="1">
      <alignment vertical="center" wrapText="1"/>
    </xf>
    <xf numFmtId="0" fontId="0" fillId="0" borderId="11" xfId="0" applyFill="1" applyBorder="1" applyAlignment="1">
      <alignment horizontal="center" vertical="center" wrapText="1"/>
    </xf>
    <xf numFmtId="0" fontId="0" fillId="7" borderId="9" xfId="0" applyFill="1" applyBorder="1" applyAlignment="1">
      <alignment horizontal="center" vertical="center" wrapText="1"/>
    </xf>
    <xf numFmtId="0" fontId="0" fillId="6" borderId="47" xfId="0" applyFill="1" applyBorder="1" applyAlignment="1">
      <alignment horizontal="center" vertical="center" wrapText="1"/>
    </xf>
    <xf numFmtId="0" fontId="0" fillId="6" borderId="5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14" xfId="0" applyFont="1" applyFill="1" applyBorder="1" applyAlignment="1">
      <alignment horizontal="center" vertical="center" wrapText="1"/>
    </xf>
    <xf numFmtId="0" fontId="1" fillId="6" borderId="31" xfId="0"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39" xfId="0" applyFill="1" applyBorder="1" applyAlignment="1">
      <alignment horizontal="center" vertical="center" wrapText="1"/>
    </xf>
    <xf numFmtId="0" fontId="0" fillId="4" borderId="30" xfId="0" applyFill="1" applyBorder="1" applyAlignment="1">
      <alignment horizontal="center" vertical="center" wrapText="1"/>
    </xf>
    <xf numFmtId="0" fontId="4" fillId="6" borderId="12"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37"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6" borderId="52" xfId="0" applyFont="1" applyFill="1" applyBorder="1" applyAlignment="1">
      <alignment horizontal="left" vertical="center" wrapText="1"/>
    </xf>
    <xf numFmtId="0" fontId="1" fillId="6" borderId="18"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31" xfId="0" applyFont="1" applyFill="1" applyBorder="1" applyAlignment="1">
      <alignment horizontal="left" vertical="center" wrapText="1"/>
    </xf>
    <xf numFmtId="0" fontId="1" fillId="2" borderId="50"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10" borderId="50" xfId="0" applyFont="1" applyFill="1" applyBorder="1" applyAlignment="1">
      <alignment horizontal="center" vertical="center" wrapText="1"/>
    </xf>
    <xf numFmtId="0" fontId="1" fillId="10" borderId="41" xfId="0" applyFont="1" applyFill="1" applyBorder="1" applyAlignment="1">
      <alignment horizontal="center" vertical="center" wrapText="1"/>
    </xf>
    <xf numFmtId="0" fontId="1" fillId="10" borderId="42" xfId="0" applyFont="1" applyFill="1" applyBorder="1" applyAlignment="1">
      <alignment horizontal="center" vertical="center" wrapText="1"/>
    </xf>
    <xf numFmtId="165" fontId="0" fillId="7" borderId="58" xfId="0" applyNumberFormat="1" applyFill="1" applyBorder="1" applyAlignment="1">
      <alignment horizontal="center" vertical="center"/>
    </xf>
    <xf numFmtId="165" fontId="0" fillId="7" borderId="59" xfId="0" applyNumberFormat="1" applyFill="1" applyBorder="1" applyAlignment="1">
      <alignment horizontal="center" vertical="center"/>
    </xf>
    <xf numFmtId="165" fontId="0" fillId="0" borderId="50" xfId="0" applyNumberFormat="1" applyFill="1" applyBorder="1" applyAlignment="1">
      <alignment horizontal="center" vertical="center"/>
    </xf>
    <xf numFmtId="165" fontId="0" fillId="0" borderId="41" xfId="0" applyNumberFormat="1" applyFill="1" applyBorder="1" applyAlignment="1">
      <alignment horizontal="center" vertical="center"/>
    </xf>
  </cellXfs>
  <cellStyles count="1">
    <cellStyle name="Normal" xfId="0" builtinId="0"/>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51"/>
  <sheetViews>
    <sheetView zoomScale="112" workbookViewId="0">
      <selection activeCell="B22" sqref="B22"/>
    </sheetView>
  </sheetViews>
  <sheetFormatPr baseColWidth="10" defaultRowHeight="14.5" x14ac:dyDescent="0.35"/>
  <cols>
    <col min="1" max="1" width="32.08984375" style="1" customWidth="1"/>
    <col min="2" max="2" width="19.90625" customWidth="1"/>
    <col min="3" max="3" width="12.36328125" bestFit="1" customWidth="1"/>
    <col min="4" max="4" width="13.1796875" customWidth="1"/>
    <col min="5" max="31" width="12.36328125" bestFit="1" customWidth="1"/>
    <col min="32" max="32" width="13.36328125" bestFit="1" customWidth="1"/>
  </cols>
  <sheetData>
    <row r="1" spans="1:4" x14ac:dyDescent="0.35">
      <c r="D1" s="99"/>
    </row>
    <row r="4" spans="1:4" ht="15" thickBot="1" x14ac:dyDescent="0.4">
      <c r="B4" s="9"/>
    </row>
    <row r="5" spans="1:4" ht="37.5" thickBot="1" x14ac:dyDescent="0.4">
      <c r="A5" s="29" t="s">
        <v>177</v>
      </c>
      <c r="B5" s="130">
        <f>B6/B10</f>
        <v>112.16932777417964</v>
      </c>
    </row>
    <row r="6" spans="1:4" ht="37.5" thickBot="1" x14ac:dyDescent="0.4">
      <c r="A6" s="29" t="s">
        <v>154</v>
      </c>
      <c r="B6" s="125">
        <f>MIN(B48,B51)</f>
        <v>1626.4552527256046</v>
      </c>
    </row>
    <row r="8" spans="1:4" ht="15" thickBot="1" x14ac:dyDescent="0.4"/>
    <row r="9" spans="1:4" ht="15" thickBot="1" x14ac:dyDescent="0.4">
      <c r="A9" s="175" t="s">
        <v>14</v>
      </c>
      <c r="B9" s="176"/>
    </row>
    <row r="10" spans="1:4" x14ac:dyDescent="0.35">
      <c r="A10" s="2" t="s">
        <v>7</v>
      </c>
      <c r="B10" s="86">
        <v>14.5</v>
      </c>
    </row>
    <row r="11" spans="1:4" ht="29" x14ac:dyDescent="0.35">
      <c r="A11" s="3" t="s">
        <v>195</v>
      </c>
      <c r="B11" s="87">
        <v>80</v>
      </c>
    </row>
    <row r="12" spans="1:4" ht="58" x14ac:dyDescent="0.35">
      <c r="A12" s="3" t="s">
        <v>196</v>
      </c>
      <c r="B12" s="87"/>
      <c r="C12" s="145" t="s">
        <v>204</v>
      </c>
    </row>
    <row r="13" spans="1:4" ht="27.5" customHeight="1" x14ac:dyDescent="0.35">
      <c r="A13" s="3" t="s">
        <v>197</v>
      </c>
      <c r="B13" s="87">
        <v>80</v>
      </c>
    </row>
    <row r="14" spans="1:4" ht="45" customHeight="1" x14ac:dyDescent="0.35">
      <c r="A14" s="3" t="s">
        <v>87</v>
      </c>
      <c r="B14" s="87" t="s">
        <v>18</v>
      </c>
      <c r="C14" s="145" t="s">
        <v>205</v>
      </c>
    </row>
    <row r="15" spans="1:4" ht="26" customHeight="1" x14ac:dyDescent="0.35">
      <c r="A15" s="3" t="s">
        <v>15</v>
      </c>
      <c r="B15" s="25">
        <v>30</v>
      </c>
    </row>
    <row r="16" spans="1:4" ht="29.5" thickBot="1" x14ac:dyDescent="0.4">
      <c r="A16" s="4" t="s">
        <v>188</v>
      </c>
      <c r="B16" s="102" t="s">
        <v>191</v>
      </c>
    </row>
    <row r="17" spans="1:177" ht="15" thickBot="1" x14ac:dyDescent="0.4"/>
    <row r="18" spans="1:177" s="5" customFormat="1" ht="15.5" x14ac:dyDescent="0.35">
      <c r="A18" s="108" t="s">
        <v>0</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F18" s="109"/>
      <c r="BG18" s="109"/>
      <c r="BH18" s="109"/>
      <c r="BI18" s="109"/>
      <c r="BJ18" s="109"/>
      <c r="BK18" s="109"/>
      <c r="BL18" s="109"/>
      <c r="BM18" s="109"/>
      <c r="BN18" s="109"/>
      <c r="BO18" s="109"/>
      <c r="BP18" s="109"/>
      <c r="BQ18" s="109"/>
      <c r="BR18" s="109"/>
      <c r="BS18" s="109"/>
      <c r="BT18" s="109"/>
      <c r="BU18" s="109"/>
      <c r="BV18" s="109"/>
      <c r="BW18" s="109"/>
      <c r="BX18" s="109"/>
      <c r="BY18" s="109"/>
      <c r="BZ18" s="109"/>
      <c r="CA18" s="109"/>
      <c r="CB18" s="109"/>
      <c r="CC18" s="109"/>
      <c r="CD18" s="109"/>
      <c r="CE18" s="107"/>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7"/>
      <c r="DT18" s="7"/>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3" t="s">
        <v>97</v>
      </c>
      <c r="B19" s="12">
        <v>0</v>
      </c>
      <c r="C19" s="12">
        <v>1</v>
      </c>
      <c r="D19" s="12">
        <v>2</v>
      </c>
      <c r="E19" s="12">
        <v>3</v>
      </c>
      <c r="F19" s="12">
        <v>4</v>
      </c>
      <c r="G19" s="12">
        <v>5</v>
      </c>
      <c r="H19" s="12">
        <v>6</v>
      </c>
      <c r="I19" s="12">
        <v>7</v>
      </c>
      <c r="J19" s="12">
        <v>8</v>
      </c>
      <c r="K19" s="12">
        <v>9</v>
      </c>
      <c r="L19" s="12">
        <v>10</v>
      </c>
      <c r="M19" s="12">
        <v>11</v>
      </c>
      <c r="N19" s="12">
        <v>12</v>
      </c>
      <c r="O19" s="110">
        <v>13</v>
      </c>
      <c r="P19" s="12">
        <v>14</v>
      </c>
      <c r="Q19" s="12">
        <v>15</v>
      </c>
      <c r="R19" s="110">
        <v>16</v>
      </c>
      <c r="S19" s="12">
        <v>17</v>
      </c>
      <c r="T19" s="12">
        <v>18</v>
      </c>
      <c r="U19" s="12">
        <v>19</v>
      </c>
      <c r="V19" s="12">
        <v>20</v>
      </c>
      <c r="W19" s="110">
        <v>21</v>
      </c>
      <c r="X19" s="12">
        <v>22</v>
      </c>
      <c r="Y19" s="12">
        <v>23</v>
      </c>
      <c r="Z19" s="12">
        <v>24</v>
      </c>
      <c r="AA19" s="147">
        <v>25</v>
      </c>
      <c r="AB19" s="12">
        <v>26</v>
      </c>
      <c r="AC19" s="12">
        <v>27</v>
      </c>
      <c r="AD19" s="12">
        <v>28</v>
      </c>
      <c r="AE19" s="12">
        <v>29</v>
      </c>
      <c r="AF19" s="13">
        <v>30</v>
      </c>
      <c r="AG19" s="12">
        <v>31</v>
      </c>
      <c r="AH19" s="12">
        <v>32</v>
      </c>
      <c r="AI19" s="13">
        <v>33</v>
      </c>
      <c r="AJ19" s="12">
        <v>34</v>
      </c>
      <c r="AK19" s="147">
        <v>35</v>
      </c>
      <c r="AL19" s="13">
        <v>36</v>
      </c>
      <c r="AM19" s="12">
        <v>37</v>
      </c>
      <c r="AN19" s="110">
        <v>38</v>
      </c>
      <c r="AO19" s="13">
        <v>39</v>
      </c>
      <c r="AP19" s="12">
        <v>40</v>
      </c>
      <c r="AQ19" s="12">
        <v>41</v>
      </c>
      <c r="AR19" s="126">
        <v>42</v>
      </c>
      <c r="AS19" s="12">
        <v>43</v>
      </c>
      <c r="AT19" s="12">
        <v>44</v>
      </c>
      <c r="AU19" s="159">
        <v>45</v>
      </c>
      <c r="AV19" s="12">
        <v>46</v>
      </c>
      <c r="AW19" s="12">
        <v>47</v>
      </c>
      <c r="AX19" s="126">
        <v>48</v>
      </c>
      <c r="AY19" s="12">
        <v>49</v>
      </c>
      <c r="AZ19" s="12">
        <v>50</v>
      </c>
      <c r="BA19" s="13">
        <v>51</v>
      </c>
      <c r="BB19" s="12">
        <v>52</v>
      </c>
      <c r="BC19" s="12">
        <v>53</v>
      </c>
      <c r="BD19" s="13">
        <v>54</v>
      </c>
      <c r="BE19" s="12">
        <v>55</v>
      </c>
      <c r="BF19" s="111">
        <v>56</v>
      </c>
      <c r="BG19" s="13">
        <v>57</v>
      </c>
      <c r="BH19" s="12">
        <v>58</v>
      </c>
      <c r="BI19" s="12">
        <v>59</v>
      </c>
      <c r="BJ19" s="159">
        <v>60</v>
      </c>
      <c r="BK19" s="12">
        <v>61</v>
      </c>
      <c r="BL19" s="12">
        <v>62</v>
      </c>
      <c r="BM19" s="13">
        <v>63</v>
      </c>
      <c r="BN19" s="111">
        <v>64</v>
      </c>
      <c r="BO19" s="12">
        <v>65</v>
      </c>
      <c r="BP19" s="13">
        <v>66</v>
      </c>
      <c r="BQ19" s="12">
        <v>67</v>
      </c>
      <c r="BR19" s="12">
        <v>68</v>
      </c>
      <c r="BS19" s="13">
        <v>69</v>
      </c>
      <c r="BT19" s="12">
        <v>70</v>
      </c>
      <c r="BU19" s="12">
        <v>71</v>
      </c>
      <c r="BV19" s="126">
        <v>72</v>
      </c>
      <c r="BW19" s="12">
        <v>73</v>
      </c>
      <c r="BX19" s="12">
        <v>74</v>
      </c>
      <c r="BY19" s="13">
        <v>75</v>
      </c>
      <c r="BZ19" s="12">
        <v>76</v>
      </c>
      <c r="CA19" s="12">
        <v>77</v>
      </c>
      <c r="CB19" s="13">
        <v>78</v>
      </c>
      <c r="CC19" s="12">
        <v>79</v>
      </c>
      <c r="CD19" s="126">
        <v>80</v>
      </c>
      <c r="CE19" s="53"/>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7"/>
      <c r="DT19" s="7"/>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12" t="s">
        <v>3</v>
      </c>
      <c r="B20" s="113"/>
      <c r="C20" s="113"/>
      <c r="D20" s="113"/>
      <c r="E20" s="113"/>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113"/>
      <c r="BP20" s="113"/>
      <c r="BQ20" s="113"/>
      <c r="BR20" s="113"/>
      <c r="BS20" s="113"/>
      <c r="BT20" s="113"/>
      <c r="BU20" s="113"/>
      <c r="BV20" s="113"/>
      <c r="BW20" s="113"/>
      <c r="BX20" s="113"/>
      <c r="BY20" s="113"/>
      <c r="BZ20" s="113"/>
      <c r="CA20" s="113"/>
      <c r="CB20" s="113"/>
      <c r="CC20" s="113"/>
      <c r="CD20" s="113"/>
      <c r="CE20" s="152"/>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7"/>
      <c r="DT20" s="7"/>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 x14ac:dyDescent="0.35">
      <c r="A21" s="3" t="s">
        <v>206</v>
      </c>
      <c r="B21" s="88">
        <f>(((B22+B29)*$B$41)+(($B$46+B33)*$B$10))*(44/12)</f>
        <v>3721.6666666666665</v>
      </c>
      <c r="C21" s="88">
        <f t="shared" ref="C21:BN21" si="0">(((C22+C29)*$B$41)+(($B$46+C33)*$B$10))*(44/12)</f>
        <v>3839.0587211607426</v>
      </c>
      <c r="D21" s="88">
        <f t="shared" si="0"/>
        <v>3952.5715756968252</v>
      </c>
      <c r="E21" s="88">
        <f t="shared" si="0"/>
        <v>4064.8316433701325</v>
      </c>
      <c r="F21" s="88">
        <f t="shared" si="0"/>
        <v>4176.3194640720913</v>
      </c>
      <c r="G21" s="88">
        <f t="shared" si="0"/>
        <v>4287.2528342346332</v>
      </c>
      <c r="H21" s="88">
        <f t="shared" si="0"/>
        <v>4397.7559940357896</v>
      </c>
      <c r="I21" s="88">
        <f t="shared" si="0"/>
        <v>4507.9090363145187</v>
      </c>
      <c r="J21" s="88">
        <f t="shared" si="0"/>
        <v>4617.7677488952213</v>
      </c>
      <c r="K21" s="88">
        <f t="shared" si="0"/>
        <v>4727.3731365385056</v>
      </c>
      <c r="L21" s="88">
        <f t="shared" si="0"/>
        <v>4836.7565572693748</v>
      </c>
      <c r="M21" s="88">
        <f t="shared" si="0"/>
        <v>4945.9427345868125</v>
      </c>
      <c r="N21" s="88">
        <f t="shared" si="0"/>
        <v>5111.7798300805725</v>
      </c>
      <c r="O21" s="88">
        <f t="shared" si="0"/>
        <v>5282.8246422835609</v>
      </c>
      <c r="P21" s="88">
        <f t="shared" si="0"/>
        <v>5336.6872755735139</v>
      </c>
      <c r="Q21" s="88">
        <f t="shared" si="0"/>
        <v>5501.6047901940019</v>
      </c>
      <c r="R21" s="88">
        <f t="shared" si="0"/>
        <v>5668.8158043686926</v>
      </c>
      <c r="S21" s="88">
        <f t="shared" si="0"/>
        <v>5655.2372578561544</v>
      </c>
      <c r="T21" s="88">
        <f t="shared" si="0"/>
        <v>5811.7314382658578</v>
      </c>
      <c r="U21" s="88">
        <f t="shared" si="0"/>
        <v>5968.3439548867909</v>
      </c>
      <c r="V21" s="88">
        <f t="shared" si="0"/>
        <v>6125.4753500424576</v>
      </c>
      <c r="W21" s="88">
        <f t="shared" si="0"/>
        <v>6282.3927396050822</v>
      </c>
      <c r="X21" s="88">
        <f t="shared" si="0"/>
        <v>6204.6874482517378</v>
      </c>
      <c r="Y21" s="88">
        <f t="shared" si="0"/>
        <v>6388.208061365056</v>
      </c>
      <c r="Z21" s="88">
        <f t="shared" si="0"/>
        <v>6571.4200025407317</v>
      </c>
      <c r="AA21" s="88">
        <f t="shared" si="0"/>
        <v>6626.4943985918417</v>
      </c>
      <c r="AB21" s="88">
        <f t="shared" si="0"/>
        <v>6809.8151676128282</v>
      </c>
      <c r="AC21" s="88">
        <f t="shared" si="0"/>
        <v>6991.743905722923</v>
      </c>
      <c r="AD21" s="88">
        <f t="shared" si="0"/>
        <v>7172.6850856446817</v>
      </c>
      <c r="AE21" s="88">
        <f t="shared" si="0"/>
        <v>7351.9161532097733</v>
      </c>
      <c r="AF21" s="88">
        <f t="shared" si="0"/>
        <v>7529.8320332086705</v>
      </c>
      <c r="AG21" s="88">
        <f t="shared" si="0"/>
        <v>7687.1856560407223</v>
      </c>
      <c r="AH21" s="88">
        <f t="shared" si="0"/>
        <v>7842.5127308129495</v>
      </c>
      <c r="AI21" s="88">
        <f t="shared" si="0"/>
        <v>7996.2002059150846</v>
      </c>
      <c r="AJ21" s="88">
        <f t="shared" si="0"/>
        <v>8147.8885970081583</v>
      </c>
      <c r="AK21" s="88">
        <f t="shared" si="0"/>
        <v>8118.4582633673081</v>
      </c>
      <c r="AL21" s="88">
        <f t="shared" si="0"/>
        <v>8261.7642812449376</v>
      </c>
      <c r="AM21" s="88">
        <f t="shared" si="0"/>
        <v>8403.0988472688859</v>
      </c>
      <c r="AN21" s="88">
        <f t="shared" si="0"/>
        <v>8542.4709170512961</v>
      </c>
      <c r="AO21" s="88">
        <f t="shared" si="0"/>
        <v>6967.6564362330937</v>
      </c>
      <c r="AP21" s="88">
        <f t="shared" si="0"/>
        <v>7063.0898991835766</v>
      </c>
      <c r="AQ21" s="88">
        <f t="shared" si="0"/>
        <v>7154.8858124255357</v>
      </c>
      <c r="AR21" s="88">
        <f t="shared" si="0"/>
        <v>6760.8933811588904</v>
      </c>
      <c r="AS21" s="88">
        <f t="shared" si="0"/>
        <v>6909.5952510459665</v>
      </c>
      <c r="AT21" s="88">
        <f t="shared" si="0"/>
        <v>7058.1294490574146</v>
      </c>
      <c r="AU21" s="88">
        <f t="shared" si="0"/>
        <v>6974.9910693628653</v>
      </c>
      <c r="AV21" s="88">
        <f t="shared" si="0"/>
        <v>7120.9098274362668</v>
      </c>
      <c r="AW21" s="88">
        <f t="shared" si="0"/>
        <v>7266.6861053765233</v>
      </c>
      <c r="AX21" s="88">
        <f t="shared" si="0"/>
        <v>6959.6574807685192</v>
      </c>
      <c r="AY21" s="88">
        <f t="shared" si="0"/>
        <v>7099.1654080970375</v>
      </c>
      <c r="AZ21" s="88">
        <f t="shared" si="0"/>
        <v>7238.5384676611693</v>
      </c>
      <c r="BA21" s="88">
        <f t="shared" si="0"/>
        <v>7374.586698125333</v>
      </c>
      <c r="BB21" s="88">
        <f t="shared" si="0"/>
        <v>7510.5186361083151</v>
      </c>
      <c r="BC21" s="88">
        <f t="shared" si="0"/>
        <v>7646.3402410930858</v>
      </c>
      <c r="BD21" s="88">
        <f t="shared" si="0"/>
        <v>7782.0569049976257</v>
      </c>
      <c r="BE21" s="88">
        <f t="shared" si="0"/>
        <v>7917.6735296485758</v>
      </c>
      <c r="BF21" s="88">
        <f t="shared" si="0"/>
        <v>7472.5174606197934</v>
      </c>
      <c r="BG21" s="88">
        <f t="shared" si="0"/>
        <v>7622.9829805909221</v>
      </c>
      <c r="BH21" s="88">
        <f t="shared" si="0"/>
        <v>7773.3065200420724</v>
      </c>
      <c r="BI21" s="88">
        <f t="shared" si="0"/>
        <v>7913.590757746847</v>
      </c>
      <c r="BJ21" s="88">
        <f t="shared" si="0"/>
        <v>7717.0858418256021</v>
      </c>
      <c r="BK21" s="88">
        <f t="shared" si="0"/>
        <v>7857.2770020828875</v>
      </c>
      <c r="BL21" s="88">
        <f t="shared" si="0"/>
        <v>7997.3591179250234</v>
      </c>
      <c r="BM21" s="88">
        <f t="shared" si="0"/>
        <v>8137.337496191366</v>
      </c>
      <c r="BN21" s="88">
        <f t="shared" si="0"/>
        <v>7617.2828599464956</v>
      </c>
      <c r="BO21" s="88">
        <f t="shared" ref="BO21:CC21" si="1">(((BO22+BO29)*$B$41)+(($B$46+BO33)*$B$10))*(44/12)</f>
        <v>7741.5097283771556</v>
      </c>
      <c r="BP21" s="88">
        <f t="shared" si="1"/>
        <v>7865.6454414337186</v>
      </c>
      <c r="BQ21" s="88">
        <f t="shared" si="1"/>
        <v>7979.4240072125849</v>
      </c>
      <c r="BR21" s="88">
        <f t="shared" si="1"/>
        <v>8093.126186255884</v>
      </c>
      <c r="BS21" s="88">
        <f t="shared" si="1"/>
        <v>8206.7553079186182</v>
      </c>
      <c r="BT21" s="88">
        <f t="shared" si="1"/>
        <v>8320.3144283059646</v>
      </c>
      <c r="BU21" s="88">
        <f t="shared" si="1"/>
        <v>8433.8063624257284</v>
      </c>
      <c r="BV21" s="88">
        <f t="shared" si="1"/>
        <v>8032.7737088348267</v>
      </c>
      <c r="BW21" s="88">
        <f t="shared" si="1"/>
        <v>8133.6121696439468</v>
      </c>
      <c r="BX21" s="88">
        <f t="shared" si="1"/>
        <v>8234.3937792575143</v>
      </c>
      <c r="BY21" s="88">
        <f t="shared" si="1"/>
        <v>8328.7582706734665</v>
      </c>
      <c r="BZ21" s="88">
        <f t="shared" si="1"/>
        <v>8423.0725422212636</v>
      </c>
      <c r="CA21" s="88">
        <f t="shared" si="1"/>
        <v>8517.3383675071018</v>
      </c>
      <c r="CB21" s="88">
        <f t="shared" si="1"/>
        <v>8611.5574019286196</v>
      </c>
      <c r="CC21" s="88">
        <f t="shared" si="1"/>
        <v>8705.7311940078525</v>
      </c>
      <c r="CD21" s="115">
        <f>(((CD22+CD29)*$B$41)+(($B$46+CD33)*$B$10))*(44/12)</f>
        <v>8799.8611953287746</v>
      </c>
      <c r="CE21" s="153"/>
      <c r="CF21" s="98"/>
      <c r="CG21" s="98"/>
      <c r="CH21" s="98"/>
      <c r="CI21" s="98"/>
      <c r="CJ21" s="98"/>
      <c r="CK21" s="98"/>
      <c r="CL21" s="98"/>
      <c r="CM21" s="98"/>
      <c r="CN21" s="98"/>
      <c r="CO21" s="98"/>
      <c r="CP21" s="98"/>
      <c r="CQ21" s="98"/>
      <c r="CR21" s="98"/>
      <c r="CS21" s="98"/>
      <c r="CT21" s="98"/>
      <c r="CU21" s="98"/>
      <c r="CV21" s="98"/>
      <c r="CW21" s="98"/>
      <c r="CX21" s="98"/>
      <c r="CY21" s="98"/>
      <c r="CZ21" s="98"/>
      <c r="DA21" s="98"/>
      <c r="DB21" s="98"/>
      <c r="DC21" s="98"/>
      <c r="DD21" s="98"/>
      <c r="DE21" s="98"/>
      <c r="DF21" s="98"/>
      <c r="DG21" s="98"/>
      <c r="DH21" s="98"/>
      <c r="DI21" s="98"/>
      <c r="DJ21" s="98"/>
      <c r="DK21" s="98"/>
      <c r="DL21" s="98"/>
      <c r="DM21" s="98"/>
      <c r="DN21" s="98"/>
      <c r="DO21" s="98"/>
      <c r="DP21" s="98"/>
      <c r="DQ21" s="98"/>
      <c r="DR21" s="98"/>
      <c r="DS21" s="7"/>
      <c r="DT21" s="7"/>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29" x14ac:dyDescent="0.35">
      <c r="A22" s="3" t="s">
        <v>207</v>
      </c>
      <c r="B22" s="88">
        <f>SUM(B23,B25,B27)</f>
        <v>0</v>
      </c>
      <c r="C22" s="88">
        <f>SUM(C23,C25,C27)</f>
        <v>42.8595406909091</v>
      </c>
      <c r="D22" s="88">
        <f t="shared" ref="D22:BN22" si="2">SUM(D23,D25,D27)</f>
        <v>85.719081381818199</v>
      </c>
      <c r="E22" s="88">
        <f t="shared" si="2"/>
        <v>128.57862207272728</v>
      </c>
      <c r="F22" s="88">
        <f t="shared" si="2"/>
        <v>171.4381627636364</v>
      </c>
      <c r="G22" s="88">
        <f t="shared" si="2"/>
        <v>214.29770345454546</v>
      </c>
      <c r="H22" s="88">
        <f t="shared" si="2"/>
        <v>257.15724414545451</v>
      </c>
      <c r="I22" s="88">
        <f t="shared" si="2"/>
        <v>300.01678483636363</v>
      </c>
      <c r="J22" s="88">
        <f t="shared" si="2"/>
        <v>342.87632552727268</v>
      </c>
      <c r="K22" s="88">
        <f t="shared" si="2"/>
        <v>385.7358662181818</v>
      </c>
      <c r="L22" s="88">
        <f t="shared" si="2"/>
        <v>428.59540690909091</v>
      </c>
      <c r="M22" s="88">
        <f t="shared" si="2"/>
        <v>471.45494759999997</v>
      </c>
      <c r="N22" s="88">
        <f t="shared" si="2"/>
        <v>541.02877919999992</v>
      </c>
      <c r="O22" s="88">
        <f t="shared" si="2"/>
        <v>613.29361080000012</v>
      </c>
      <c r="P22" s="88">
        <f t="shared" si="2"/>
        <v>630.30324240000004</v>
      </c>
      <c r="Q22" s="88">
        <f t="shared" si="2"/>
        <v>699.87707400000011</v>
      </c>
      <c r="R22" s="88">
        <f t="shared" si="2"/>
        <v>770.70670560000008</v>
      </c>
      <c r="S22" s="88">
        <f t="shared" si="2"/>
        <v>755.78313720000006</v>
      </c>
      <c r="T22" s="88">
        <f t="shared" si="2"/>
        <v>821.58956880000017</v>
      </c>
      <c r="U22" s="88">
        <f t="shared" si="2"/>
        <v>887.57540040000004</v>
      </c>
      <c r="V22" s="88">
        <f t="shared" si="2"/>
        <v>953.92003200000022</v>
      </c>
      <c r="W22" s="88">
        <f t="shared" si="2"/>
        <v>1020.2646636000003</v>
      </c>
      <c r="X22" s="88">
        <f t="shared" si="2"/>
        <v>974.66369520000023</v>
      </c>
      <c r="Y22" s="88">
        <f t="shared" si="2"/>
        <v>1053.3797508000002</v>
      </c>
      <c r="Z22" s="88">
        <f t="shared" si="2"/>
        <v>1132.0958064000001</v>
      </c>
      <c r="AA22" s="88">
        <f>SUM(AA23,AA25,AA27)</f>
        <v>1150.5932620000003</v>
      </c>
      <c r="AB22" s="88">
        <f t="shared" si="2"/>
        <v>1229.4468576000002</v>
      </c>
      <c r="AC22" s="88">
        <f t="shared" si="2"/>
        <v>1307.7622532000005</v>
      </c>
      <c r="AD22" s="88">
        <f t="shared" si="2"/>
        <v>1385.7188488000006</v>
      </c>
      <c r="AE22" s="88">
        <f t="shared" si="2"/>
        <v>1462.9578444000003</v>
      </c>
      <c r="AF22" s="88">
        <f t="shared" si="2"/>
        <v>1539.6586400000003</v>
      </c>
      <c r="AG22" s="88">
        <f t="shared" si="2"/>
        <v>1615.0701476000006</v>
      </c>
      <c r="AH22" s="88">
        <f t="shared" si="2"/>
        <v>1689.5846552000007</v>
      </c>
      <c r="AI22" s="88">
        <f t="shared" si="2"/>
        <v>1763.3815628000007</v>
      </c>
      <c r="AJ22" s="88">
        <f t="shared" si="2"/>
        <v>1836.2814704000007</v>
      </c>
      <c r="AK22" s="88">
        <f t="shared" si="2"/>
        <v>1822.7703780000004</v>
      </c>
      <c r="AL22" s="88">
        <f t="shared" si="2"/>
        <v>1891.6612936000006</v>
      </c>
      <c r="AM22" s="88">
        <f t="shared" si="2"/>
        <v>1959.6552092000006</v>
      </c>
      <c r="AN22" s="88">
        <f>SUM(AN23,AN25,AN27)</f>
        <v>2026.7521248000005</v>
      </c>
      <c r="AO22" s="88">
        <f t="shared" si="2"/>
        <v>1281.3464404000006</v>
      </c>
      <c r="AP22" s="88">
        <f t="shared" si="2"/>
        <v>1327.2741560000006</v>
      </c>
      <c r="AQ22" s="88">
        <f t="shared" si="2"/>
        <v>1371.4915916000007</v>
      </c>
      <c r="AR22" s="88">
        <f t="shared" si="2"/>
        <v>1180.9461872000006</v>
      </c>
      <c r="AS22" s="88">
        <f t="shared" si="2"/>
        <v>1252.5526208000006</v>
      </c>
      <c r="AT22" s="88">
        <f t="shared" si="2"/>
        <v>1324.1590544000005</v>
      </c>
      <c r="AU22" s="88">
        <f t="shared" si="2"/>
        <v>1284.5972880000008</v>
      </c>
      <c r="AV22" s="88">
        <f t="shared" si="2"/>
        <v>1355.0065256000007</v>
      </c>
      <c r="AW22" s="88">
        <f t="shared" si="2"/>
        <v>1425.4157632000008</v>
      </c>
      <c r="AX22" s="88">
        <f t="shared" si="2"/>
        <v>1276.7130168000008</v>
      </c>
      <c r="AY22" s="88">
        <f t="shared" si="2"/>
        <v>1343.9920832000009</v>
      </c>
      <c r="AZ22" s="88">
        <f t="shared" si="2"/>
        <v>1411.2711496000006</v>
      </c>
      <c r="BA22" s="88">
        <f t="shared" si="2"/>
        <v>1477.010964000001</v>
      </c>
      <c r="BB22" s="88">
        <f t="shared" si="2"/>
        <v>1542.7507784000009</v>
      </c>
      <c r="BC22" s="88">
        <f t="shared" si="2"/>
        <v>1608.4905928000007</v>
      </c>
      <c r="BD22" s="88">
        <f t="shared" si="2"/>
        <v>1674.2304072000006</v>
      </c>
      <c r="BE22" s="88">
        <f t="shared" si="2"/>
        <v>1739.9702216000005</v>
      </c>
      <c r="BF22" s="88">
        <f t="shared" si="2"/>
        <v>1523.9946280000006</v>
      </c>
      <c r="BG22" s="88">
        <f t="shared" si="2"/>
        <v>1596.7773276000007</v>
      </c>
      <c r="BH22" s="88">
        <f t="shared" si="2"/>
        <v>1669.5600272000006</v>
      </c>
      <c r="BI22" s="88">
        <f t="shared" si="2"/>
        <v>1737.5539428000006</v>
      </c>
      <c r="BJ22" s="88">
        <f t="shared" si="2"/>
        <v>1643.0712584000007</v>
      </c>
      <c r="BK22" s="114">
        <f t="shared" si="2"/>
        <v>1711.0651740000003</v>
      </c>
      <c r="BL22" s="114">
        <f t="shared" si="2"/>
        <v>1779.0590896000003</v>
      </c>
      <c r="BM22" s="114">
        <f t="shared" si="2"/>
        <v>1847.0530052000004</v>
      </c>
      <c r="BN22" s="114">
        <f t="shared" si="2"/>
        <v>1594.2043728000006</v>
      </c>
      <c r="BO22" s="114">
        <f t="shared" ref="BO22:CC22" si="3">SUM(BO23,BO25,BO27)</f>
        <v>1654.3728604000007</v>
      </c>
      <c r="BP22" s="114">
        <f t="shared" si="3"/>
        <v>1714.5413480000007</v>
      </c>
      <c r="BQ22" s="114">
        <f t="shared" si="3"/>
        <v>1769.7500236000005</v>
      </c>
      <c r="BR22" s="114">
        <f t="shared" si="3"/>
        <v>1824.9586992000004</v>
      </c>
      <c r="BS22" s="114">
        <f t="shared" si="3"/>
        <v>1880.1673748000003</v>
      </c>
      <c r="BT22" s="114">
        <f t="shared" si="3"/>
        <v>1935.3760504000002</v>
      </c>
      <c r="BU22" s="114">
        <f t="shared" si="3"/>
        <v>1990.584726</v>
      </c>
      <c r="BV22" s="114">
        <f t="shared" si="3"/>
        <v>1795.3797055999999</v>
      </c>
      <c r="BW22" s="114">
        <f t="shared" si="3"/>
        <v>1844.3280388000001</v>
      </c>
      <c r="BX22" s="114">
        <f t="shared" si="3"/>
        <v>1893.2763719999998</v>
      </c>
      <c r="BY22" s="114">
        <f t="shared" si="3"/>
        <v>1939.1462012</v>
      </c>
      <c r="BZ22" s="114">
        <f t="shared" si="3"/>
        <v>1985.0160304000001</v>
      </c>
      <c r="CA22" s="114">
        <f t="shared" si="3"/>
        <v>2030.8858596</v>
      </c>
      <c r="CB22" s="114">
        <f t="shared" si="3"/>
        <v>2076.7556887999999</v>
      </c>
      <c r="CC22" s="114">
        <f t="shared" si="3"/>
        <v>2122.6255179999998</v>
      </c>
      <c r="CD22" s="118">
        <f>SUM(CD23,CD25,CD27)</f>
        <v>2168.4953472000002</v>
      </c>
      <c r="CE22" s="153"/>
      <c r="CF22" s="98"/>
      <c r="CG22" s="98"/>
      <c r="CH22" s="98"/>
      <c r="CI22" s="98"/>
      <c r="CJ22" s="98"/>
      <c r="CK22" s="98"/>
      <c r="CL22" s="98"/>
      <c r="CM22" s="98"/>
      <c r="CN22" s="98"/>
      <c r="CO22" s="98"/>
      <c r="CP22" s="98"/>
      <c r="CQ22" s="98"/>
      <c r="CR22" s="98"/>
      <c r="CS22" s="98"/>
      <c r="CT22" s="98"/>
      <c r="CU22" s="98"/>
      <c r="CV22" s="98"/>
      <c r="CW22" s="98"/>
      <c r="CX22" s="98"/>
      <c r="CY22" s="98"/>
      <c r="CZ22" s="98"/>
      <c r="DA22" s="98"/>
      <c r="DB22" s="98"/>
      <c r="DC22" s="98"/>
      <c r="DD22" s="98"/>
      <c r="DE22" s="98"/>
      <c r="DF22" s="98"/>
      <c r="DG22" s="98"/>
      <c r="DH22" s="98"/>
      <c r="DI22" s="98"/>
      <c r="DJ22" s="98"/>
      <c r="DK22" s="98"/>
      <c r="DL22" s="98"/>
      <c r="DM22" s="98"/>
      <c r="DN22" s="98"/>
      <c r="DO22" s="98"/>
      <c r="DP22" s="98"/>
      <c r="DQ22" s="98"/>
      <c r="DR22" s="98"/>
      <c r="DS22" s="7"/>
      <c r="DT22" s="7"/>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ht="58" x14ac:dyDescent="0.35">
      <c r="A23" s="148" t="s">
        <v>208</v>
      </c>
      <c r="B23" s="88">
        <f>B24*1.56*(($C$43*7.36)+(0.65*1.15))</f>
        <v>0</v>
      </c>
      <c r="C23" s="88">
        <f t="shared" ref="C23:BN23" si="4">C24*1.56*(($C$43*7.36)+(0.65*1.15))</f>
        <v>21.128655600000002</v>
      </c>
      <c r="D23" s="88">
        <f t="shared" si="4"/>
        <v>42.257311200000004</v>
      </c>
      <c r="E23" s="88">
        <f t="shared" si="4"/>
        <v>63.385966800000006</v>
      </c>
      <c r="F23" s="88">
        <f t="shared" si="4"/>
        <v>84.514622400000007</v>
      </c>
      <c r="G23" s="88">
        <f t="shared" si="4"/>
        <v>105.643278</v>
      </c>
      <c r="H23" s="88">
        <f t="shared" si="4"/>
        <v>126.77193359999997</v>
      </c>
      <c r="I23" s="88">
        <f t="shared" si="4"/>
        <v>147.90058919999998</v>
      </c>
      <c r="J23" s="88">
        <f t="shared" si="4"/>
        <v>169.02924479999996</v>
      </c>
      <c r="K23" s="88">
        <f t="shared" si="4"/>
        <v>190.15790039999993</v>
      </c>
      <c r="L23" s="88">
        <f t="shared" si="4"/>
        <v>211.28655599999996</v>
      </c>
      <c r="M23" s="88">
        <f t="shared" si="4"/>
        <v>232.41521159999994</v>
      </c>
      <c r="N23" s="88">
        <f t="shared" si="4"/>
        <v>253.54386719999994</v>
      </c>
      <c r="O23" s="88">
        <f t="shared" si="4"/>
        <v>274.67252280000002</v>
      </c>
      <c r="P23" s="88">
        <f t="shared" si="4"/>
        <v>295.80117840000003</v>
      </c>
      <c r="Q23" s="88">
        <f t="shared" si="4"/>
        <v>316.92983400000003</v>
      </c>
      <c r="R23" s="88">
        <f t="shared" si="4"/>
        <v>338.05848960000009</v>
      </c>
      <c r="S23" s="88">
        <f t="shared" si="4"/>
        <v>359.18714520000009</v>
      </c>
      <c r="T23" s="88">
        <f t="shared" si="4"/>
        <v>380.31580080000009</v>
      </c>
      <c r="U23" s="88">
        <f t="shared" si="4"/>
        <v>401.44445640000009</v>
      </c>
      <c r="V23" s="88">
        <f t="shared" si="4"/>
        <v>422.57311200000015</v>
      </c>
      <c r="W23" s="88">
        <f t="shared" si="4"/>
        <v>443.70176760000015</v>
      </c>
      <c r="X23" s="88">
        <f t="shared" si="4"/>
        <v>464.83042320000015</v>
      </c>
      <c r="Y23" s="88">
        <f t="shared" si="4"/>
        <v>485.95907880000016</v>
      </c>
      <c r="Z23" s="88">
        <f t="shared" si="4"/>
        <v>507.0877344000001</v>
      </c>
      <c r="AA23" s="88">
        <f t="shared" si="4"/>
        <v>528.21639000000016</v>
      </c>
      <c r="AB23" s="88">
        <f t="shared" si="4"/>
        <v>549.34504560000016</v>
      </c>
      <c r="AC23" s="88">
        <f t="shared" si="4"/>
        <v>570.47370120000028</v>
      </c>
      <c r="AD23" s="88">
        <f t="shared" si="4"/>
        <v>591.60235680000028</v>
      </c>
      <c r="AE23" s="88">
        <f t="shared" si="4"/>
        <v>612.73101240000028</v>
      </c>
      <c r="AF23" s="88">
        <f t="shared" si="4"/>
        <v>633.85966800000028</v>
      </c>
      <c r="AG23" s="88">
        <f t="shared" si="4"/>
        <v>654.9883236000004</v>
      </c>
      <c r="AH23" s="88">
        <f t="shared" si="4"/>
        <v>676.11697920000029</v>
      </c>
      <c r="AI23" s="88">
        <f t="shared" si="4"/>
        <v>697.2456348000004</v>
      </c>
      <c r="AJ23" s="88">
        <f t="shared" si="4"/>
        <v>718.37429040000029</v>
      </c>
      <c r="AK23" s="88">
        <f t="shared" si="4"/>
        <v>739.50294600000041</v>
      </c>
      <c r="AL23" s="88">
        <f t="shared" si="4"/>
        <v>760.63160160000029</v>
      </c>
      <c r="AM23" s="88">
        <f t="shared" si="4"/>
        <v>781.76025720000041</v>
      </c>
      <c r="AN23" s="88">
        <f t="shared" si="4"/>
        <v>802.88891280000041</v>
      </c>
      <c r="AO23" s="88">
        <f t="shared" si="4"/>
        <v>824.01756840000041</v>
      </c>
      <c r="AP23" s="88">
        <f t="shared" si="4"/>
        <v>845.14622400000042</v>
      </c>
      <c r="AQ23" s="88">
        <f t="shared" si="4"/>
        <v>866.27487960000053</v>
      </c>
      <c r="AR23" s="88">
        <f t="shared" si="4"/>
        <v>652.64069520000055</v>
      </c>
      <c r="AS23" s="88">
        <f t="shared" si="4"/>
        <v>701.15834880000057</v>
      </c>
      <c r="AT23" s="88">
        <f t="shared" si="4"/>
        <v>749.67600240000047</v>
      </c>
      <c r="AU23" s="88">
        <f t="shared" si="4"/>
        <v>798.1936560000006</v>
      </c>
      <c r="AV23" s="88">
        <f t="shared" si="4"/>
        <v>846.71130960000062</v>
      </c>
      <c r="AW23" s="88">
        <f t="shared" si="4"/>
        <v>895.22896320000063</v>
      </c>
      <c r="AX23" s="88">
        <f t="shared" si="4"/>
        <v>724.63463280000065</v>
      </c>
      <c r="AY23" s="88">
        <f t="shared" si="4"/>
        <v>770.02211520000071</v>
      </c>
      <c r="AZ23" s="88">
        <f t="shared" si="4"/>
        <v>815.40959760000055</v>
      </c>
      <c r="BA23" s="88">
        <f t="shared" si="4"/>
        <v>860.79708000000062</v>
      </c>
      <c r="BB23" s="88">
        <f t="shared" si="4"/>
        <v>906.18456240000057</v>
      </c>
      <c r="BC23" s="88">
        <f t="shared" si="4"/>
        <v>951.57204480000053</v>
      </c>
      <c r="BD23" s="88">
        <f t="shared" si="4"/>
        <v>996.95952720000048</v>
      </c>
      <c r="BE23" s="88">
        <f t="shared" si="4"/>
        <v>1042.3470096000005</v>
      </c>
      <c r="BF23" s="88">
        <f t="shared" si="4"/>
        <v>806.01908400000059</v>
      </c>
      <c r="BG23" s="88">
        <f t="shared" si="4"/>
        <v>858.44945160000066</v>
      </c>
      <c r="BH23" s="88">
        <f t="shared" si="4"/>
        <v>910.87981920000061</v>
      </c>
      <c r="BI23" s="88">
        <f t="shared" si="4"/>
        <v>963.31018680000057</v>
      </c>
      <c r="BJ23" s="88">
        <f t="shared" si="4"/>
        <v>1015.7405544000007</v>
      </c>
      <c r="BK23" s="88">
        <f t="shared" si="4"/>
        <v>1068.1709220000005</v>
      </c>
      <c r="BL23" s="88">
        <f t="shared" si="4"/>
        <v>1120.6012896000004</v>
      </c>
      <c r="BM23" s="88">
        <f t="shared" si="4"/>
        <v>1173.0316572000004</v>
      </c>
      <c r="BN23" s="88">
        <f t="shared" si="4"/>
        <v>904.61947680000037</v>
      </c>
      <c r="BO23" s="88">
        <f>BO24*1.56*(($C$43*7.36)+(0.65*1.15))</f>
        <v>949.22441640000034</v>
      </c>
      <c r="BP23" s="88">
        <f>BP24*1.56*(($C$43*7.36)+(0.65*1.15))</f>
        <v>993.8293560000003</v>
      </c>
      <c r="BQ23" s="88">
        <f>BQ24*1.56*(($C$43*7.36)+(0.65*1.15))</f>
        <v>1038.4342956000003</v>
      </c>
      <c r="BR23" s="88">
        <f>BR24*1.56*(($C$43*7.36)+(0.65*1.15))</f>
        <v>1083.0392352000001</v>
      </c>
      <c r="BS23" s="88">
        <f>BS24*1.56*(($C$43*7.36)+(0.65*1.15))</f>
        <v>1127.6441748000002</v>
      </c>
      <c r="BT23" s="88">
        <f>BT24*1.56*(($C$43*7.36)+(0.65*1.15))</f>
        <v>1172.2491143999998</v>
      </c>
      <c r="BU23" s="88">
        <f>BU24*1.56*(($C$43*7.36)+(0.65*1.15))</f>
        <v>1216.8540539999999</v>
      </c>
      <c r="BV23" s="88">
        <f>BV24*1.56*(($C$43*7.36)+(0.65*1.15))</f>
        <v>1011.0452975999998</v>
      </c>
      <c r="BW23" s="88">
        <f>BW24*1.56*(($C$43*7.36)+(0.65*1.15))</f>
        <v>1049.3898947999999</v>
      </c>
      <c r="BX23" s="88">
        <f>BX24*1.56*(($C$43*7.36)+(0.65*1.15))</f>
        <v>1087.7344919999998</v>
      </c>
      <c r="BY23" s="88">
        <f>BY24*1.56*(($C$43*7.36)+(0.65*1.15))</f>
        <v>1126.0790892</v>
      </c>
      <c r="BZ23" s="88">
        <f>BZ24*1.56*(($C$43*7.36)+(0.65*1.15))</f>
        <v>1164.4236864</v>
      </c>
      <c r="CA23" s="88">
        <f>CA24*1.56*(($C$43*7.36)+(0.65*1.15))</f>
        <v>1202.7682836000001</v>
      </c>
      <c r="CB23" s="88">
        <f>CB24*1.56*(($C$43*7.36)+(0.65*1.15))</f>
        <v>1241.1128808000001</v>
      </c>
      <c r="CC23" s="88">
        <f>CC24*1.56*(($C$43*7.36)+(0.65*1.15))</f>
        <v>1279.457478</v>
      </c>
      <c r="CD23" s="88">
        <f>CD24*1.56*(($C$43*7.36)+(0.65*1.15))</f>
        <v>1317.8020752000002</v>
      </c>
      <c r="CE23" s="53"/>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7"/>
      <c r="DT23" s="7"/>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29" x14ac:dyDescent="0.35">
      <c r="A24" s="148" t="s">
        <v>209</v>
      </c>
      <c r="B24" s="116">
        <v>0</v>
      </c>
      <c r="C24" s="116">
        <f>B24+2.7</f>
        <v>2.7</v>
      </c>
      <c r="D24" s="116">
        <f t="shared" ref="D24:AQ24" si="5">C24+2.7</f>
        <v>5.4</v>
      </c>
      <c r="E24" s="116">
        <f t="shared" si="5"/>
        <v>8.1000000000000014</v>
      </c>
      <c r="F24" s="116">
        <f t="shared" si="5"/>
        <v>10.8</v>
      </c>
      <c r="G24" s="116">
        <f t="shared" si="5"/>
        <v>13.5</v>
      </c>
      <c r="H24" s="116">
        <f t="shared" si="5"/>
        <v>16.2</v>
      </c>
      <c r="I24" s="116">
        <f t="shared" si="5"/>
        <v>18.899999999999999</v>
      </c>
      <c r="J24" s="116">
        <f t="shared" si="5"/>
        <v>21.599999999999998</v>
      </c>
      <c r="K24" s="116">
        <f t="shared" si="5"/>
        <v>24.299999999999997</v>
      </c>
      <c r="L24" s="116">
        <f t="shared" si="5"/>
        <v>26.999999999999996</v>
      </c>
      <c r="M24" s="116">
        <f t="shared" si="5"/>
        <v>29.699999999999996</v>
      </c>
      <c r="N24" s="116">
        <f t="shared" si="5"/>
        <v>32.4</v>
      </c>
      <c r="O24" s="116">
        <f t="shared" si="5"/>
        <v>35.1</v>
      </c>
      <c r="P24" s="116">
        <f t="shared" si="5"/>
        <v>37.800000000000004</v>
      </c>
      <c r="Q24" s="116">
        <f t="shared" si="5"/>
        <v>40.500000000000007</v>
      </c>
      <c r="R24" s="116">
        <f t="shared" si="5"/>
        <v>43.20000000000001</v>
      </c>
      <c r="S24" s="116">
        <f t="shared" si="5"/>
        <v>45.900000000000013</v>
      </c>
      <c r="T24" s="116">
        <f t="shared" si="5"/>
        <v>48.600000000000016</v>
      </c>
      <c r="U24" s="116">
        <f t="shared" si="5"/>
        <v>51.300000000000018</v>
      </c>
      <c r="V24" s="116">
        <f t="shared" si="5"/>
        <v>54.000000000000021</v>
      </c>
      <c r="W24" s="116">
        <f t="shared" si="5"/>
        <v>56.700000000000024</v>
      </c>
      <c r="X24" s="116">
        <f t="shared" si="5"/>
        <v>59.400000000000027</v>
      </c>
      <c r="Y24" s="116">
        <f t="shared" si="5"/>
        <v>62.10000000000003</v>
      </c>
      <c r="Z24" s="116">
        <f t="shared" si="5"/>
        <v>64.800000000000026</v>
      </c>
      <c r="AA24" s="116">
        <f t="shared" si="5"/>
        <v>67.500000000000028</v>
      </c>
      <c r="AB24" s="116">
        <f t="shared" si="5"/>
        <v>70.200000000000031</v>
      </c>
      <c r="AC24" s="116">
        <f t="shared" si="5"/>
        <v>72.900000000000034</v>
      </c>
      <c r="AD24" s="116">
        <f t="shared" si="5"/>
        <v>75.600000000000037</v>
      </c>
      <c r="AE24" s="116">
        <f t="shared" si="5"/>
        <v>78.30000000000004</v>
      </c>
      <c r="AF24" s="116">
        <f t="shared" si="5"/>
        <v>81.000000000000043</v>
      </c>
      <c r="AG24" s="116">
        <f t="shared" si="5"/>
        <v>83.700000000000045</v>
      </c>
      <c r="AH24" s="116">
        <f t="shared" si="5"/>
        <v>86.400000000000048</v>
      </c>
      <c r="AI24" s="116">
        <f t="shared" si="5"/>
        <v>89.100000000000051</v>
      </c>
      <c r="AJ24" s="116">
        <f t="shared" si="5"/>
        <v>91.800000000000054</v>
      </c>
      <c r="AK24" s="116">
        <f t="shared" si="5"/>
        <v>94.500000000000057</v>
      </c>
      <c r="AL24" s="116">
        <f t="shared" si="5"/>
        <v>97.20000000000006</v>
      </c>
      <c r="AM24" s="116">
        <f t="shared" si="5"/>
        <v>99.900000000000063</v>
      </c>
      <c r="AN24" s="116">
        <f t="shared" si="5"/>
        <v>102.60000000000007</v>
      </c>
      <c r="AO24" s="116">
        <f t="shared" si="5"/>
        <v>105.30000000000007</v>
      </c>
      <c r="AP24" s="116">
        <f t="shared" si="5"/>
        <v>108.00000000000007</v>
      </c>
      <c r="AQ24" s="116">
        <f t="shared" si="5"/>
        <v>110.70000000000007</v>
      </c>
      <c r="AR24" s="116">
        <f>AQ24+2.7-30</f>
        <v>83.400000000000077</v>
      </c>
      <c r="AS24" s="116">
        <f>AR24+6.2</f>
        <v>89.60000000000008</v>
      </c>
      <c r="AT24" s="116">
        <f t="shared" ref="AT24:AW24" si="6">AS24+6.2</f>
        <v>95.800000000000082</v>
      </c>
      <c r="AU24" s="116">
        <f t="shared" si="6"/>
        <v>102.00000000000009</v>
      </c>
      <c r="AV24" s="116">
        <f t="shared" si="6"/>
        <v>108.20000000000009</v>
      </c>
      <c r="AW24" s="116">
        <f t="shared" si="6"/>
        <v>114.40000000000009</v>
      </c>
      <c r="AX24" s="116">
        <f>AW24+6.2-28</f>
        <v>92.600000000000094</v>
      </c>
      <c r="AY24" s="116">
        <f>AX24+5.8</f>
        <v>98.400000000000091</v>
      </c>
      <c r="AZ24" s="116">
        <f t="shared" ref="AZ24:BE24" si="7">AY24+5.8</f>
        <v>104.20000000000009</v>
      </c>
      <c r="BA24" s="116">
        <f t="shared" si="7"/>
        <v>110.00000000000009</v>
      </c>
      <c r="BB24" s="116">
        <f t="shared" si="7"/>
        <v>115.80000000000008</v>
      </c>
      <c r="BC24" s="116">
        <f t="shared" si="7"/>
        <v>121.60000000000008</v>
      </c>
      <c r="BD24" s="116">
        <f t="shared" si="7"/>
        <v>127.40000000000008</v>
      </c>
      <c r="BE24" s="116">
        <f t="shared" si="7"/>
        <v>133.20000000000007</v>
      </c>
      <c r="BF24" s="116">
        <f>BE24+5.8-36</f>
        <v>103.00000000000009</v>
      </c>
      <c r="BG24" s="116">
        <f>BF24+6.7</f>
        <v>109.70000000000009</v>
      </c>
      <c r="BH24" s="116">
        <f t="shared" ref="BH24:BM24" si="8">BG24+6.7</f>
        <v>116.40000000000009</v>
      </c>
      <c r="BI24" s="116">
        <f t="shared" si="8"/>
        <v>123.10000000000009</v>
      </c>
      <c r="BJ24" s="116">
        <f t="shared" si="8"/>
        <v>129.8000000000001</v>
      </c>
      <c r="BK24" s="116">
        <f t="shared" si="8"/>
        <v>136.50000000000009</v>
      </c>
      <c r="BL24" s="116">
        <f t="shared" si="8"/>
        <v>143.20000000000007</v>
      </c>
      <c r="BM24" s="116">
        <f t="shared" si="8"/>
        <v>149.90000000000006</v>
      </c>
      <c r="BN24" s="116">
        <f>BM24+6.7-41</f>
        <v>115.60000000000005</v>
      </c>
      <c r="BO24" s="116">
        <f>BN24+5.7</f>
        <v>121.30000000000005</v>
      </c>
      <c r="BP24" s="116">
        <f t="shared" ref="BP24:BU24" si="9">BO24+5.7</f>
        <v>127.00000000000006</v>
      </c>
      <c r="BQ24" s="116">
        <f t="shared" si="9"/>
        <v>132.70000000000005</v>
      </c>
      <c r="BR24" s="116">
        <f t="shared" si="9"/>
        <v>138.40000000000003</v>
      </c>
      <c r="BS24" s="116">
        <f t="shared" si="9"/>
        <v>144.10000000000002</v>
      </c>
      <c r="BT24" s="116">
        <f t="shared" si="9"/>
        <v>149.80000000000001</v>
      </c>
      <c r="BU24" s="116">
        <f t="shared" si="9"/>
        <v>155.5</v>
      </c>
      <c r="BV24" s="116">
        <f>BU24+5.7-32</f>
        <v>129.19999999999999</v>
      </c>
      <c r="BW24" s="116">
        <f>BV24+4.9</f>
        <v>134.1</v>
      </c>
      <c r="BX24" s="116">
        <f t="shared" ref="BX24:CD24" si="10">BW24+4.9</f>
        <v>139</v>
      </c>
      <c r="BY24" s="116">
        <f t="shared" si="10"/>
        <v>143.9</v>
      </c>
      <c r="BZ24" s="116">
        <f t="shared" si="10"/>
        <v>148.80000000000001</v>
      </c>
      <c r="CA24" s="116">
        <f t="shared" si="10"/>
        <v>153.70000000000002</v>
      </c>
      <c r="CB24" s="116">
        <f t="shared" si="10"/>
        <v>158.60000000000002</v>
      </c>
      <c r="CC24" s="116">
        <f t="shared" si="10"/>
        <v>163.50000000000003</v>
      </c>
      <c r="CD24" s="116">
        <f t="shared" si="10"/>
        <v>168.40000000000003</v>
      </c>
      <c r="CE24" s="11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58" x14ac:dyDescent="0.35">
      <c r="A25" s="149" t="s">
        <v>210</v>
      </c>
      <c r="B25" s="88">
        <f>B26*1.3*$E$43*2.99</f>
        <v>0</v>
      </c>
      <c r="C25" s="88">
        <f t="shared" ref="C25:BN25" si="11">C26*1.3*$E$43*2.99</f>
        <v>7.1831760000000022</v>
      </c>
      <c r="D25" s="88">
        <f t="shared" si="11"/>
        <v>14.366352000000004</v>
      </c>
      <c r="E25" s="88">
        <f t="shared" si="11"/>
        <v>21.549528000000006</v>
      </c>
      <c r="F25" s="88">
        <f t="shared" si="11"/>
        <v>28.732704000000009</v>
      </c>
      <c r="G25" s="88">
        <f t="shared" si="11"/>
        <v>35.915880000000001</v>
      </c>
      <c r="H25" s="88">
        <f t="shared" si="11"/>
        <v>43.099055999999997</v>
      </c>
      <c r="I25" s="88">
        <f t="shared" si="11"/>
        <v>50.282232000000008</v>
      </c>
      <c r="J25" s="88">
        <f t="shared" si="11"/>
        <v>57.465408000000018</v>
      </c>
      <c r="K25" s="88">
        <f t="shared" si="11"/>
        <v>64.648584000000014</v>
      </c>
      <c r="L25" s="88">
        <f t="shared" si="11"/>
        <v>71.831760000000017</v>
      </c>
      <c r="M25" s="88">
        <f t="shared" si="11"/>
        <v>79.014936000000034</v>
      </c>
      <c r="N25" s="88">
        <f t="shared" si="11"/>
        <v>86.198112000000037</v>
      </c>
      <c r="O25" s="88">
        <f t="shared" si="11"/>
        <v>93.381288000000026</v>
      </c>
      <c r="P25" s="88">
        <f t="shared" si="11"/>
        <v>100.56446400000003</v>
      </c>
      <c r="Q25" s="88">
        <f t="shared" si="11"/>
        <v>107.74764000000006</v>
      </c>
      <c r="R25" s="88">
        <f t="shared" si="11"/>
        <v>114.93081600000005</v>
      </c>
      <c r="S25" s="88">
        <f t="shared" si="11"/>
        <v>122.11399200000005</v>
      </c>
      <c r="T25" s="88">
        <f t="shared" si="11"/>
        <v>129.29716800000006</v>
      </c>
      <c r="U25" s="88">
        <f t="shared" si="11"/>
        <v>136.48034400000006</v>
      </c>
      <c r="V25" s="88">
        <f t="shared" si="11"/>
        <v>143.66352000000009</v>
      </c>
      <c r="W25" s="88">
        <f t="shared" si="11"/>
        <v>150.84669600000007</v>
      </c>
      <c r="X25" s="88">
        <f t="shared" si="11"/>
        <v>158.02987200000007</v>
      </c>
      <c r="Y25" s="88">
        <f t="shared" si="11"/>
        <v>183.6840720000001</v>
      </c>
      <c r="Z25" s="88">
        <f t="shared" si="11"/>
        <v>209.3382720000001</v>
      </c>
      <c r="AA25" s="88">
        <f t="shared" si="11"/>
        <v>175.1326720000001</v>
      </c>
      <c r="AB25" s="88">
        <f t="shared" si="11"/>
        <v>201.64201200000005</v>
      </c>
      <c r="AC25" s="88">
        <f t="shared" si="11"/>
        <v>228.15135200000006</v>
      </c>
      <c r="AD25" s="88">
        <f t="shared" si="11"/>
        <v>254.6606920000001</v>
      </c>
      <c r="AE25" s="88">
        <f t="shared" si="11"/>
        <v>281.17003200000011</v>
      </c>
      <c r="AF25" s="88">
        <f t="shared" si="11"/>
        <v>307.67937200000011</v>
      </c>
      <c r="AG25" s="88">
        <f t="shared" si="11"/>
        <v>334.87282400000009</v>
      </c>
      <c r="AH25" s="88">
        <f t="shared" si="11"/>
        <v>362.06627600000013</v>
      </c>
      <c r="AI25" s="88">
        <f t="shared" si="11"/>
        <v>389.25972800000011</v>
      </c>
      <c r="AJ25" s="88">
        <f t="shared" si="11"/>
        <v>416.45318000000015</v>
      </c>
      <c r="AK25" s="88">
        <f t="shared" si="11"/>
        <v>358.13263200000006</v>
      </c>
      <c r="AL25" s="88">
        <f t="shared" si="11"/>
        <v>382.93169200000011</v>
      </c>
      <c r="AM25" s="88">
        <f t="shared" si="11"/>
        <v>407.73075200000011</v>
      </c>
      <c r="AN25" s="88">
        <f t="shared" si="11"/>
        <v>432.52981200000005</v>
      </c>
      <c r="AO25" s="88">
        <f t="shared" si="11"/>
        <v>457.3288720000001</v>
      </c>
      <c r="AP25" s="88">
        <f t="shared" si="11"/>
        <v>482.12793200000016</v>
      </c>
      <c r="AQ25" s="88">
        <f t="shared" si="11"/>
        <v>505.21671200000009</v>
      </c>
      <c r="AR25" s="88">
        <f t="shared" si="11"/>
        <v>528.30549200000007</v>
      </c>
      <c r="AS25" s="88">
        <f t="shared" si="11"/>
        <v>551.39427200000011</v>
      </c>
      <c r="AT25" s="88">
        <f t="shared" si="11"/>
        <v>574.48305200000016</v>
      </c>
      <c r="AU25" s="88">
        <f t="shared" si="11"/>
        <v>486.40363200000019</v>
      </c>
      <c r="AV25" s="88">
        <f t="shared" si="11"/>
        <v>508.29521600000015</v>
      </c>
      <c r="AW25" s="88">
        <f t="shared" si="11"/>
        <v>530.18680000000018</v>
      </c>
      <c r="AX25" s="88">
        <f t="shared" si="11"/>
        <v>552.07838400000014</v>
      </c>
      <c r="AY25" s="88">
        <f t="shared" si="11"/>
        <v>573.96996800000022</v>
      </c>
      <c r="AZ25" s="88">
        <f t="shared" si="11"/>
        <v>595.86155200000019</v>
      </c>
      <c r="BA25" s="88">
        <f t="shared" si="11"/>
        <v>616.21388400000023</v>
      </c>
      <c r="BB25" s="88">
        <f t="shared" si="11"/>
        <v>636.56621600000017</v>
      </c>
      <c r="BC25" s="88">
        <f t="shared" si="11"/>
        <v>656.9185480000001</v>
      </c>
      <c r="BD25" s="88">
        <f t="shared" si="11"/>
        <v>677.27088000000015</v>
      </c>
      <c r="BE25" s="88">
        <f t="shared" si="11"/>
        <v>697.62321199999997</v>
      </c>
      <c r="BF25" s="88">
        <f t="shared" si="11"/>
        <v>717.97554400000001</v>
      </c>
      <c r="BG25" s="88">
        <f t="shared" si="11"/>
        <v>738.32787599999995</v>
      </c>
      <c r="BH25" s="88">
        <f t="shared" si="11"/>
        <v>758.68020799999999</v>
      </c>
      <c r="BI25" s="88">
        <f t="shared" si="11"/>
        <v>774.24375599999996</v>
      </c>
      <c r="BJ25" s="88">
        <f t="shared" si="11"/>
        <v>627.33070399999997</v>
      </c>
      <c r="BK25" s="88">
        <f t="shared" si="11"/>
        <v>642.89425199999994</v>
      </c>
      <c r="BL25" s="88">
        <f t="shared" si="11"/>
        <v>658.45780000000002</v>
      </c>
      <c r="BM25" s="88">
        <f t="shared" si="11"/>
        <v>674.0213480000001</v>
      </c>
      <c r="BN25" s="88">
        <f t="shared" si="11"/>
        <v>689.58489600000019</v>
      </c>
      <c r="BO25" s="88">
        <f t="shared" ref="BO25:CC25" si="12">BO26*1.3*$E$43*2.99</f>
        <v>705.14844400000027</v>
      </c>
      <c r="BP25" s="88">
        <f t="shared" si="12"/>
        <v>720.71199200000024</v>
      </c>
      <c r="BQ25" s="88">
        <f t="shared" si="12"/>
        <v>731.31572800000026</v>
      </c>
      <c r="BR25" s="88">
        <f t="shared" si="12"/>
        <v>741.91946400000018</v>
      </c>
      <c r="BS25" s="88">
        <f t="shared" si="12"/>
        <v>752.5232000000002</v>
      </c>
      <c r="BT25" s="88">
        <f t="shared" si="12"/>
        <v>763.12693600000023</v>
      </c>
      <c r="BU25" s="88">
        <f t="shared" si="12"/>
        <v>773.73067200000025</v>
      </c>
      <c r="BV25" s="88">
        <f t="shared" si="12"/>
        <v>784.33440800000017</v>
      </c>
      <c r="BW25" s="88">
        <f t="shared" si="12"/>
        <v>794.93814400000019</v>
      </c>
      <c r="BX25" s="88">
        <f t="shared" si="12"/>
        <v>805.54188000000011</v>
      </c>
      <c r="BY25" s="88">
        <f t="shared" si="12"/>
        <v>813.06711199999995</v>
      </c>
      <c r="BZ25" s="88">
        <f t="shared" si="12"/>
        <v>820.59234400000014</v>
      </c>
      <c r="CA25" s="88">
        <f t="shared" si="12"/>
        <v>828.11757599999987</v>
      </c>
      <c r="CB25" s="88">
        <f t="shared" si="12"/>
        <v>835.64280800000006</v>
      </c>
      <c r="CC25" s="88">
        <f t="shared" si="12"/>
        <v>843.16803999999979</v>
      </c>
      <c r="CD25" s="115">
        <f>CD26*1.3*$E$43*2.99</f>
        <v>850.69327199999998</v>
      </c>
      <c r="CE25" s="53"/>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7"/>
      <c r="DT25" s="7"/>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30.5" customHeight="1" thickBot="1" x14ac:dyDescent="0.4">
      <c r="A26" s="149" t="s">
        <v>211</v>
      </c>
      <c r="B26" s="116">
        <v>0</v>
      </c>
      <c r="C26" s="116">
        <f>B26+4.2</f>
        <v>4.2</v>
      </c>
      <c r="D26" s="116">
        <f t="shared" ref="D26:X26" si="13">C26+4.2</f>
        <v>8.4</v>
      </c>
      <c r="E26" s="116">
        <f t="shared" si="13"/>
        <v>12.600000000000001</v>
      </c>
      <c r="F26" s="116">
        <f t="shared" si="13"/>
        <v>16.8</v>
      </c>
      <c r="G26" s="116">
        <f t="shared" si="13"/>
        <v>21</v>
      </c>
      <c r="H26" s="116">
        <f t="shared" si="13"/>
        <v>25.2</v>
      </c>
      <c r="I26" s="116">
        <f t="shared" si="13"/>
        <v>29.4</v>
      </c>
      <c r="J26" s="116">
        <f t="shared" si="13"/>
        <v>33.6</v>
      </c>
      <c r="K26" s="116">
        <f t="shared" si="13"/>
        <v>37.800000000000004</v>
      </c>
      <c r="L26" s="116">
        <f t="shared" si="13"/>
        <v>42.000000000000007</v>
      </c>
      <c r="M26" s="116">
        <f t="shared" si="13"/>
        <v>46.20000000000001</v>
      </c>
      <c r="N26" s="116">
        <f t="shared" si="13"/>
        <v>50.400000000000013</v>
      </c>
      <c r="O26" s="116">
        <f t="shared" si="13"/>
        <v>54.600000000000016</v>
      </c>
      <c r="P26" s="116">
        <f t="shared" si="13"/>
        <v>58.800000000000018</v>
      </c>
      <c r="Q26" s="116">
        <f t="shared" si="13"/>
        <v>63.000000000000021</v>
      </c>
      <c r="R26" s="116">
        <f t="shared" si="13"/>
        <v>67.200000000000017</v>
      </c>
      <c r="S26" s="116">
        <f t="shared" si="13"/>
        <v>71.40000000000002</v>
      </c>
      <c r="T26" s="116">
        <f t="shared" si="13"/>
        <v>75.600000000000023</v>
      </c>
      <c r="U26" s="116">
        <f t="shared" si="13"/>
        <v>79.800000000000026</v>
      </c>
      <c r="V26" s="116">
        <f t="shared" si="13"/>
        <v>84.000000000000028</v>
      </c>
      <c r="W26" s="116">
        <f t="shared" si="13"/>
        <v>88.200000000000031</v>
      </c>
      <c r="X26" s="116">
        <f t="shared" si="13"/>
        <v>92.400000000000034</v>
      </c>
      <c r="Y26" s="116">
        <f>X26+15</f>
        <v>107.40000000000003</v>
      </c>
      <c r="Z26" s="116">
        <f t="shared" ref="Z26" si="14">Y26+15</f>
        <v>122.40000000000003</v>
      </c>
      <c r="AA26" s="116">
        <f>Z26+15-35</f>
        <v>102.40000000000003</v>
      </c>
      <c r="AB26" s="116">
        <f>AA26+15.5</f>
        <v>117.90000000000003</v>
      </c>
      <c r="AC26" s="116">
        <f t="shared" ref="AC26:AF26" si="15">AB26+15.5</f>
        <v>133.40000000000003</v>
      </c>
      <c r="AD26" s="116">
        <f t="shared" si="15"/>
        <v>148.90000000000003</v>
      </c>
      <c r="AE26" s="116">
        <f t="shared" si="15"/>
        <v>164.40000000000003</v>
      </c>
      <c r="AF26" s="116">
        <f t="shared" si="15"/>
        <v>179.90000000000003</v>
      </c>
      <c r="AG26" s="116">
        <f>AF26+15.9</f>
        <v>195.80000000000004</v>
      </c>
      <c r="AH26" s="116">
        <f t="shared" ref="AH26:AJ26" si="16">AG26+15.9</f>
        <v>211.70000000000005</v>
      </c>
      <c r="AI26" s="116">
        <f t="shared" si="16"/>
        <v>227.60000000000005</v>
      </c>
      <c r="AJ26" s="116">
        <f t="shared" si="16"/>
        <v>243.50000000000006</v>
      </c>
      <c r="AK26" s="116">
        <f>AJ26+15.9-50</f>
        <v>209.40000000000003</v>
      </c>
      <c r="AL26" s="116">
        <f>AK26+14.5</f>
        <v>223.90000000000003</v>
      </c>
      <c r="AM26" s="116">
        <f t="shared" ref="AM26:AP26" si="17">AL26+14.5</f>
        <v>238.40000000000003</v>
      </c>
      <c r="AN26" s="116">
        <f t="shared" si="17"/>
        <v>252.90000000000003</v>
      </c>
      <c r="AO26" s="116">
        <f t="shared" si="17"/>
        <v>267.40000000000003</v>
      </c>
      <c r="AP26" s="116">
        <f t="shared" si="17"/>
        <v>281.90000000000003</v>
      </c>
      <c r="AQ26" s="116">
        <f>AP26+13.5</f>
        <v>295.40000000000003</v>
      </c>
      <c r="AR26" s="116">
        <f t="shared" ref="AR26:AT26" si="18">AQ26+13.5</f>
        <v>308.90000000000003</v>
      </c>
      <c r="AS26" s="116">
        <f t="shared" si="18"/>
        <v>322.40000000000003</v>
      </c>
      <c r="AT26" s="116">
        <f t="shared" si="18"/>
        <v>335.90000000000003</v>
      </c>
      <c r="AU26" s="116">
        <f>AT26+13.5-65</f>
        <v>284.40000000000003</v>
      </c>
      <c r="AV26" s="116">
        <f>AU26+12.8</f>
        <v>297.20000000000005</v>
      </c>
      <c r="AW26" s="116">
        <f t="shared" ref="AW26:AZ26" si="19">AV26+12.8</f>
        <v>310.00000000000006</v>
      </c>
      <c r="AX26" s="116">
        <f t="shared" si="19"/>
        <v>322.80000000000007</v>
      </c>
      <c r="AY26" s="116">
        <f t="shared" si="19"/>
        <v>335.60000000000008</v>
      </c>
      <c r="AZ26" s="116">
        <f t="shared" si="19"/>
        <v>348.40000000000009</v>
      </c>
      <c r="BA26" s="116">
        <f>AZ26+11.9</f>
        <v>360.30000000000007</v>
      </c>
      <c r="BB26" s="116">
        <f t="shared" ref="BB26:BH26" si="20">BA26+11.9</f>
        <v>372.20000000000005</v>
      </c>
      <c r="BC26" s="116">
        <f t="shared" si="20"/>
        <v>384.1</v>
      </c>
      <c r="BD26" s="116">
        <f t="shared" si="20"/>
        <v>396</v>
      </c>
      <c r="BE26" s="116">
        <f t="shared" si="20"/>
        <v>407.9</v>
      </c>
      <c r="BF26" s="116">
        <f t="shared" si="20"/>
        <v>419.79999999999995</v>
      </c>
      <c r="BG26" s="116">
        <f t="shared" si="20"/>
        <v>431.69999999999993</v>
      </c>
      <c r="BH26" s="116">
        <f t="shared" si="20"/>
        <v>443.59999999999991</v>
      </c>
      <c r="BI26" s="116">
        <f>BH26+9.1</f>
        <v>452.69999999999993</v>
      </c>
      <c r="BJ26" s="116">
        <f>BI26+9.1-95</f>
        <v>366.79999999999995</v>
      </c>
      <c r="BK26" s="116">
        <f t="shared" ref="BK26:BP26" si="21">BJ26+9.1</f>
        <v>375.9</v>
      </c>
      <c r="BL26" s="116">
        <f t="shared" si="21"/>
        <v>385</v>
      </c>
      <c r="BM26" s="116">
        <f t="shared" si="21"/>
        <v>394.1</v>
      </c>
      <c r="BN26" s="116">
        <f t="shared" si="21"/>
        <v>403.20000000000005</v>
      </c>
      <c r="BO26" s="116">
        <f t="shared" si="21"/>
        <v>412.30000000000007</v>
      </c>
      <c r="BP26" s="116">
        <f t="shared" si="21"/>
        <v>421.40000000000009</v>
      </c>
      <c r="BQ26" s="116">
        <f>BP26+6.2</f>
        <v>427.60000000000008</v>
      </c>
      <c r="BR26" s="116">
        <f t="shared" ref="BR26:BX26" si="22">BQ26+6.2</f>
        <v>433.80000000000007</v>
      </c>
      <c r="BS26" s="116">
        <f t="shared" si="22"/>
        <v>440.00000000000006</v>
      </c>
      <c r="BT26" s="116">
        <f t="shared" si="22"/>
        <v>446.20000000000005</v>
      </c>
      <c r="BU26" s="116">
        <f t="shared" si="22"/>
        <v>452.40000000000003</v>
      </c>
      <c r="BV26" s="116">
        <f t="shared" si="22"/>
        <v>458.6</v>
      </c>
      <c r="BW26" s="116">
        <f t="shared" si="22"/>
        <v>464.8</v>
      </c>
      <c r="BX26" s="116">
        <f t="shared" si="22"/>
        <v>471</v>
      </c>
      <c r="BY26" s="116">
        <f>BX26+4.4</f>
        <v>475.4</v>
      </c>
      <c r="BZ26" s="116">
        <f t="shared" ref="BZ26:CD26" si="23">BY26+4.4</f>
        <v>479.79999999999995</v>
      </c>
      <c r="CA26" s="116">
        <f t="shared" si="23"/>
        <v>484.19999999999993</v>
      </c>
      <c r="CB26" s="116">
        <f t="shared" si="23"/>
        <v>488.59999999999991</v>
      </c>
      <c r="CC26" s="116">
        <f t="shared" si="23"/>
        <v>492.99999999999989</v>
      </c>
      <c r="CD26" s="116">
        <f t="shared" si="23"/>
        <v>497.39999999999986</v>
      </c>
      <c r="CE26" s="11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29" x14ac:dyDescent="0.35">
      <c r="A27" s="150" t="s">
        <v>212</v>
      </c>
      <c r="B27" s="88">
        <f>B28*1.3*$G$43*3</f>
        <v>0</v>
      </c>
      <c r="C27" s="88">
        <f t="shared" ref="C27:AM27" si="24">C28*1.3*$G$43*3</f>
        <v>14.547709090909091</v>
      </c>
      <c r="D27" s="88">
        <f t="shared" si="24"/>
        <v>29.095418181818182</v>
      </c>
      <c r="E27" s="88">
        <f t="shared" si="24"/>
        <v>43.643127272727277</v>
      </c>
      <c r="F27" s="88">
        <f t="shared" si="24"/>
        <v>58.190836363636365</v>
      </c>
      <c r="G27" s="88">
        <f t="shared" si="24"/>
        <v>72.738545454545459</v>
      </c>
      <c r="H27" s="88">
        <f t="shared" si="24"/>
        <v>87.286254545454554</v>
      </c>
      <c r="I27" s="88">
        <f t="shared" si="24"/>
        <v>101.83396363636365</v>
      </c>
      <c r="J27" s="88">
        <f t="shared" si="24"/>
        <v>116.38167272727273</v>
      </c>
      <c r="K27" s="88">
        <f t="shared" si="24"/>
        <v>130.92938181818187</v>
      </c>
      <c r="L27" s="88">
        <f t="shared" si="24"/>
        <v>145.47709090909092</v>
      </c>
      <c r="M27" s="88">
        <f t="shared" si="24"/>
        <v>160.02480000000003</v>
      </c>
      <c r="N27" s="88">
        <f t="shared" si="24"/>
        <v>201.28680000000003</v>
      </c>
      <c r="O27" s="88">
        <f t="shared" si="24"/>
        <v>245.2398</v>
      </c>
      <c r="P27" s="88">
        <f t="shared" si="24"/>
        <v>233.93760000000003</v>
      </c>
      <c r="Q27" s="88">
        <f t="shared" si="24"/>
        <v>275.19960000000003</v>
      </c>
      <c r="R27" s="88">
        <f t="shared" si="24"/>
        <v>317.7174</v>
      </c>
      <c r="S27" s="88">
        <f t="shared" si="24"/>
        <v>274.48199999999997</v>
      </c>
      <c r="T27" s="88">
        <f t="shared" si="24"/>
        <v>311.97660000000002</v>
      </c>
      <c r="U27" s="88">
        <f t="shared" si="24"/>
        <v>349.6506</v>
      </c>
      <c r="V27" s="88">
        <f t="shared" si="24"/>
        <v>387.68340000000001</v>
      </c>
      <c r="W27" s="88">
        <f t="shared" si="24"/>
        <v>425.71620000000007</v>
      </c>
      <c r="X27" s="88">
        <f t="shared" si="24"/>
        <v>351.80340000000001</v>
      </c>
      <c r="Y27" s="88">
        <f t="shared" si="24"/>
        <v>383.73660000000001</v>
      </c>
      <c r="Z27" s="88">
        <f t="shared" si="24"/>
        <v>415.66980000000001</v>
      </c>
      <c r="AA27" s="88">
        <f t="shared" si="24"/>
        <v>447.24420000000009</v>
      </c>
      <c r="AB27" s="88">
        <f t="shared" si="24"/>
        <v>478.45980000000003</v>
      </c>
      <c r="AC27" s="88">
        <f t="shared" si="24"/>
        <v>509.13720000000012</v>
      </c>
      <c r="AD27" s="88">
        <f t="shared" si="24"/>
        <v>539.45580000000007</v>
      </c>
      <c r="AE27" s="88">
        <f t="shared" si="24"/>
        <v>569.05680000000007</v>
      </c>
      <c r="AF27" s="88">
        <f t="shared" si="24"/>
        <v>598.11959999999999</v>
      </c>
      <c r="AG27" s="88">
        <f t="shared" si="24"/>
        <v>625.20900000000006</v>
      </c>
      <c r="AH27" s="88">
        <f t="shared" si="24"/>
        <v>651.40140000000008</v>
      </c>
      <c r="AI27" s="88">
        <f t="shared" si="24"/>
        <v>676.87620000000004</v>
      </c>
      <c r="AJ27" s="88">
        <f t="shared" si="24"/>
        <v>701.45400000000006</v>
      </c>
      <c r="AK27" s="88">
        <f t="shared" si="24"/>
        <v>725.13480000000004</v>
      </c>
      <c r="AL27" s="88">
        <f t="shared" si="24"/>
        <v>748.09800000000007</v>
      </c>
      <c r="AM27" s="88">
        <f t="shared" si="24"/>
        <v>770.16420000000005</v>
      </c>
      <c r="AN27" s="115">
        <f>AN28*1.3*$G$43*3</f>
        <v>791.33339999999998</v>
      </c>
      <c r="AO27" s="154"/>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155"/>
      <c r="BN27" s="155"/>
      <c r="BO27" s="155"/>
      <c r="BP27" s="155"/>
      <c r="BQ27" s="155"/>
      <c r="BR27" s="155"/>
      <c r="BS27" s="155"/>
      <c r="BT27" s="155"/>
      <c r="BU27" s="155"/>
      <c r="BV27" s="155"/>
      <c r="BW27" s="155"/>
      <c r="BX27" s="155"/>
      <c r="BY27" s="155"/>
      <c r="BZ27" s="155"/>
      <c r="CA27" s="155"/>
      <c r="CB27" s="155"/>
      <c r="CC27" s="155"/>
      <c r="CD27" s="155"/>
      <c r="CE27" s="98"/>
      <c r="CF27" s="98"/>
      <c r="CG27" s="98"/>
      <c r="CH27" s="98"/>
      <c r="CI27" s="98"/>
      <c r="CJ27" s="98"/>
      <c r="CK27" s="98"/>
      <c r="CL27" s="98"/>
      <c r="CM27" s="98"/>
      <c r="CN27" s="98"/>
      <c r="CO27" s="98"/>
      <c r="CP27" s="98"/>
      <c r="CQ27" s="98"/>
      <c r="CR27" s="98"/>
      <c r="CS27" s="98"/>
      <c r="CT27" s="98"/>
      <c r="CU27" s="98"/>
      <c r="CV27" s="98"/>
      <c r="CW27" s="98"/>
      <c r="CX27" s="98"/>
      <c r="CY27" s="98"/>
      <c r="CZ27" s="98"/>
      <c r="DA27" s="98"/>
      <c r="DB27" s="98"/>
      <c r="DC27" s="98"/>
      <c r="DD27" s="98"/>
      <c r="DE27" s="98"/>
      <c r="DF27" s="98"/>
      <c r="DG27" s="98"/>
      <c r="DH27" s="98"/>
      <c r="DI27" s="98"/>
      <c r="DJ27" s="98"/>
      <c r="DK27" s="98"/>
      <c r="DL27" s="98"/>
      <c r="DM27" s="98"/>
      <c r="DN27" s="98"/>
      <c r="DO27" s="98"/>
      <c r="DP27" s="98"/>
      <c r="DQ27" s="98"/>
      <c r="DR27" s="98"/>
      <c r="DS27" s="7"/>
      <c r="DT27" s="7"/>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ht="29.5" thickBot="1" x14ac:dyDescent="0.4">
      <c r="A28" s="150" t="s">
        <v>213</v>
      </c>
      <c r="B28" s="116">
        <v>0</v>
      </c>
      <c r="C28" s="158">
        <f>B28+(89.2/11)</f>
        <v>8.1090909090909093</v>
      </c>
      <c r="D28" s="158">
        <f t="shared" ref="D28:M28" si="25">C28+(89.2/11)</f>
        <v>16.218181818181819</v>
      </c>
      <c r="E28" s="158">
        <f t="shared" si="25"/>
        <v>24.327272727272728</v>
      </c>
      <c r="F28" s="158">
        <f t="shared" si="25"/>
        <v>32.436363636363637</v>
      </c>
      <c r="G28" s="158">
        <f t="shared" si="25"/>
        <v>40.545454545454547</v>
      </c>
      <c r="H28" s="158">
        <f t="shared" si="25"/>
        <v>48.654545454545456</v>
      </c>
      <c r="I28" s="158">
        <f t="shared" si="25"/>
        <v>56.763636363636365</v>
      </c>
      <c r="J28" s="158">
        <f t="shared" si="25"/>
        <v>64.872727272727275</v>
      </c>
      <c r="K28" s="158">
        <f t="shared" si="25"/>
        <v>72.981818181818184</v>
      </c>
      <c r="L28" s="158">
        <f t="shared" si="25"/>
        <v>81.090909090909093</v>
      </c>
      <c r="M28" s="158">
        <f t="shared" si="25"/>
        <v>89.2</v>
      </c>
      <c r="N28" s="116">
        <v>112.2</v>
      </c>
      <c r="O28" s="116">
        <v>136.69999999999999</v>
      </c>
      <c r="P28" s="116">
        <v>130.4</v>
      </c>
      <c r="Q28" s="116">
        <v>153.4</v>
      </c>
      <c r="R28" s="116">
        <v>177.1</v>
      </c>
      <c r="S28" s="116">
        <v>153</v>
      </c>
      <c r="T28" s="116">
        <v>173.9</v>
      </c>
      <c r="U28" s="116">
        <v>194.9</v>
      </c>
      <c r="V28" s="116">
        <v>216.1</v>
      </c>
      <c r="W28" s="116">
        <v>237.3</v>
      </c>
      <c r="X28" s="116">
        <v>196.1</v>
      </c>
      <c r="Y28" s="116">
        <v>213.9</v>
      </c>
      <c r="Z28" s="116">
        <v>231.7</v>
      </c>
      <c r="AA28" s="116">
        <v>249.3</v>
      </c>
      <c r="AB28" s="116">
        <v>266.7</v>
      </c>
      <c r="AC28" s="116">
        <v>283.8</v>
      </c>
      <c r="AD28" s="116">
        <v>300.7</v>
      </c>
      <c r="AE28" s="116">
        <v>317.2</v>
      </c>
      <c r="AF28" s="116">
        <v>333.4</v>
      </c>
      <c r="AG28" s="116">
        <v>348.5</v>
      </c>
      <c r="AH28" s="116">
        <v>363.1</v>
      </c>
      <c r="AI28" s="116">
        <v>377.3</v>
      </c>
      <c r="AJ28" s="116">
        <v>391</v>
      </c>
      <c r="AK28" s="116">
        <v>404.2</v>
      </c>
      <c r="AL28" s="116">
        <v>417</v>
      </c>
      <c r="AM28" s="116">
        <v>429.3</v>
      </c>
      <c r="AN28" s="146">
        <v>441.1</v>
      </c>
      <c r="AO28" s="156"/>
      <c r="AP28" s="157"/>
      <c r="AQ28" s="157"/>
      <c r="AR28" s="157"/>
      <c r="AS28" s="157"/>
      <c r="AT28" s="157"/>
      <c r="AU28" s="157"/>
      <c r="AV28" s="157"/>
      <c r="AW28" s="157"/>
      <c r="AX28" s="157"/>
      <c r="AY28" s="157"/>
      <c r="AZ28" s="157"/>
      <c r="BA28" s="157"/>
      <c r="BB28" s="157"/>
      <c r="BC28" s="157"/>
      <c r="BD28" s="157"/>
      <c r="BE28" s="157"/>
      <c r="BF28" s="157"/>
      <c r="BG28" s="157"/>
      <c r="BH28" s="157"/>
      <c r="BI28" s="157"/>
      <c r="BJ28" s="157"/>
      <c r="BK28" s="157"/>
      <c r="BL28" s="157"/>
      <c r="BM28" s="157"/>
      <c r="BN28" s="157"/>
      <c r="BO28" s="157"/>
      <c r="BP28" s="157"/>
      <c r="BQ28" s="157"/>
      <c r="BR28" s="157"/>
      <c r="BS28" s="157"/>
      <c r="BT28" s="157"/>
      <c r="BU28" s="157"/>
      <c r="BV28" s="157"/>
      <c r="BW28" s="157"/>
      <c r="BX28" s="157"/>
      <c r="BY28" s="157"/>
      <c r="BZ28" s="157"/>
      <c r="CA28" s="157"/>
      <c r="CB28" s="157"/>
      <c r="CC28" s="157"/>
      <c r="CD28" s="157"/>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7"/>
      <c r="DT28" s="7"/>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row>
    <row r="29" spans="1:177" ht="29" x14ac:dyDescent="0.35">
      <c r="A29" s="3" t="s">
        <v>214</v>
      </c>
      <c r="B29" s="88">
        <v>0</v>
      </c>
      <c r="C29" s="88">
        <f>SUM(C30:C32)</f>
        <v>14.36715726422219</v>
      </c>
      <c r="D29" s="88">
        <f t="shared" ref="D29:BO29" si="26">SUM(D30:D32)</f>
        <v>26.507022686534452</v>
      </c>
      <c r="E29" s="88">
        <f t="shared" si="26"/>
        <v>37.927584646966309</v>
      </c>
      <c r="F29" s="88">
        <f t="shared" si="26"/>
        <v>48.904751217149737</v>
      </c>
      <c r="G29" s="88">
        <f t="shared" si="26"/>
        <v>59.563572980013028</v>
      </c>
      <c r="H29" s="88">
        <f t="shared" si="26"/>
        <v>69.975384009066147</v>
      </c>
      <c r="I29" s="88">
        <f t="shared" si="26"/>
        <v>80.186170623328721</v>
      </c>
      <c r="J29" s="88">
        <f t="shared" si="26"/>
        <v>90.227964109536913</v>
      </c>
      <c r="K29" s="88">
        <f t="shared" si="26"/>
        <v>100.12430787091216</v>
      </c>
      <c r="L29" s="88">
        <f t="shared" si="26"/>
        <v>109.89320651511167</v>
      </c>
      <c r="M29" s="88">
        <f t="shared" si="26"/>
        <v>119.54885535255615</v>
      </c>
      <c r="N29" s="88">
        <f t="shared" si="26"/>
        <v>135.0170562529604</v>
      </c>
      <c r="O29" s="88">
        <f t="shared" si="26"/>
        <v>150.78433373282627</v>
      </c>
      <c r="P29" s="88">
        <f t="shared" si="26"/>
        <v>154.52517738702591</v>
      </c>
      <c r="Q29" s="88">
        <f t="shared" si="26"/>
        <v>169.46538926928338</v>
      </c>
      <c r="R29" s="88">
        <f t="shared" si="26"/>
        <v>184.46664300084473</v>
      </c>
      <c r="S29" s="88">
        <f t="shared" si="26"/>
        <v>181.41847815600585</v>
      </c>
      <c r="T29" s="88">
        <f t="shared" si="26"/>
        <v>195.28972589810016</v>
      </c>
      <c r="U29" s="88">
        <f t="shared" si="26"/>
        <v>209.04951787630779</v>
      </c>
      <c r="V29" s="88">
        <f t="shared" si="26"/>
        <v>222.74843054431358</v>
      </c>
      <c r="W29" s="88">
        <f t="shared" si="26"/>
        <v>236.32446918760704</v>
      </c>
      <c r="X29" s="88">
        <f t="shared" si="26"/>
        <v>227.13452070211468</v>
      </c>
      <c r="Y29" s="88">
        <f t="shared" si="26"/>
        <v>243.61371346063785</v>
      </c>
      <c r="Z29" s="88">
        <f t="shared" si="26"/>
        <v>259.91567831238223</v>
      </c>
      <c r="AA29" s="88">
        <f t="shared" si="26"/>
        <v>262.86444692035616</v>
      </c>
      <c r="AB29" s="88">
        <f t="shared" si="26"/>
        <v>279.09135665935912</v>
      </c>
      <c r="AC29" s="88">
        <f t="shared" si="26"/>
        <v>295.05721420072115</v>
      </c>
      <c r="AD29" s="88">
        <f t="shared" si="26"/>
        <v>310.8148526865798</v>
      </c>
      <c r="AE29" s="88">
        <f t="shared" si="26"/>
        <v>326.30820847961479</v>
      </c>
      <c r="AF29" s="88">
        <f t="shared" si="26"/>
        <v>341.58463265569605</v>
      </c>
      <c r="AG29" s="88">
        <f t="shared" si="26"/>
        <v>356.51970275830877</v>
      </c>
      <c r="AH29" s="88">
        <f t="shared" si="26"/>
        <v>371.18820459690801</v>
      </c>
      <c r="AI29" s="88">
        <f t="shared" si="26"/>
        <v>385.63290949574173</v>
      </c>
      <c r="AJ29" s="88">
        <f t="shared" si="26"/>
        <v>399.82681496353536</v>
      </c>
      <c r="AK29" s="88">
        <f t="shared" si="26"/>
        <v>396.44010814390896</v>
      </c>
      <c r="AL29" s="88">
        <f t="shared" si="26"/>
        <v>409.83015974637556</v>
      </c>
      <c r="AM29" s="88">
        <f t="shared" si="26"/>
        <v>422.98527727017267</v>
      </c>
      <c r="AN29" s="88">
        <f t="shared" si="26"/>
        <v>435.91060269356694</v>
      </c>
      <c r="AO29" s="88">
        <f t="shared" si="26"/>
        <v>277.11658518837891</v>
      </c>
      <c r="AP29" s="88">
        <f t="shared" si="26"/>
        <v>285.98320238291416</v>
      </c>
      <c r="AQ29" s="88">
        <f t="shared" si="26"/>
        <v>294.47155429025872</v>
      </c>
      <c r="AR29" s="88">
        <f t="shared" si="26"/>
        <v>258.80120868070213</v>
      </c>
      <c r="AS29" s="88">
        <f t="shared" si="26"/>
        <v>272.57383913069839</v>
      </c>
      <c r="AT29" s="88">
        <f t="shared" si="26"/>
        <v>286.25019864731911</v>
      </c>
      <c r="AU29" s="88">
        <f t="shared" si="26"/>
        <v>278.07701019877385</v>
      </c>
      <c r="AV29" s="88">
        <f t="shared" si="26"/>
        <v>291.44887771268839</v>
      </c>
      <c r="AW29" s="88">
        <f t="shared" si="26"/>
        <v>304.73893845159211</v>
      </c>
      <c r="AX29" s="88">
        <f t="shared" si="26"/>
        <v>277.15730708623101</v>
      </c>
      <c r="AY29" s="88">
        <f t="shared" si="26"/>
        <v>289.9784860423178</v>
      </c>
      <c r="AZ29" s="88">
        <f t="shared" si="26"/>
        <v>302.72222896143649</v>
      </c>
      <c r="BA29" s="88">
        <f t="shared" si="26"/>
        <v>315.09623109588426</v>
      </c>
      <c r="BB29" s="88">
        <f t="shared" si="26"/>
        <v>327.40346242774046</v>
      </c>
      <c r="BC29" s="88">
        <f t="shared" si="26"/>
        <v>339.64734466971339</v>
      </c>
      <c r="BD29" s="88">
        <f t="shared" si="26"/>
        <v>351.8309736598805</v>
      </c>
      <c r="BE29" s="88">
        <f t="shared" si="26"/>
        <v>363.95716384415766</v>
      </c>
      <c r="BF29" s="88">
        <f t="shared" si="26"/>
        <v>324.34075608791943</v>
      </c>
      <c r="BG29" s="88">
        <f t="shared" si="26"/>
        <v>337.94974259574457</v>
      </c>
      <c r="BH29" s="88">
        <f t="shared" si="26"/>
        <v>351.47720918779225</v>
      </c>
      <c r="BI29" s="88">
        <f>SUM(BI30:BI32)</f>
        <v>364.02926738957632</v>
      </c>
      <c r="BJ29" s="88">
        <f t="shared" si="26"/>
        <v>345.68616274388592</v>
      </c>
      <c r="BK29" s="88">
        <f t="shared" si="26"/>
        <v>358.18477934902614</v>
      </c>
      <c r="BL29" s="88">
        <f t="shared" si="26"/>
        <v>370.6207867205872</v>
      </c>
      <c r="BM29" s="88">
        <f t="shared" si="26"/>
        <v>382.99723184767424</v>
      </c>
      <c r="BN29" s="88">
        <f t="shared" si="26"/>
        <v>337.24990085349009</v>
      </c>
      <c r="BO29" s="88">
        <f t="shared" si="26"/>
        <v>348.40784488831844</v>
      </c>
      <c r="BP29" s="88">
        <f t="shared" ref="BP29:CD29" si="27">SUM(BP30:BP32)</f>
        <v>359.51345090931125</v>
      </c>
      <c r="BQ29" s="88">
        <f t="shared" si="27"/>
        <v>369.63218149813412</v>
      </c>
      <c r="BR29" s="88">
        <f t="shared" si="27"/>
        <v>379.70705367419066</v>
      </c>
      <c r="BS29" s="88">
        <f t="shared" si="27"/>
        <v>389.73997902887197</v>
      </c>
      <c r="BT29" s="88">
        <f t="shared" si="27"/>
        <v>399.73271226371196</v>
      </c>
      <c r="BU29" s="88">
        <f t="shared" si="27"/>
        <v>409.68686965113704</v>
      </c>
      <c r="BV29" s="88">
        <f t="shared" si="27"/>
        <v>374.63390712813055</v>
      </c>
      <c r="BW29" s="88">
        <f t="shared" si="27"/>
        <v>383.58325477547129</v>
      </c>
      <c r="BX29" s="88">
        <f t="shared" si="27"/>
        <v>392.49996058804675</v>
      </c>
      <c r="BY29" s="88">
        <f t="shared" si="27"/>
        <v>400.81070062208698</v>
      </c>
      <c r="BZ29" s="88">
        <f t="shared" si="27"/>
        <v>409.09260628206533</v>
      </c>
      <c r="CA29" s="88">
        <f t="shared" si="27"/>
        <v>417.34669590647138</v>
      </c>
      <c r="CB29" s="88">
        <f t="shared" si="27"/>
        <v>425.5739199628436</v>
      </c>
      <c r="CC29" s="88">
        <f t="shared" si="27"/>
        <v>433.77516755474892</v>
      </c>
      <c r="CD29" s="88">
        <f t="shared" si="27"/>
        <v>441.95127212752652</v>
      </c>
      <c r="CE29" s="153"/>
      <c r="CF29" s="98"/>
      <c r="CG29" s="98"/>
      <c r="CH29" s="98"/>
      <c r="CI29" s="98"/>
      <c r="CJ29" s="98"/>
      <c r="CK29" s="98"/>
      <c r="CL29" s="98"/>
      <c r="CM29" s="98"/>
      <c r="CN29" s="98"/>
      <c r="CO29" s="98"/>
      <c r="CP29" s="98"/>
      <c r="CQ29" s="98"/>
      <c r="CR29" s="98"/>
      <c r="CS29" s="98"/>
      <c r="CT29" s="98"/>
      <c r="CU29" s="98"/>
      <c r="CV29" s="98"/>
      <c r="CW29" s="98"/>
      <c r="CX29" s="98"/>
      <c r="CY29" s="98"/>
      <c r="CZ29" s="98"/>
      <c r="DA29" s="98"/>
      <c r="DB29" s="98"/>
      <c r="DC29" s="98"/>
      <c r="DD29" s="98"/>
      <c r="DE29" s="98"/>
      <c r="DF29" s="98"/>
      <c r="DG29" s="98"/>
      <c r="DH29" s="98"/>
      <c r="DI29" s="98"/>
      <c r="DJ29" s="98"/>
      <c r="DK29" s="98"/>
      <c r="DL29" s="98"/>
      <c r="DM29" s="98"/>
      <c r="DN29" s="98"/>
      <c r="DO29" s="98"/>
      <c r="DP29" s="98"/>
      <c r="DQ29" s="98"/>
      <c r="DR29" s="98"/>
      <c r="DS29" s="7"/>
      <c r="DT29" s="7"/>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row>
    <row r="30" spans="1:177" ht="29" x14ac:dyDescent="0.35">
      <c r="A30" s="148" t="s">
        <v>230</v>
      </c>
      <c r="B30" s="88">
        <v>0</v>
      </c>
      <c r="C30" s="88">
        <f>EXP(-1.0587+0.8836*LN(C23)+0.284)</f>
        <v>6.826668968126878</v>
      </c>
      <c r="D30" s="88">
        <f t="shared" ref="D30:BO30" si="28">EXP(-1.0587+0.8836*LN(D23)+0.284)</f>
        <v>12.595022514455396</v>
      </c>
      <c r="E30" s="88">
        <f t="shared" si="28"/>
        <v>18.021593303653983</v>
      </c>
      <c r="F30" s="88">
        <f t="shared" si="28"/>
        <v>23.237481248950161</v>
      </c>
      <c r="G30" s="88">
        <f t="shared" si="28"/>
        <v>28.302105128757983</v>
      </c>
      <c r="H30" s="88">
        <f t="shared" si="28"/>
        <v>33.249359895088155</v>
      </c>
      <c r="I30" s="88">
        <f t="shared" si="28"/>
        <v>38.10109631293443</v>
      </c>
      <c r="J30" s="88">
        <f t="shared" si="28"/>
        <v>42.872534302782817</v>
      </c>
      <c r="K30" s="88">
        <f t="shared" si="28"/>
        <v>47.574860699803303</v>
      </c>
      <c r="L30" s="88">
        <f t="shared" si="28"/>
        <v>52.216630536429619</v>
      </c>
      <c r="M30" s="88">
        <f t="shared" si="28"/>
        <v>56.804588827236394</v>
      </c>
      <c r="N30" s="88">
        <f t="shared" si="28"/>
        <v>61.344183880175876</v>
      </c>
      <c r="O30" s="88">
        <f t="shared" si="28"/>
        <v>65.839904170957141</v>
      </c>
      <c r="P30" s="88">
        <f t="shared" si="28"/>
        <v>70.295508413749076</v>
      </c>
      <c r="Q30" s="88">
        <f t="shared" si="28"/>
        <v>74.714187936914868</v>
      </c>
      <c r="R30" s="88">
        <f t="shared" si="28"/>
        <v>79.098684485278696</v>
      </c>
      <c r="S30" s="88">
        <f t="shared" si="28"/>
        <v>83.451377715072013</v>
      </c>
      <c r="T30" s="88">
        <f t="shared" si="28"/>
        <v>87.774351507850241</v>
      </c>
      <c r="U30" s="88">
        <f t="shared" si="28"/>
        <v>92.069445125503435</v>
      </c>
      <c r="V30" s="88">
        <f t="shared" si="28"/>
        <v>96.338293288561829</v>
      </c>
      <c r="W30" s="88">
        <f t="shared" si="28"/>
        <v>100.58235801104884</v>
      </c>
      <c r="X30" s="88">
        <f t="shared" si="28"/>
        <v>104.80295419974543</v>
      </c>
      <c r="Y30" s="88">
        <f t="shared" si="28"/>
        <v>109.001270467472</v>
      </c>
      <c r="Z30" s="88">
        <f t="shared" si="28"/>
        <v>113.17838622453434</v>
      </c>
      <c r="AA30" s="88">
        <f t="shared" si="28"/>
        <v>117.33528584132493</v>
      </c>
      <c r="AB30" s="88">
        <f t="shared" si="28"/>
        <v>121.47287048112494</v>
      </c>
      <c r="AC30" s="88">
        <f t="shared" si="28"/>
        <v>125.59196806126896</v>
      </c>
      <c r="AD30" s="88">
        <f t="shared" si="28"/>
        <v>129.6933416970987</v>
      </c>
      <c r="AE30" s="88">
        <f t="shared" si="28"/>
        <v>133.77769690573791</v>
      </c>
      <c r="AF30" s="88">
        <f t="shared" si="28"/>
        <v>137.84568778832946</v>
      </c>
      <c r="AG30" s="88">
        <f t="shared" si="28"/>
        <v>141.89792236481676</v>
      </c>
      <c r="AH30" s="88">
        <f t="shared" si="28"/>
        <v>145.93496720103056</v>
      </c>
      <c r="AI30" s="88">
        <f t="shared" si="28"/>
        <v>149.95735144114221</v>
      </c>
      <c r="AJ30" s="88">
        <f t="shared" si="28"/>
        <v>153.9655703376005</v>
      </c>
      <c r="AK30" s="88">
        <f t="shared" si="28"/>
        <v>157.96008835411337</v>
      </c>
      <c r="AL30" s="88">
        <f t="shared" si="28"/>
        <v>161.94134190403432</v>
      </c>
      <c r="AM30" s="88">
        <f t="shared" si="28"/>
        <v>165.90974177593154</v>
      </c>
      <c r="AN30" s="88">
        <f t="shared" si="28"/>
        <v>169.86567528955658</v>
      </c>
      <c r="AO30" s="88">
        <f t="shared" si="28"/>
        <v>173.80950821848748</v>
      </c>
      <c r="AP30" s="88">
        <f t="shared" si="28"/>
        <v>177.7415865100275</v>
      </c>
      <c r="AQ30" s="88">
        <f t="shared" si="28"/>
        <v>181.66223782827333</v>
      </c>
      <c r="AR30" s="88">
        <f t="shared" si="28"/>
        <v>141.44843421463591</v>
      </c>
      <c r="AS30" s="88">
        <f t="shared" si="28"/>
        <v>150.7006686727361</v>
      </c>
      <c r="AT30" s="88">
        <f t="shared" si="28"/>
        <v>159.87861809943692</v>
      </c>
      <c r="AU30" s="88">
        <f t="shared" si="28"/>
        <v>168.98763723931199</v>
      </c>
      <c r="AV30" s="88">
        <f t="shared" si="28"/>
        <v>178.03239308544968</v>
      </c>
      <c r="AW30" s="88">
        <f t="shared" si="28"/>
        <v>187.0169875712468</v>
      </c>
      <c r="AX30" s="88">
        <f t="shared" si="28"/>
        <v>155.15053940607893</v>
      </c>
      <c r="AY30" s="88">
        <f t="shared" si="28"/>
        <v>163.70663851140066</v>
      </c>
      <c r="AZ30" s="88">
        <f t="shared" si="28"/>
        <v>172.20419957390192</v>
      </c>
      <c r="BA30" s="88">
        <f t="shared" si="28"/>
        <v>180.64685231313024</v>
      </c>
      <c r="BB30" s="88">
        <f t="shared" si="28"/>
        <v>189.03782205950918</v>
      </c>
      <c r="BC30" s="88">
        <f t="shared" si="28"/>
        <v>197.37999280231904</v>
      </c>
      <c r="BD30" s="88">
        <f t="shared" si="28"/>
        <v>205.67595786793541</v>
      </c>
      <c r="BE30" s="88">
        <f t="shared" si="28"/>
        <v>213.92806110848608</v>
      </c>
      <c r="BF30" s="88">
        <f t="shared" si="28"/>
        <v>170.4507018148332</v>
      </c>
      <c r="BG30" s="88">
        <f t="shared" si="28"/>
        <v>180.21145707558858</v>
      </c>
      <c r="BH30" s="88">
        <f t="shared" si="28"/>
        <v>189.9030217830483</v>
      </c>
      <c r="BI30" s="88">
        <f t="shared" si="28"/>
        <v>199.52983230744036</v>
      </c>
      <c r="BJ30" s="88">
        <f t="shared" si="28"/>
        <v>209.0958148254222</v>
      </c>
      <c r="BK30" s="88">
        <f t="shared" si="28"/>
        <v>218.6044672982876</v>
      </c>
      <c r="BL30" s="88">
        <f t="shared" si="28"/>
        <v>228.05892489796824</v>
      </c>
      <c r="BM30" s="88">
        <f t="shared" si="28"/>
        <v>237.46201284189809</v>
      </c>
      <c r="BN30" s="88">
        <f t="shared" si="28"/>
        <v>188.74930630769427</v>
      </c>
      <c r="BO30" s="88">
        <f t="shared" si="28"/>
        <v>196.94965556542107</v>
      </c>
      <c r="BP30" s="88">
        <f t="shared" ref="BP30:CD30" si="29">EXP(-1.0587+0.8836*LN(BP23)+0.284)</f>
        <v>205.10525606571528</v>
      </c>
      <c r="BQ30" s="88">
        <f t="shared" si="29"/>
        <v>213.21834568431109</v>
      </c>
      <c r="BR30" s="88">
        <f t="shared" si="29"/>
        <v>221.29095917217438</v>
      </c>
      <c r="BS30" s="88">
        <f t="shared" si="29"/>
        <v>229.32495419443055</v>
      </c>
      <c r="BT30" s="88">
        <f t="shared" si="29"/>
        <v>237.32203313337695</v>
      </c>
      <c r="BU30" s="88">
        <f t="shared" si="29"/>
        <v>245.28376147969118</v>
      </c>
      <c r="BV30" s="88">
        <f t="shared" si="29"/>
        <v>208.24154586047626</v>
      </c>
      <c r="BW30" s="88">
        <f t="shared" si="29"/>
        <v>215.20476845652522</v>
      </c>
      <c r="BX30" s="88">
        <f t="shared" si="29"/>
        <v>222.13843071406689</v>
      </c>
      <c r="BY30" s="88">
        <f t="shared" si="29"/>
        <v>229.04369408894607</v>
      </c>
      <c r="BZ30" s="88">
        <f t="shared" si="29"/>
        <v>235.92163645153056</v>
      </c>
      <c r="CA30" s="88">
        <f t="shared" si="29"/>
        <v>242.77326065444493</v>
      </c>
      <c r="CB30" s="88">
        <f t="shared" si="29"/>
        <v>249.59950197704202</v>
      </c>
      <c r="CC30" s="88">
        <f t="shared" si="29"/>
        <v>256.40123462403312</v>
      </c>
      <c r="CD30" s="88">
        <f t="shared" si="29"/>
        <v>263.17927742318716</v>
      </c>
      <c r="CE30" s="153"/>
      <c r="CF30" s="98"/>
      <c r="CG30" s="98"/>
      <c r="CH30" s="98"/>
      <c r="CI30" s="98"/>
      <c r="CJ30" s="98"/>
      <c r="CK30" s="98"/>
      <c r="CL30" s="98"/>
      <c r="CM30" s="98"/>
      <c r="CN30" s="98"/>
      <c r="CO30" s="98"/>
      <c r="CP30" s="98"/>
      <c r="CQ30" s="98"/>
      <c r="CR30" s="98"/>
      <c r="CS30" s="98"/>
      <c r="CT30" s="98"/>
      <c r="CU30" s="98"/>
      <c r="CV30" s="98"/>
      <c r="CW30" s="98"/>
      <c r="CX30" s="98"/>
      <c r="CY30" s="98"/>
      <c r="CZ30" s="98"/>
      <c r="DA30" s="98"/>
      <c r="DB30" s="98"/>
      <c r="DC30" s="98"/>
      <c r="DD30" s="98"/>
      <c r="DE30" s="98"/>
      <c r="DF30" s="98"/>
      <c r="DG30" s="98"/>
      <c r="DH30" s="98"/>
      <c r="DI30" s="98"/>
      <c r="DJ30" s="98"/>
      <c r="DK30" s="98"/>
      <c r="DL30" s="98"/>
      <c r="DM30" s="98"/>
      <c r="DN30" s="98"/>
      <c r="DO30" s="98"/>
      <c r="DP30" s="98"/>
      <c r="DQ30" s="98"/>
      <c r="DR30" s="98"/>
      <c r="DS30" s="7"/>
      <c r="DT30" s="7"/>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row>
    <row r="31" spans="1:177" ht="29.5" thickBot="1" x14ac:dyDescent="0.4">
      <c r="A31" s="149" t="s">
        <v>231</v>
      </c>
      <c r="B31" s="88">
        <v>0</v>
      </c>
      <c r="C31" s="88">
        <f>EXP(-1.0587+0.8836*LN(C25)+0.284)</f>
        <v>2.6314391449437498</v>
      </c>
      <c r="D31" s="88">
        <f t="shared" ref="D31:BO31" si="30">EXP(-1.0587+0.8836*LN(D25)+0.284)</f>
        <v>4.8549351712713396</v>
      </c>
      <c r="E31" s="88">
        <f t="shared" si="30"/>
        <v>6.9466860477494725</v>
      </c>
      <c r="F31" s="88">
        <f t="shared" si="30"/>
        <v>8.9572261484889069</v>
      </c>
      <c r="G31" s="88">
        <f t="shared" si="30"/>
        <v>10.909459308462973</v>
      </c>
      <c r="H31" s="88">
        <f t="shared" si="30"/>
        <v>12.81645083140226</v>
      </c>
      <c r="I31" s="88">
        <f t="shared" si="30"/>
        <v>14.686623413444568</v>
      </c>
      <c r="J31" s="88">
        <f t="shared" si="30"/>
        <v>16.52584379497771</v>
      </c>
      <c r="K31" s="88">
        <f t="shared" si="30"/>
        <v>18.338424104817634</v>
      </c>
      <c r="L31" s="88">
        <f t="shared" si="30"/>
        <v>20.127662005021431</v>
      </c>
      <c r="M31" s="88">
        <f t="shared" si="30"/>
        <v>21.896157459856802</v>
      </c>
      <c r="N31" s="88">
        <f t="shared" si="30"/>
        <v>23.646010599106866</v>
      </c>
      <c r="O31" s="88">
        <f t="shared" si="30"/>
        <v>25.37895157121406</v>
      </c>
      <c r="P31" s="88">
        <f t="shared" si="30"/>
        <v>27.096429227388935</v>
      </c>
      <c r="Q31" s="88">
        <f t="shared" si="30"/>
        <v>28.799673711705896</v>
      </c>
      <c r="R31" s="88">
        <f t="shared" si="30"/>
        <v>30.489741869705487</v>
      </c>
      <c r="S31" s="88">
        <f t="shared" si="30"/>
        <v>32.167550974597901</v>
      </c>
      <c r="T31" s="88">
        <f t="shared" si="30"/>
        <v>33.833904288929453</v>
      </c>
      <c r="U31" s="88">
        <f t="shared" si="30"/>
        <v>35.489510783027818</v>
      </c>
      <c r="V31" s="88">
        <f t="shared" si="30"/>
        <v>37.135000583769582</v>
      </c>
      <c r="W31" s="88">
        <f t="shared" si="30"/>
        <v>38.77093724578873</v>
      </c>
      <c r="X31" s="88">
        <f t="shared" si="30"/>
        <v>40.397827619086513</v>
      </c>
      <c r="Y31" s="88">
        <f t="shared" si="30"/>
        <v>46.1408553290619</v>
      </c>
      <c r="Z31" s="88">
        <f t="shared" si="30"/>
        <v>51.790954930889427</v>
      </c>
      <c r="AA31" s="88">
        <f t="shared" si="30"/>
        <v>44.237573742649623</v>
      </c>
      <c r="AB31" s="88">
        <f t="shared" si="30"/>
        <v>50.104860358486341</v>
      </c>
      <c r="AC31" s="88">
        <f t="shared" si="30"/>
        <v>55.882773065693364</v>
      </c>
      <c r="AD31" s="88">
        <f t="shared" si="30"/>
        <v>61.582882479296238</v>
      </c>
      <c r="AE31" s="88">
        <f t="shared" si="30"/>
        <v>67.21421023660082</v>
      </c>
      <c r="AF31" s="88">
        <f t="shared" si="30"/>
        <v>72.783978943956498</v>
      </c>
      <c r="AG31" s="88">
        <f t="shared" si="30"/>
        <v>78.439704436169791</v>
      </c>
      <c r="AH31" s="88">
        <f t="shared" si="30"/>
        <v>84.042160428243761</v>
      </c>
      <c r="AI31" s="88">
        <f t="shared" si="30"/>
        <v>89.595802724725772</v>
      </c>
      <c r="AJ31" s="88">
        <f t="shared" si="30"/>
        <v>95.104429313860976</v>
      </c>
      <c r="AK31" s="88">
        <f t="shared" si="30"/>
        <v>83.234859352609547</v>
      </c>
      <c r="AL31" s="88">
        <f t="shared" si="30"/>
        <v>88.307594553131452</v>
      </c>
      <c r="AM31" s="88">
        <f t="shared" si="30"/>
        <v>93.34220617267512</v>
      </c>
      <c r="AN31" s="88">
        <f t="shared" si="30"/>
        <v>98.34127701099122</v>
      </c>
      <c r="AO31" s="114">
        <f t="shared" si="30"/>
        <v>103.30707696989141</v>
      </c>
      <c r="AP31" s="114">
        <f t="shared" si="30"/>
        <v>108.24161587288665</v>
      </c>
      <c r="AQ31" s="114">
        <f t="shared" si="30"/>
        <v>112.80931646198539</v>
      </c>
      <c r="AR31" s="114">
        <f t="shared" si="30"/>
        <v>117.35277446606621</v>
      </c>
      <c r="AS31" s="114">
        <f t="shared" si="30"/>
        <v>121.87317045796232</v>
      </c>
      <c r="AT31" s="114">
        <f t="shared" si="30"/>
        <v>126.37158054788217</v>
      </c>
      <c r="AU31" s="114">
        <f t="shared" si="30"/>
        <v>109.08937295946187</v>
      </c>
      <c r="AV31" s="114">
        <f t="shared" si="30"/>
        <v>113.41648462723869</v>
      </c>
      <c r="AW31" s="114">
        <f t="shared" si="30"/>
        <v>117.7219508803453</v>
      </c>
      <c r="AX31" s="114">
        <f t="shared" si="30"/>
        <v>122.00676768015207</v>
      </c>
      <c r="AY31" s="114">
        <f t="shared" si="30"/>
        <v>126.27184753091713</v>
      </c>
      <c r="AZ31" s="114">
        <f t="shared" si="30"/>
        <v>130.51802938753457</v>
      </c>
      <c r="BA31" s="114">
        <f t="shared" si="30"/>
        <v>134.449378782754</v>
      </c>
      <c r="BB31" s="114">
        <f t="shared" si="30"/>
        <v>138.36564036823131</v>
      </c>
      <c r="BC31" s="114">
        <f t="shared" si="30"/>
        <v>142.26735186739435</v>
      </c>
      <c r="BD31" s="114">
        <f t="shared" si="30"/>
        <v>146.15501579194509</v>
      </c>
      <c r="BE31" s="114">
        <f t="shared" si="30"/>
        <v>150.02910273567156</v>
      </c>
      <c r="BF31" s="114">
        <f t="shared" si="30"/>
        <v>153.89005427308624</v>
      </c>
      <c r="BG31" s="114">
        <f t="shared" si="30"/>
        <v>157.73828552015598</v>
      </c>
      <c r="BH31" s="114">
        <f t="shared" si="30"/>
        <v>161.57418740474392</v>
      </c>
      <c r="BI31" s="114">
        <f t="shared" si="30"/>
        <v>164.49943508213596</v>
      </c>
      <c r="BJ31" s="114">
        <f t="shared" si="30"/>
        <v>136.59034791846369</v>
      </c>
      <c r="BK31" s="114">
        <f t="shared" si="30"/>
        <v>139.58031205073851</v>
      </c>
      <c r="BL31" s="114">
        <f t="shared" si="30"/>
        <v>142.56186182261897</v>
      </c>
      <c r="BM31" s="114">
        <f t="shared" si="30"/>
        <v>145.53521900577618</v>
      </c>
      <c r="BN31" s="114">
        <f t="shared" si="30"/>
        <v>148.50059454579585</v>
      </c>
      <c r="BO31" s="114">
        <f t="shared" si="30"/>
        <v>151.4581893228974</v>
      </c>
      <c r="BP31" s="114">
        <f t="shared" ref="BP31:CD31" si="31">EXP(-1.0587+0.8836*LN(BP25)+0.284)</f>
        <v>154.40819484359596</v>
      </c>
      <c r="BQ31" s="114">
        <f t="shared" si="31"/>
        <v>156.41383581382303</v>
      </c>
      <c r="BR31" s="114">
        <f t="shared" si="31"/>
        <v>158.41609450201628</v>
      </c>
      <c r="BS31" s="114">
        <f t="shared" si="31"/>
        <v>160.41502483444145</v>
      </c>
      <c r="BT31" s="114">
        <f t="shared" si="31"/>
        <v>162.41067913033501</v>
      </c>
      <c r="BU31" s="114">
        <f t="shared" si="31"/>
        <v>164.40310817144584</v>
      </c>
      <c r="BV31" s="114">
        <f t="shared" si="31"/>
        <v>166.39236126765431</v>
      </c>
      <c r="BW31" s="114">
        <f t="shared" si="31"/>
        <v>168.37848631894607</v>
      </c>
      <c r="BX31" s="114">
        <f t="shared" si="31"/>
        <v>170.36152987397983</v>
      </c>
      <c r="BY31" s="114">
        <f t="shared" si="31"/>
        <v>171.76700653314089</v>
      </c>
      <c r="BZ31" s="114">
        <f t="shared" si="31"/>
        <v>173.17096983053477</v>
      </c>
      <c r="CA31" s="114">
        <f t="shared" si="31"/>
        <v>174.57343525202648</v>
      </c>
      <c r="CB31" s="114">
        <f t="shared" si="31"/>
        <v>175.97441798580158</v>
      </c>
      <c r="CC31" s="114">
        <f t="shared" si="31"/>
        <v>177.37393293071582</v>
      </c>
      <c r="CD31" s="114">
        <f t="shared" si="31"/>
        <v>178.77199470433939</v>
      </c>
      <c r="CE31" s="153"/>
      <c r="CF31" s="98"/>
      <c r="CG31" s="98"/>
      <c r="CH31" s="98"/>
      <c r="CI31" s="98"/>
      <c r="CJ31" s="98"/>
      <c r="CK31" s="98"/>
      <c r="CL31" s="98"/>
      <c r="CM31" s="98"/>
      <c r="CN31" s="98"/>
      <c r="CO31" s="98"/>
      <c r="CP31" s="98"/>
      <c r="CQ31" s="98"/>
      <c r="CR31" s="98"/>
      <c r="CS31" s="98"/>
      <c r="CT31" s="98"/>
      <c r="CU31" s="98"/>
      <c r="CV31" s="98"/>
      <c r="CW31" s="98"/>
      <c r="CX31" s="98"/>
      <c r="CY31" s="98"/>
      <c r="CZ31" s="98"/>
      <c r="DA31" s="98"/>
      <c r="DB31" s="98"/>
      <c r="DC31" s="98"/>
      <c r="DD31" s="98"/>
      <c r="DE31" s="98"/>
      <c r="DF31" s="98"/>
      <c r="DG31" s="98"/>
      <c r="DH31" s="98"/>
      <c r="DI31" s="98"/>
      <c r="DJ31" s="98"/>
      <c r="DK31" s="98"/>
      <c r="DL31" s="98"/>
      <c r="DM31" s="98"/>
      <c r="DN31" s="98"/>
      <c r="DO31" s="98"/>
      <c r="DP31" s="98"/>
      <c r="DQ31" s="98"/>
      <c r="DR31" s="98"/>
      <c r="DS31" s="7"/>
      <c r="DT31" s="7"/>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row>
    <row r="32" spans="1:177" ht="29.5" thickBot="1" x14ac:dyDescent="0.4">
      <c r="A32" s="150" t="s">
        <v>232</v>
      </c>
      <c r="B32" s="88">
        <v>0</v>
      </c>
      <c r="C32" s="88">
        <f>EXP(-1.0587+0.8836*LN(C27)+0.284)</f>
        <v>4.909049151151561</v>
      </c>
      <c r="D32" s="88">
        <f t="shared" ref="D32:BO32" si="32">EXP(-1.0587+0.8836*LN(D27)+0.284)</f>
        <v>9.0570650008077145</v>
      </c>
      <c r="E32" s="88">
        <f t="shared" si="32"/>
        <v>12.959305295562853</v>
      </c>
      <c r="F32" s="88">
        <f t="shared" si="32"/>
        <v>16.71004381971067</v>
      </c>
      <c r="G32" s="88">
        <f t="shared" si="32"/>
        <v>20.352008542792071</v>
      </c>
      <c r="H32" s="88">
        <f t="shared" si="32"/>
        <v>23.909573282575735</v>
      </c>
      <c r="I32" s="88">
        <f t="shared" si="32"/>
        <v>27.398450896949726</v>
      </c>
      <c r="J32" s="88">
        <f t="shared" si="32"/>
        <v>30.829586011776378</v>
      </c>
      <c r="K32" s="88">
        <f t="shared" si="32"/>
        <v>34.21102306629124</v>
      </c>
      <c r="L32" s="88">
        <f t="shared" si="32"/>
        <v>37.548913973660618</v>
      </c>
      <c r="M32" s="88">
        <f t="shared" si="32"/>
        <v>40.84810906546295</v>
      </c>
      <c r="N32" s="88">
        <f t="shared" si="32"/>
        <v>50.026861773677666</v>
      </c>
      <c r="O32" s="88">
        <f t="shared" si="32"/>
        <v>59.565477990655054</v>
      </c>
      <c r="P32" s="88">
        <f t="shared" si="32"/>
        <v>57.133239745887877</v>
      </c>
      <c r="Q32" s="88">
        <f t="shared" si="32"/>
        <v>65.951527620662617</v>
      </c>
      <c r="R32" s="88">
        <f t="shared" si="32"/>
        <v>74.878216645860547</v>
      </c>
      <c r="S32" s="88">
        <f t="shared" si="32"/>
        <v>65.799549466335947</v>
      </c>
      <c r="T32" s="88">
        <f t="shared" si="32"/>
        <v>73.681470101320457</v>
      </c>
      <c r="U32" s="88">
        <f t="shared" si="32"/>
        <v>81.490561967776529</v>
      </c>
      <c r="V32" s="88">
        <f t="shared" si="32"/>
        <v>89.275136671982196</v>
      </c>
      <c r="W32" s="88">
        <f t="shared" si="32"/>
        <v>96.971173930769481</v>
      </c>
      <c r="X32" s="88">
        <f t="shared" si="32"/>
        <v>81.933738883282729</v>
      </c>
      <c r="Y32" s="88">
        <f t="shared" si="32"/>
        <v>88.471587664103964</v>
      </c>
      <c r="Z32" s="88">
        <f t="shared" si="32"/>
        <v>94.94633715695845</v>
      </c>
      <c r="AA32" s="88">
        <f t="shared" si="32"/>
        <v>101.29158733638158</v>
      </c>
      <c r="AB32" s="88">
        <f t="shared" si="32"/>
        <v>107.51362581974786</v>
      </c>
      <c r="AC32" s="88">
        <f t="shared" si="32"/>
        <v>113.58247307375883</v>
      </c>
      <c r="AD32" s="88">
        <f t="shared" si="32"/>
        <v>119.53862851018488</v>
      </c>
      <c r="AE32" s="88">
        <f t="shared" si="32"/>
        <v>125.31630133727609</v>
      </c>
      <c r="AF32" s="88">
        <f t="shared" si="32"/>
        <v>130.95496592341007</v>
      </c>
      <c r="AG32" s="88">
        <f t="shared" si="32"/>
        <v>136.18207595732218</v>
      </c>
      <c r="AH32" s="88">
        <f t="shared" si="32"/>
        <v>141.21107696763372</v>
      </c>
      <c r="AI32" s="88">
        <f t="shared" si="32"/>
        <v>146.07975532987373</v>
      </c>
      <c r="AJ32" s="88">
        <f t="shared" si="32"/>
        <v>150.75681531207388</v>
      </c>
      <c r="AK32" s="88">
        <f t="shared" si="32"/>
        <v>155.24516043718603</v>
      </c>
      <c r="AL32" s="88">
        <f t="shared" si="32"/>
        <v>159.58122328920976</v>
      </c>
      <c r="AM32" s="88">
        <f t="shared" si="32"/>
        <v>163.733329321566</v>
      </c>
      <c r="AN32" s="115">
        <f t="shared" si="32"/>
        <v>167.70365039301913</v>
      </c>
      <c r="AO32" s="202"/>
      <c r="AP32" s="203"/>
      <c r="AQ32" s="203"/>
      <c r="AR32" s="203"/>
      <c r="AS32" s="203"/>
      <c r="AT32" s="203"/>
      <c r="AU32" s="203"/>
      <c r="AV32" s="203"/>
      <c r="AW32" s="203"/>
      <c r="AX32" s="203"/>
      <c r="AY32" s="203"/>
      <c r="AZ32" s="203"/>
      <c r="BA32" s="203"/>
      <c r="BB32" s="203"/>
      <c r="BC32" s="203"/>
      <c r="BD32" s="203"/>
      <c r="BE32" s="203"/>
      <c r="BF32" s="203"/>
      <c r="BG32" s="203"/>
      <c r="BH32" s="203"/>
      <c r="BI32" s="203"/>
      <c r="BJ32" s="203"/>
      <c r="BK32" s="203"/>
      <c r="BL32" s="203"/>
      <c r="BM32" s="203"/>
      <c r="BN32" s="203"/>
      <c r="BO32" s="203"/>
      <c r="BP32" s="203"/>
      <c r="BQ32" s="203"/>
      <c r="BR32" s="203"/>
      <c r="BS32" s="203"/>
      <c r="BT32" s="203"/>
      <c r="BU32" s="203"/>
      <c r="BV32" s="203"/>
      <c r="BW32" s="203"/>
      <c r="BX32" s="203"/>
      <c r="BY32" s="203"/>
      <c r="BZ32" s="203"/>
      <c r="CA32" s="203"/>
      <c r="CB32" s="203"/>
      <c r="CC32" s="203"/>
      <c r="CD32" s="203"/>
      <c r="CE32" s="98"/>
      <c r="CF32" s="98"/>
      <c r="CG32" s="98"/>
      <c r="CH32" s="98"/>
      <c r="CI32" s="98"/>
      <c r="CJ32" s="98"/>
      <c r="CK32" s="98"/>
      <c r="CL32" s="98"/>
      <c r="CM32" s="98"/>
      <c r="CN32" s="98"/>
      <c r="CO32" s="98"/>
      <c r="CP32" s="98"/>
      <c r="CQ32" s="98"/>
      <c r="CR32" s="98"/>
      <c r="CS32" s="98"/>
      <c r="CT32" s="98"/>
      <c r="CU32" s="98"/>
      <c r="CV32" s="98"/>
      <c r="CW32" s="98"/>
      <c r="CX32" s="98"/>
      <c r="CY32" s="98"/>
      <c r="CZ32" s="98"/>
      <c r="DA32" s="98"/>
      <c r="DB32" s="98"/>
      <c r="DC32" s="98"/>
      <c r="DD32" s="98"/>
      <c r="DE32" s="98"/>
      <c r="DF32" s="98"/>
      <c r="DG32" s="98"/>
      <c r="DH32" s="98"/>
      <c r="DI32" s="98"/>
      <c r="DJ32" s="98"/>
      <c r="DK32" s="98"/>
      <c r="DL32" s="98"/>
      <c r="DM32" s="98"/>
      <c r="DN32" s="98"/>
      <c r="DO32" s="98"/>
      <c r="DP32" s="98"/>
      <c r="DQ32" s="98"/>
      <c r="DR32" s="98"/>
      <c r="DS32" s="7"/>
      <c r="DT32" s="7"/>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row>
    <row r="33" spans="1:124" ht="15" thickBot="1" x14ac:dyDescent="0.4">
      <c r="A33" s="3" t="s">
        <v>181</v>
      </c>
      <c r="B33" s="88">
        <f t="shared" ref="B33:AF33" si="33">(B19*(($B$45-$B$44)/30))</f>
        <v>0</v>
      </c>
      <c r="C33" s="88">
        <f t="shared" si="33"/>
        <v>0.33333333333333331</v>
      </c>
      <c r="D33" s="88">
        <f t="shared" si="33"/>
        <v>0.66666666666666663</v>
      </c>
      <c r="E33" s="88">
        <f t="shared" si="33"/>
        <v>1</v>
      </c>
      <c r="F33" s="88">
        <f t="shared" si="33"/>
        <v>1.3333333333333333</v>
      </c>
      <c r="G33" s="88">
        <f t="shared" si="33"/>
        <v>1.6666666666666665</v>
      </c>
      <c r="H33" s="88">
        <f t="shared" si="33"/>
        <v>2</v>
      </c>
      <c r="I33" s="88">
        <f t="shared" si="33"/>
        <v>2.333333333333333</v>
      </c>
      <c r="J33" s="88">
        <f t="shared" si="33"/>
        <v>2.6666666666666665</v>
      </c>
      <c r="K33" s="88">
        <f t="shared" si="33"/>
        <v>3</v>
      </c>
      <c r="L33" s="88">
        <f t="shared" si="33"/>
        <v>3.333333333333333</v>
      </c>
      <c r="M33" s="88">
        <f t="shared" si="33"/>
        <v>3.6666666666666665</v>
      </c>
      <c r="N33" s="88">
        <f t="shared" si="33"/>
        <v>4</v>
      </c>
      <c r="O33" s="88">
        <f t="shared" si="33"/>
        <v>4.333333333333333</v>
      </c>
      <c r="P33" s="88">
        <f t="shared" si="33"/>
        <v>4.6666666666666661</v>
      </c>
      <c r="Q33" s="88">
        <f t="shared" si="33"/>
        <v>5</v>
      </c>
      <c r="R33" s="88">
        <f t="shared" si="33"/>
        <v>5.333333333333333</v>
      </c>
      <c r="S33" s="88">
        <f t="shared" si="33"/>
        <v>5.6666666666666661</v>
      </c>
      <c r="T33" s="88">
        <f t="shared" si="33"/>
        <v>6</v>
      </c>
      <c r="U33" s="88">
        <f t="shared" si="33"/>
        <v>6.333333333333333</v>
      </c>
      <c r="V33" s="88">
        <f t="shared" si="33"/>
        <v>6.6666666666666661</v>
      </c>
      <c r="W33" s="88">
        <f t="shared" si="33"/>
        <v>7</v>
      </c>
      <c r="X33" s="88">
        <f t="shared" si="33"/>
        <v>7.333333333333333</v>
      </c>
      <c r="Y33" s="88">
        <f t="shared" si="33"/>
        <v>7.6666666666666661</v>
      </c>
      <c r="Z33" s="88">
        <f t="shared" si="33"/>
        <v>8</v>
      </c>
      <c r="AA33" s="88">
        <f t="shared" si="33"/>
        <v>8.3333333333333321</v>
      </c>
      <c r="AB33" s="88">
        <f t="shared" si="33"/>
        <v>8.6666666666666661</v>
      </c>
      <c r="AC33" s="88">
        <f t="shared" si="33"/>
        <v>9</v>
      </c>
      <c r="AD33" s="88">
        <f t="shared" si="33"/>
        <v>9.3333333333333321</v>
      </c>
      <c r="AE33" s="88">
        <f t="shared" si="33"/>
        <v>9.6666666666666661</v>
      </c>
      <c r="AF33" s="88">
        <f t="shared" si="33"/>
        <v>10</v>
      </c>
      <c r="AG33" s="88">
        <v>10</v>
      </c>
      <c r="AH33" s="88">
        <v>10</v>
      </c>
      <c r="AI33" s="88">
        <v>10</v>
      </c>
      <c r="AJ33" s="88">
        <v>10</v>
      </c>
      <c r="AK33" s="88">
        <v>10</v>
      </c>
      <c r="AL33" s="88">
        <v>10</v>
      </c>
      <c r="AM33" s="88">
        <v>10</v>
      </c>
      <c r="AN33" s="88">
        <v>10</v>
      </c>
      <c r="AO33" s="151">
        <v>10</v>
      </c>
      <c r="AP33" s="151">
        <v>10</v>
      </c>
      <c r="AQ33" s="200">
        <v>10</v>
      </c>
      <c r="AR33" s="200">
        <v>10</v>
      </c>
      <c r="AS33" s="200">
        <v>10</v>
      </c>
      <c r="AT33" s="200">
        <v>10</v>
      </c>
      <c r="AU33" s="200">
        <v>10</v>
      </c>
      <c r="AV33" s="200">
        <v>10</v>
      </c>
      <c r="AW33" s="200">
        <v>10</v>
      </c>
      <c r="AX33" s="200">
        <v>10</v>
      </c>
      <c r="AY33" s="200">
        <v>10</v>
      </c>
      <c r="AZ33" s="200">
        <v>10</v>
      </c>
      <c r="BA33" s="200">
        <v>10</v>
      </c>
      <c r="BB33" s="200">
        <v>10</v>
      </c>
      <c r="BC33" s="200">
        <v>10</v>
      </c>
      <c r="BD33" s="200">
        <v>10</v>
      </c>
      <c r="BE33" s="200">
        <v>10</v>
      </c>
      <c r="BF33" s="200">
        <v>10</v>
      </c>
      <c r="BG33" s="200">
        <v>10</v>
      </c>
      <c r="BH33" s="200">
        <v>10</v>
      </c>
      <c r="BI33" s="200">
        <v>10</v>
      </c>
      <c r="BJ33" s="200">
        <v>10</v>
      </c>
      <c r="BK33" s="200">
        <v>10</v>
      </c>
      <c r="BL33" s="200">
        <v>10</v>
      </c>
      <c r="BM33" s="200">
        <v>10</v>
      </c>
      <c r="BN33" s="200">
        <v>10</v>
      </c>
      <c r="BO33" s="200">
        <v>10</v>
      </c>
      <c r="BP33" s="200">
        <v>10</v>
      </c>
      <c r="BQ33" s="200">
        <v>10</v>
      </c>
      <c r="BR33" s="200">
        <v>10</v>
      </c>
      <c r="BS33" s="200">
        <v>10</v>
      </c>
      <c r="BT33" s="200">
        <v>10</v>
      </c>
      <c r="BU33" s="200">
        <v>10</v>
      </c>
      <c r="BV33" s="200">
        <v>10</v>
      </c>
      <c r="BW33" s="200">
        <v>10</v>
      </c>
      <c r="BX33" s="200">
        <v>10</v>
      </c>
      <c r="BY33" s="200">
        <v>10</v>
      </c>
      <c r="BZ33" s="200">
        <v>10</v>
      </c>
      <c r="CA33" s="200">
        <v>10</v>
      </c>
      <c r="CB33" s="200">
        <v>10</v>
      </c>
      <c r="CC33" s="200">
        <v>10</v>
      </c>
      <c r="CD33" s="201">
        <v>10</v>
      </c>
      <c r="CE33" s="153"/>
      <c r="CF33" s="98"/>
      <c r="CG33" s="98"/>
      <c r="CH33" s="98"/>
      <c r="CI33" s="98"/>
      <c r="CJ33" s="98"/>
      <c r="CK33" s="98"/>
      <c r="CL33" s="98"/>
      <c r="CM33" s="98"/>
      <c r="CN33" s="98"/>
      <c r="CO33" s="98"/>
      <c r="CP33" s="98"/>
      <c r="CQ33" s="98"/>
      <c r="CR33" s="98"/>
      <c r="CS33" s="98"/>
      <c r="CT33" s="98"/>
      <c r="CU33" s="98"/>
      <c r="CV33" s="98"/>
      <c r="CW33" s="98"/>
      <c r="CX33" s="98"/>
      <c r="CY33" s="98"/>
      <c r="CZ33" s="98"/>
      <c r="DA33" s="98"/>
      <c r="DB33" s="98"/>
      <c r="DC33" s="98"/>
      <c r="DD33" s="98"/>
      <c r="DE33" s="98"/>
      <c r="DF33" s="98"/>
      <c r="DG33" s="98"/>
      <c r="DH33" s="98"/>
      <c r="DI33" s="98"/>
      <c r="DJ33" s="98"/>
      <c r="DK33" s="98"/>
      <c r="DL33" s="98"/>
      <c r="DM33" s="98"/>
      <c r="DN33" s="98"/>
      <c r="DO33" s="98"/>
      <c r="DP33" s="98"/>
      <c r="DQ33" s="98"/>
      <c r="DR33" s="98"/>
      <c r="DS33" s="7"/>
      <c r="DT33" s="7"/>
    </row>
    <row r="34" spans="1:124" x14ac:dyDescent="0.35">
      <c r="A34" s="123" t="s">
        <v>2</v>
      </c>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c r="BR34" s="124"/>
      <c r="BS34" s="124"/>
      <c r="BT34" s="124"/>
      <c r="BU34" s="124"/>
      <c r="BV34" s="124"/>
      <c r="BW34" s="124"/>
      <c r="BX34" s="124"/>
      <c r="BY34" s="124"/>
      <c r="BZ34" s="124"/>
      <c r="CA34" s="124"/>
      <c r="CB34" s="124"/>
      <c r="CC34" s="124"/>
      <c r="CD34" s="124"/>
      <c r="CE34" s="11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row>
    <row r="35" spans="1:124" x14ac:dyDescent="0.35">
      <c r="A35" s="3" t="s">
        <v>182</v>
      </c>
      <c r="B35" s="88">
        <f>(((B36+B38)*$B$41)+$B$46+B39)*(44/12)</f>
        <v>256.66666666666663</v>
      </c>
      <c r="C35" s="88">
        <f t="shared" ref="C35:AF35" si="34">(((C36+C38)*$B$41)+$B$46+C39)*(44/12)</f>
        <v>260.16110302357254</v>
      </c>
      <c r="D35" s="88">
        <f t="shared" si="34"/>
        <v>263.54337387877416</v>
      </c>
      <c r="E35" s="88">
        <f t="shared" si="34"/>
        <v>266.88942090728125</v>
      </c>
      <c r="F35" s="88">
        <f t="shared" si="34"/>
        <v>270.21313872617833</v>
      </c>
      <c r="G35" s="88">
        <f t="shared" si="34"/>
        <v>273.52082483142391</v>
      </c>
      <c r="H35" s="88">
        <f t="shared" si="34"/>
        <v>276.81607157764023</v>
      </c>
      <c r="I35" s="88">
        <f t="shared" si="34"/>
        <v>280.10119481695222</v>
      </c>
      <c r="J35" s="88">
        <f t="shared" si="34"/>
        <v>283.37780763179438</v>
      </c>
      <c r="K35" s="88">
        <f t="shared" si="34"/>
        <v>286.64709565827621</v>
      </c>
      <c r="L35" s="88">
        <f t="shared" si="34"/>
        <v>289.90996560103912</v>
      </c>
      <c r="M35" s="88">
        <f t="shared" si="34"/>
        <v>293.16713233008147</v>
      </c>
      <c r="N35" s="88">
        <f t="shared" si="34"/>
        <v>296.41917328402155</v>
      </c>
      <c r="O35" s="88">
        <f t="shared" si="34"/>
        <v>299.66656417371013</v>
      </c>
      <c r="P35" s="88">
        <f t="shared" si="34"/>
        <v>302.90970336626157</v>
      </c>
      <c r="Q35" s="88">
        <f t="shared" si="34"/>
        <v>306.1489290944366</v>
      </c>
      <c r="R35" s="88">
        <f t="shared" si="34"/>
        <v>309.38453194190953</v>
      </c>
      <c r="S35" s="88">
        <f t="shared" si="34"/>
        <v>312.61676411641497</v>
      </c>
      <c r="T35" s="88">
        <f t="shared" si="34"/>
        <v>315.84584647802484</v>
      </c>
      <c r="U35" s="88">
        <f t="shared" si="34"/>
        <v>319.07197396080926</v>
      </c>
      <c r="V35" s="88">
        <f t="shared" si="34"/>
        <v>322.29531982053368</v>
      </c>
      <c r="W35" s="88">
        <f t="shared" si="34"/>
        <v>325.51603900867372</v>
      </c>
      <c r="X35" s="88">
        <f t="shared" si="34"/>
        <v>328.73427088555229</v>
      </c>
      <c r="Y35" s="88">
        <f t="shared" si="34"/>
        <v>331.95014142623376</v>
      </c>
      <c r="Z35" s="88">
        <f t="shared" si="34"/>
        <v>335.16376503195977</v>
      </c>
      <c r="AA35" s="88">
        <f t="shared" si="34"/>
        <v>338.37524603117231</v>
      </c>
      <c r="AB35" s="88">
        <f t="shared" si="34"/>
        <v>341.58467993361199</v>
      </c>
      <c r="AC35" s="88">
        <f t="shared" si="34"/>
        <v>344.79215448605208</v>
      </c>
      <c r="AD35" s="88">
        <f t="shared" si="34"/>
        <v>347.99775056722996</v>
      </c>
      <c r="AE35" s="88">
        <f t="shared" si="34"/>
        <v>351.20154295133915</v>
      </c>
      <c r="AF35" s="88">
        <f t="shared" si="34"/>
        <v>354.40360096325321</v>
      </c>
      <c r="AG35" s="88">
        <f t="shared" ref="AG35:AO35" si="35">(((AG36+AG38)*$B$41)+$B$46+AG39)*(44/12)</f>
        <v>356.38176682171024</v>
      </c>
      <c r="AH35" s="88">
        <f t="shared" si="35"/>
        <v>358.35832279638078</v>
      </c>
      <c r="AI35" s="88">
        <f t="shared" si="35"/>
        <v>360.33332496858065</v>
      </c>
      <c r="AJ35" s="88">
        <f t="shared" si="35"/>
        <v>362.30682582761347</v>
      </c>
      <c r="AK35" s="88">
        <f t="shared" si="35"/>
        <v>364.27887459963972</v>
      </c>
      <c r="AL35" s="88">
        <f t="shared" si="35"/>
        <v>366.24951753790464</v>
      </c>
      <c r="AM35" s="88">
        <f t="shared" si="35"/>
        <v>368.21879817981193</v>
      </c>
      <c r="AN35" s="88">
        <f t="shared" si="35"/>
        <v>370.18675757542422</v>
      </c>
      <c r="AO35" s="88">
        <f t="shared" si="35"/>
        <v>372.15343449123395</v>
      </c>
      <c r="AP35" s="88">
        <f t="shared" ref="AP35:CC35" si="36">(((AP36+AP38)*$B$41)+$B$46+AP39)*(44/12)</f>
        <v>374.11886559244715</v>
      </c>
      <c r="AQ35" s="88">
        <f t="shared" si="36"/>
        <v>376.08308560652489</v>
      </c>
      <c r="AR35" s="88">
        <f t="shared" si="36"/>
        <v>378.04612747032132</v>
      </c>
      <c r="AS35" s="88">
        <f t="shared" si="36"/>
        <v>380.00802246281262</v>
      </c>
      <c r="AT35" s="88">
        <f t="shared" si="36"/>
        <v>381.96880032513235</v>
      </c>
      <c r="AU35" s="88">
        <f t="shared" si="36"/>
        <v>383.92848936938583</v>
      </c>
      <c r="AV35" s="88">
        <f t="shared" si="36"/>
        <v>385.88711657752037</v>
      </c>
      <c r="AW35" s="88">
        <f t="shared" si="36"/>
        <v>387.84470769135476</v>
      </c>
      <c r="AX35" s="88">
        <f t="shared" si="36"/>
        <v>389.80128729473103</v>
      </c>
      <c r="AY35" s="88">
        <f t="shared" si="36"/>
        <v>391.75687888862672</v>
      </c>
      <c r="AZ35" s="88">
        <f t="shared" si="36"/>
        <v>393.71150495996227</v>
      </c>
      <c r="BA35" s="88">
        <f t="shared" si="36"/>
        <v>395.66518704474896</v>
      </c>
      <c r="BB35" s="88">
        <f t="shared" si="36"/>
        <v>397.6179457861432</v>
      </c>
      <c r="BC35" s="88">
        <f t="shared" si="36"/>
        <v>399.56980098790945</v>
      </c>
      <c r="BD35" s="88">
        <f t="shared" si="36"/>
        <v>401.52077166373431</v>
      </c>
      <c r="BE35" s="88">
        <f t="shared" si="36"/>
        <v>403.47087608278349</v>
      </c>
      <c r="BF35" s="88">
        <f t="shared" si="36"/>
        <v>405.42013181185308</v>
      </c>
      <c r="BG35" s="88">
        <f t="shared" si="36"/>
        <v>407.36855575442348</v>
      </c>
      <c r="BH35" s="88">
        <f t="shared" si="36"/>
        <v>409.31616418689617</v>
      </c>
      <c r="BI35" s="88">
        <f t="shared" si="36"/>
        <v>411.26297279225975</v>
      </c>
      <c r="BJ35" s="88">
        <f t="shared" si="36"/>
        <v>413.20899669140971</v>
      </c>
      <c r="BK35" s="88">
        <f t="shared" si="36"/>
        <v>415.15425047232043</v>
      </c>
      <c r="BL35" s="88">
        <f t="shared" si="36"/>
        <v>417.09874821725003</v>
      </c>
      <c r="BM35" s="88">
        <f t="shared" si="36"/>
        <v>419.0425035281408</v>
      </c>
      <c r="BN35" s="88">
        <f t="shared" si="36"/>
        <v>420.9855295503607</v>
      </c>
      <c r="BO35" s="88">
        <f t="shared" si="36"/>
        <v>422.92783899491923</v>
      </c>
      <c r="BP35" s="88">
        <f t="shared" si="36"/>
        <v>424.86944415927667</v>
      </c>
      <c r="BQ35" s="88">
        <f t="shared" si="36"/>
        <v>426.81035694685778</v>
      </c>
      <c r="BR35" s="88">
        <f t="shared" si="36"/>
        <v>428.75058888536557</v>
      </c>
      <c r="BS35" s="88">
        <f t="shared" si="36"/>
        <v>430.69015114398894</v>
      </c>
      <c r="BT35" s="88">
        <f t="shared" si="36"/>
        <v>432.62905454958309</v>
      </c>
      <c r="BU35" s="88">
        <f t="shared" si="36"/>
        <v>434.56730960189998</v>
      </c>
      <c r="BV35" s="88">
        <f t="shared" si="36"/>
        <v>436.50492648793545</v>
      </c>
      <c r="BW35" s="88">
        <f t="shared" si="36"/>
        <v>438.44191509545806</v>
      </c>
      <c r="BX35" s="88">
        <f t="shared" si="36"/>
        <v>440.37828502577355</v>
      </c>
      <c r="BY35" s="88">
        <f t="shared" si="36"/>
        <v>442.31404560578159</v>
      </c>
      <c r="BZ35" s="88">
        <f t="shared" si="36"/>
        <v>444.24920589937</v>
      </c>
      <c r="CA35" s="88">
        <f t="shared" si="36"/>
        <v>446.18377471819269</v>
      </c>
      <c r="CB35" s="88">
        <f t="shared" si="36"/>
        <v>448.11776063187159</v>
      </c>
      <c r="CC35" s="88">
        <f t="shared" si="36"/>
        <v>450.05117197766072</v>
      </c>
      <c r="CD35" s="115">
        <f>(((CD36+CD38)*$B$41)+$B$46+CD39)*(44/12)</f>
        <v>451.98401686960699</v>
      </c>
      <c r="CE35" s="11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row>
    <row r="36" spans="1:124" x14ac:dyDescent="0.35">
      <c r="A36" s="3" t="s">
        <v>179</v>
      </c>
      <c r="B36" s="88">
        <f>B37*$C$42*$I$43</f>
        <v>0</v>
      </c>
      <c r="C36" s="88">
        <f>C37*$C$42*$I$43</f>
        <v>0.88919999999999999</v>
      </c>
      <c r="D36" s="88">
        <f t="shared" ref="D36:AF36" si="37">D37*$C$42*$I$43</f>
        <v>1.7784</v>
      </c>
      <c r="E36" s="88">
        <f t="shared" si="37"/>
        <v>2.6675999999999997</v>
      </c>
      <c r="F36" s="88">
        <f t="shared" si="37"/>
        <v>3.5568</v>
      </c>
      <c r="G36" s="88">
        <f t="shared" si="37"/>
        <v>4.4459999999999997</v>
      </c>
      <c r="H36" s="88">
        <f t="shared" si="37"/>
        <v>5.3351999999999995</v>
      </c>
      <c r="I36" s="88">
        <f t="shared" si="37"/>
        <v>6.2243999999999993</v>
      </c>
      <c r="J36" s="88">
        <f t="shared" si="37"/>
        <v>7.1135999999999999</v>
      </c>
      <c r="K36" s="88">
        <f t="shared" si="37"/>
        <v>8.0028000000000006</v>
      </c>
      <c r="L36" s="88">
        <f t="shared" si="37"/>
        <v>8.8919999999999995</v>
      </c>
      <c r="M36" s="88">
        <f t="shared" si="37"/>
        <v>9.7812000000000001</v>
      </c>
      <c r="N36" s="88">
        <f t="shared" si="37"/>
        <v>10.670399999999999</v>
      </c>
      <c r="O36" s="88">
        <f t="shared" si="37"/>
        <v>11.5596</v>
      </c>
      <c r="P36" s="88">
        <f t="shared" si="37"/>
        <v>12.448799999999999</v>
      </c>
      <c r="Q36" s="88">
        <f t="shared" si="37"/>
        <v>13.337999999999999</v>
      </c>
      <c r="R36" s="88">
        <f t="shared" si="37"/>
        <v>14.2272</v>
      </c>
      <c r="S36" s="88">
        <f t="shared" si="37"/>
        <v>15.116399999999999</v>
      </c>
      <c r="T36" s="88">
        <f t="shared" si="37"/>
        <v>16.005600000000001</v>
      </c>
      <c r="U36" s="88">
        <f t="shared" si="37"/>
        <v>16.8948</v>
      </c>
      <c r="V36" s="88">
        <f t="shared" si="37"/>
        <v>17.783999999999999</v>
      </c>
      <c r="W36" s="88">
        <f t="shared" si="37"/>
        <v>18.673199999999998</v>
      </c>
      <c r="X36" s="88">
        <f t="shared" si="37"/>
        <v>19.5624</v>
      </c>
      <c r="Y36" s="88">
        <f t="shared" si="37"/>
        <v>20.451599999999999</v>
      </c>
      <c r="Z36" s="88">
        <f t="shared" si="37"/>
        <v>21.340799999999998</v>
      </c>
      <c r="AA36" s="88">
        <f t="shared" si="37"/>
        <v>22.229999999999997</v>
      </c>
      <c r="AB36" s="88">
        <f t="shared" si="37"/>
        <v>23.119199999999999</v>
      </c>
      <c r="AC36" s="88">
        <f t="shared" si="37"/>
        <v>24.008400000000002</v>
      </c>
      <c r="AD36" s="88">
        <f t="shared" si="37"/>
        <v>24.897599999999997</v>
      </c>
      <c r="AE36" s="88">
        <f t="shared" si="37"/>
        <v>25.786799999999999</v>
      </c>
      <c r="AF36" s="88">
        <f t="shared" si="37"/>
        <v>26.675999999999998</v>
      </c>
      <c r="AG36" s="88">
        <f t="shared" ref="AG36:CD36" si="38">AG37*$C$42*$I$43</f>
        <v>27.565199999999997</v>
      </c>
      <c r="AH36" s="88">
        <f t="shared" si="38"/>
        <v>28.4544</v>
      </c>
      <c r="AI36" s="88">
        <f t="shared" si="38"/>
        <v>29.343599999999999</v>
      </c>
      <c r="AJ36" s="88">
        <f t="shared" si="38"/>
        <v>30.232799999999997</v>
      </c>
      <c r="AK36" s="88">
        <f t="shared" si="38"/>
        <v>31.122</v>
      </c>
      <c r="AL36" s="88">
        <f t="shared" si="38"/>
        <v>32.011200000000002</v>
      </c>
      <c r="AM36" s="88">
        <f t="shared" si="38"/>
        <v>32.900399999999998</v>
      </c>
      <c r="AN36" s="88">
        <f t="shared" si="38"/>
        <v>33.7896</v>
      </c>
      <c r="AO36" s="88">
        <f t="shared" si="38"/>
        <v>34.678800000000003</v>
      </c>
      <c r="AP36" s="88">
        <f t="shared" si="38"/>
        <v>35.567999999999998</v>
      </c>
      <c r="AQ36" s="88">
        <f t="shared" si="38"/>
        <v>36.4572</v>
      </c>
      <c r="AR36" s="88">
        <f t="shared" si="38"/>
        <v>37.346399999999996</v>
      </c>
      <c r="AS36" s="88">
        <f t="shared" si="38"/>
        <v>38.235599999999998</v>
      </c>
      <c r="AT36" s="88">
        <f t="shared" si="38"/>
        <v>39.1248</v>
      </c>
      <c r="AU36" s="88">
        <f t="shared" si="38"/>
        <v>40.013999999999996</v>
      </c>
      <c r="AV36" s="88">
        <f t="shared" si="38"/>
        <v>40.903199999999998</v>
      </c>
      <c r="AW36" s="88">
        <f t="shared" si="38"/>
        <v>41.792400000000001</v>
      </c>
      <c r="AX36" s="88">
        <f t="shared" si="38"/>
        <v>42.681599999999996</v>
      </c>
      <c r="AY36" s="88">
        <f t="shared" si="38"/>
        <v>43.570799999999998</v>
      </c>
      <c r="AZ36" s="88">
        <f t="shared" si="38"/>
        <v>44.459999999999994</v>
      </c>
      <c r="BA36" s="88">
        <f t="shared" si="38"/>
        <v>45.349199999999996</v>
      </c>
      <c r="BB36" s="88">
        <f t="shared" si="38"/>
        <v>46.238399999999999</v>
      </c>
      <c r="BC36" s="88">
        <f t="shared" si="38"/>
        <v>47.127600000000001</v>
      </c>
      <c r="BD36" s="88">
        <f t="shared" si="38"/>
        <v>48.016800000000003</v>
      </c>
      <c r="BE36" s="88">
        <f t="shared" si="38"/>
        <v>48.905999999999992</v>
      </c>
      <c r="BF36" s="88">
        <f t="shared" si="38"/>
        <v>49.795199999999994</v>
      </c>
      <c r="BG36" s="88">
        <f t="shared" si="38"/>
        <v>50.684399999999997</v>
      </c>
      <c r="BH36" s="88">
        <f t="shared" si="38"/>
        <v>51.573599999999999</v>
      </c>
      <c r="BI36" s="88">
        <f t="shared" si="38"/>
        <v>52.462800000000001</v>
      </c>
      <c r="BJ36" s="88">
        <f t="shared" si="38"/>
        <v>53.351999999999997</v>
      </c>
      <c r="BK36" s="88">
        <f t="shared" si="38"/>
        <v>54.241199999999992</v>
      </c>
      <c r="BL36" s="88">
        <f t="shared" si="38"/>
        <v>55.130399999999995</v>
      </c>
      <c r="BM36" s="88">
        <f t="shared" si="38"/>
        <v>56.019599999999997</v>
      </c>
      <c r="BN36" s="88">
        <f t="shared" si="38"/>
        <v>56.908799999999999</v>
      </c>
      <c r="BO36" s="88">
        <f t="shared" si="38"/>
        <v>57.798000000000002</v>
      </c>
      <c r="BP36" s="88">
        <f t="shared" si="38"/>
        <v>58.687199999999997</v>
      </c>
      <c r="BQ36" s="88">
        <f t="shared" si="38"/>
        <v>59.5764</v>
      </c>
      <c r="BR36" s="88">
        <f t="shared" si="38"/>
        <v>60.465599999999995</v>
      </c>
      <c r="BS36" s="88">
        <f t="shared" si="38"/>
        <v>61.354799999999997</v>
      </c>
      <c r="BT36" s="88">
        <f t="shared" si="38"/>
        <v>62.244</v>
      </c>
      <c r="BU36" s="88">
        <f t="shared" si="38"/>
        <v>63.133199999999995</v>
      </c>
      <c r="BV36" s="88">
        <f t="shared" si="38"/>
        <v>64.022400000000005</v>
      </c>
      <c r="BW36" s="88">
        <f t="shared" si="38"/>
        <v>64.911599999999993</v>
      </c>
      <c r="BX36" s="88">
        <f t="shared" si="38"/>
        <v>65.800799999999995</v>
      </c>
      <c r="BY36" s="88">
        <f t="shared" si="38"/>
        <v>66.69</v>
      </c>
      <c r="BZ36" s="88">
        <f t="shared" si="38"/>
        <v>67.5792</v>
      </c>
      <c r="CA36" s="88">
        <f t="shared" si="38"/>
        <v>68.468400000000003</v>
      </c>
      <c r="CB36" s="88">
        <f t="shared" si="38"/>
        <v>69.357600000000005</v>
      </c>
      <c r="CC36" s="88">
        <f t="shared" si="38"/>
        <v>70.246799999999993</v>
      </c>
      <c r="CD36" s="115">
        <f t="shared" si="38"/>
        <v>71.135999999999996</v>
      </c>
      <c r="CE36" s="11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row>
    <row r="37" spans="1:124" ht="28" customHeight="1" x14ac:dyDescent="0.35">
      <c r="A37" s="18" t="s">
        <v>13</v>
      </c>
      <c r="B37" s="88">
        <v>0</v>
      </c>
      <c r="C37" s="88">
        <f>IF($B$16="NON",1,0.5)</f>
        <v>1</v>
      </c>
      <c r="D37" s="88">
        <f>IF($B$16="NON",C37+1,C37+0.5)</f>
        <v>2</v>
      </c>
      <c r="E37" s="88">
        <f t="shared" ref="E37:AF37" si="39">IF($B$16="NON",D37+1,D37+0.5)</f>
        <v>3</v>
      </c>
      <c r="F37" s="88">
        <f t="shared" si="39"/>
        <v>4</v>
      </c>
      <c r="G37" s="88">
        <f t="shared" si="39"/>
        <v>5</v>
      </c>
      <c r="H37" s="88">
        <f t="shared" si="39"/>
        <v>6</v>
      </c>
      <c r="I37" s="88">
        <f t="shared" si="39"/>
        <v>7</v>
      </c>
      <c r="J37" s="88">
        <f t="shared" si="39"/>
        <v>8</v>
      </c>
      <c r="K37" s="88">
        <f t="shared" si="39"/>
        <v>9</v>
      </c>
      <c r="L37" s="88">
        <f t="shared" si="39"/>
        <v>10</v>
      </c>
      <c r="M37" s="88">
        <f t="shared" si="39"/>
        <v>11</v>
      </c>
      <c r="N37" s="88">
        <f t="shared" si="39"/>
        <v>12</v>
      </c>
      <c r="O37" s="88">
        <f t="shared" si="39"/>
        <v>13</v>
      </c>
      <c r="P37" s="88">
        <f t="shared" si="39"/>
        <v>14</v>
      </c>
      <c r="Q37" s="88">
        <f t="shared" si="39"/>
        <v>15</v>
      </c>
      <c r="R37" s="88">
        <f t="shared" si="39"/>
        <v>16</v>
      </c>
      <c r="S37" s="88">
        <f t="shared" si="39"/>
        <v>17</v>
      </c>
      <c r="T37" s="88">
        <f t="shared" si="39"/>
        <v>18</v>
      </c>
      <c r="U37" s="88">
        <f t="shared" si="39"/>
        <v>19</v>
      </c>
      <c r="V37" s="88">
        <f t="shared" si="39"/>
        <v>20</v>
      </c>
      <c r="W37" s="88">
        <f t="shared" si="39"/>
        <v>21</v>
      </c>
      <c r="X37" s="88">
        <f t="shared" si="39"/>
        <v>22</v>
      </c>
      <c r="Y37" s="88">
        <f t="shared" si="39"/>
        <v>23</v>
      </c>
      <c r="Z37" s="88">
        <f t="shared" si="39"/>
        <v>24</v>
      </c>
      <c r="AA37" s="88">
        <f t="shared" si="39"/>
        <v>25</v>
      </c>
      <c r="AB37" s="88">
        <f t="shared" si="39"/>
        <v>26</v>
      </c>
      <c r="AC37" s="88">
        <f t="shared" si="39"/>
        <v>27</v>
      </c>
      <c r="AD37" s="88">
        <f t="shared" si="39"/>
        <v>28</v>
      </c>
      <c r="AE37" s="88">
        <f t="shared" si="39"/>
        <v>29</v>
      </c>
      <c r="AF37" s="88">
        <f t="shared" si="39"/>
        <v>30</v>
      </c>
      <c r="AG37" s="88">
        <f t="shared" ref="AG37" si="40">IF($B$16="NON",AF37+1,AF37+0.5)</f>
        <v>31</v>
      </c>
      <c r="AH37" s="88">
        <f t="shared" ref="AH37" si="41">IF($B$16="NON",AG37+1,AG37+0.5)</f>
        <v>32</v>
      </c>
      <c r="AI37" s="88">
        <f t="shared" ref="AI37" si="42">IF($B$16="NON",AH37+1,AH37+0.5)</f>
        <v>33</v>
      </c>
      <c r="AJ37" s="88">
        <f t="shared" ref="AJ37" si="43">IF($B$16="NON",AI37+1,AI37+0.5)</f>
        <v>34</v>
      </c>
      <c r="AK37" s="88">
        <f t="shared" ref="AK37" si="44">IF($B$16="NON",AJ37+1,AJ37+0.5)</f>
        <v>35</v>
      </c>
      <c r="AL37" s="88">
        <f t="shared" ref="AL37" si="45">IF($B$16="NON",AK37+1,AK37+0.5)</f>
        <v>36</v>
      </c>
      <c r="AM37" s="88">
        <f t="shared" ref="AM37" si="46">IF($B$16="NON",AL37+1,AL37+0.5)</f>
        <v>37</v>
      </c>
      <c r="AN37" s="88">
        <f t="shared" ref="AN37" si="47">IF($B$16="NON",AM37+1,AM37+0.5)</f>
        <v>38</v>
      </c>
      <c r="AO37" s="88">
        <f t="shared" ref="AO37" si="48">IF($B$16="NON",AN37+1,AN37+0.5)</f>
        <v>39</v>
      </c>
      <c r="AP37" s="88">
        <f t="shared" ref="AP37" si="49">IF($B$16="NON",AO37+1,AO37+0.5)</f>
        <v>40</v>
      </c>
      <c r="AQ37" s="88">
        <f t="shared" ref="AQ37" si="50">IF($B$16="NON",AP37+1,AP37+0.5)</f>
        <v>41</v>
      </c>
      <c r="AR37" s="88">
        <f t="shared" ref="AR37" si="51">IF($B$16="NON",AQ37+1,AQ37+0.5)</f>
        <v>42</v>
      </c>
      <c r="AS37" s="88">
        <f t="shared" ref="AS37" si="52">IF($B$16="NON",AR37+1,AR37+0.5)</f>
        <v>43</v>
      </c>
      <c r="AT37" s="88">
        <f t="shared" ref="AT37" si="53">IF($B$16="NON",AS37+1,AS37+0.5)</f>
        <v>44</v>
      </c>
      <c r="AU37" s="88">
        <f t="shared" ref="AU37" si="54">IF($B$16="NON",AT37+1,AT37+0.5)</f>
        <v>45</v>
      </c>
      <c r="AV37" s="88">
        <f t="shared" ref="AV37" si="55">IF($B$16="NON",AU37+1,AU37+0.5)</f>
        <v>46</v>
      </c>
      <c r="AW37" s="88">
        <f t="shared" ref="AW37" si="56">IF($B$16="NON",AV37+1,AV37+0.5)</f>
        <v>47</v>
      </c>
      <c r="AX37" s="88">
        <f t="shared" ref="AX37" si="57">IF($B$16="NON",AW37+1,AW37+0.5)</f>
        <v>48</v>
      </c>
      <c r="AY37" s="88">
        <f t="shared" ref="AY37" si="58">IF($B$16="NON",AX37+1,AX37+0.5)</f>
        <v>49</v>
      </c>
      <c r="AZ37" s="88">
        <f t="shared" ref="AZ37" si="59">IF($B$16="NON",AY37+1,AY37+0.5)</f>
        <v>50</v>
      </c>
      <c r="BA37" s="88">
        <f t="shared" ref="BA37" si="60">IF($B$16="NON",AZ37+1,AZ37+0.5)</f>
        <v>51</v>
      </c>
      <c r="BB37" s="88">
        <f t="shared" ref="BB37" si="61">IF($B$16="NON",BA37+1,BA37+0.5)</f>
        <v>52</v>
      </c>
      <c r="BC37" s="88">
        <f t="shared" ref="BC37" si="62">IF($B$16="NON",BB37+1,BB37+0.5)</f>
        <v>53</v>
      </c>
      <c r="BD37" s="88">
        <f t="shared" ref="BD37" si="63">IF($B$16="NON",BC37+1,BC37+0.5)</f>
        <v>54</v>
      </c>
      <c r="BE37" s="88">
        <f t="shared" ref="BE37" si="64">IF($B$16="NON",BD37+1,BD37+0.5)</f>
        <v>55</v>
      </c>
      <c r="BF37" s="88">
        <f t="shared" ref="BF37" si="65">IF($B$16="NON",BE37+1,BE37+0.5)</f>
        <v>56</v>
      </c>
      <c r="BG37" s="88">
        <f t="shared" ref="BG37" si="66">IF($B$16="NON",BF37+1,BF37+0.5)</f>
        <v>57</v>
      </c>
      <c r="BH37" s="88">
        <f t="shared" ref="BH37" si="67">IF($B$16="NON",BG37+1,BG37+0.5)</f>
        <v>58</v>
      </c>
      <c r="BI37" s="88">
        <f t="shared" ref="BI37" si="68">IF($B$16="NON",BH37+1,BH37+0.5)</f>
        <v>59</v>
      </c>
      <c r="BJ37" s="88">
        <f t="shared" ref="BJ37" si="69">IF($B$16="NON",BI37+1,BI37+0.5)</f>
        <v>60</v>
      </c>
      <c r="BK37" s="88">
        <f t="shared" ref="BK37" si="70">IF($B$16="NON",BJ37+1,BJ37+0.5)</f>
        <v>61</v>
      </c>
      <c r="BL37" s="88">
        <f t="shared" ref="BL37" si="71">IF($B$16="NON",BK37+1,BK37+0.5)</f>
        <v>62</v>
      </c>
      <c r="BM37" s="88">
        <f t="shared" ref="BM37" si="72">IF($B$16="NON",BL37+1,BL37+0.5)</f>
        <v>63</v>
      </c>
      <c r="BN37" s="88">
        <f t="shared" ref="BN37" si="73">IF($B$16="NON",BM37+1,BM37+0.5)</f>
        <v>64</v>
      </c>
      <c r="BO37" s="88">
        <f t="shared" ref="BO37" si="74">IF($B$16="NON",BN37+1,BN37+0.5)</f>
        <v>65</v>
      </c>
      <c r="BP37" s="88">
        <f t="shared" ref="BP37" si="75">IF($B$16="NON",BO37+1,BO37+0.5)</f>
        <v>66</v>
      </c>
      <c r="BQ37" s="88">
        <f t="shared" ref="BQ37" si="76">IF($B$16="NON",BP37+1,BP37+0.5)</f>
        <v>67</v>
      </c>
      <c r="BR37" s="88">
        <f t="shared" ref="BR37" si="77">IF($B$16="NON",BQ37+1,BQ37+0.5)</f>
        <v>68</v>
      </c>
      <c r="BS37" s="88">
        <f t="shared" ref="BS37" si="78">IF($B$16="NON",BR37+1,BR37+0.5)</f>
        <v>69</v>
      </c>
      <c r="BT37" s="88">
        <f t="shared" ref="BT37" si="79">IF($B$16="NON",BS37+1,BS37+0.5)</f>
        <v>70</v>
      </c>
      <c r="BU37" s="88">
        <f t="shared" ref="BU37" si="80">IF($B$16="NON",BT37+1,BT37+0.5)</f>
        <v>71</v>
      </c>
      <c r="BV37" s="88">
        <f t="shared" ref="BV37" si="81">IF($B$16="NON",BU37+1,BU37+0.5)</f>
        <v>72</v>
      </c>
      <c r="BW37" s="88">
        <f t="shared" ref="BW37" si="82">IF($B$16="NON",BV37+1,BV37+0.5)</f>
        <v>73</v>
      </c>
      <c r="BX37" s="88">
        <f t="shared" ref="BX37" si="83">IF($B$16="NON",BW37+1,BW37+0.5)</f>
        <v>74</v>
      </c>
      <c r="BY37" s="88">
        <f t="shared" ref="BY37" si="84">IF($B$16="NON",BX37+1,BX37+0.5)</f>
        <v>75</v>
      </c>
      <c r="BZ37" s="88">
        <f t="shared" ref="BZ37" si="85">IF($B$16="NON",BY37+1,BY37+0.5)</f>
        <v>76</v>
      </c>
      <c r="CA37" s="88">
        <f t="shared" ref="CA37" si="86">IF($B$16="NON",BZ37+1,BZ37+0.5)</f>
        <v>77</v>
      </c>
      <c r="CB37" s="88">
        <f t="shared" ref="CB37" si="87">IF($B$16="NON",CA37+1,CA37+0.5)</f>
        <v>78</v>
      </c>
      <c r="CC37" s="88">
        <f t="shared" ref="CC37" si="88">IF($B$16="NON",CB37+1,CB37+0.5)</f>
        <v>79</v>
      </c>
      <c r="CD37" s="115">
        <f t="shared" ref="CD37" si="89">IF($B$16="NON",CC37+1,CC37+0.5)</f>
        <v>80</v>
      </c>
      <c r="CE37" s="11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row>
    <row r="38" spans="1:124" x14ac:dyDescent="0.35">
      <c r="A38" s="3" t="s">
        <v>180</v>
      </c>
      <c r="B38" s="88">
        <v>0</v>
      </c>
      <c r="C38" s="88">
        <f>EXP(-1.0587+0.8836*LN(C36)+0.284)</f>
        <v>0.41542055579923082</v>
      </c>
      <c r="D38" s="88">
        <f t="shared" ref="D38:AE38" si="90">EXP(-1.0587+0.8836*LN(D36)+0.284)</f>
        <v>0.76643986660078545</v>
      </c>
      <c r="E38" s="88">
        <f t="shared" si="90"/>
        <v>1.0966608080083624</v>
      </c>
      <c r="F38" s="88">
        <f t="shared" si="90"/>
        <v>1.4140611505968179</v>
      </c>
      <c r="G38" s="88">
        <f t="shared" si="90"/>
        <v>1.7222566815192897</v>
      </c>
      <c r="H38" s="88">
        <f t="shared" si="90"/>
        <v>2.0233099967312578</v>
      </c>
      <c r="I38" s="88">
        <f t="shared" si="90"/>
        <v>2.3185507720937846</v>
      </c>
      <c r="J38" s="88">
        <f t="shared" si="90"/>
        <v>2.6089051793396725</v>
      </c>
      <c r="K38" s="88">
        <f t="shared" si="90"/>
        <v>2.8950539664743791</v>
      </c>
      <c r="L38" s="88">
        <f t="shared" si="90"/>
        <v>3.177517729464268</v>
      </c>
      <c r="M38" s="88">
        <f t="shared" si="90"/>
        <v>3.4567069199829903</v>
      </c>
      <c r="N38" s="88">
        <f t="shared" si="90"/>
        <v>3.7329530817348457</v>
      </c>
      <c r="O38" s="88">
        <f t="shared" si="90"/>
        <v>4.0065293501366055</v>
      </c>
      <c r="P38" s="88">
        <f t="shared" si="90"/>
        <v>4.2776644527179633</v>
      </c>
      <c r="Q38" s="88">
        <f t="shared" si="90"/>
        <v>4.5465525901071517</v>
      </c>
      <c r="R38" s="88">
        <f t="shared" si="90"/>
        <v>4.81336060460516</v>
      </c>
      <c r="S38" s="88">
        <f t="shared" si="90"/>
        <v>5.0782333044806913</v>
      </c>
      <c r="T38" s="88">
        <f t="shared" si="90"/>
        <v>5.3412974993444156</v>
      </c>
      <c r="U38" s="88">
        <f t="shared" si="90"/>
        <v>5.6026651130643454</v>
      </c>
      <c r="V38" s="88">
        <f t="shared" si="90"/>
        <v>5.862435622634961</v>
      </c>
      <c r="W38" s="88">
        <f t="shared" si="90"/>
        <v>6.120697995410775</v>
      </c>
      <c r="X38" s="88">
        <f t="shared" si="90"/>
        <v>6.3775322468881095</v>
      </c>
      <c r="Y38" s="88">
        <f t="shared" si="90"/>
        <v>6.6330107072474558</v>
      </c>
      <c r="Z38" s="88">
        <f t="shared" si="90"/>
        <v>6.8871990614123195</v>
      </c>
      <c r="AA38" s="88">
        <f t="shared" si="90"/>
        <v>7.140157210880437</v>
      </c>
      <c r="AB38" s="88">
        <f t="shared" si="90"/>
        <v>7.3919399937804329</v>
      </c>
      <c r="AC38" s="88">
        <f t="shared" si="90"/>
        <v>7.6425977910346994</v>
      </c>
      <c r="AD38" s="88">
        <f t="shared" si="90"/>
        <v>7.8921770401958238</v>
      </c>
      <c r="AE38" s="88">
        <f t="shared" si="90"/>
        <v>8.1407206738151334</v>
      </c>
      <c r="AF38" s="88">
        <f>EXP(-1.0587+0.8836*LN(AF36)+0.284)</f>
        <v>8.388268495647786</v>
      </c>
      <c r="AG38" s="88">
        <f t="shared" ref="AG38:AO38" si="91">EXP(-1.0587+0.8836*LN(AG36)+0.284)</f>
        <v>8.6348575052881742</v>
      </c>
      <c r="AH38" s="88">
        <f t="shared" si="91"/>
        <v>8.8805221797401614</v>
      </c>
      <c r="AI38" s="88">
        <f t="shared" si="91"/>
        <v>9.1252947188023139</v>
      </c>
      <c r="AJ38" s="88">
        <f t="shared" si="91"/>
        <v>9.3692052598737945</v>
      </c>
      <c r="AK38" s="88">
        <f t="shared" si="91"/>
        <v>9.6122820667788016</v>
      </c>
      <c r="AL38" s="88">
        <f t="shared" si="91"/>
        <v>9.8545516964045792</v>
      </c>
      <c r="AM38" s="88">
        <f t="shared" si="91"/>
        <v>10.096039146303504</v>
      </c>
      <c r="AN38" s="88">
        <f t="shared" si="91"/>
        <v>10.3367679858895</v>
      </c>
      <c r="AO38" s="88">
        <f t="shared" si="91"/>
        <v>10.576760473435781</v>
      </c>
      <c r="AP38" s="88">
        <f t="shared" ref="AP38:CD38" si="92">EXP(-1.0587+0.8836*LN(AP36)+0.284)</f>
        <v>10.816037660735208</v>
      </c>
      <c r="AQ38" s="88">
        <f t="shared" si="92"/>
        <v>11.054619486999963</v>
      </c>
      <c r="AR38" s="88">
        <f t="shared" si="92"/>
        <v>11.292524863342392</v>
      </c>
      <c r="AS38" s="88">
        <f t="shared" si="92"/>
        <v>11.529771748983352</v>
      </c>
      <c r="AT38" s="88">
        <f t="shared" si="92"/>
        <v>11.766377220171686</v>
      </c>
      <c r="AU38" s="88">
        <f t="shared" si="92"/>
        <v>12.002357532661732</v>
      </c>
      <c r="AV38" s="88">
        <f t="shared" si="92"/>
        <v>12.2377281784806</v>
      </c>
      <c r="AW38" s="88">
        <f t="shared" si="92"/>
        <v>12.472503937619972</v>
      </c>
      <c r="AX38" s="88">
        <f t="shared" si="92"/>
        <v>12.70669892520443</v>
      </c>
      <c r="AY38" s="88">
        <f t="shared" si="92"/>
        <v>12.940326634618202</v>
      </c>
      <c r="AZ38" s="88">
        <f t="shared" si="92"/>
        <v>13.173399977011854</v>
      </c>
      <c r="BA38" s="88">
        <f t="shared" si="92"/>
        <v>13.405931317559235</v>
      </c>
      <c r="BB38" s="88">
        <f t="shared" si="92"/>
        <v>13.637932508790355</v>
      </c>
      <c r="BC38" s="88">
        <f t="shared" si="92"/>
        <v>13.869414921287742</v>
      </c>
      <c r="BD38" s="88">
        <f t="shared" si="92"/>
        <v>14.10038947200055</v>
      </c>
      <c r="BE38" s="88">
        <f t="shared" si="92"/>
        <v>14.330866650402026</v>
      </c>
      <c r="BF38" s="88">
        <f t="shared" si="92"/>
        <v>14.560856542690773</v>
      </c>
      <c r="BG38" s="88">
        <f t="shared" si="92"/>
        <v>14.790368854214469</v>
      </c>
      <c r="BH38" s="88">
        <f t="shared" si="92"/>
        <v>15.019412930275323</v>
      </c>
      <c r="BI38" s="88">
        <f t="shared" si="92"/>
        <v>15.247997775460169</v>
      </c>
      <c r="BJ38" s="88">
        <f t="shared" si="92"/>
        <v>15.476132071622843</v>
      </c>
      <c r="BK38" s="88">
        <f t="shared" si="92"/>
        <v>15.703824194633755</v>
      </c>
      <c r="BL38" s="88">
        <f t="shared" si="92"/>
        <v>15.931082230000035</v>
      </c>
      <c r="BM38" s="88">
        <f t="shared" si="92"/>
        <v>16.15791398744928</v>
      </c>
      <c r="BN38" s="88">
        <f t="shared" si="92"/>
        <v>16.384327014561205</v>
      </c>
      <c r="BO38" s="88">
        <f t="shared" si="92"/>
        <v>16.610328609522991</v>
      </c>
      <c r="BP38" s="88">
        <f t="shared" si="92"/>
        <v>16.835925833077539</v>
      </c>
      <c r="BQ38" s="88">
        <f t="shared" si="92"/>
        <v>17.06112551972695</v>
      </c>
      <c r="BR38" s="88">
        <f t="shared" si="92"/>
        <v>17.285934288248196</v>
      </c>
      <c r="BS38" s="88">
        <f t="shared" si="92"/>
        <v>17.510358551572615</v>
      </c>
      <c r="BT38" s="88">
        <f t="shared" si="92"/>
        <v>17.734404526076432</v>
      </c>
      <c r="BU38" s="88">
        <f t="shared" si="92"/>
        <v>17.958078240325325</v>
      </c>
      <c r="BV38" s="88">
        <f t="shared" si="92"/>
        <v>18.181385543312242</v>
      </c>
      <c r="BW38" s="88">
        <f t="shared" si="92"/>
        <v>18.404332112224708</v>
      </c>
      <c r="BX38" s="88">
        <f t="shared" si="92"/>
        <v>18.626923459774289</v>
      </c>
      <c r="BY38" s="88">
        <f t="shared" si="92"/>
        <v>18.849164941118623</v>
      </c>
      <c r="BZ38" s="88">
        <f t="shared" si="92"/>
        <v>19.07106176040384</v>
      </c>
      <c r="CA38" s="88">
        <f t="shared" si="92"/>
        <v>19.292618976952735</v>
      </c>
      <c r="CB38" s="88">
        <f t="shared" si="92"/>
        <v>19.513841511122433</v>
      </c>
      <c r="CC38" s="88">
        <f t="shared" si="92"/>
        <v>19.734734149853068</v>
      </c>
      <c r="CD38" s="115">
        <f t="shared" si="92"/>
        <v>19.955301551927469</v>
      </c>
      <c r="CE38" s="129"/>
    </row>
    <row r="39" spans="1:124" ht="15" thickBot="1" x14ac:dyDescent="0.4">
      <c r="A39" s="3" t="s">
        <v>181</v>
      </c>
      <c r="B39" s="88">
        <f t="shared" ref="B39:AF39" si="93">(B19*(($B$45-$B$44)/30))</f>
        <v>0</v>
      </c>
      <c r="C39" s="101">
        <f t="shared" si="93"/>
        <v>0.33333333333333331</v>
      </c>
      <c r="D39" s="101">
        <f t="shared" si="93"/>
        <v>0.66666666666666663</v>
      </c>
      <c r="E39" s="101">
        <f t="shared" si="93"/>
        <v>1</v>
      </c>
      <c r="F39" s="101">
        <f t="shared" si="93"/>
        <v>1.3333333333333333</v>
      </c>
      <c r="G39" s="101">
        <f t="shared" si="93"/>
        <v>1.6666666666666665</v>
      </c>
      <c r="H39" s="101">
        <f t="shared" si="93"/>
        <v>2</v>
      </c>
      <c r="I39" s="101">
        <f t="shared" si="93"/>
        <v>2.333333333333333</v>
      </c>
      <c r="J39" s="101">
        <f t="shared" si="93"/>
        <v>2.6666666666666665</v>
      </c>
      <c r="K39" s="101">
        <f t="shared" si="93"/>
        <v>3</v>
      </c>
      <c r="L39" s="101">
        <f t="shared" si="93"/>
        <v>3.333333333333333</v>
      </c>
      <c r="M39" s="101">
        <f t="shared" si="93"/>
        <v>3.6666666666666665</v>
      </c>
      <c r="N39" s="101">
        <f t="shared" si="93"/>
        <v>4</v>
      </c>
      <c r="O39" s="101">
        <f t="shared" si="93"/>
        <v>4.333333333333333</v>
      </c>
      <c r="P39" s="101">
        <f t="shared" si="93"/>
        <v>4.6666666666666661</v>
      </c>
      <c r="Q39" s="101">
        <f t="shared" si="93"/>
        <v>5</v>
      </c>
      <c r="R39" s="101">
        <f t="shared" si="93"/>
        <v>5.333333333333333</v>
      </c>
      <c r="S39" s="101">
        <f t="shared" si="93"/>
        <v>5.6666666666666661</v>
      </c>
      <c r="T39" s="101">
        <f t="shared" si="93"/>
        <v>6</v>
      </c>
      <c r="U39" s="101">
        <f t="shared" si="93"/>
        <v>6.333333333333333</v>
      </c>
      <c r="V39" s="101">
        <f t="shared" si="93"/>
        <v>6.6666666666666661</v>
      </c>
      <c r="W39" s="101">
        <f t="shared" si="93"/>
        <v>7</v>
      </c>
      <c r="X39" s="101">
        <f t="shared" si="93"/>
        <v>7.333333333333333</v>
      </c>
      <c r="Y39" s="101">
        <f t="shared" si="93"/>
        <v>7.6666666666666661</v>
      </c>
      <c r="Z39" s="101">
        <f t="shared" si="93"/>
        <v>8</v>
      </c>
      <c r="AA39" s="101">
        <f t="shared" si="93"/>
        <v>8.3333333333333321</v>
      </c>
      <c r="AB39" s="101">
        <f t="shared" si="93"/>
        <v>8.6666666666666661</v>
      </c>
      <c r="AC39" s="101">
        <f t="shared" si="93"/>
        <v>9</v>
      </c>
      <c r="AD39" s="101">
        <f t="shared" si="93"/>
        <v>9.3333333333333321</v>
      </c>
      <c r="AE39" s="101">
        <f t="shared" si="93"/>
        <v>9.6666666666666661</v>
      </c>
      <c r="AF39" s="101">
        <f t="shared" si="93"/>
        <v>10</v>
      </c>
      <c r="AG39" s="101">
        <f>10</f>
        <v>10</v>
      </c>
      <c r="AH39" s="101">
        <f>10</f>
        <v>10</v>
      </c>
      <c r="AI39" s="101">
        <f>10</f>
        <v>10</v>
      </c>
      <c r="AJ39" s="101">
        <f>10</f>
        <v>10</v>
      </c>
      <c r="AK39" s="101">
        <f>10</f>
        <v>10</v>
      </c>
      <c r="AL39" s="101">
        <f>10</f>
        <v>10</v>
      </c>
      <c r="AM39" s="101">
        <f>10</f>
        <v>10</v>
      </c>
      <c r="AN39" s="101">
        <f>10</f>
        <v>10</v>
      </c>
      <c r="AO39" s="101">
        <f>10</f>
        <v>10</v>
      </c>
      <c r="AP39" s="101">
        <f>10</f>
        <v>10</v>
      </c>
      <c r="AQ39" s="101">
        <f>10</f>
        <v>10</v>
      </c>
      <c r="AR39" s="101">
        <f>10</f>
        <v>10</v>
      </c>
      <c r="AS39" s="101">
        <f>10</f>
        <v>10</v>
      </c>
      <c r="AT39" s="101">
        <f>10</f>
        <v>10</v>
      </c>
      <c r="AU39" s="101">
        <f>10</f>
        <v>10</v>
      </c>
      <c r="AV39" s="101">
        <f>10</f>
        <v>10</v>
      </c>
      <c r="AW39" s="101">
        <f>10</f>
        <v>10</v>
      </c>
      <c r="AX39" s="101">
        <f>10</f>
        <v>10</v>
      </c>
      <c r="AY39" s="101">
        <f>10</f>
        <v>10</v>
      </c>
      <c r="AZ39" s="101">
        <f>10</f>
        <v>10</v>
      </c>
      <c r="BA39" s="101">
        <f>10</f>
        <v>10</v>
      </c>
      <c r="BB39" s="101">
        <f>10</f>
        <v>10</v>
      </c>
      <c r="BC39" s="101">
        <f>10</f>
        <v>10</v>
      </c>
      <c r="BD39" s="101">
        <f>10</f>
        <v>10</v>
      </c>
      <c r="BE39" s="101">
        <f>10</f>
        <v>10</v>
      </c>
      <c r="BF39" s="101">
        <f>10</f>
        <v>10</v>
      </c>
      <c r="BG39" s="101">
        <f>10</f>
        <v>10</v>
      </c>
      <c r="BH39" s="101">
        <f>10</f>
        <v>10</v>
      </c>
      <c r="BI39" s="101">
        <f>10</f>
        <v>10</v>
      </c>
      <c r="BJ39" s="101">
        <f>10</f>
        <v>10</v>
      </c>
      <c r="BK39" s="101">
        <f>10</f>
        <v>10</v>
      </c>
      <c r="BL39" s="101">
        <f>10</f>
        <v>10</v>
      </c>
      <c r="BM39" s="101">
        <f>10</f>
        <v>10</v>
      </c>
      <c r="BN39" s="101">
        <f>10</f>
        <v>10</v>
      </c>
      <c r="BO39" s="101">
        <f>10</f>
        <v>10</v>
      </c>
      <c r="BP39" s="101">
        <f>10</f>
        <v>10</v>
      </c>
      <c r="BQ39" s="101">
        <f>10</f>
        <v>10</v>
      </c>
      <c r="BR39" s="101">
        <f>10</f>
        <v>10</v>
      </c>
      <c r="BS39" s="101">
        <f>10</f>
        <v>10</v>
      </c>
      <c r="BT39" s="101">
        <f>10</f>
        <v>10</v>
      </c>
      <c r="BU39" s="101">
        <f>10</f>
        <v>10</v>
      </c>
      <c r="BV39" s="101">
        <f>10</f>
        <v>10</v>
      </c>
      <c r="BW39" s="101">
        <f>10</f>
        <v>10</v>
      </c>
      <c r="BX39" s="101">
        <f>10</f>
        <v>10</v>
      </c>
      <c r="BY39" s="101">
        <f>10</f>
        <v>10</v>
      </c>
      <c r="BZ39" s="101">
        <f>10</f>
        <v>10</v>
      </c>
      <c r="CA39" s="101">
        <f>10</f>
        <v>10</v>
      </c>
      <c r="CB39" s="101">
        <f>10</f>
        <v>10</v>
      </c>
      <c r="CC39" s="101">
        <f>10</f>
        <v>10</v>
      </c>
      <c r="CD39" s="128">
        <f>10</f>
        <v>10</v>
      </c>
      <c r="CE39" s="129"/>
    </row>
    <row r="40" spans="1:124" x14ac:dyDescent="0.35">
      <c r="A40" s="177" t="s">
        <v>11</v>
      </c>
      <c r="B40" s="178"/>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row>
    <row r="41" spans="1:124" ht="29.5" thickBot="1" x14ac:dyDescent="0.4">
      <c r="A41" s="3" t="s">
        <v>4</v>
      </c>
      <c r="B41" s="25">
        <v>0.47499999999999998</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124" ht="15" thickBot="1" x14ac:dyDescent="0.4">
      <c r="A42" s="3" t="s">
        <v>5</v>
      </c>
      <c r="B42" s="14">
        <f>(1.3+1.56)/2</f>
        <v>1.4300000000000002</v>
      </c>
      <c r="C42" s="91">
        <f>IF($B$14="Conifères",1.3,1.56)</f>
        <v>1.56</v>
      </c>
      <c r="D42" s="15"/>
      <c r="E42" s="15"/>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124" ht="29.5" thickBot="1" x14ac:dyDescent="0.4">
      <c r="A43" s="11" t="s">
        <v>147</v>
      </c>
      <c r="B43" s="48" t="s">
        <v>31</v>
      </c>
      <c r="C43" s="119">
        <f>IF(B43="Alisier torminal",0.62,IF(B43="Arbousier",0.64,IF(B43="Aulne vert",0.42,IF(B43="Grands aulnes",0.42,IF(B43="Bouleaux",0.52,IF(B43="Cèdre de l’Atlas",0.36,IF(B43="Charme",0.61,IF(B43="Charme-houblon",0.66,IF(B43="Châtaignier",0.47,IF(B43="Chêne chevelu",0.67,IF(B43="Chêne-liège",0.7,IF(B43="Chêne pédonculé",0.54,IF(B43="Chêne pubescent",0.65,IF(B43="Chêne rouge d’Amérique",0.56,IF(B43="Chêne rouvre (sessile)",0.58,IF(B43="Chêne tauzin",0.64,IF(B43="Chêne vert",0.73,IF(B43="Chênes indifférenciés",0.56,IF(B43="Cornouiller mâle",0.74,IF(B43="Cyprès",0.4,IF(B43="Cytise aubour",0.6,IF(B43="Douglas",0.43,IF(B43="Epicéa commun",0.37,IF(B43="Epicéa de Sitka",0.36,IF(B43="Grands érables",0.51,IF(B43="Petits érables",0.56,IF(B43="Eucalyptus",0.56,IF(B43="Genévrier thurifère",0.48,IF(B43="Hêtre",0.55,IF(B43="Frênes",0.56,IF(B43="Fruitiers",0.58,IF(B43="If",0.58,IF(B43="Mélèze d’Europe",0.48,IF(B43="Mélèze du Japon",0.42,IF(B43="Merisier",0.5,IF(B43="Micocoulier",0.55,IF(B43="Mûrier",0.53,IF(B43="Noisetier",0.52,IF(B43="Noyer",0.52,IF(B43="Olivier",0.75,IF(B43="Ormes",0.52,IF(B43="Peupliers cultivés",0.35,IF(B43="Peupliers non cultivés",0.37,IF(B43="Pin d'Alep",0.45,IF(B43="Pin cembro",0.39,IF(B43="Pin à crochets",0.44,IF(B43="Pin laricio",0.46,IF(B43="Pin maritime",0.46,IF(B43="Pin mugho",0.44,IF(B43="Pin noir d'Autriche",0.46,IF(B43="Pin pignon",0.48,IF(B43="Pin sylvestre",0.44,IF(B43="Pin Weymouth",0.34,IF(B43="Platanes",0.5,IF(B43="Robinier faux acacia",0.58,IF(B43="Sapin méditerranéen",0.37,IF(B43="Sapin de Nordmann",0.37,IF(B43="Sapin pectiné",0.38,IF(B43="Sapin de Vancouver",0.36,IF(B43="Saules",0.37,IF(B43="Tamaris",0.53,IF(B43="Tilleuls",0.43,IF(B43="Tremble",0.38,IF(B43="Conifères (moyenne)",0.42,IF(B43="Feuillus (moyenne)",0.57,0)))))))))))))))))))))))))))))))))))))))))))))))))))))))))))))))))</f>
        <v>0.57999999999999996</v>
      </c>
      <c r="D43" s="120" t="s">
        <v>63</v>
      </c>
      <c r="E43" s="121">
        <f>IF(D43="Alisier torminal",0.62,IF(D43="Arbousier",0.64,IF(D43="Aulne vert",0.42,IF(D43="Grands aulnes",0.42,IF(D43="Bouleaux",0.52,IF(D43="Cèdre de l’Atlas",0.36,IF(D43="Charme",0.61,IF(D43="Charme-houblon",0.66,IF(D43="Châtaignier",0.47,IF(D43="Chêne chevelu",0.67,IF(D43="Chêne-liège",0.7,IF(D43="Chêne pédonculé",0.54,IF(D43="Chêne pubescent",0.65,IF(D43="Chêne rouge d’Amérique",0.56,IF(D43="Chêne rouvre (sessile)",0.58,IF(D43="Chêne tauzin",0.64,IF(D43="Chêne vert",0.73,IF(D43="Chênes indifférenciés",0.56,IF(D43="Cornouiller mâle",0.74,IF(D43="Cyprès",0.4,IF(D43="Cytise aubour",0.6,IF(D43="Douglas",0.43,IF(D43="Epicéa commun",0.37,IF(D43="Epicéa de Sitka",0.36,IF(D43="Grands érables",0.51,IF(D43="Petits érables",0.56,IF(D43="Eucalyptus",0.56,IF(D43="Genévrier thurifère",0.48,IF(D43="Hêtre",0.55,IF(D43="Frênes",0.56,IF(D43="Fruitiers",0.58,IF(D43="If",0.58,IF(D43="Mélèze d’Europe",0.48,IF(D43="Mélèze du Japon",0.42,IF(D43="Merisier",0.5,IF(D43="Micocoulier",0.55,IF(D43="Mûrier",0.53,IF(D43="Noisetier",0.52,IF(D43="Noyer",0.52,IF(D43="Olivier",0.75,IF(D43="Ormes",0.52,IF(D43="Peupliers cultivés",0.35,IF(D43="Peupliers non cultivés",0.37,IF(D43="Pin d'Alep",0.45,IF(D43="Pin cembro",0.39,IF(D43="Pin à crochets",0.44,IF(D43="Pin laricio",0.46,IF(D43="Pin maritime",0.46,IF(D43="Pin mugho",0.44,IF(D43="Pin noir d'Autriche",0.46,IF(D43="Pin pignon",0.48,IF(D43="Pin sylvestre",0.44,IF(D43="Pin Weymouth",0.34,IF(D43="Platanes",0.5,IF(D43="Robinier faux acacia",0.58,IF(D43="Sapin méditerranéen",0.37,IF(D43="Sapin de Nordmann",0.37,IF(D43="Sapin pectiné",0.38,IF(D43="Sapin de Vancouver",0.36,IF(D43="Saules",0.37,IF(D43="Tamaris",0.53,IF(D43="Tilleuls",0.43,IF(D43="Tremble",0.38,IF(D43="Conifères (moyenne)",0.42,IF(D43="Feuillus (moyenne)",0.57,0)))))))))))))))))))))))))))))))))))))))))))))))))))))))))))))))))</f>
        <v>0.44</v>
      </c>
      <c r="F43" s="120" t="s">
        <v>60</v>
      </c>
      <c r="G43" s="121">
        <f>IF(F43="Alisier torminal",0.62,IF(F43="Arbousier",0.64,IF(F43="Aulne vert",0.42,IF(F43="Grands aulnes",0.42,IF(F43="Bouleaux",0.52,IF(F43="Cèdre de l’Atlas",0.36,IF(F43="Charme",0.61,IF(F43="Charme-houblon",0.66,IF(F43="Châtaignier",0.47,IF(F43="Chêne chevelu",0.67,IF(F43="Chêne-liège",0.7,IF(F43="Chêne pédonculé",0.54,IF(F43="Chêne pubescent",0.65,IF(F43="Chêne rouge d’Amérique",0.56,IF(F43="Chêne rouvre (sessile)",0.58,IF(F43="Chêne tauzin",0.64,IF(F43="Chêne vert",0.73,IF(F43="Chênes indifférenciés",0.56,IF(F43="Cornouiller mâle",0.74,IF(F43="Cyprès",0.4,IF(F43="Cytise aubour",0.6,IF(F43="Douglas",0.43,IF(F43="Epicéa commun",0.37,IF(F43="Epicéa de Sitka",0.36,IF(F43="Grands érables",0.51,IF(F43="Petits érables",0.56,IF(F43="Eucalyptus",0.56,IF(F43="Genévrier thurifère",0.48,IF(F43="Hêtre",0.55,IF(F43="Frênes",0.56,IF(F43="Fruitiers",0.58,IF(F43="If",0.58,IF(F43="Mélèze d’Europe",0.48,IF(F43="Mélèze du Japon",0.42,IF(F43="Merisier",0.5,IF(F43="Micocoulier",0.55,IF(F43="Mûrier",0.53,IF(F43="Noisetier",0.52,IF(F43="Noyer",0.52,IF(F43="Olivier",0.75,IF(F43="Ormes",0.52,IF(F43="Peupliers cultivés",0.35,IF(F43="Peupliers non cultivés",0.37,IF(F43="Pin d'Alep",0.45,IF(F43="Pin cembro",0.39,IF(F43="Pin à crochets",0.44,IF(F43="Pin laricio",0.46,IF(F43="Pin maritime",0.46,IF(F43="Pin mugho",0.44,IF(F43="Pin noir d'Autriche",0.46,IF(F43="Pin pignon",0.48,IF(F43="Pin sylvestre",0.44,IF(F43="Pin Weymouth",0.34,IF(F43="Platanes",0.5,IF(F43="Robinier faux acacia",0.58,IF(F43="Sapin méditerranéen",0.37,IF(F43="Sapin de Nordmann",0.37,IF(F43="Sapin pectiné",0.38,IF(F43="Sapin de Vancouver",0.36,IF(F43="Saules",0.37,IF(F43="Tamaris",0.53,IF(F43="Tilleuls",0.43,IF(F43="Tremble",0.38,IF(F43="Conifères (moyenne)",0.42,IF(F43="Feuillus (moyenne)",0.57,0)))))))))))))))))))))))))))))))))))))))))))))))))))))))))))))))))</f>
        <v>0.46</v>
      </c>
      <c r="H43" s="122" t="s">
        <v>75</v>
      </c>
      <c r="I43" s="24">
        <f>IF(H43="Alisier torminal",0.62,IF(H43="Arbousier",0.64,IF(H43="Aulne vert",0.42,IF(H43="Grands aulnes",0.42,IF(H43="Bouleaux",0.52,IF(H43="Cèdre de l’Atlas",0.36,IF(H43="Charme",0.61,IF(H43="Charme-houblon",0.66,IF(H43="Châtaignier",0.47,IF(H43="Chêne chevelu",0.67,IF(H43="Chêne-liège",0.7,IF(H43="Chêne pédonculé",0.54,IF(H43="Chêne pubescent",0.65,IF(H43="Chêne rouge d’Amérique",0.56,IF(H43="Chêne rouvre (sessile)",0.58,IF(H43="Chêne tauzin",0.64,IF(H43="Chêne vert",0.73,IF(H43="Chênes indifférenciés",0.56,IF(H43="Cornouiller mâle",0.74,IF(H43="Cyprès",0.4,IF(H43="Cytise aubour",0.6,IF(H43="Douglas",0.43,IF(H43="Epicéa commun",0.37,IF(H43="Epicéa de Sitka",0.36,IF(H43="Grands érables",0.51,IF(H43="Petits érables",0.56,IF(H43="Eucalyptus",0.56,IF(H43="Genévrier thurifère",0.48,IF(H43="Hêtre",0.55,IF(H43="Frênes",0.56,IF(H43="Fruitiers",0.58,IF(H43="If",0.58,IF(H43="Mélèze d’Europe",0.48,IF(H43="Mélèze du Japon",0.42,IF(H43="Merisier",0.5,IF(H43="Micocoulier",0.55,IF(H43="Mûrier",0.53,IF(H43="Noisetier",0.52,IF(H43="Noyer",0.52,IF(H43="Olivier",0.75,IF(H43="Ormes",0.52,IF(H43="Peupliers cultivés",0.35,IF(H43="Peupliers non cultivés",0.37,IF(H43="Pin d'Alep",0.45,IF(H43="Pin cembro",0.39,IF(H43="Pin à crochets",0.44,IF(H43="Pin laricio",0.46,IF(H43="Pin maritime",0.46,IF(H43="Pin mugho",0.44,IF(H43="Pin noir d'Autriche",0.46,IF(H43="Pin pignon",0.48,IF(H43="Pin sylvestre",0.44,IF(H43="Pin Weymouth",0.34,IF(H43="Platanes",0.5,IF(H43="Robinier faux acacia",0.58,IF(H43="Sapin méditerranéen",0.37,IF(H43="Sapin de Nordmann",0.37,IF(H43="Sapin pectiné",0.38,IF(H43="Sapin de Vancouver",0.36,IF(H43="Saules",0.37,IF(H43="Tamaris",0.53,IF(H43="Tilleuls",0.43,IF(H43="Tremble",0.38,IF(H43="Conifères (moyenne)",0.42,IF(H43="Feuillus (moyenne)",0.57,0)))))))))))))))))))))))))))))))))))))))))))))))))))))))))))))))))</f>
        <v>0.56999999999999995</v>
      </c>
      <c r="J43" s="7"/>
      <c r="K43" s="7"/>
      <c r="L43" s="7"/>
      <c r="M43" s="7"/>
      <c r="N43" s="7"/>
      <c r="O43" s="7"/>
      <c r="P43" s="7"/>
      <c r="Q43" s="7"/>
      <c r="R43" s="7"/>
      <c r="S43" s="7"/>
      <c r="T43" s="7"/>
      <c r="U43" s="7"/>
      <c r="V43" s="7"/>
      <c r="W43" s="7"/>
      <c r="X43" s="7"/>
      <c r="Y43" s="7"/>
      <c r="Z43" s="7"/>
      <c r="AA43" s="7"/>
      <c r="AB43" s="7"/>
      <c r="AC43" s="7"/>
      <c r="AD43" s="7"/>
      <c r="AE43" s="7"/>
      <c r="AF43" s="7"/>
    </row>
    <row r="44" spans="1:124" ht="29" x14ac:dyDescent="0.35">
      <c r="A44" s="3" t="s">
        <v>10</v>
      </c>
      <c r="B44" s="25">
        <v>0</v>
      </c>
      <c r="C44" s="7"/>
      <c r="D44" s="7"/>
      <c r="E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124" x14ac:dyDescent="0.35">
      <c r="A45" s="3" t="s">
        <v>8</v>
      </c>
      <c r="B45" s="25">
        <v>10</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124" ht="29" x14ac:dyDescent="0.35">
      <c r="A46" s="3" t="s">
        <v>12</v>
      </c>
      <c r="B46" s="25">
        <v>70</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124" ht="17.5" customHeight="1" thickBot="1" x14ac:dyDescent="0.4">
      <c r="A47" s="173"/>
      <c r="B47" s="174"/>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row>
    <row r="48" spans="1:124" ht="58.5" thickBot="1" x14ac:dyDescent="0.4">
      <c r="A48" s="4" t="s">
        <v>183</v>
      </c>
      <c r="B48" s="94">
        <f>AF21-(AF35*$B$10)</f>
        <v>2390.9798192414992</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ht="44" thickBot="1" x14ac:dyDescent="0.4">
      <c r="A49" s="4" t="s">
        <v>184</v>
      </c>
      <c r="B49" s="90">
        <f>(1/B11)*SUM(B21:CD21)</f>
        <v>7010.1034459617413</v>
      </c>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row>
    <row r="50" spans="1:32" ht="44" thickBot="1" x14ac:dyDescent="0.4">
      <c r="A50" s="4" t="s">
        <v>185</v>
      </c>
      <c r="B50" s="90">
        <f>(1/$B$13)*(SUM(B35:CD35)*$B$10)</f>
        <v>5383.6481932361366</v>
      </c>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row>
    <row r="51" spans="1:32" ht="73" thickBot="1" x14ac:dyDescent="0.4">
      <c r="A51" s="4" t="s">
        <v>186</v>
      </c>
      <c r="B51" s="94">
        <f>B49-B50</f>
        <v>1626.4552527256046</v>
      </c>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row>
  </sheetData>
  <mergeCells count="3">
    <mergeCell ref="A47:B47"/>
    <mergeCell ref="A9:B9"/>
    <mergeCell ref="A40:B40"/>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showInputMessage="1" showErrorMessage="1" prompt="Information nécessaire pour le scénario de référence">
          <x14:formula1>
            <xm:f>'Listes choix'!$T$2:$T$3</xm:f>
          </x14:formula1>
          <xm:sqref>B16</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l'essence pour avoir la di pour le scénario de projet">
          <x14:formula1>
            <xm:f>'Listes choix'!$C$2:$C$66</xm:f>
          </x14:formula1>
          <xm:sqref>B43 D43 F43</xm:sqref>
        </x14:dataValidation>
        <x14:dataValidation type="list" showInputMessage="1" showErrorMessage="1" prompt="Information nécessaire pour le calcul du stock de la Biomasse Aérienne du scénario de référence">
          <x14:formula1>
            <xm:f>'Listes choix'!$B$2:$B$3</xm:f>
          </x14:formula1>
          <xm:sqref>B14</xm:sqref>
        </x14:dataValidation>
        <x14:dataValidation type="list" allowBlank="1" showInputMessage="1" showErrorMessage="1" prompt="Choisir l'essence pour avoir la di pour le scénario de référence">
          <x14:formula1>
            <xm:f>'Listes choix'!$C$2:$C$66</xm:f>
          </x14:formula1>
          <xm:sqref>H43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39"/>
  <sheetViews>
    <sheetView zoomScale="78" workbookViewId="0">
      <selection activeCell="B6" sqref="B6"/>
    </sheetView>
  </sheetViews>
  <sheetFormatPr baseColWidth="10" defaultRowHeight="14.5" x14ac:dyDescent="0.35"/>
  <cols>
    <col min="1" max="1" width="36.81640625" style="1" customWidth="1"/>
    <col min="2" max="2" width="19.90625" customWidth="1"/>
    <col min="4" max="4" width="13.1796875" customWidth="1"/>
  </cols>
  <sheetData>
    <row r="1" spans="1:177" x14ac:dyDescent="0.35">
      <c r="D1" s="99"/>
    </row>
    <row r="4" spans="1:177" ht="16" thickBot="1" x14ac:dyDescent="0.4">
      <c r="A4" s="19"/>
      <c r="B4" s="7"/>
    </row>
    <row r="5" spans="1:177" ht="47" thickBot="1" x14ac:dyDescent="0.4">
      <c r="A5" s="20" t="s">
        <v>198</v>
      </c>
      <c r="B5" s="95">
        <f>(SUM(B14:AF14)/30)*(44/12)</f>
        <v>41.287023240519481</v>
      </c>
    </row>
    <row r="7" spans="1:177" ht="15" thickBot="1" x14ac:dyDescent="0.4"/>
    <row r="8" spans="1:177" x14ac:dyDescent="0.35">
      <c r="A8" s="175" t="s">
        <v>14</v>
      </c>
      <c r="B8" s="176"/>
    </row>
    <row r="9" spans="1:177" ht="15" thickBot="1" x14ac:dyDescent="0.4">
      <c r="A9" s="4" t="s">
        <v>15</v>
      </c>
      <c r="B9" s="21">
        <v>30</v>
      </c>
    </row>
    <row r="10" spans="1:177" ht="15" thickBot="1" x14ac:dyDescent="0.4"/>
    <row r="11" spans="1:177" s="5" customFormat="1" ht="15.5" x14ac:dyDescent="0.35">
      <c r="A11" s="183" t="s">
        <v>1</v>
      </c>
      <c r="B11" s="184"/>
      <c r="C11" s="184"/>
      <c r="D11" s="184"/>
      <c r="E11" s="184"/>
      <c r="F11" s="184"/>
      <c r="G11" s="184"/>
      <c r="H11" s="184"/>
      <c r="I11" s="184"/>
      <c r="J11" s="184"/>
      <c r="K11" s="184"/>
      <c r="L11" s="184"/>
      <c r="M11" s="184"/>
      <c r="N11" s="184"/>
      <c r="O11" s="184"/>
      <c r="P11" s="184"/>
      <c r="Q11" s="184"/>
      <c r="R11" s="184"/>
      <c r="S11" s="184"/>
      <c r="T11" s="184"/>
      <c r="U11" s="184"/>
      <c r="V11" s="184"/>
      <c r="W11" s="184"/>
      <c r="X11" s="184"/>
      <c r="Y11" s="184"/>
      <c r="Z11" s="184"/>
      <c r="AA11" s="184"/>
      <c r="AB11" s="184"/>
      <c r="AC11" s="184"/>
      <c r="AD11" s="184"/>
      <c r="AE11" s="184"/>
      <c r="AF11" s="185"/>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row>
    <row r="12" spans="1:177" ht="29" x14ac:dyDescent="0.35">
      <c r="A12" s="3" t="s">
        <v>159</v>
      </c>
      <c r="B12" s="12">
        <v>0</v>
      </c>
      <c r="C12" s="12">
        <v>1</v>
      </c>
      <c r="D12" s="12">
        <v>2</v>
      </c>
      <c r="E12" s="12">
        <v>3</v>
      </c>
      <c r="F12" s="12">
        <v>4</v>
      </c>
      <c r="G12" s="12">
        <v>5</v>
      </c>
      <c r="H12" s="12">
        <v>6</v>
      </c>
      <c r="I12" s="12">
        <v>7</v>
      </c>
      <c r="J12" s="12">
        <v>8</v>
      </c>
      <c r="K12" s="12">
        <v>9</v>
      </c>
      <c r="L12" s="12">
        <v>10</v>
      </c>
      <c r="M12" s="12">
        <v>11</v>
      </c>
      <c r="N12" s="12">
        <v>12</v>
      </c>
      <c r="O12" s="110">
        <v>13</v>
      </c>
      <c r="P12" s="12">
        <v>14</v>
      </c>
      <c r="Q12" s="12">
        <v>15</v>
      </c>
      <c r="R12" s="110">
        <v>16</v>
      </c>
      <c r="S12" s="12">
        <v>17</v>
      </c>
      <c r="T12" s="12">
        <v>18</v>
      </c>
      <c r="U12" s="12">
        <v>19</v>
      </c>
      <c r="V12" s="12">
        <v>20</v>
      </c>
      <c r="W12" s="110">
        <v>21</v>
      </c>
      <c r="X12" s="12">
        <v>22</v>
      </c>
      <c r="Y12" s="12">
        <v>23</v>
      </c>
      <c r="Z12" s="12">
        <v>24</v>
      </c>
      <c r="AA12" s="147">
        <v>25</v>
      </c>
      <c r="AB12" s="12">
        <v>26</v>
      </c>
      <c r="AC12" s="12">
        <v>27</v>
      </c>
      <c r="AD12" s="12">
        <v>28</v>
      </c>
      <c r="AE12" s="12">
        <v>29</v>
      </c>
      <c r="AF12" s="25">
        <v>30</v>
      </c>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row>
    <row r="13" spans="1:177" s="5" customFormat="1" x14ac:dyDescent="0.35">
      <c r="A13" s="186" t="s">
        <v>3</v>
      </c>
      <c r="B13" s="187"/>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8"/>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ht="29" x14ac:dyDescent="0.35">
      <c r="A14" s="3" t="s">
        <v>215</v>
      </c>
      <c r="B14" s="12">
        <f>SUM(B15,B18,B21)</f>
        <v>0</v>
      </c>
      <c r="C14" s="12">
        <f t="shared" ref="C14:AE14" si="0">SUM(C15,C18,C21)</f>
        <v>0</v>
      </c>
      <c r="D14" s="12">
        <f t="shared" si="0"/>
        <v>0</v>
      </c>
      <c r="E14" s="12">
        <f t="shared" si="0"/>
        <v>0</v>
      </c>
      <c r="F14" s="12">
        <f t="shared" si="0"/>
        <v>0</v>
      </c>
      <c r="G14" s="12">
        <f t="shared" si="0"/>
        <v>0</v>
      </c>
      <c r="H14" s="12">
        <f t="shared" si="0"/>
        <v>0</v>
      </c>
      <c r="I14" s="12">
        <f t="shared" si="0"/>
        <v>0</v>
      </c>
      <c r="J14" s="12">
        <f t="shared" si="0"/>
        <v>0</v>
      </c>
      <c r="K14" s="12">
        <f t="shared" si="0"/>
        <v>0</v>
      </c>
      <c r="L14" s="12">
        <f t="shared" si="0"/>
        <v>0</v>
      </c>
      <c r="M14" s="12">
        <f t="shared" si="0"/>
        <v>0</v>
      </c>
      <c r="N14" s="12">
        <f t="shared" si="0"/>
        <v>0</v>
      </c>
      <c r="O14" s="12">
        <f t="shared" si="0"/>
        <v>0</v>
      </c>
      <c r="P14" s="27">
        <f>SUM(P15,P18,P21)</f>
        <v>13.960053679749405</v>
      </c>
      <c r="Q14" s="12">
        <f t="shared" si="0"/>
        <v>9.8712486226790208</v>
      </c>
      <c r="R14" s="12">
        <f t="shared" si="0"/>
        <v>6.9800268398747036</v>
      </c>
      <c r="S14" s="12">
        <f t="shared" si="0"/>
        <v>23.982526369234868</v>
      </c>
      <c r="T14" s="12">
        <f t="shared" si="0"/>
        <v>18.002793676810271</v>
      </c>
      <c r="U14" s="12">
        <f t="shared" si="0"/>
        <v>13.754000433220053</v>
      </c>
      <c r="V14" s="12">
        <f t="shared" si="0"/>
        <v>10.729567884726215</v>
      </c>
      <c r="W14" s="12">
        <f t="shared" si="0"/>
        <v>8.5712828827930068</v>
      </c>
      <c r="X14" s="12">
        <f t="shared" si="0"/>
        <v>30.0061598045789</v>
      </c>
      <c r="Y14" s="12">
        <f t="shared" si="0"/>
        <v>24.483619998537321</v>
      </c>
      <c r="Z14" s="12">
        <f t="shared" si="0"/>
        <v>20.514549189706194</v>
      </c>
      <c r="AA14" s="12">
        <f t="shared" si="0"/>
        <v>17.645202735623489</v>
      </c>
      <c r="AB14" s="12">
        <f t="shared" si="0"/>
        <v>34.67214115987268</v>
      </c>
      <c r="AC14" s="12">
        <f t="shared" si="0"/>
        <v>30.268161118125199</v>
      </c>
      <c r="AD14" s="12">
        <f t="shared" si="0"/>
        <v>27.020149537785763</v>
      </c>
      <c r="AE14" s="12">
        <f t="shared" si="0"/>
        <v>24.592735646299307</v>
      </c>
      <c r="AF14" s="27">
        <f>SUM(AF15,AF18,AF21)</f>
        <v>22.748697842815741</v>
      </c>
      <c r="AG14" s="117"/>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x14ac:dyDescent="0.35">
      <c r="A15" s="148" t="s">
        <v>227</v>
      </c>
      <c r="B15" s="12">
        <v>0</v>
      </c>
      <c r="C15" s="27">
        <f>C16+B17</f>
        <v>0</v>
      </c>
      <c r="D15" s="27">
        <f>D16+C17</f>
        <v>0</v>
      </c>
      <c r="E15" s="27">
        <f>E16+D17</f>
        <v>0</v>
      </c>
      <c r="F15" s="27">
        <f>F16+E17</f>
        <v>0</v>
      </c>
      <c r="G15" s="27">
        <f t="shared" ref="G15:AE15" si="1">G16+F17</f>
        <v>0</v>
      </c>
      <c r="H15" s="27">
        <f t="shared" si="1"/>
        <v>0</v>
      </c>
      <c r="I15" s="27">
        <f t="shared" si="1"/>
        <v>0</v>
      </c>
      <c r="J15" s="27">
        <f t="shared" si="1"/>
        <v>0</v>
      </c>
      <c r="K15" s="27">
        <f>K16+J17</f>
        <v>0</v>
      </c>
      <c r="L15" s="27">
        <f t="shared" si="1"/>
        <v>0</v>
      </c>
      <c r="M15" s="27">
        <f t="shared" si="1"/>
        <v>0</v>
      </c>
      <c r="N15" s="27">
        <f t="shared" si="1"/>
        <v>0</v>
      </c>
      <c r="O15" s="27">
        <f t="shared" si="1"/>
        <v>0</v>
      </c>
      <c r="P15" s="27">
        <f t="shared" si="1"/>
        <v>0</v>
      </c>
      <c r="Q15" s="27">
        <f t="shared" si="1"/>
        <v>0</v>
      </c>
      <c r="R15" s="27">
        <f t="shared" si="1"/>
        <v>0</v>
      </c>
      <c r="S15" s="27">
        <f t="shared" si="1"/>
        <v>3.8223507622266237</v>
      </c>
      <c r="T15" s="27">
        <f t="shared" si="1"/>
        <v>3.7473967951831177</v>
      </c>
      <c r="U15" s="27">
        <f t="shared" si="1"/>
        <v>3.6739126297159292</v>
      </c>
      <c r="V15" s="27">
        <f t="shared" si="1"/>
        <v>3.6018694439126371</v>
      </c>
      <c r="W15" s="27">
        <f t="shared" si="1"/>
        <v>3.5312389810409428</v>
      </c>
      <c r="X15" s="27">
        <f t="shared" si="1"/>
        <v>11.951167905736588</v>
      </c>
      <c r="Y15" s="27">
        <f t="shared" si="1"/>
        <v>11.716812792597738</v>
      </c>
      <c r="Z15" s="27">
        <f t="shared" si="1"/>
        <v>11.487053240285036</v>
      </c>
      <c r="AA15" s="27">
        <f t="shared" si="1"/>
        <v>11.261799132653698</v>
      </c>
      <c r="AB15" s="27">
        <f t="shared" si="1"/>
        <v>11.04096212068157</v>
      </c>
      <c r="AC15" s="27">
        <f t="shared" si="1"/>
        <v>10.824455587816939</v>
      </c>
      <c r="AD15" s="27">
        <f>AD16+AC17</f>
        <v>10.612194616005837</v>
      </c>
      <c r="AE15" s="27">
        <f t="shared" si="1"/>
        <v>10.404095952385543</v>
      </c>
      <c r="AF15" s="164">
        <f>AF16+AE17</f>
        <v>10.20007797663119</v>
      </c>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ht="29" x14ac:dyDescent="0.35">
      <c r="A16" s="148" t="s">
        <v>226</v>
      </c>
      <c r="B16" s="12">
        <v>0</v>
      </c>
      <c r="C16" s="27">
        <f>(EXP(-$C$34))*B15</f>
        <v>0</v>
      </c>
      <c r="D16" s="27">
        <f t="shared" ref="D16:AE16" si="2">(EXP(-$C$34))*C15</f>
        <v>0</v>
      </c>
      <c r="E16" s="27">
        <f t="shared" si="2"/>
        <v>0</v>
      </c>
      <c r="F16" s="27">
        <f t="shared" si="2"/>
        <v>0</v>
      </c>
      <c r="G16" s="27">
        <f t="shared" si="2"/>
        <v>0</v>
      </c>
      <c r="H16" s="27">
        <f t="shared" si="2"/>
        <v>0</v>
      </c>
      <c r="I16" s="27">
        <f t="shared" si="2"/>
        <v>0</v>
      </c>
      <c r="J16" s="27">
        <f t="shared" si="2"/>
        <v>0</v>
      </c>
      <c r="K16" s="27">
        <f t="shared" si="2"/>
        <v>0</v>
      </c>
      <c r="L16" s="27">
        <f t="shared" si="2"/>
        <v>0</v>
      </c>
      <c r="M16" s="27">
        <f t="shared" si="2"/>
        <v>0</v>
      </c>
      <c r="N16" s="27">
        <f t="shared" si="2"/>
        <v>0</v>
      </c>
      <c r="O16" s="27">
        <f t="shared" si="2"/>
        <v>0</v>
      </c>
      <c r="P16" s="27">
        <f t="shared" si="2"/>
        <v>0</v>
      </c>
      <c r="Q16" s="27">
        <f t="shared" si="2"/>
        <v>0</v>
      </c>
      <c r="R16" s="27">
        <f t="shared" si="2"/>
        <v>0</v>
      </c>
      <c r="S16" s="27">
        <f t="shared" si="2"/>
        <v>0</v>
      </c>
      <c r="T16" s="27">
        <f t="shared" si="2"/>
        <v>3.7473967951831177</v>
      </c>
      <c r="U16" s="27">
        <f t="shared" si="2"/>
        <v>3.6739126297159292</v>
      </c>
      <c r="V16" s="27">
        <f t="shared" si="2"/>
        <v>3.6018694439126371</v>
      </c>
      <c r="W16" s="27">
        <f t="shared" si="2"/>
        <v>3.5312389810409428</v>
      </c>
      <c r="X16" s="27">
        <f t="shared" si="2"/>
        <v>3.4619935384658338</v>
      </c>
      <c r="Y16" s="27">
        <f t="shared" si="2"/>
        <v>11.716812792597738</v>
      </c>
      <c r="Z16" s="27">
        <f t="shared" si="2"/>
        <v>11.487053240285036</v>
      </c>
      <c r="AA16" s="27">
        <f t="shared" si="2"/>
        <v>11.261799132653698</v>
      </c>
      <c r="AB16" s="27">
        <f t="shared" si="2"/>
        <v>11.04096212068157</v>
      </c>
      <c r="AC16" s="27">
        <f t="shared" si="2"/>
        <v>10.824455587816939</v>
      </c>
      <c r="AD16" s="27">
        <f t="shared" si="2"/>
        <v>10.612194616005837</v>
      </c>
      <c r="AE16" s="27">
        <f t="shared" si="2"/>
        <v>10.404095952385543</v>
      </c>
      <c r="AF16" s="27">
        <f>(EXP(-$C$34))*AE15</f>
        <v>10.20007797663119</v>
      </c>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ht="43.5" x14ac:dyDescent="0.35">
      <c r="A17" s="148" t="s">
        <v>225</v>
      </c>
      <c r="B17" s="12">
        <f>((1-EXP(-$C$34))/$C$34)*(B24*$B$28*$C$29)</f>
        <v>0</v>
      </c>
      <c r="C17" s="12">
        <f t="shared" ref="C17:AE17" si="3">((1-EXP(-$C$34))/$C$34)*(C24*$B$28*$C$29)</f>
        <v>0</v>
      </c>
      <c r="D17" s="12">
        <f t="shared" si="3"/>
        <v>0</v>
      </c>
      <c r="E17" s="12">
        <f t="shared" si="3"/>
        <v>0</v>
      </c>
      <c r="F17" s="12">
        <f t="shared" si="3"/>
        <v>0</v>
      </c>
      <c r="G17" s="12">
        <f t="shared" si="3"/>
        <v>0</v>
      </c>
      <c r="H17" s="12">
        <f t="shared" si="3"/>
        <v>0</v>
      </c>
      <c r="I17" s="12">
        <f t="shared" si="3"/>
        <v>0</v>
      </c>
      <c r="J17" s="12">
        <f t="shared" si="3"/>
        <v>0</v>
      </c>
      <c r="K17" s="12">
        <f t="shared" si="3"/>
        <v>0</v>
      </c>
      <c r="L17" s="12">
        <f t="shared" si="3"/>
        <v>0</v>
      </c>
      <c r="M17" s="12">
        <f t="shared" si="3"/>
        <v>0</v>
      </c>
      <c r="N17" s="12">
        <f t="shared" si="3"/>
        <v>0</v>
      </c>
      <c r="O17" s="12">
        <f t="shared" si="3"/>
        <v>0</v>
      </c>
      <c r="P17" s="12">
        <f t="shared" si="3"/>
        <v>0</v>
      </c>
      <c r="Q17" s="12">
        <f t="shared" si="3"/>
        <v>0</v>
      </c>
      <c r="R17" s="12">
        <f t="shared" si="3"/>
        <v>3.8223507622266237</v>
      </c>
      <c r="S17" s="12">
        <f t="shared" si="3"/>
        <v>0</v>
      </c>
      <c r="T17" s="12">
        <f t="shared" si="3"/>
        <v>0</v>
      </c>
      <c r="U17" s="12">
        <f t="shared" si="3"/>
        <v>0</v>
      </c>
      <c r="V17" s="12">
        <f t="shared" si="3"/>
        <v>0</v>
      </c>
      <c r="W17" s="12">
        <f t="shared" si="3"/>
        <v>8.4891743672707545</v>
      </c>
      <c r="X17" s="12">
        <f t="shared" si="3"/>
        <v>0</v>
      </c>
      <c r="Y17" s="12">
        <f t="shared" si="3"/>
        <v>0</v>
      </c>
      <c r="Z17" s="12">
        <f t="shared" si="3"/>
        <v>0</v>
      </c>
      <c r="AA17" s="12">
        <f t="shared" si="3"/>
        <v>0</v>
      </c>
      <c r="AB17" s="12">
        <f t="shared" si="3"/>
        <v>0</v>
      </c>
      <c r="AC17" s="12">
        <f t="shared" si="3"/>
        <v>0</v>
      </c>
      <c r="AD17" s="12">
        <f t="shared" si="3"/>
        <v>0</v>
      </c>
      <c r="AE17" s="12">
        <f t="shared" si="3"/>
        <v>0</v>
      </c>
      <c r="AF17" s="12">
        <f>((1-EXP(-$C$34))/$C$34)*(AF24*$B$28*$C$29)</f>
        <v>0</v>
      </c>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x14ac:dyDescent="0.35">
      <c r="A18" s="165" t="s">
        <v>224</v>
      </c>
      <c r="B18" s="12">
        <v>0</v>
      </c>
      <c r="C18" s="27">
        <f>C19+B20</f>
        <v>0</v>
      </c>
      <c r="D18" s="27">
        <f>D19+C20</f>
        <v>0</v>
      </c>
      <c r="E18" s="27">
        <f>E19+D20</f>
        <v>0</v>
      </c>
      <c r="F18" s="27">
        <f t="shared" ref="F18:AF18" si="4">F19+E20</f>
        <v>0</v>
      </c>
      <c r="G18" s="27">
        <f>G19+F20</f>
        <v>0</v>
      </c>
      <c r="H18" s="27">
        <f t="shared" si="4"/>
        <v>0</v>
      </c>
      <c r="I18" s="27">
        <f t="shared" si="4"/>
        <v>0</v>
      </c>
      <c r="J18" s="27">
        <f t="shared" si="4"/>
        <v>0</v>
      </c>
      <c r="K18" s="27">
        <f t="shared" si="4"/>
        <v>0</v>
      </c>
      <c r="L18" s="27">
        <f t="shared" si="4"/>
        <v>0</v>
      </c>
      <c r="M18" s="27">
        <f t="shared" si="4"/>
        <v>0</v>
      </c>
      <c r="N18" s="27">
        <f t="shared" si="4"/>
        <v>0</v>
      </c>
      <c r="O18" s="27">
        <f t="shared" si="4"/>
        <v>0</v>
      </c>
      <c r="P18" s="27">
        <f t="shared" si="4"/>
        <v>0</v>
      </c>
      <c r="Q18" s="27">
        <f t="shared" si="4"/>
        <v>0</v>
      </c>
      <c r="R18" s="27">
        <f t="shared" si="4"/>
        <v>0</v>
      </c>
      <c r="S18" s="27">
        <f t="shared" si="4"/>
        <v>0</v>
      </c>
      <c r="T18" s="27">
        <f t="shared" si="4"/>
        <v>0</v>
      </c>
      <c r="U18" s="27">
        <f t="shared" si="4"/>
        <v>0</v>
      </c>
      <c r="V18" s="27">
        <f t="shared" si="4"/>
        <v>0</v>
      </c>
      <c r="W18" s="27">
        <f t="shared" si="4"/>
        <v>0</v>
      </c>
      <c r="X18" s="27">
        <f t="shared" si="4"/>
        <v>0</v>
      </c>
      <c r="Y18" s="27">
        <f t="shared" si="4"/>
        <v>0</v>
      </c>
      <c r="Z18" s="27">
        <f t="shared" si="4"/>
        <v>0</v>
      </c>
      <c r="AA18" s="27">
        <f t="shared" si="4"/>
        <v>0</v>
      </c>
      <c r="AB18" s="27">
        <f t="shared" si="4"/>
        <v>10.295452697416666</v>
      </c>
      <c r="AC18" s="27">
        <f t="shared" si="4"/>
        <v>10.013923001991481</v>
      </c>
      <c r="AD18" s="27">
        <f t="shared" si="4"/>
        <v>9.7400917508927005</v>
      </c>
      <c r="AE18" s="27">
        <f>AE19+AD20</f>
        <v>9.4737484297553749</v>
      </c>
      <c r="AF18" s="164">
        <f t="shared" si="4"/>
        <v>9.2146882807409369</v>
      </c>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165" t="s">
        <v>223</v>
      </c>
      <c r="B19" s="12">
        <v>0</v>
      </c>
      <c r="C19" s="27">
        <f>(EXP(-$C$35))*B18</f>
        <v>0</v>
      </c>
      <c r="D19" s="27">
        <f t="shared" ref="D19:AE19" si="5">(EXP(-$C$35))*C18</f>
        <v>0</v>
      </c>
      <c r="E19" s="27">
        <f t="shared" si="5"/>
        <v>0</v>
      </c>
      <c r="F19" s="27">
        <f t="shared" si="5"/>
        <v>0</v>
      </c>
      <c r="G19" s="27">
        <f t="shared" si="5"/>
        <v>0</v>
      </c>
      <c r="H19" s="27">
        <f t="shared" si="5"/>
        <v>0</v>
      </c>
      <c r="I19" s="27">
        <f t="shared" si="5"/>
        <v>0</v>
      </c>
      <c r="J19" s="27">
        <f t="shared" si="5"/>
        <v>0</v>
      </c>
      <c r="K19" s="27">
        <f t="shared" si="5"/>
        <v>0</v>
      </c>
      <c r="L19" s="27">
        <f t="shared" si="5"/>
        <v>0</v>
      </c>
      <c r="M19" s="27">
        <f t="shared" si="5"/>
        <v>0</v>
      </c>
      <c r="N19" s="27">
        <f t="shared" si="5"/>
        <v>0</v>
      </c>
      <c r="O19" s="27">
        <f t="shared" si="5"/>
        <v>0</v>
      </c>
      <c r="P19" s="27">
        <f t="shared" si="5"/>
        <v>0</v>
      </c>
      <c r="Q19" s="27">
        <f t="shared" si="5"/>
        <v>0</v>
      </c>
      <c r="R19" s="27">
        <f t="shared" si="5"/>
        <v>0</v>
      </c>
      <c r="S19" s="27">
        <f t="shared" si="5"/>
        <v>0</v>
      </c>
      <c r="T19" s="27">
        <f t="shared" si="5"/>
        <v>0</v>
      </c>
      <c r="U19" s="27">
        <f t="shared" si="5"/>
        <v>0</v>
      </c>
      <c r="V19" s="27">
        <f t="shared" si="5"/>
        <v>0</v>
      </c>
      <c r="W19" s="27">
        <f t="shared" si="5"/>
        <v>0</v>
      </c>
      <c r="X19" s="27">
        <f t="shared" si="5"/>
        <v>0</v>
      </c>
      <c r="Y19" s="27">
        <f t="shared" si="5"/>
        <v>0</v>
      </c>
      <c r="Z19" s="27">
        <f t="shared" si="5"/>
        <v>0</v>
      </c>
      <c r="AA19" s="27">
        <f t="shared" si="5"/>
        <v>0</v>
      </c>
      <c r="AB19" s="27">
        <f t="shared" si="5"/>
        <v>0</v>
      </c>
      <c r="AC19" s="27">
        <f t="shared" si="5"/>
        <v>10.013923001991481</v>
      </c>
      <c r="AD19" s="27">
        <f t="shared" si="5"/>
        <v>9.7400917508927005</v>
      </c>
      <c r="AE19" s="27">
        <f t="shared" si="5"/>
        <v>9.4737484297553749</v>
      </c>
      <c r="AF19" s="27">
        <f>(EXP(-$C$35))*AE18</f>
        <v>9.2146882807409369</v>
      </c>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ht="43.5" x14ac:dyDescent="0.35">
      <c r="A20" s="165" t="s">
        <v>222</v>
      </c>
      <c r="B20" s="12">
        <f>((1-EXP(-$C$35))/$C$35)*(B25*$C$29*$B$28)</f>
        <v>0</v>
      </c>
      <c r="C20" s="12">
        <f t="shared" ref="C20:AE20" si="6">((1-EXP(-$C$35))/$C$35)*(C25*$C$29*$B$28)</f>
        <v>0</v>
      </c>
      <c r="D20" s="12">
        <f t="shared" si="6"/>
        <v>0</v>
      </c>
      <c r="E20" s="12">
        <f t="shared" si="6"/>
        <v>0</v>
      </c>
      <c r="F20" s="12">
        <f t="shared" si="6"/>
        <v>0</v>
      </c>
      <c r="G20" s="12">
        <f t="shared" si="6"/>
        <v>0</v>
      </c>
      <c r="H20" s="12">
        <f t="shared" si="6"/>
        <v>0</v>
      </c>
      <c r="I20" s="12">
        <f t="shared" si="6"/>
        <v>0</v>
      </c>
      <c r="J20" s="12">
        <f t="shared" si="6"/>
        <v>0</v>
      </c>
      <c r="K20" s="12">
        <f t="shared" si="6"/>
        <v>0</v>
      </c>
      <c r="L20" s="12">
        <f t="shared" si="6"/>
        <v>0</v>
      </c>
      <c r="M20" s="12">
        <f t="shared" si="6"/>
        <v>0</v>
      </c>
      <c r="N20" s="12">
        <f t="shared" si="6"/>
        <v>0</v>
      </c>
      <c r="O20" s="12">
        <f t="shared" si="6"/>
        <v>0</v>
      </c>
      <c r="P20" s="12">
        <f t="shared" si="6"/>
        <v>0</v>
      </c>
      <c r="Q20" s="12">
        <f t="shared" si="6"/>
        <v>0</v>
      </c>
      <c r="R20" s="12">
        <f t="shared" si="6"/>
        <v>0</v>
      </c>
      <c r="S20" s="12">
        <f t="shared" si="6"/>
        <v>0</v>
      </c>
      <c r="T20" s="12">
        <f t="shared" si="6"/>
        <v>0</v>
      </c>
      <c r="U20" s="12">
        <f t="shared" si="6"/>
        <v>0</v>
      </c>
      <c r="V20" s="12">
        <f t="shared" si="6"/>
        <v>0</v>
      </c>
      <c r="W20" s="12">
        <f t="shared" si="6"/>
        <v>0</v>
      </c>
      <c r="X20" s="12">
        <f t="shared" si="6"/>
        <v>0</v>
      </c>
      <c r="Y20" s="12">
        <f t="shared" si="6"/>
        <v>0</v>
      </c>
      <c r="Z20" s="12">
        <f t="shared" si="6"/>
        <v>0</v>
      </c>
      <c r="AA20" s="12">
        <f t="shared" si="6"/>
        <v>10.295452697416666</v>
      </c>
      <c r="AB20" s="12">
        <f t="shared" si="6"/>
        <v>0</v>
      </c>
      <c r="AC20" s="12">
        <f t="shared" si="6"/>
        <v>0</v>
      </c>
      <c r="AD20" s="12">
        <f t="shared" si="6"/>
        <v>0</v>
      </c>
      <c r="AE20" s="12">
        <f t="shared" si="6"/>
        <v>0</v>
      </c>
      <c r="AF20" s="12">
        <f>((1-EXP(-$C$35))/$C$35)*(AF25*$C$29*$B$28)</f>
        <v>0</v>
      </c>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166" t="s">
        <v>221</v>
      </c>
      <c r="B21" s="12">
        <v>0</v>
      </c>
      <c r="C21" s="27">
        <f>C22+B23</f>
        <v>0</v>
      </c>
      <c r="D21" s="27">
        <f>D22+C23</f>
        <v>0</v>
      </c>
      <c r="E21" s="27">
        <f t="shared" ref="E21:AF21" si="7">E22+D23</f>
        <v>0</v>
      </c>
      <c r="F21" s="27">
        <f>F22+E23</f>
        <v>0</v>
      </c>
      <c r="G21" s="27">
        <f>G22+F23</f>
        <v>0</v>
      </c>
      <c r="H21" s="27">
        <f t="shared" si="7"/>
        <v>0</v>
      </c>
      <c r="I21" s="27">
        <f t="shared" si="7"/>
        <v>0</v>
      </c>
      <c r="J21" s="27">
        <f t="shared" si="7"/>
        <v>0</v>
      </c>
      <c r="K21" s="27">
        <f t="shared" si="7"/>
        <v>0</v>
      </c>
      <c r="L21" s="27">
        <f t="shared" si="7"/>
        <v>0</v>
      </c>
      <c r="M21" s="27">
        <f>M22+L23</f>
        <v>0</v>
      </c>
      <c r="N21" s="27">
        <f t="shared" si="7"/>
        <v>0</v>
      </c>
      <c r="O21" s="27">
        <f>O22+N23</f>
        <v>0</v>
      </c>
      <c r="P21" s="27">
        <f t="shared" si="7"/>
        <v>13.960053679749405</v>
      </c>
      <c r="Q21" s="27">
        <f t="shared" si="7"/>
        <v>9.8712486226790208</v>
      </c>
      <c r="R21" s="27">
        <f t="shared" si="7"/>
        <v>6.9800268398747036</v>
      </c>
      <c r="S21" s="27">
        <f t="shared" si="7"/>
        <v>20.160175607008245</v>
      </c>
      <c r="T21" s="27">
        <f t="shared" si="7"/>
        <v>14.255396881627153</v>
      </c>
      <c r="U21" s="27">
        <f t="shared" si="7"/>
        <v>10.080087803504124</v>
      </c>
      <c r="V21" s="27">
        <f t="shared" si="7"/>
        <v>7.1276984408135782</v>
      </c>
      <c r="W21" s="27">
        <f t="shared" si="7"/>
        <v>5.0400439017520631</v>
      </c>
      <c r="X21" s="27">
        <f t="shared" si="7"/>
        <v>18.054991898842314</v>
      </c>
      <c r="Y21" s="27">
        <f t="shared" si="7"/>
        <v>12.766807205939582</v>
      </c>
      <c r="Z21" s="27">
        <f t="shared" si="7"/>
        <v>9.0274959494211586</v>
      </c>
      <c r="AA21" s="27">
        <f t="shared" si="7"/>
        <v>6.3834036029697918</v>
      </c>
      <c r="AB21" s="27">
        <f t="shared" si="7"/>
        <v>13.335726341774443</v>
      </c>
      <c r="AC21" s="27">
        <f t="shared" si="7"/>
        <v>9.42978252831678</v>
      </c>
      <c r="AD21" s="27">
        <f t="shared" si="7"/>
        <v>6.6678631708872222</v>
      </c>
      <c r="AE21" s="27">
        <f t="shared" si="7"/>
        <v>4.71489126415839</v>
      </c>
      <c r="AF21" s="164">
        <f t="shared" si="7"/>
        <v>3.3339315854436111</v>
      </c>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29" x14ac:dyDescent="0.35">
      <c r="A22" s="166" t="s">
        <v>220</v>
      </c>
      <c r="B22" s="12">
        <v>0</v>
      </c>
      <c r="C22" s="27">
        <f>(EXP(-$C$36))*B21</f>
        <v>0</v>
      </c>
      <c r="D22" s="27">
        <f t="shared" ref="D22:AE22" si="8">(EXP(-$C$36))*C21</f>
        <v>0</v>
      </c>
      <c r="E22" s="27">
        <f t="shared" si="8"/>
        <v>0</v>
      </c>
      <c r="F22" s="27">
        <f t="shared" si="8"/>
        <v>0</v>
      </c>
      <c r="G22" s="27">
        <f t="shared" si="8"/>
        <v>0</v>
      </c>
      <c r="H22" s="27">
        <f t="shared" si="8"/>
        <v>0</v>
      </c>
      <c r="I22" s="27">
        <f t="shared" si="8"/>
        <v>0</v>
      </c>
      <c r="J22" s="27">
        <f t="shared" si="8"/>
        <v>0</v>
      </c>
      <c r="K22" s="27">
        <f t="shared" si="8"/>
        <v>0</v>
      </c>
      <c r="L22" s="27">
        <f t="shared" si="8"/>
        <v>0</v>
      </c>
      <c r="M22" s="27">
        <f t="shared" si="8"/>
        <v>0</v>
      </c>
      <c r="N22" s="27">
        <f t="shared" si="8"/>
        <v>0</v>
      </c>
      <c r="O22" s="27">
        <f t="shared" si="8"/>
        <v>0</v>
      </c>
      <c r="P22" s="27">
        <f t="shared" si="8"/>
        <v>0</v>
      </c>
      <c r="Q22" s="27">
        <f t="shared" si="8"/>
        <v>9.8712486226790208</v>
      </c>
      <c r="R22" s="27">
        <f t="shared" si="8"/>
        <v>6.9800268398747036</v>
      </c>
      <c r="S22" s="27">
        <f t="shared" si="8"/>
        <v>4.9356243113395113</v>
      </c>
      <c r="T22" s="27">
        <f t="shared" si="8"/>
        <v>14.255396881627153</v>
      </c>
      <c r="U22" s="27">
        <f t="shared" si="8"/>
        <v>10.080087803504124</v>
      </c>
      <c r="V22" s="27">
        <f t="shared" si="8"/>
        <v>7.1276984408135782</v>
      </c>
      <c r="W22" s="27">
        <f t="shared" si="8"/>
        <v>5.0400439017520631</v>
      </c>
      <c r="X22" s="27">
        <f t="shared" si="8"/>
        <v>3.5638492204067895</v>
      </c>
      <c r="Y22" s="27">
        <f t="shared" si="8"/>
        <v>12.766807205939582</v>
      </c>
      <c r="Z22" s="27">
        <f t="shared" si="8"/>
        <v>9.0274959494211586</v>
      </c>
      <c r="AA22" s="27">
        <f t="shared" si="8"/>
        <v>6.3834036029697918</v>
      </c>
      <c r="AB22" s="27">
        <f t="shared" si="8"/>
        <v>4.5137479747105802</v>
      </c>
      <c r="AC22" s="27">
        <f t="shared" si="8"/>
        <v>9.42978252831678</v>
      </c>
      <c r="AD22" s="27">
        <f t="shared" si="8"/>
        <v>6.6678631708872222</v>
      </c>
      <c r="AE22" s="27">
        <f t="shared" si="8"/>
        <v>4.71489126415839</v>
      </c>
      <c r="AF22" s="27">
        <f>(EXP(-$C$36))*AE21</f>
        <v>3.3339315854436111</v>
      </c>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ht="29" x14ac:dyDescent="0.35">
      <c r="A23" s="166" t="s">
        <v>219</v>
      </c>
      <c r="B23" s="12">
        <f>((1-EXP(-$C$36))/$C$36)*(B26*$C$29*$B$28)</f>
        <v>0</v>
      </c>
      <c r="C23" s="12">
        <f t="shared" ref="C23:AE23" si="9">((1-EXP(-$C$36))/$C$36)*(C26*$C$29*$B$28)</f>
        <v>0</v>
      </c>
      <c r="D23" s="12">
        <f t="shared" si="9"/>
        <v>0</v>
      </c>
      <c r="E23" s="12">
        <f t="shared" si="9"/>
        <v>0</v>
      </c>
      <c r="F23" s="12">
        <f t="shared" si="9"/>
        <v>0</v>
      </c>
      <c r="G23" s="12">
        <f t="shared" si="9"/>
        <v>0</v>
      </c>
      <c r="H23" s="12">
        <f t="shared" si="9"/>
        <v>0</v>
      </c>
      <c r="I23" s="12">
        <f t="shared" si="9"/>
        <v>0</v>
      </c>
      <c r="J23" s="12">
        <f t="shared" si="9"/>
        <v>0</v>
      </c>
      <c r="K23" s="12">
        <f t="shared" si="9"/>
        <v>0</v>
      </c>
      <c r="L23" s="12">
        <f t="shared" si="9"/>
        <v>0</v>
      </c>
      <c r="M23" s="12">
        <f t="shared" si="9"/>
        <v>0</v>
      </c>
      <c r="N23" s="12">
        <f t="shared" si="9"/>
        <v>0</v>
      </c>
      <c r="O23" s="12">
        <f t="shared" si="9"/>
        <v>13.960053679749405</v>
      </c>
      <c r="P23" s="12">
        <f t="shared" si="9"/>
        <v>0</v>
      </c>
      <c r="Q23" s="12">
        <f t="shared" si="9"/>
        <v>0</v>
      </c>
      <c r="R23" s="12">
        <f>((1-EXP(-$C$36))/$C$36)*(R26*$C$29*$B$28)</f>
        <v>15.224551295668734</v>
      </c>
      <c r="S23" s="12">
        <f t="shared" si="9"/>
        <v>0</v>
      </c>
      <c r="T23" s="12">
        <f t="shared" si="9"/>
        <v>0</v>
      </c>
      <c r="U23" s="12">
        <f t="shared" si="9"/>
        <v>0</v>
      </c>
      <c r="V23" s="12">
        <f t="shared" si="9"/>
        <v>0</v>
      </c>
      <c r="W23" s="12">
        <f t="shared" si="9"/>
        <v>14.491142678435525</v>
      </c>
      <c r="X23" s="12">
        <f t="shared" si="9"/>
        <v>0</v>
      </c>
      <c r="Y23" s="12">
        <f t="shared" si="9"/>
        <v>0</v>
      </c>
      <c r="Z23" s="12">
        <f t="shared" si="9"/>
        <v>0</v>
      </c>
      <c r="AA23" s="12">
        <f t="shared" si="9"/>
        <v>8.8219783670638616</v>
      </c>
      <c r="AB23" s="12">
        <f t="shared" si="9"/>
        <v>0</v>
      </c>
      <c r="AC23" s="12">
        <f t="shared" si="9"/>
        <v>0</v>
      </c>
      <c r="AD23" s="12">
        <f t="shared" si="9"/>
        <v>0</v>
      </c>
      <c r="AE23" s="12">
        <f t="shared" si="9"/>
        <v>0</v>
      </c>
      <c r="AF23" s="12">
        <f>((1-EXP(-$C$36))/$C$36)*(AF26*$C$29*$B$28)</f>
        <v>0</v>
      </c>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32" customHeight="1" x14ac:dyDescent="0.35">
      <c r="A24" s="18" t="s">
        <v>216</v>
      </c>
      <c r="B24" s="17"/>
      <c r="C24" s="17"/>
      <c r="D24" s="17"/>
      <c r="E24" s="17"/>
      <c r="F24" s="17"/>
      <c r="G24" s="17"/>
      <c r="H24" s="17"/>
      <c r="I24" s="17"/>
      <c r="J24" s="17"/>
      <c r="K24" s="17"/>
      <c r="L24" s="17"/>
      <c r="M24" s="17"/>
      <c r="N24" s="17"/>
      <c r="O24" s="17"/>
      <c r="P24" s="17"/>
      <c r="Q24" s="17"/>
      <c r="R24" s="17">
        <f>((0.3*43)/2)*3</f>
        <v>19.350000000000001</v>
      </c>
      <c r="S24" s="17"/>
      <c r="T24" s="17"/>
      <c r="U24" s="17"/>
      <c r="V24" s="17"/>
      <c r="W24" s="17">
        <f>((0.5*57.3)/2)*3</f>
        <v>42.974999999999994</v>
      </c>
      <c r="X24" s="17"/>
      <c r="Y24" s="17"/>
      <c r="Z24" s="17"/>
      <c r="AA24" s="17"/>
      <c r="AB24" s="17"/>
      <c r="AC24" s="17"/>
      <c r="AD24" s="17"/>
      <c r="AE24" s="17"/>
      <c r="AF24" s="167"/>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32" customHeight="1" x14ac:dyDescent="0.35">
      <c r="A25" s="18" t="s">
        <v>217</v>
      </c>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f>0.5*35*2.99</f>
        <v>52.325000000000003</v>
      </c>
      <c r="AB25" s="17"/>
      <c r="AC25" s="17"/>
      <c r="AD25" s="17"/>
      <c r="AE25" s="17"/>
      <c r="AF25" s="167"/>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15" thickBot="1" x14ac:dyDescent="0.4">
      <c r="A26" s="18" t="s">
        <v>218</v>
      </c>
      <c r="B26" s="17"/>
      <c r="C26" s="22"/>
      <c r="D26" s="22"/>
      <c r="E26" s="22"/>
      <c r="F26" s="22"/>
      <c r="G26" s="22"/>
      <c r="H26" s="22"/>
      <c r="I26" s="22"/>
      <c r="J26" s="22"/>
      <c r="K26" s="22"/>
      <c r="L26" s="22"/>
      <c r="M26" s="22"/>
      <c r="N26" s="22"/>
      <c r="O26" s="22">
        <f>27.6*3</f>
        <v>82.800000000000011</v>
      </c>
      <c r="P26" s="22"/>
      <c r="Q26" s="22"/>
      <c r="R26" s="22">
        <f>0.7*43*3</f>
        <v>90.3</v>
      </c>
      <c r="S26" s="22"/>
      <c r="T26" s="22"/>
      <c r="U26" s="22"/>
      <c r="V26" s="22"/>
      <c r="W26" s="22">
        <f>0.5*57.3*3</f>
        <v>85.949999999999989</v>
      </c>
      <c r="X26" s="22"/>
      <c r="Y26" s="22"/>
      <c r="Z26" s="22"/>
      <c r="AA26" s="22">
        <f>0.5*35*2.99</f>
        <v>52.325000000000003</v>
      </c>
      <c r="AB26" s="22"/>
      <c r="AC26" s="22"/>
      <c r="AD26" s="22"/>
      <c r="AE26" s="22"/>
      <c r="AF26" s="168"/>
    </row>
    <row r="27" spans="1:177" x14ac:dyDescent="0.35">
      <c r="A27" s="177" t="s">
        <v>11</v>
      </c>
      <c r="B27" s="189"/>
      <c r="C27" s="169"/>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row>
    <row r="28" spans="1:177" ht="29.5" thickBot="1" x14ac:dyDescent="0.4">
      <c r="A28" s="3" t="s">
        <v>4</v>
      </c>
      <c r="B28" s="25">
        <v>0.47499999999999998</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177" ht="29" x14ac:dyDescent="0.35">
      <c r="A29" s="3" t="s">
        <v>6</v>
      </c>
      <c r="B29" s="22" t="s">
        <v>74</v>
      </c>
      <c r="C29" s="131">
        <f>IF(B29="Alisier torminal",0.62,IF(B29="Arbousier",0.64,IF(B29="Aulne vert",0.42,IF(B29="Grands aulnes",0.42,IF(B29="Bouleaux",0.52,IF(B29="Cèdre de l’Atlas",0.36,IF(B29="Charme",0.61,IF(B29="Charme-houblon",0.66,IF(B29="Châtaignier",0.47,IF(B29="Chêne chevelu",0.67,IF(B29="Chêne-liège",0.7,IF(B29="Chêne pédonculé",0.54,IF(B29="Chêne pubescent",0.65,IF(B29="Chêne rouge d’Amérique",0.56,IF(B29="Chêne rouvre (sessile)",0.58,IF(B29="Chêne tauzin",0.64,IF(B29="Chêne vert",0.73,IF(B29="Chênes indifférenciés",0.56,IF(B29="Cornouiller mâle",0.74,IF(B29="Cyprès",0.4,IF(B29="Cytise aubour",0.6,IF(B29="Douglas",0.43,IF(B29="Epicéa commun",0.37,IF(B29="Epicéa de Sitka",0.36,IF(B29="Grands érables",0.51,IF(B29="Petits érables",0.56,IF(B29="Eucalyptus",0.56,IF(B29="Genévrier thurifère",0.48,IF(B29="Hêtre",0.55,IF(B29="Frênes",0.56,IF(B29="Fruitiers",0.58,IF(B29="If",0.58,IF(B29="Mélèze d’Europe",0.48,IF(B29="Mélèze du Japon",0.42,IF(B29="Merisier",0.5,IF(B29="Micocoulier",0.55,IF(B29="Mûrier",0.53,IF(B29="Noisetier",0.52,IF(B29="Noyer",0.52,IF(B29="Olivier",0.75,IF(B29="Ormes",0.52,IF(B29="Peupliers cultivés",0.35,IF(B29="Peupliers non cultivés",0.37,IF(B29="Pin d'Alep",0.45,IF(B29="Pin cembro",0.39,IF(B29="Pin à crochets",0.44,IF(B29="Pin laricio",0.46,IF(B29="Pin maritime",0.46,IF(B29="Pin mugho",0.44,IF(B29="Pin noir d'Autriche",0.46,IF(B29="Pin pignon",0.48,IF(B29="Pin sylvestre",0.44,IF(B29="Pin Weymouth",0.34,IF(B29="Platanes",0.5,IF(B29="Robinier faux acacia",0.58,IF(B29="Sapin méditerranéen",0.37,IF(B29="Sapin de Nordmann",0.37,IF(B29="Sapin pectiné",0.38,IF(B29="Sapin de Vancouver",0.36,IF(B29="Saules",0.37,IF(B29="Tamaris",0.53,IF(B29="Tilleuls",0.43,IF(B29="Tremble",0.38,IF(B29="Conifères (moyenne)",0.42,IF(B29="Feuillus (moyenne)",0.57,0)))))))))))))))))))))))))))))))))))))))))))))))))))))))))))))))))</f>
        <v>0.42</v>
      </c>
      <c r="D29" s="53"/>
      <c r="E29" s="15"/>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1:177" ht="14.5" customHeight="1" x14ac:dyDescent="0.35">
      <c r="A30" s="179" t="s">
        <v>88</v>
      </c>
      <c r="B30" s="12" t="s">
        <v>91</v>
      </c>
      <c r="C30" s="13">
        <v>35</v>
      </c>
      <c r="D30" s="53"/>
      <c r="E30" s="15"/>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177" x14ac:dyDescent="0.35">
      <c r="A31" s="180"/>
      <c r="B31" s="12" t="s">
        <v>92</v>
      </c>
      <c r="C31" s="13">
        <v>25</v>
      </c>
      <c r="D31" s="53"/>
      <c r="E31" s="15"/>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177" x14ac:dyDescent="0.35">
      <c r="A32" s="180"/>
      <c r="B32" s="12" t="s">
        <v>93</v>
      </c>
      <c r="C32" s="13">
        <v>2</v>
      </c>
      <c r="D32" s="11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x14ac:dyDescent="0.35">
      <c r="A33" s="182"/>
      <c r="B33" s="26" t="s">
        <v>148</v>
      </c>
      <c r="C33" s="132">
        <v>5</v>
      </c>
      <c r="D33" s="11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ht="29" customHeight="1" x14ac:dyDescent="0.35">
      <c r="A34" s="179" t="s">
        <v>94</v>
      </c>
      <c r="B34" s="26" t="s">
        <v>91</v>
      </c>
      <c r="C34" s="133">
        <f>LN(2)/C30</f>
        <v>1.980420515885558E-2</v>
      </c>
      <c r="D34" s="129"/>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row>
    <row r="35" spans="1:32" x14ac:dyDescent="0.35">
      <c r="A35" s="180"/>
      <c r="B35" s="12" t="s">
        <v>92</v>
      </c>
      <c r="C35" s="133">
        <f>LN(2)/C31</f>
        <v>2.7725887222397813E-2</v>
      </c>
      <c r="D35" s="129"/>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row>
    <row r="36" spans="1:32" x14ac:dyDescent="0.35">
      <c r="A36" s="180"/>
      <c r="B36" s="55" t="s">
        <v>93</v>
      </c>
      <c r="C36" s="134">
        <f>LN(2)/C32</f>
        <v>0.34657359027997264</v>
      </c>
      <c r="D36" s="129"/>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row>
    <row r="37" spans="1:32" ht="15" thickBot="1" x14ac:dyDescent="0.4">
      <c r="A37" s="181"/>
      <c r="B37" s="23" t="s">
        <v>148</v>
      </c>
      <c r="C37" s="135">
        <f>LN(2)/C33</f>
        <v>0.13862943611198905</v>
      </c>
      <c r="D37" s="129"/>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row>
    <row r="38" spans="1:32" x14ac:dyDescent="0.35">
      <c r="A38" s="8"/>
      <c r="B38" s="98"/>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row>
    <row r="39" spans="1:32" x14ac:dyDescent="0.35">
      <c r="A39" s="8"/>
      <c r="B39" s="98"/>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row>
  </sheetData>
  <mergeCells count="6">
    <mergeCell ref="A34:A37"/>
    <mergeCell ref="A30:A33"/>
    <mergeCell ref="A8:B8"/>
    <mergeCell ref="A11:AF11"/>
    <mergeCell ref="A13:AF13"/>
    <mergeCell ref="A27:B27"/>
  </mergeCells>
  <conditionalFormatting sqref="B14:AF14">
    <cfRule type="cellIs" dxfId="2" priority="4" operator="greaterThan">
      <formula>0</formula>
    </cfRule>
  </conditionalFormatting>
  <conditionalFormatting sqref="B15:AF23">
    <cfRule type="cellIs" dxfId="1" priority="3" operator="greaterThan">
      <formula>0</formula>
    </cfRule>
  </conditionalFormatting>
  <conditionalFormatting sqref="B24:AF26">
    <cfRule type="cellIs" dxfId="0" priority="1"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D29:D31</xm:sqref>
        </x14:dataValidation>
        <x14:dataValidation type="list" showInputMessage="1" showErrorMessage="1" prompt="Choisir l'essence pour avoir la di pour le scénario de projet">
          <x14:formula1>
            <xm:f>'Listes choix'!$C$2:$C$66</xm:f>
          </x14:formula1>
          <xm:sqref>B29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34"/>
  <sheetViews>
    <sheetView zoomScale="85" workbookViewId="0">
      <selection activeCell="B7" sqref="B7"/>
    </sheetView>
  </sheetViews>
  <sheetFormatPr baseColWidth="10" defaultRowHeight="14.5" x14ac:dyDescent="0.35"/>
  <cols>
    <col min="1" max="1" width="38.08984375" style="1" customWidth="1"/>
    <col min="2" max="2" width="27.08984375" customWidth="1"/>
    <col min="4" max="4" width="13.1796875" customWidth="1"/>
  </cols>
  <sheetData>
    <row r="4" spans="1:32" ht="16" thickBot="1" x14ac:dyDescent="0.4">
      <c r="A4" s="19"/>
      <c r="B4" s="7"/>
    </row>
    <row r="5" spans="1:32" ht="16" thickBot="1" x14ac:dyDescent="0.4">
      <c r="A5" s="20" t="s">
        <v>178</v>
      </c>
      <c r="B5" s="95">
        <f>B6/B10</f>
        <v>45.3059265442404</v>
      </c>
    </row>
    <row r="6" spans="1:32" ht="16" thickBot="1" x14ac:dyDescent="0.4">
      <c r="A6" s="20" t="s">
        <v>95</v>
      </c>
      <c r="B6" s="95">
        <f>SUM(B25:AE25)</f>
        <v>271.38249999999999</v>
      </c>
    </row>
    <row r="8" spans="1:32" ht="15" thickBot="1" x14ac:dyDescent="0.4"/>
    <row r="9" spans="1:32" ht="15" thickBot="1" x14ac:dyDescent="0.4">
      <c r="A9" s="175" t="s">
        <v>14</v>
      </c>
      <c r="B9" s="176"/>
    </row>
    <row r="10" spans="1:32" x14ac:dyDescent="0.35">
      <c r="A10" s="2" t="s">
        <v>7</v>
      </c>
      <c r="B10" s="86">
        <v>5.99</v>
      </c>
    </row>
    <row r="11" spans="1:32" x14ac:dyDescent="0.35">
      <c r="A11" s="89" t="s">
        <v>15</v>
      </c>
      <c r="B11" s="93">
        <v>30</v>
      </c>
    </row>
    <row r="12" spans="1:32" ht="159.5" x14ac:dyDescent="0.35">
      <c r="A12" s="3" t="s">
        <v>108</v>
      </c>
      <c r="B12" s="33"/>
      <c r="C12" s="145" t="s">
        <v>228</v>
      </c>
    </row>
    <row r="13" spans="1:32" ht="29" x14ac:dyDescent="0.35">
      <c r="A13" s="3" t="s">
        <v>192</v>
      </c>
      <c r="B13" s="33" t="s">
        <v>18</v>
      </c>
    </row>
    <row r="14" spans="1:32" ht="79.5" customHeight="1" x14ac:dyDescent="0.35">
      <c r="A14" s="3" t="s">
        <v>160</v>
      </c>
      <c r="B14" s="25">
        <f>IF(B12="Feuillus",C31,IF(B12="Peuplier",C32,IF(B12="Résineux",C34,IF(B12="Pin maritime en gestion dynamique (3 éclaircies durant les 30 1ères années)",C33,0))))</f>
        <v>0</v>
      </c>
      <c r="C14" s="145" t="s">
        <v>229</v>
      </c>
    </row>
    <row r="15" spans="1:32" ht="29.5" thickBot="1" x14ac:dyDescent="0.4">
      <c r="A15" s="4" t="s">
        <v>111</v>
      </c>
      <c r="B15" s="37">
        <f>IF(B13="Feuillus",0,IF(B13="Résineux pionniers (PM, PA, PS…)",0.43,0))</f>
        <v>0</v>
      </c>
    </row>
    <row r="16" spans="1:32" ht="15" thickBot="1" x14ac:dyDescent="0.4">
      <c r="AF16" s="7"/>
    </row>
    <row r="17" spans="1:177" s="5" customFormat="1" ht="15.5" x14ac:dyDescent="0.35">
      <c r="A17" s="183" t="s">
        <v>96</v>
      </c>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5"/>
      <c r="AF17" s="19"/>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x14ac:dyDescent="0.35">
      <c r="A18" s="3" t="s">
        <v>16</v>
      </c>
      <c r="B18" s="12">
        <v>1</v>
      </c>
      <c r="C18" s="12">
        <v>2</v>
      </c>
      <c r="D18" s="12">
        <v>3</v>
      </c>
      <c r="E18" s="12">
        <v>4</v>
      </c>
      <c r="F18" s="12">
        <v>5</v>
      </c>
      <c r="G18" s="12">
        <v>6</v>
      </c>
      <c r="H18" s="12">
        <v>7</v>
      </c>
      <c r="I18" s="12">
        <v>8</v>
      </c>
      <c r="J18" s="12">
        <v>9</v>
      </c>
      <c r="K18" s="12">
        <v>10</v>
      </c>
      <c r="L18" s="12">
        <v>11</v>
      </c>
      <c r="M18" s="12">
        <v>12</v>
      </c>
      <c r="N18" s="110">
        <v>13</v>
      </c>
      <c r="O18" s="12">
        <v>14</v>
      </c>
      <c r="P18" s="12">
        <v>15</v>
      </c>
      <c r="Q18" s="110">
        <v>16</v>
      </c>
      <c r="R18" s="12">
        <v>17</v>
      </c>
      <c r="S18" s="12">
        <v>18</v>
      </c>
      <c r="T18" s="12">
        <v>19</v>
      </c>
      <c r="U18" s="12">
        <v>20</v>
      </c>
      <c r="V18" s="110">
        <v>21</v>
      </c>
      <c r="W18" s="12">
        <v>22</v>
      </c>
      <c r="X18" s="12">
        <v>23</v>
      </c>
      <c r="Y18" s="12">
        <v>24</v>
      </c>
      <c r="Z18" s="147">
        <v>25</v>
      </c>
      <c r="AA18" s="12">
        <v>26</v>
      </c>
      <c r="AB18" s="12">
        <v>27</v>
      </c>
      <c r="AC18" s="12">
        <v>28</v>
      </c>
      <c r="AD18" s="12">
        <v>29</v>
      </c>
      <c r="AE18" s="25">
        <v>30</v>
      </c>
      <c r="AF18" s="15"/>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35">
      <c r="A19" s="192" t="s">
        <v>3</v>
      </c>
      <c r="B19" s="193"/>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4"/>
      <c r="AF19" s="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59" t="s">
        <v>200</v>
      </c>
      <c r="B20" s="58">
        <f>$B$14*B21</f>
        <v>0</v>
      </c>
      <c r="C20" s="58">
        <f>$B$14*C21</f>
        <v>0</v>
      </c>
      <c r="D20" s="58">
        <f>$B$14*D21</f>
        <v>0</v>
      </c>
      <c r="E20" s="58">
        <f>$B$14*E21</f>
        <v>0</v>
      </c>
      <c r="F20" s="58">
        <f t="shared" ref="F20:AD20" si="0">$B$14*F21</f>
        <v>0</v>
      </c>
      <c r="G20" s="58">
        <f t="shared" si="0"/>
        <v>0</v>
      </c>
      <c r="H20" s="58">
        <f t="shared" si="0"/>
        <v>0</v>
      </c>
      <c r="I20" s="58">
        <f t="shared" si="0"/>
        <v>0</v>
      </c>
      <c r="J20" s="58">
        <f t="shared" si="0"/>
        <v>0</v>
      </c>
      <c r="K20" s="58">
        <f t="shared" si="0"/>
        <v>0</v>
      </c>
      <c r="L20" s="58">
        <f t="shared" si="0"/>
        <v>0</v>
      </c>
      <c r="M20" s="58">
        <f t="shared" si="0"/>
        <v>0</v>
      </c>
      <c r="N20" s="58">
        <f>N21*0.59</f>
        <v>48.852000000000004</v>
      </c>
      <c r="O20" s="58">
        <f t="shared" si="0"/>
        <v>0</v>
      </c>
      <c r="P20" s="137">
        <f t="shared" si="0"/>
        <v>0</v>
      </c>
      <c r="Q20" s="58">
        <f>Q21*0.59</f>
        <v>76.11</v>
      </c>
      <c r="R20" s="58">
        <f t="shared" si="0"/>
        <v>0</v>
      </c>
      <c r="S20" s="58">
        <f t="shared" si="0"/>
        <v>0</v>
      </c>
      <c r="T20" s="58">
        <f t="shared" si="0"/>
        <v>0</v>
      </c>
      <c r="U20" s="58">
        <f t="shared" si="0"/>
        <v>0</v>
      </c>
      <c r="V20" s="58">
        <f>V21*0.59</f>
        <v>101.42099999999998</v>
      </c>
      <c r="W20" s="58">
        <f t="shared" si="0"/>
        <v>0</v>
      </c>
      <c r="X20" s="58">
        <f t="shared" si="0"/>
        <v>0</v>
      </c>
      <c r="Y20" s="58">
        <f t="shared" si="0"/>
        <v>0</v>
      </c>
      <c r="Z20" s="137">
        <f>Z21*0.43</f>
        <v>44.999500000000005</v>
      </c>
      <c r="AA20" s="58">
        <f t="shared" si="0"/>
        <v>0</v>
      </c>
      <c r="AB20" s="58">
        <f t="shared" si="0"/>
        <v>0</v>
      </c>
      <c r="AC20" s="58">
        <f t="shared" si="0"/>
        <v>0</v>
      </c>
      <c r="AD20" s="58">
        <f t="shared" si="0"/>
        <v>0</v>
      </c>
      <c r="AE20" s="138">
        <f>$B$14*AE21</f>
        <v>0</v>
      </c>
      <c r="AF20" s="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199</v>
      </c>
      <c r="B21" s="17"/>
      <c r="C21" s="17"/>
      <c r="D21" s="32"/>
      <c r="E21" s="32"/>
      <c r="F21" s="32"/>
      <c r="G21" s="32"/>
      <c r="H21" s="32"/>
      <c r="I21" s="32"/>
      <c r="J21" s="32"/>
      <c r="K21" s="32"/>
      <c r="L21" s="32"/>
      <c r="M21" s="32"/>
      <c r="N21" s="32">
        <f>27.6*3</f>
        <v>82.800000000000011</v>
      </c>
      <c r="O21" s="32"/>
      <c r="P21" s="136"/>
      <c r="Q21" s="32">
        <f>43*3</f>
        <v>129</v>
      </c>
      <c r="R21" s="32"/>
      <c r="S21" s="32"/>
      <c r="T21" s="32"/>
      <c r="U21" s="32"/>
      <c r="V21" s="32">
        <f>57.3*3</f>
        <v>171.89999999999998</v>
      </c>
      <c r="W21" s="32"/>
      <c r="X21" s="32"/>
      <c r="Y21" s="32"/>
      <c r="Z21" s="136">
        <f>35*2.99</f>
        <v>104.65</v>
      </c>
      <c r="AA21" s="32"/>
      <c r="AB21" s="32"/>
      <c r="AC21" s="32"/>
      <c r="AD21" s="32"/>
      <c r="AE21" s="139"/>
      <c r="AF21" s="3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192" t="s">
        <v>2</v>
      </c>
      <c r="B22" s="193"/>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4"/>
      <c r="AF22" s="6"/>
    </row>
    <row r="23" spans="1:177" x14ac:dyDescent="0.35">
      <c r="A23" s="59" t="s">
        <v>201</v>
      </c>
      <c r="B23" s="58">
        <f>$B$15*B24</f>
        <v>0</v>
      </c>
      <c r="C23" s="58">
        <f>$B$15*C24</f>
        <v>0</v>
      </c>
      <c r="D23" s="58">
        <f t="shared" ref="D23:AD23" si="1">$B$15*D24</f>
        <v>0</v>
      </c>
      <c r="E23" s="58">
        <f t="shared" si="1"/>
        <v>0</v>
      </c>
      <c r="F23" s="58">
        <f t="shared" si="1"/>
        <v>0</v>
      </c>
      <c r="G23" s="58">
        <f t="shared" si="1"/>
        <v>0</v>
      </c>
      <c r="H23" s="58">
        <f t="shared" si="1"/>
        <v>0</v>
      </c>
      <c r="I23" s="58">
        <f t="shared" si="1"/>
        <v>0</v>
      </c>
      <c r="J23" s="58">
        <f t="shared" si="1"/>
        <v>0</v>
      </c>
      <c r="K23" s="58">
        <f t="shared" si="1"/>
        <v>0</v>
      </c>
      <c r="L23" s="58">
        <f t="shared" si="1"/>
        <v>0</v>
      </c>
      <c r="M23" s="58">
        <f t="shared" si="1"/>
        <v>0</v>
      </c>
      <c r="N23" s="58">
        <f t="shared" si="1"/>
        <v>0</v>
      </c>
      <c r="O23" s="58">
        <f t="shared" si="1"/>
        <v>0</v>
      </c>
      <c r="P23" s="58">
        <f t="shared" si="1"/>
        <v>0</v>
      </c>
      <c r="Q23" s="58">
        <f t="shared" si="1"/>
        <v>0</v>
      </c>
      <c r="R23" s="58">
        <f t="shared" si="1"/>
        <v>0</v>
      </c>
      <c r="S23" s="58">
        <f t="shared" si="1"/>
        <v>0</v>
      </c>
      <c r="T23" s="58">
        <f t="shared" si="1"/>
        <v>0</v>
      </c>
      <c r="U23" s="58">
        <f t="shared" si="1"/>
        <v>0</v>
      </c>
      <c r="V23" s="58">
        <f t="shared" si="1"/>
        <v>0</v>
      </c>
      <c r="W23" s="58">
        <f t="shared" si="1"/>
        <v>0</v>
      </c>
      <c r="X23" s="58">
        <f t="shared" si="1"/>
        <v>0</v>
      </c>
      <c r="Y23" s="58">
        <f t="shared" si="1"/>
        <v>0</v>
      </c>
      <c r="Z23" s="58">
        <f t="shared" si="1"/>
        <v>0</v>
      </c>
      <c r="AA23" s="58">
        <f t="shared" si="1"/>
        <v>0</v>
      </c>
      <c r="AB23" s="58">
        <f t="shared" si="1"/>
        <v>0</v>
      </c>
      <c r="AC23" s="58">
        <f t="shared" si="1"/>
        <v>0</v>
      </c>
      <c r="AD23" s="58">
        <f t="shared" si="1"/>
        <v>0</v>
      </c>
      <c r="AE23" s="60">
        <f>$B$15*AE24</f>
        <v>0</v>
      </c>
      <c r="AF23" s="6"/>
    </row>
    <row r="24" spans="1:177" x14ac:dyDescent="0.35">
      <c r="A24" s="3" t="s">
        <v>202</v>
      </c>
      <c r="B24" s="17"/>
      <c r="C24" s="17"/>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54"/>
      <c r="AF24" s="36"/>
    </row>
    <row r="25" spans="1:177" ht="29.5" thickBot="1" x14ac:dyDescent="0.4">
      <c r="A25" s="38" t="s">
        <v>203</v>
      </c>
      <c r="B25" s="12">
        <f>B20-B23</f>
        <v>0</v>
      </c>
      <c r="C25" s="23">
        <f>C20-C23</f>
        <v>0</v>
      </c>
      <c r="D25" s="23">
        <f t="shared" ref="D25:AD25" si="2">D20-D23</f>
        <v>0</v>
      </c>
      <c r="E25" s="23">
        <f t="shared" si="2"/>
        <v>0</v>
      </c>
      <c r="F25" s="23">
        <f t="shared" si="2"/>
        <v>0</v>
      </c>
      <c r="G25" s="23">
        <f t="shared" si="2"/>
        <v>0</v>
      </c>
      <c r="H25" s="23">
        <f t="shared" si="2"/>
        <v>0</v>
      </c>
      <c r="I25" s="23">
        <f t="shared" si="2"/>
        <v>0</v>
      </c>
      <c r="J25" s="23">
        <f t="shared" si="2"/>
        <v>0</v>
      </c>
      <c r="K25" s="23">
        <f t="shared" si="2"/>
        <v>0</v>
      </c>
      <c r="L25" s="23">
        <f t="shared" si="2"/>
        <v>0</v>
      </c>
      <c r="M25" s="23">
        <f t="shared" si="2"/>
        <v>0</v>
      </c>
      <c r="N25" s="23">
        <f t="shared" si="2"/>
        <v>48.852000000000004</v>
      </c>
      <c r="O25" s="23">
        <f t="shared" si="2"/>
        <v>0</v>
      </c>
      <c r="P25" s="101">
        <f t="shared" si="2"/>
        <v>0</v>
      </c>
      <c r="Q25" s="23">
        <f t="shared" si="2"/>
        <v>76.11</v>
      </c>
      <c r="R25" s="23">
        <f t="shared" si="2"/>
        <v>0</v>
      </c>
      <c r="S25" s="23">
        <f t="shared" si="2"/>
        <v>0</v>
      </c>
      <c r="T25" s="23">
        <f t="shared" si="2"/>
        <v>0</v>
      </c>
      <c r="U25" s="23">
        <f t="shared" si="2"/>
        <v>0</v>
      </c>
      <c r="V25" s="23">
        <f t="shared" si="2"/>
        <v>101.42099999999998</v>
      </c>
      <c r="W25" s="23">
        <f t="shared" si="2"/>
        <v>0</v>
      </c>
      <c r="X25" s="23">
        <f t="shared" si="2"/>
        <v>0</v>
      </c>
      <c r="Y25" s="23">
        <f t="shared" si="2"/>
        <v>0</v>
      </c>
      <c r="Z25" s="101">
        <f t="shared" si="2"/>
        <v>44.999500000000005</v>
      </c>
      <c r="AA25" s="23">
        <f t="shared" si="2"/>
        <v>0</v>
      </c>
      <c r="AB25" s="23">
        <f t="shared" si="2"/>
        <v>0</v>
      </c>
      <c r="AC25" s="23">
        <f t="shared" si="2"/>
        <v>0</v>
      </c>
      <c r="AD25" s="23">
        <f t="shared" si="2"/>
        <v>0</v>
      </c>
      <c r="AE25" s="127">
        <f>AE20-AE23</f>
        <v>0</v>
      </c>
      <c r="AF25" s="15"/>
    </row>
    <row r="26" spans="1:177" ht="15" thickBot="1" x14ac:dyDescent="0.4">
      <c r="A26" s="177" t="s">
        <v>11</v>
      </c>
      <c r="B26" s="189"/>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row>
    <row r="27" spans="1:177" x14ac:dyDescent="0.35">
      <c r="A27" s="179" t="s">
        <v>98</v>
      </c>
      <c r="B27" s="12" t="s">
        <v>99</v>
      </c>
      <c r="C27" s="30">
        <v>1.52</v>
      </c>
      <c r="D27" s="15"/>
      <c r="E27" s="15"/>
      <c r="F27" s="7"/>
      <c r="G27" s="7"/>
      <c r="H27" s="7"/>
      <c r="I27" s="7"/>
      <c r="J27" s="7"/>
      <c r="K27" s="7"/>
      <c r="L27" s="7"/>
      <c r="M27" s="7"/>
      <c r="N27" s="7"/>
      <c r="O27" s="7"/>
      <c r="P27" s="7"/>
      <c r="Q27" s="7"/>
      <c r="R27" s="7"/>
      <c r="S27" s="7"/>
      <c r="T27" s="7"/>
      <c r="U27" s="7"/>
      <c r="V27" s="7"/>
      <c r="W27" s="7"/>
      <c r="X27" s="7"/>
      <c r="Y27" s="7"/>
      <c r="Z27" s="7"/>
      <c r="AA27" s="7"/>
      <c r="AB27" s="7"/>
      <c r="AC27" s="7"/>
      <c r="AD27" s="7"/>
      <c r="AE27" s="7"/>
      <c r="AF27" s="7"/>
    </row>
    <row r="28" spans="1:177" x14ac:dyDescent="0.35">
      <c r="A28" s="180"/>
      <c r="B28" s="12" t="s">
        <v>101</v>
      </c>
      <c r="C28" s="25">
        <v>0</v>
      </c>
      <c r="D28" s="15"/>
      <c r="E28" s="15"/>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177" x14ac:dyDescent="0.35">
      <c r="A29" s="180"/>
      <c r="B29" s="12" t="s">
        <v>102</v>
      </c>
      <c r="C29" s="25">
        <v>0.77</v>
      </c>
      <c r="D29" s="15"/>
      <c r="E29" s="15"/>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1:177" x14ac:dyDescent="0.35">
      <c r="A30" s="180"/>
      <c r="B30" s="12" t="s">
        <v>100</v>
      </c>
      <c r="C30" s="25">
        <v>0.25</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177" x14ac:dyDescent="0.35">
      <c r="A31" s="190" t="s">
        <v>103</v>
      </c>
      <c r="B31" s="26" t="s">
        <v>104</v>
      </c>
      <c r="C31" s="34">
        <v>0.25</v>
      </c>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row>
    <row r="32" spans="1:177" x14ac:dyDescent="0.35">
      <c r="A32" s="190"/>
      <c r="B32" s="26" t="s">
        <v>105</v>
      </c>
      <c r="C32" s="34">
        <v>1.03</v>
      </c>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row>
    <row r="33" spans="1:31" ht="29" x14ac:dyDescent="0.35">
      <c r="A33" s="190"/>
      <c r="B33" s="31" t="s">
        <v>106</v>
      </c>
      <c r="C33" s="34">
        <v>0.59</v>
      </c>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row>
    <row r="34" spans="1:31" ht="15" thickBot="1" x14ac:dyDescent="0.4">
      <c r="A34" s="191"/>
      <c r="B34" s="23" t="s">
        <v>107</v>
      </c>
      <c r="C34" s="35">
        <v>0.43</v>
      </c>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row>
  </sheetData>
  <mergeCells count="7">
    <mergeCell ref="A31:A34"/>
    <mergeCell ref="A9:B9"/>
    <mergeCell ref="A26:B26"/>
    <mergeCell ref="A27:A30"/>
    <mergeCell ref="A17:AE17"/>
    <mergeCell ref="A19:AE19"/>
    <mergeCell ref="A22:AE22"/>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Choisir l'essence pour avoir la di pour le scénario de référence">
          <x14:formula1>
            <xm:f>'Listes choix'!$C$2:$C$66</xm:f>
          </x14:formula1>
          <xm:sqref>D27:D29</xm:sqref>
        </x14:dataValidation>
        <x14:dataValidation type="list" showInputMessage="1" showErrorMessage="1" prompt="Choisir un type de reboisement pour le calcul du CS projet">
          <x14:formula1>
            <xm:f>'Listes choix'!$G$2:$G$5</xm:f>
          </x14:formula1>
          <xm:sqref>B12</xm:sqref>
        </x14:dataValidation>
        <x14:dataValidation type="list" showInputMessage="1" showErrorMessage="1" prompt="Choisir un type de friche pour le calcul du CS référence">
          <x14:formula1>
            <xm:f>'Listes choix'!$H$2:$H$3</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zoomScale="76" workbookViewId="0">
      <selection activeCell="G24" sqref="G24"/>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row r="2" spans="1:4" ht="16" thickBot="1" x14ac:dyDescent="0.4">
      <c r="A2" s="39" t="s">
        <v>115</v>
      </c>
      <c r="B2" s="104" t="s">
        <v>114</v>
      </c>
      <c r="C2" s="106"/>
      <c r="D2" s="105"/>
    </row>
    <row r="3" spans="1:4" ht="15.5" x14ac:dyDescent="0.35">
      <c r="A3" s="28" t="s">
        <v>116</v>
      </c>
      <c r="B3" s="140">
        <f>SUM(B4,B6)</f>
        <v>1667.742275966124</v>
      </c>
      <c r="C3" s="106"/>
      <c r="D3" s="105"/>
    </row>
    <row r="4" spans="1:4" ht="15.5" x14ac:dyDescent="0.35">
      <c r="A4" s="40" t="s">
        <v>117</v>
      </c>
      <c r="B4" s="141">
        <f>REAforêtReboisement!B6</f>
        <v>1626.4552527256046</v>
      </c>
      <c r="C4" s="106"/>
      <c r="D4" s="105"/>
    </row>
    <row r="5" spans="1:4" ht="15.5" x14ac:dyDescent="0.35">
      <c r="A5" s="96" t="s">
        <v>121</v>
      </c>
      <c r="B5" s="141">
        <f>B4*(1-C15)*(1-C16)*(1-C17)*(1-C18)</f>
        <v>1244.2382683350875</v>
      </c>
      <c r="C5" s="106"/>
      <c r="D5" s="105"/>
    </row>
    <row r="6" spans="1:4" ht="15.5" x14ac:dyDescent="0.35">
      <c r="A6" s="40" t="s">
        <v>118</v>
      </c>
      <c r="B6" s="141">
        <f>REAproduitsReboisement!B5</f>
        <v>41.287023240519481</v>
      </c>
      <c r="C6" s="106"/>
      <c r="D6" s="105"/>
    </row>
    <row r="7" spans="1:4" ht="15.5" x14ac:dyDescent="0.35">
      <c r="A7" s="96" t="s">
        <v>122</v>
      </c>
      <c r="B7" s="141">
        <f>B6*(1-C15)*(1-C16)*(1-C17)*(1-C18)</f>
        <v>31.584572778997401</v>
      </c>
      <c r="C7" s="106"/>
      <c r="D7" s="105"/>
    </row>
    <row r="8" spans="1:4" ht="15.5" x14ac:dyDescent="0.35">
      <c r="A8" s="40" t="s">
        <v>119</v>
      </c>
      <c r="B8" s="141">
        <f>REEsubsReboisement!B6</f>
        <v>271.38249999999999</v>
      </c>
      <c r="C8" s="106"/>
      <c r="D8" s="105"/>
    </row>
    <row r="9" spans="1:4" ht="16" thickBot="1" x14ac:dyDescent="0.4">
      <c r="A9" s="97" t="s">
        <v>123</v>
      </c>
      <c r="B9" s="142">
        <f>B8*(1-C15)*(1-C16)*(1-C17)*(1-C18)</f>
        <v>207.60761249999999</v>
      </c>
      <c r="C9" s="106"/>
      <c r="D9" s="105"/>
    </row>
    <row r="10" spans="1:4" ht="15.5" x14ac:dyDescent="0.35">
      <c r="A10" s="41" t="s">
        <v>120</v>
      </c>
      <c r="B10" s="143">
        <f>SUM(B3,B8)</f>
        <v>1939.1247759661239</v>
      </c>
      <c r="C10" s="53"/>
      <c r="D10" s="15"/>
    </row>
    <row r="11" spans="1:4" ht="16" thickBot="1" x14ac:dyDescent="0.4">
      <c r="A11" s="42" t="s">
        <v>124</v>
      </c>
      <c r="B11" s="144">
        <f>SUM(B5,B7,B9)</f>
        <v>1483.4304536140849</v>
      </c>
      <c r="C11" s="53"/>
      <c r="D11" s="15"/>
    </row>
    <row r="13" spans="1:4" ht="15" thickBot="1" x14ac:dyDescent="0.4"/>
    <row r="14" spans="1:4" ht="16" thickBot="1" x14ac:dyDescent="0.4">
      <c r="A14" s="44" t="s">
        <v>125</v>
      </c>
      <c r="B14" s="61" t="s">
        <v>126</v>
      </c>
      <c r="C14" s="85" t="s">
        <v>133</v>
      </c>
    </row>
    <row r="15" spans="1:4" x14ac:dyDescent="0.35">
      <c r="A15" s="163" t="s">
        <v>193</v>
      </c>
      <c r="B15" s="47" t="s">
        <v>134</v>
      </c>
      <c r="C15" s="49">
        <f>IF(B15="Réalisée",0,IF(B15="Pas réalisée",0.2,""))</f>
        <v>0</v>
      </c>
    </row>
    <row r="16" spans="1:4" x14ac:dyDescent="0.35">
      <c r="A16" s="161" t="s">
        <v>194</v>
      </c>
      <c r="B16" s="46" t="s">
        <v>130</v>
      </c>
      <c r="C16" s="50">
        <v>0.1</v>
      </c>
      <c r="D16" s="43"/>
    </row>
    <row r="17" spans="1:5" ht="29" x14ac:dyDescent="0.35">
      <c r="A17" s="160" t="s">
        <v>152</v>
      </c>
      <c r="B17" s="48" t="s">
        <v>137</v>
      </c>
      <c r="C17" s="50">
        <f>IF(B17="Départements sans risque ou risque négligeable",0,IF(B17="Départements avec risque très faible ou faible",0.05,IF(B17="Départements avec risque moyen",0.1,IF(B17="Départements avec risque fort ou très fort", 0.15,""))))</f>
        <v>0.15</v>
      </c>
      <c r="D17" s="43"/>
    </row>
    <row r="18" spans="1:5" ht="15" thickBot="1" x14ac:dyDescent="0.4">
      <c r="A18" s="162" t="s">
        <v>132</v>
      </c>
      <c r="B18" s="171" t="s">
        <v>139</v>
      </c>
      <c r="C18" s="172">
        <f>IF(B18="Démontrée",0,IF(B18="Non démontrée",0.1,""))</f>
        <v>0</v>
      </c>
    </row>
    <row r="19" spans="1:5" x14ac:dyDescent="0.35">
      <c r="A19" s="51"/>
      <c r="B19" s="15"/>
      <c r="C19" s="15"/>
      <c r="D19" s="51"/>
      <c r="E19" s="83"/>
    </row>
    <row r="20" spans="1:5" x14ac:dyDescent="0.35">
      <c r="A20" s="51"/>
      <c r="B20" s="15"/>
      <c r="C20" s="15"/>
      <c r="D20" s="51"/>
      <c r="E20" s="83"/>
    </row>
    <row r="21" spans="1:5" x14ac:dyDescent="0.35">
      <c r="A21" s="51"/>
      <c r="B21" s="15"/>
      <c r="C21" s="15"/>
      <c r="D21" s="51"/>
      <c r="E21" s="83"/>
    </row>
    <row r="22" spans="1:5" x14ac:dyDescent="0.35">
      <c r="A22" s="51"/>
      <c r="B22" s="15"/>
      <c r="C22" s="52"/>
      <c r="D22" s="51"/>
    </row>
    <row r="23" spans="1:5" x14ac:dyDescent="0.35">
      <c r="A23" s="51"/>
      <c r="B23" s="51"/>
      <c r="C23" s="51"/>
      <c r="D23" s="51"/>
    </row>
    <row r="24" spans="1:5" x14ac:dyDescent="0.35">
      <c r="A24" s="51"/>
      <c r="B24" s="51"/>
      <c r="C24" s="51"/>
      <c r="D24" s="51"/>
    </row>
    <row r="25" spans="1:5" x14ac:dyDescent="0.35">
      <c r="A25" s="51"/>
      <c r="B25" s="51"/>
      <c r="C25" s="51"/>
      <c r="D25" s="51"/>
    </row>
    <row r="26" spans="1:5" x14ac:dyDescent="0.35">
      <c r="A26" s="51"/>
      <c r="B26" s="51"/>
      <c r="C26" s="51"/>
      <c r="D26" s="51"/>
    </row>
  </sheetData>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43" customWidth="1"/>
    <col min="2" max="2" width="10.90625" style="43"/>
    <col min="3" max="3" width="22.08984375" style="43" customWidth="1"/>
    <col min="4" max="6" width="10.90625" style="43"/>
    <col min="7" max="7" width="14.90625" style="43" customWidth="1"/>
    <col min="8" max="8" width="16.7265625" style="43" customWidth="1"/>
    <col min="9" max="9" width="22.26953125" style="43" customWidth="1"/>
    <col min="10" max="10" width="25" style="43" customWidth="1"/>
    <col min="11" max="11" width="26.90625" style="43" customWidth="1"/>
    <col min="12" max="15" width="10.90625" style="43"/>
    <col min="16" max="16" width="13.6328125" style="43" customWidth="1"/>
    <col min="17" max="16384" width="10.90625" style="43"/>
  </cols>
  <sheetData>
    <row r="1" spans="1:20" ht="44" thickBot="1" x14ac:dyDescent="0.4">
      <c r="A1" s="65" t="s">
        <v>9</v>
      </c>
      <c r="B1" s="65" t="s">
        <v>17</v>
      </c>
      <c r="C1" s="69" t="s">
        <v>55</v>
      </c>
      <c r="D1" s="70" t="s">
        <v>20</v>
      </c>
      <c r="E1" s="69" t="s">
        <v>89</v>
      </c>
      <c r="F1" s="69" t="s">
        <v>90</v>
      </c>
      <c r="G1" s="69" t="s">
        <v>109</v>
      </c>
      <c r="H1" s="69" t="s">
        <v>112</v>
      </c>
      <c r="I1" s="78" t="s">
        <v>125</v>
      </c>
      <c r="J1" s="195" t="s">
        <v>126</v>
      </c>
      <c r="K1" s="196"/>
      <c r="L1" s="10"/>
      <c r="M1" s="10"/>
      <c r="N1" s="69" t="s">
        <v>55</v>
      </c>
      <c r="O1" s="69" t="s">
        <v>149</v>
      </c>
      <c r="P1" s="70" t="s">
        <v>152</v>
      </c>
      <c r="Q1" s="197" t="s">
        <v>162</v>
      </c>
      <c r="R1" s="198"/>
      <c r="S1" s="199"/>
      <c r="T1" s="69" t="s">
        <v>189</v>
      </c>
    </row>
    <row r="2" spans="1:20" ht="87.5" thickBot="1" x14ac:dyDescent="0.4">
      <c r="A2" s="62" t="s">
        <v>155</v>
      </c>
      <c r="B2" s="67" t="s">
        <v>19</v>
      </c>
      <c r="C2" s="71" t="s">
        <v>21</v>
      </c>
      <c r="D2" s="74">
        <v>0.62</v>
      </c>
      <c r="E2" s="71" t="s">
        <v>91</v>
      </c>
      <c r="F2" s="74">
        <v>35</v>
      </c>
      <c r="G2" s="67" t="s">
        <v>18</v>
      </c>
      <c r="H2" s="67" t="s">
        <v>18</v>
      </c>
      <c r="I2" s="71" t="s">
        <v>127</v>
      </c>
      <c r="J2" s="79" t="s">
        <v>134</v>
      </c>
      <c r="K2" s="79" t="s">
        <v>176</v>
      </c>
      <c r="L2" s="82" t="s">
        <v>134</v>
      </c>
      <c r="M2" s="81" t="s">
        <v>176</v>
      </c>
      <c r="N2" s="67" t="s">
        <v>21</v>
      </c>
      <c r="O2" s="67" t="s">
        <v>150</v>
      </c>
      <c r="P2" s="66" t="s">
        <v>153</v>
      </c>
      <c r="Q2" s="69" t="s">
        <v>161</v>
      </c>
      <c r="R2" s="69" t="s">
        <v>163</v>
      </c>
      <c r="S2" s="103" t="s">
        <v>164</v>
      </c>
      <c r="T2" s="45" t="s">
        <v>190</v>
      </c>
    </row>
    <row r="3" spans="1:20" ht="102" thickBot="1" x14ac:dyDescent="0.4">
      <c r="A3" s="63" t="s">
        <v>156</v>
      </c>
      <c r="B3" s="68" t="s">
        <v>18</v>
      </c>
      <c r="C3" s="56" t="s">
        <v>77</v>
      </c>
      <c r="D3" s="75">
        <v>0.64</v>
      </c>
      <c r="E3" s="56" t="s">
        <v>92</v>
      </c>
      <c r="F3" s="75">
        <v>25</v>
      </c>
      <c r="G3" s="77" t="s">
        <v>105</v>
      </c>
      <c r="H3" s="68" t="s">
        <v>113</v>
      </c>
      <c r="I3" s="56" t="s">
        <v>128</v>
      </c>
      <c r="J3" s="45" t="s">
        <v>140</v>
      </c>
      <c r="K3" s="72" t="s">
        <v>142</v>
      </c>
      <c r="L3" s="10"/>
      <c r="M3" s="10"/>
      <c r="N3" s="77" t="s">
        <v>22</v>
      </c>
      <c r="O3" s="77" t="s">
        <v>26</v>
      </c>
      <c r="P3" s="68" t="s">
        <v>137</v>
      </c>
      <c r="Q3" s="67" t="s">
        <v>165</v>
      </c>
      <c r="R3" s="67" t="s">
        <v>174</v>
      </c>
      <c r="S3" s="67" t="s">
        <v>168</v>
      </c>
      <c r="T3" s="45" t="s">
        <v>191</v>
      </c>
    </row>
    <row r="4" spans="1:20" ht="87.5" thickBot="1" x14ac:dyDescent="0.4">
      <c r="A4" s="63" t="s">
        <v>157</v>
      </c>
      <c r="B4" s="10"/>
      <c r="C4" s="56" t="s">
        <v>22</v>
      </c>
      <c r="D4" s="75">
        <v>0.42</v>
      </c>
      <c r="E4" s="57" t="s">
        <v>93</v>
      </c>
      <c r="F4" s="76">
        <v>2</v>
      </c>
      <c r="G4" s="63" t="s">
        <v>107</v>
      </c>
      <c r="H4" s="10"/>
      <c r="I4" s="56" t="s">
        <v>129</v>
      </c>
      <c r="J4" s="45" t="s">
        <v>130</v>
      </c>
      <c r="K4" s="72" t="s">
        <v>130</v>
      </c>
      <c r="L4" s="10"/>
      <c r="M4" s="10"/>
      <c r="N4" s="77" t="s">
        <v>78</v>
      </c>
      <c r="O4" s="64" t="s">
        <v>151</v>
      </c>
      <c r="P4" s="10"/>
      <c r="Q4" s="77" t="s">
        <v>166</v>
      </c>
      <c r="R4" s="68" t="s">
        <v>167</v>
      </c>
      <c r="S4" s="63" t="s">
        <v>169</v>
      </c>
    </row>
    <row r="5" spans="1:20" ht="87.5" thickBot="1" x14ac:dyDescent="0.4">
      <c r="A5" s="64" t="s">
        <v>158</v>
      </c>
      <c r="B5" s="10"/>
      <c r="C5" s="56" t="s">
        <v>78</v>
      </c>
      <c r="D5" s="72">
        <v>0.42</v>
      </c>
      <c r="E5" s="10"/>
      <c r="F5" s="10"/>
      <c r="G5" s="64" t="s">
        <v>110</v>
      </c>
      <c r="H5" s="10"/>
      <c r="I5" s="179" t="s">
        <v>131</v>
      </c>
      <c r="J5" s="45"/>
      <c r="K5" s="72" t="s">
        <v>141</v>
      </c>
      <c r="L5" s="10"/>
      <c r="M5" s="10"/>
      <c r="N5" s="63" t="s">
        <v>24</v>
      </c>
      <c r="O5" s="10"/>
      <c r="P5" s="10"/>
      <c r="Q5" s="64" t="s">
        <v>173</v>
      </c>
      <c r="S5" s="63" t="s">
        <v>170</v>
      </c>
    </row>
    <row r="6" spans="1:20" ht="72.5" x14ac:dyDescent="0.35">
      <c r="A6" s="10"/>
      <c r="B6" s="10"/>
      <c r="C6" s="56" t="s">
        <v>79</v>
      </c>
      <c r="D6" s="72">
        <v>0.52</v>
      </c>
      <c r="E6" s="10"/>
      <c r="F6" s="10"/>
      <c r="G6" s="10"/>
      <c r="H6" s="10"/>
      <c r="I6" s="180"/>
      <c r="J6" s="45"/>
      <c r="K6" s="72" t="s">
        <v>135</v>
      </c>
      <c r="L6" s="10"/>
      <c r="M6" s="10"/>
      <c r="N6" s="63" t="s">
        <v>25</v>
      </c>
      <c r="O6" s="10"/>
      <c r="P6" s="10"/>
      <c r="S6" s="63" t="s">
        <v>171</v>
      </c>
    </row>
    <row r="7" spans="1:20" ht="101.5" x14ac:dyDescent="0.35">
      <c r="A7" s="10"/>
      <c r="B7" s="10"/>
      <c r="C7" s="56" t="s">
        <v>23</v>
      </c>
      <c r="D7" s="72">
        <v>0.36</v>
      </c>
      <c r="E7" s="10"/>
      <c r="F7" s="10"/>
      <c r="G7" s="10"/>
      <c r="H7" s="10"/>
      <c r="I7" s="180"/>
      <c r="J7" s="45"/>
      <c r="K7" s="72" t="s">
        <v>136</v>
      </c>
      <c r="L7" s="10"/>
      <c r="M7" s="10"/>
      <c r="N7" s="63" t="s">
        <v>26</v>
      </c>
      <c r="O7" s="10"/>
      <c r="P7" s="10"/>
      <c r="S7" s="84" t="s">
        <v>172</v>
      </c>
    </row>
    <row r="8" spans="1:20" ht="29.5" thickBot="1" x14ac:dyDescent="0.4">
      <c r="A8" s="10"/>
      <c r="B8" s="10"/>
      <c r="C8" s="56" t="s">
        <v>24</v>
      </c>
      <c r="D8" s="72">
        <v>0.61</v>
      </c>
      <c r="E8" s="10"/>
      <c r="F8" s="10"/>
      <c r="G8" s="10"/>
      <c r="H8" s="10"/>
      <c r="I8" s="182"/>
      <c r="J8" s="45"/>
      <c r="K8" s="72" t="s">
        <v>137</v>
      </c>
      <c r="L8" s="10"/>
      <c r="M8" s="10"/>
      <c r="N8" s="63" t="s">
        <v>27</v>
      </c>
      <c r="O8" s="10"/>
      <c r="P8" s="10"/>
      <c r="S8" s="64" t="s">
        <v>175</v>
      </c>
    </row>
    <row r="9" spans="1:20" ht="29.5" thickBot="1" x14ac:dyDescent="0.4">
      <c r="A9" s="10"/>
      <c r="B9" s="10"/>
      <c r="C9" s="56" t="s">
        <v>25</v>
      </c>
      <c r="D9" s="72">
        <v>0.66</v>
      </c>
      <c r="E9" s="10"/>
      <c r="F9" s="10"/>
      <c r="G9" s="10"/>
      <c r="H9" s="10"/>
      <c r="I9" s="57" t="s">
        <v>132</v>
      </c>
      <c r="J9" s="80" t="s">
        <v>139</v>
      </c>
      <c r="K9" s="73" t="s">
        <v>138</v>
      </c>
      <c r="L9" s="10"/>
      <c r="M9" s="10"/>
      <c r="N9" s="63" t="s">
        <v>28</v>
      </c>
      <c r="O9" s="10"/>
      <c r="P9" s="10"/>
    </row>
    <row r="10" spans="1:20" ht="29" x14ac:dyDescent="0.35">
      <c r="A10" s="10"/>
      <c r="B10" s="10"/>
      <c r="C10" s="56" t="s">
        <v>26</v>
      </c>
      <c r="D10" s="72">
        <v>0.47</v>
      </c>
      <c r="E10" s="10"/>
      <c r="F10" s="10"/>
      <c r="G10" s="10"/>
      <c r="H10" s="10"/>
      <c r="I10" s="10"/>
      <c r="J10" s="10"/>
      <c r="K10" s="10"/>
      <c r="L10" s="10"/>
      <c r="M10" s="10"/>
      <c r="N10" s="63" t="s">
        <v>29</v>
      </c>
      <c r="O10" s="10"/>
      <c r="P10" s="10"/>
    </row>
    <row r="11" spans="1:20" ht="29" x14ac:dyDescent="0.35">
      <c r="A11" s="10"/>
      <c r="B11" s="10"/>
      <c r="C11" s="56" t="s">
        <v>27</v>
      </c>
      <c r="D11" s="72">
        <v>0.67</v>
      </c>
      <c r="E11" s="10"/>
      <c r="F11" s="10"/>
      <c r="G11" s="10"/>
      <c r="H11" s="10"/>
      <c r="I11" s="10"/>
      <c r="J11" s="10"/>
      <c r="K11" s="10"/>
      <c r="L11" s="10"/>
      <c r="M11" s="10"/>
      <c r="N11" s="63" t="s">
        <v>30</v>
      </c>
      <c r="O11" s="10"/>
      <c r="P11" s="10"/>
    </row>
    <row r="12" spans="1:20" ht="43.5" x14ac:dyDescent="0.35">
      <c r="A12" s="10"/>
      <c r="B12" s="10"/>
      <c r="C12" s="56" t="s">
        <v>28</v>
      </c>
      <c r="D12" s="72">
        <v>0.7</v>
      </c>
      <c r="E12" s="10"/>
      <c r="F12" s="10"/>
      <c r="G12" s="10"/>
      <c r="H12" s="10"/>
      <c r="I12" s="10"/>
      <c r="J12" s="10"/>
      <c r="K12" s="10"/>
      <c r="L12" s="10"/>
      <c r="M12" s="10"/>
      <c r="N12" s="63" t="s">
        <v>31</v>
      </c>
      <c r="O12" s="10"/>
      <c r="P12" s="10"/>
    </row>
    <row r="13" spans="1:20" ht="29" x14ac:dyDescent="0.35">
      <c r="A13" s="10"/>
      <c r="B13" s="10"/>
      <c r="C13" s="56" t="s">
        <v>29</v>
      </c>
      <c r="D13" s="72">
        <v>0.54</v>
      </c>
      <c r="E13" s="10"/>
      <c r="F13" s="10"/>
      <c r="G13" s="10"/>
      <c r="H13" s="10"/>
      <c r="I13" s="10"/>
      <c r="J13" s="10"/>
      <c r="K13" s="10"/>
      <c r="L13" s="10"/>
      <c r="M13" s="10"/>
      <c r="N13" s="63" t="s">
        <v>32</v>
      </c>
      <c r="O13" s="10"/>
      <c r="P13" s="10"/>
    </row>
    <row r="14" spans="1:20" x14ac:dyDescent="0.35">
      <c r="A14" s="10"/>
      <c r="B14" s="10"/>
      <c r="C14" s="56" t="s">
        <v>30</v>
      </c>
      <c r="D14" s="72">
        <v>0.65</v>
      </c>
      <c r="E14" s="10"/>
      <c r="F14" s="10"/>
      <c r="G14" s="10"/>
      <c r="H14" s="10"/>
      <c r="I14" s="10"/>
      <c r="J14" s="10"/>
      <c r="K14" s="10"/>
      <c r="L14" s="10"/>
      <c r="M14" s="10"/>
      <c r="N14" s="63" t="s">
        <v>33</v>
      </c>
      <c r="O14" s="10"/>
      <c r="P14" s="10"/>
    </row>
    <row r="15" spans="1:20" ht="43.5" x14ac:dyDescent="0.35">
      <c r="A15" s="10"/>
      <c r="B15" s="10"/>
      <c r="C15" s="56" t="s">
        <v>80</v>
      </c>
      <c r="D15" s="72">
        <v>0.56000000000000005</v>
      </c>
      <c r="E15" s="10"/>
      <c r="F15" s="10"/>
      <c r="G15" s="10"/>
      <c r="H15" s="10"/>
      <c r="I15" s="10"/>
      <c r="J15" s="10"/>
      <c r="K15" s="10"/>
      <c r="L15" s="10"/>
      <c r="M15" s="10"/>
      <c r="N15" s="63" t="s">
        <v>34</v>
      </c>
      <c r="O15" s="10"/>
      <c r="P15" s="10"/>
    </row>
    <row r="16" spans="1:20" ht="29" x14ac:dyDescent="0.35">
      <c r="A16" s="10"/>
      <c r="B16" s="10"/>
      <c r="C16" s="56" t="s">
        <v>31</v>
      </c>
      <c r="D16" s="72">
        <v>0.57999999999999996</v>
      </c>
      <c r="E16" s="10"/>
      <c r="F16" s="10"/>
      <c r="G16" s="10"/>
      <c r="H16" s="10"/>
      <c r="I16" s="10"/>
      <c r="J16" s="10"/>
      <c r="K16" s="10"/>
      <c r="L16" s="10"/>
      <c r="M16" s="10"/>
      <c r="N16" s="63" t="s">
        <v>41</v>
      </c>
      <c r="O16" s="10"/>
      <c r="P16" s="10"/>
    </row>
    <row r="17" spans="1:16" ht="29" x14ac:dyDescent="0.35">
      <c r="A17" s="10"/>
      <c r="B17" s="10"/>
      <c r="C17" s="56" t="s">
        <v>32</v>
      </c>
      <c r="D17" s="72">
        <v>0.64</v>
      </c>
      <c r="E17" s="10"/>
      <c r="F17" s="10"/>
      <c r="G17" s="10"/>
      <c r="H17" s="10"/>
      <c r="I17" s="10"/>
      <c r="J17" s="10"/>
      <c r="K17" s="10"/>
      <c r="L17" s="10"/>
      <c r="M17" s="10"/>
      <c r="N17" s="63" t="s">
        <v>42</v>
      </c>
      <c r="O17" s="10"/>
      <c r="P17" s="10"/>
    </row>
    <row r="18" spans="1:16" x14ac:dyDescent="0.35">
      <c r="A18" s="10"/>
      <c r="B18" s="10"/>
      <c r="C18" s="56" t="s">
        <v>33</v>
      </c>
      <c r="D18" s="72">
        <v>0.73</v>
      </c>
      <c r="E18" s="10"/>
      <c r="F18" s="10"/>
      <c r="G18" s="10"/>
      <c r="H18" s="10"/>
      <c r="I18" s="10"/>
      <c r="J18" s="10"/>
      <c r="K18" s="10"/>
      <c r="L18" s="10"/>
      <c r="M18" s="10"/>
      <c r="N18" s="63" t="s">
        <v>44</v>
      </c>
      <c r="O18" s="10"/>
      <c r="P18" s="10"/>
    </row>
    <row r="19" spans="1:16" x14ac:dyDescent="0.35">
      <c r="A19" s="10"/>
      <c r="B19" s="10"/>
      <c r="C19" s="56" t="s">
        <v>34</v>
      </c>
      <c r="D19" s="72">
        <v>0.56000000000000005</v>
      </c>
      <c r="E19" s="10"/>
      <c r="F19" s="10"/>
      <c r="G19" s="10"/>
      <c r="H19" s="10"/>
      <c r="I19" s="10"/>
      <c r="J19" s="10"/>
      <c r="K19" s="10"/>
      <c r="L19" s="10"/>
      <c r="M19" s="10"/>
      <c r="N19" s="63" t="s">
        <v>82</v>
      </c>
      <c r="O19" s="10"/>
      <c r="P19" s="10"/>
    </row>
    <row r="20" spans="1:16" x14ac:dyDescent="0.35">
      <c r="A20" s="10"/>
      <c r="B20" s="10"/>
      <c r="C20" s="56" t="s">
        <v>35</v>
      </c>
      <c r="D20" s="72">
        <v>0.74</v>
      </c>
      <c r="E20" s="10"/>
      <c r="F20" s="10"/>
      <c r="G20" s="10"/>
      <c r="H20" s="10"/>
      <c r="I20" s="10"/>
      <c r="J20" s="10"/>
      <c r="K20" s="10"/>
      <c r="L20" s="10"/>
      <c r="M20" s="10"/>
      <c r="N20" s="63" t="s">
        <v>85</v>
      </c>
      <c r="O20" s="10"/>
      <c r="P20" s="10"/>
    </row>
    <row r="21" spans="1:16" x14ac:dyDescent="0.35">
      <c r="A21" s="10"/>
      <c r="B21" s="10"/>
      <c r="C21" s="56" t="s">
        <v>36</v>
      </c>
      <c r="D21" s="72">
        <v>0.4</v>
      </c>
      <c r="E21" s="10"/>
      <c r="F21" s="10"/>
      <c r="G21" s="10"/>
      <c r="H21" s="10"/>
      <c r="I21" s="10"/>
      <c r="J21" s="10"/>
      <c r="K21" s="10"/>
      <c r="L21" s="10"/>
      <c r="M21" s="10"/>
      <c r="N21" s="63" t="s">
        <v>52</v>
      </c>
      <c r="O21" s="10"/>
      <c r="P21" s="10"/>
    </row>
    <row r="22" spans="1:16" x14ac:dyDescent="0.35">
      <c r="A22" s="10"/>
      <c r="B22" s="10"/>
      <c r="C22" s="56" t="s">
        <v>37</v>
      </c>
      <c r="D22" s="72">
        <v>0.6</v>
      </c>
      <c r="E22" s="10"/>
      <c r="F22" s="10"/>
      <c r="G22" s="10"/>
      <c r="H22" s="10"/>
      <c r="I22" s="10"/>
      <c r="J22" s="10"/>
      <c r="K22" s="10"/>
      <c r="L22" s="10"/>
      <c r="M22" s="10"/>
      <c r="N22" s="63" t="s">
        <v>65</v>
      </c>
      <c r="O22" s="10"/>
      <c r="P22" s="10"/>
    </row>
    <row r="23" spans="1:16" ht="29" x14ac:dyDescent="0.35">
      <c r="A23" s="10"/>
      <c r="B23" s="10"/>
      <c r="C23" s="56" t="s">
        <v>38</v>
      </c>
      <c r="D23" s="72">
        <v>0.43</v>
      </c>
      <c r="E23" s="10"/>
      <c r="F23" s="10"/>
      <c r="G23" s="10"/>
      <c r="H23" s="10"/>
      <c r="I23" s="10"/>
      <c r="J23" s="10"/>
      <c r="K23" s="10"/>
      <c r="L23" s="10"/>
      <c r="M23" s="10"/>
      <c r="N23" s="63" t="s">
        <v>86</v>
      </c>
      <c r="O23" s="10"/>
      <c r="P23" s="10"/>
    </row>
    <row r="24" spans="1:16" x14ac:dyDescent="0.35">
      <c r="A24" s="10"/>
      <c r="B24" s="10"/>
      <c r="C24" s="56" t="s">
        <v>39</v>
      </c>
      <c r="D24" s="72">
        <v>0.37</v>
      </c>
      <c r="E24" s="10"/>
      <c r="F24" s="10"/>
      <c r="G24" s="10"/>
      <c r="H24" s="10"/>
      <c r="I24" s="10"/>
      <c r="J24" s="10"/>
      <c r="K24" s="10"/>
      <c r="L24" s="10"/>
      <c r="M24" s="10"/>
      <c r="N24" s="63" t="s">
        <v>72</v>
      </c>
      <c r="O24" s="10"/>
      <c r="P24" s="10"/>
    </row>
    <row r="25" spans="1:16" ht="29.5" thickBot="1" x14ac:dyDescent="0.4">
      <c r="A25" s="10"/>
      <c r="B25" s="10"/>
      <c r="C25" s="56" t="s">
        <v>40</v>
      </c>
      <c r="D25" s="72">
        <v>0.36</v>
      </c>
      <c r="E25" s="10"/>
      <c r="F25" s="10"/>
      <c r="G25" s="10"/>
      <c r="H25" s="10"/>
      <c r="I25" s="10"/>
      <c r="J25" s="10"/>
      <c r="K25" s="10"/>
      <c r="L25" s="10"/>
      <c r="M25" s="10"/>
      <c r="N25" s="64" t="s">
        <v>75</v>
      </c>
      <c r="O25" s="10"/>
      <c r="P25" s="10"/>
    </row>
    <row r="26" spans="1:16" x14ac:dyDescent="0.35">
      <c r="A26" s="10"/>
      <c r="B26" s="10"/>
      <c r="C26" s="56" t="s">
        <v>41</v>
      </c>
      <c r="D26" s="72">
        <v>0.51</v>
      </c>
      <c r="E26" s="10"/>
      <c r="F26" s="10"/>
      <c r="G26" s="10"/>
      <c r="H26" s="10"/>
      <c r="I26" s="10"/>
      <c r="J26" s="10"/>
      <c r="K26" s="10"/>
      <c r="L26" s="10"/>
      <c r="M26" s="10"/>
      <c r="N26" s="10"/>
      <c r="O26" s="10"/>
      <c r="P26" s="10"/>
    </row>
    <row r="27" spans="1:16" x14ac:dyDescent="0.35">
      <c r="A27" s="10"/>
      <c r="B27" s="10"/>
      <c r="C27" s="56" t="s">
        <v>42</v>
      </c>
      <c r="D27" s="72">
        <v>0.56000000000000005</v>
      </c>
      <c r="E27" s="10"/>
      <c r="F27" s="10"/>
      <c r="G27" s="10"/>
      <c r="H27" s="10"/>
      <c r="I27" s="10"/>
      <c r="J27" s="10"/>
      <c r="K27" s="10"/>
      <c r="L27" s="10"/>
      <c r="M27" s="10"/>
      <c r="N27" s="10"/>
      <c r="O27" s="10"/>
      <c r="P27" s="10"/>
    </row>
    <row r="28" spans="1:16" x14ac:dyDescent="0.35">
      <c r="A28" s="10"/>
      <c r="B28" s="10"/>
      <c r="C28" s="56" t="s">
        <v>43</v>
      </c>
      <c r="D28" s="72">
        <v>0.56000000000000005</v>
      </c>
      <c r="E28" s="10"/>
      <c r="F28" s="10"/>
      <c r="G28" s="10"/>
      <c r="H28" s="10"/>
      <c r="I28" s="10"/>
      <c r="J28" s="10"/>
      <c r="K28" s="10"/>
      <c r="L28" s="10"/>
      <c r="M28" s="10"/>
      <c r="N28" s="10"/>
      <c r="O28" s="10"/>
      <c r="P28" s="10"/>
    </row>
    <row r="29" spans="1:16" x14ac:dyDescent="0.35">
      <c r="A29" s="10"/>
      <c r="B29" s="10"/>
      <c r="C29" s="56" t="s">
        <v>81</v>
      </c>
      <c r="D29" s="72">
        <v>0.48</v>
      </c>
      <c r="E29" s="10"/>
      <c r="F29" s="10"/>
      <c r="G29" s="10"/>
      <c r="H29" s="10"/>
      <c r="I29" s="10"/>
      <c r="J29" s="10"/>
      <c r="K29" s="10"/>
      <c r="L29" s="10"/>
      <c r="M29" s="10"/>
      <c r="N29" s="10"/>
      <c r="O29" s="10"/>
      <c r="P29" s="10"/>
    </row>
    <row r="30" spans="1:16" x14ac:dyDescent="0.35">
      <c r="A30" s="10"/>
      <c r="B30" s="10"/>
      <c r="C30" s="56" t="s">
        <v>44</v>
      </c>
      <c r="D30" s="72">
        <v>0.55000000000000004</v>
      </c>
      <c r="E30" s="10"/>
      <c r="F30" s="10"/>
      <c r="G30" s="10"/>
      <c r="H30" s="10"/>
      <c r="I30" s="10"/>
      <c r="J30" s="10"/>
      <c r="K30" s="10"/>
      <c r="L30" s="10"/>
      <c r="M30" s="10"/>
      <c r="N30" s="10"/>
      <c r="O30" s="10"/>
      <c r="P30" s="10"/>
    </row>
    <row r="31" spans="1:16" x14ac:dyDescent="0.35">
      <c r="A31" s="10"/>
      <c r="B31" s="10"/>
      <c r="C31" s="56" t="s">
        <v>82</v>
      </c>
      <c r="D31" s="72">
        <v>0.56000000000000005</v>
      </c>
      <c r="E31" s="10"/>
      <c r="F31" s="10"/>
      <c r="G31" s="10"/>
      <c r="H31" s="10"/>
      <c r="I31" s="10"/>
      <c r="J31" s="10"/>
      <c r="K31" s="10"/>
      <c r="L31" s="10"/>
      <c r="M31" s="10"/>
      <c r="N31" s="10"/>
      <c r="O31" s="10"/>
      <c r="P31" s="10"/>
    </row>
    <row r="32" spans="1:16" x14ac:dyDescent="0.35">
      <c r="A32" s="10"/>
      <c r="B32" s="10"/>
      <c r="C32" s="56" t="s">
        <v>45</v>
      </c>
      <c r="D32" s="72">
        <v>0.57999999999999996</v>
      </c>
      <c r="E32" s="10"/>
      <c r="F32" s="10"/>
      <c r="G32" s="10"/>
      <c r="H32" s="10"/>
      <c r="I32" s="10"/>
      <c r="J32" s="10"/>
      <c r="K32" s="10"/>
      <c r="L32" s="10"/>
      <c r="M32" s="10"/>
      <c r="N32" s="10"/>
      <c r="O32" s="10"/>
      <c r="P32" s="10"/>
    </row>
    <row r="33" spans="1:16" x14ac:dyDescent="0.35">
      <c r="A33" s="10"/>
      <c r="B33" s="10"/>
      <c r="C33" s="56" t="s">
        <v>46</v>
      </c>
      <c r="D33" s="72">
        <v>0.57999999999999996</v>
      </c>
      <c r="E33" s="10"/>
      <c r="F33" s="10"/>
      <c r="G33" s="10"/>
      <c r="H33" s="10"/>
      <c r="I33" s="10"/>
      <c r="J33" s="10"/>
      <c r="K33" s="10"/>
      <c r="L33" s="10"/>
      <c r="M33" s="10"/>
      <c r="N33" s="10"/>
      <c r="O33" s="10"/>
      <c r="P33" s="10"/>
    </row>
    <row r="34" spans="1:16" x14ac:dyDescent="0.35">
      <c r="A34" s="10"/>
      <c r="B34" s="10"/>
      <c r="C34" s="56" t="s">
        <v>47</v>
      </c>
      <c r="D34" s="72">
        <v>0.48</v>
      </c>
      <c r="E34" s="10"/>
      <c r="F34" s="10"/>
      <c r="G34" s="10"/>
      <c r="H34" s="10"/>
      <c r="I34" s="10"/>
      <c r="J34" s="10"/>
      <c r="K34" s="10"/>
      <c r="L34" s="10"/>
      <c r="M34" s="10"/>
      <c r="N34" s="10"/>
      <c r="O34" s="10"/>
      <c r="P34" s="10"/>
    </row>
    <row r="35" spans="1:16" x14ac:dyDescent="0.35">
      <c r="A35" s="10"/>
      <c r="B35" s="10"/>
      <c r="C35" s="56" t="s">
        <v>48</v>
      </c>
      <c r="D35" s="72">
        <v>0.42</v>
      </c>
      <c r="E35" s="10"/>
      <c r="F35" s="10"/>
      <c r="G35" s="10"/>
      <c r="H35" s="10"/>
      <c r="I35" s="10"/>
      <c r="J35" s="10"/>
      <c r="K35" s="10"/>
      <c r="L35" s="10"/>
      <c r="M35" s="10"/>
      <c r="N35" s="10"/>
      <c r="O35" s="10"/>
      <c r="P35" s="10"/>
    </row>
    <row r="36" spans="1:16" x14ac:dyDescent="0.35">
      <c r="A36" s="10"/>
      <c r="B36" s="10"/>
      <c r="C36" s="56" t="s">
        <v>83</v>
      </c>
      <c r="D36" s="72">
        <v>0.5</v>
      </c>
      <c r="E36" s="10"/>
      <c r="F36" s="10"/>
      <c r="G36" s="10"/>
      <c r="H36" s="10"/>
      <c r="I36" s="10"/>
      <c r="J36" s="10"/>
      <c r="K36" s="10"/>
      <c r="L36" s="10"/>
      <c r="M36" s="10"/>
      <c r="N36" s="10"/>
      <c r="O36" s="10"/>
      <c r="P36" s="10"/>
    </row>
    <row r="37" spans="1:16" x14ac:dyDescent="0.35">
      <c r="A37" s="10"/>
      <c r="B37" s="10"/>
      <c r="C37" s="56" t="s">
        <v>49</v>
      </c>
      <c r="D37" s="72">
        <v>0.55000000000000004</v>
      </c>
      <c r="E37" s="10"/>
      <c r="F37" s="10"/>
      <c r="G37" s="10"/>
      <c r="H37" s="10"/>
      <c r="I37" s="10"/>
      <c r="J37" s="10"/>
      <c r="K37" s="10"/>
      <c r="L37" s="10"/>
      <c r="M37" s="10"/>
      <c r="N37" s="10"/>
      <c r="O37" s="10"/>
      <c r="P37" s="10"/>
    </row>
    <row r="38" spans="1:16" x14ac:dyDescent="0.35">
      <c r="A38" s="10"/>
      <c r="B38" s="10"/>
      <c r="C38" s="56" t="s">
        <v>84</v>
      </c>
      <c r="D38" s="72">
        <v>0.53</v>
      </c>
      <c r="E38" s="10"/>
      <c r="F38" s="10"/>
      <c r="G38" s="10"/>
      <c r="H38" s="10"/>
      <c r="I38" s="10"/>
      <c r="J38" s="10"/>
      <c r="K38" s="10"/>
      <c r="L38" s="10"/>
      <c r="M38" s="10"/>
      <c r="N38" s="10"/>
      <c r="O38" s="10"/>
      <c r="P38" s="10"/>
    </row>
    <row r="39" spans="1:16" x14ac:dyDescent="0.35">
      <c r="A39" s="10"/>
      <c r="B39" s="10"/>
      <c r="C39" s="56" t="s">
        <v>85</v>
      </c>
      <c r="D39" s="72">
        <v>0.52</v>
      </c>
      <c r="E39" s="10"/>
      <c r="F39" s="10"/>
      <c r="G39" s="10"/>
      <c r="H39" s="10"/>
      <c r="I39" s="10"/>
      <c r="J39" s="10"/>
      <c r="K39" s="10"/>
      <c r="L39" s="10"/>
      <c r="M39" s="10"/>
      <c r="N39" s="10"/>
      <c r="O39" s="10"/>
      <c r="P39" s="10"/>
    </row>
    <row r="40" spans="1:16" x14ac:dyDescent="0.35">
      <c r="A40" s="10"/>
      <c r="B40" s="10"/>
      <c r="C40" s="56" t="s">
        <v>50</v>
      </c>
      <c r="D40" s="72">
        <v>0.52</v>
      </c>
      <c r="E40" s="10"/>
      <c r="F40" s="10"/>
      <c r="G40" s="10"/>
      <c r="H40" s="10"/>
      <c r="I40" s="10"/>
      <c r="J40" s="10"/>
      <c r="K40" s="10"/>
      <c r="L40" s="10"/>
      <c r="M40" s="10"/>
      <c r="N40" s="10"/>
      <c r="O40" s="10"/>
      <c r="P40" s="10"/>
    </row>
    <row r="41" spans="1:16" x14ac:dyDescent="0.35">
      <c r="A41" s="10"/>
      <c r="B41" s="10"/>
      <c r="C41" s="56" t="s">
        <v>51</v>
      </c>
      <c r="D41" s="72">
        <v>0.75</v>
      </c>
      <c r="E41" s="10"/>
      <c r="F41" s="10"/>
      <c r="G41" s="10"/>
      <c r="H41" s="10"/>
      <c r="I41" s="10"/>
      <c r="J41" s="10"/>
      <c r="K41" s="10"/>
      <c r="L41" s="10"/>
      <c r="M41" s="10"/>
      <c r="N41" s="10"/>
      <c r="O41" s="10"/>
      <c r="P41" s="10"/>
    </row>
    <row r="42" spans="1:16" x14ac:dyDescent="0.35">
      <c r="A42" s="10"/>
      <c r="B42" s="10"/>
      <c r="C42" s="56" t="s">
        <v>52</v>
      </c>
      <c r="D42" s="72">
        <v>0.52</v>
      </c>
      <c r="E42" s="10"/>
      <c r="F42" s="10"/>
      <c r="G42" s="10"/>
      <c r="H42" s="10"/>
      <c r="I42" s="10"/>
      <c r="J42" s="10"/>
      <c r="K42" s="10"/>
      <c r="L42" s="10"/>
      <c r="M42" s="10"/>
      <c r="N42" s="10"/>
      <c r="O42" s="10"/>
      <c r="P42" s="10"/>
    </row>
    <row r="43" spans="1:16" x14ac:dyDescent="0.35">
      <c r="A43" s="10"/>
      <c r="B43" s="10"/>
      <c r="C43" s="56" t="s">
        <v>53</v>
      </c>
      <c r="D43" s="72">
        <v>0.35</v>
      </c>
      <c r="E43" s="10"/>
      <c r="F43" s="10"/>
      <c r="G43" s="10"/>
      <c r="H43" s="10"/>
      <c r="I43" s="10"/>
      <c r="J43" s="10"/>
      <c r="K43" s="10"/>
      <c r="L43" s="10"/>
      <c r="M43" s="10"/>
      <c r="N43" s="10"/>
      <c r="O43" s="10"/>
      <c r="P43" s="10"/>
    </row>
    <row r="44" spans="1:16" x14ac:dyDescent="0.35">
      <c r="A44" s="10"/>
      <c r="B44" s="10"/>
      <c r="C44" s="56" t="s">
        <v>54</v>
      </c>
      <c r="D44" s="72">
        <v>0.37</v>
      </c>
      <c r="E44" s="10"/>
      <c r="F44" s="10"/>
      <c r="G44" s="10"/>
      <c r="H44" s="10"/>
      <c r="I44" s="10"/>
      <c r="J44" s="10"/>
      <c r="K44" s="10"/>
      <c r="L44" s="10"/>
      <c r="M44" s="10"/>
      <c r="N44" s="10"/>
      <c r="O44" s="10"/>
      <c r="P44" s="10"/>
    </row>
    <row r="45" spans="1:16" x14ac:dyDescent="0.35">
      <c r="A45" s="10"/>
      <c r="B45" s="10"/>
      <c r="C45" s="56" t="s">
        <v>56</v>
      </c>
      <c r="D45" s="72">
        <v>0.45</v>
      </c>
      <c r="E45" s="10"/>
      <c r="F45" s="10"/>
      <c r="G45" s="10"/>
      <c r="H45" s="10"/>
      <c r="I45" s="10"/>
      <c r="J45" s="10"/>
      <c r="K45" s="10"/>
      <c r="L45" s="10"/>
      <c r="M45" s="10"/>
      <c r="N45" s="10"/>
      <c r="O45" s="10"/>
      <c r="P45" s="10"/>
    </row>
    <row r="46" spans="1:16" x14ac:dyDescent="0.35">
      <c r="A46" s="10"/>
      <c r="B46" s="10"/>
      <c r="C46" s="56" t="s">
        <v>57</v>
      </c>
      <c r="D46" s="72">
        <v>0.39</v>
      </c>
      <c r="E46" s="10"/>
      <c r="F46" s="10"/>
      <c r="G46" s="10"/>
      <c r="H46" s="10"/>
      <c r="I46" s="10"/>
      <c r="J46" s="10"/>
      <c r="K46" s="10"/>
      <c r="L46" s="10"/>
      <c r="M46" s="10"/>
      <c r="N46" s="10"/>
      <c r="O46" s="10"/>
      <c r="P46" s="10"/>
    </row>
    <row r="47" spans="1:16" x14ac:dyDescent="0.35">
      <c r="A47" s="10"/>
      <c r="B47" s="10"/>
      <c r="C47" s="56" t="s">
        <v>58</v>
      </c>
      <c r="D47" s="72">
        <v>0.44</v>
      </c>
      <c r="E47" s="10"/>
      <c r="F47" s="10"/>
      <c r="G47" s="10"/>
      <c r="H47" s="10"/>
      <c r="I47" s="10"/>
      <c r="J47" s="10"/>
      <c r="K47" s="10"/>
      <c r="L47" s="10"/>
      <c r="M47" s="10"/>
      <c r="N47" s="10"/>
      <c r="O47" s="10"/>
      <c r="P47" s="10"/>
    </row>
    <row r="48" spans="1:16" x14ac:dyDescent="0.35">
      <c r="A48" s="10"/>
      <c r="B48" s="10"/>
      <c r="C48" s="56" t="s">
        <v>59</v>
      </c>
      <c r="D48" s="72">
        <v>0.46</v>
      </c>
      <c r="E48" s="10"/>
      <c r="F48" s="10"/>
      <c r="G48" s="10"/>
      <c r="H48" s="10"/>
      <c r="I48" s="10"/>
      <c r="J48" s="10"/>
      <c r="K48" s="10"/>
      <c r="L48" s="10"/>
      <c r="M48" s="10"/>
      <c r="N48" s="10"/>
      <c r="O48" s="10"/>
      <c r="P48" s="10"/>
    </row>
    <row r="49" spans="1:16" x14ac:dyDescent="0.35">
      <c r="A49" s="10"/>
      <c r="B49" s="10"/>
      <c r="C49" s="56" t="s">
        <v>60</v>
      </c>
      <c r="D49" s="72">
        <v>0.46</v>
      </c>
      <c r="E49" s="10"/>
      <c r="F49" s="10"/>
      <c r="G49" s="10"/>
      <c r="H49" s="10"/>
      <c r="I49" s="10"/>
      <c r="J49" s="10"/>
      <c r="K49" s="10"/>
      <c r="L49" s="10"/>
      <c r="M49" s="10"/>
      <c r="N49" s="10"/>
      <c r="O49" s="10"/>
      <c r="P49" s="10"/>
    </row>
    <row r="50" spans="1:16" x14ac:dyDescent="0.35">
      <c r="A50" s="10"/>
      <c r="B50" s="10"/>
      <c r="C50" s="56" t="s">
        <v>61</v>
      </c>
      <c r="D50" s="72">
        <v>0.44</v>
      </c>
      <c r="E50" s="10"/>
      <c r="F50" s="10"/>
      <c r="G50" s="10"/>
      <c r="H50" s="10"/>
      <c r="I50" s="10"/>
      <c r="J50" s="10"/>
      <c r="K50" s="10"/>
      <c r="L50" s="10"/>
      <c r="M50" s="10"/>
      <c r="N50" s="10"/>
      <c r="O50" s="10"/>
      <c r="P50" s="10"/>
    </row>
    <row r="51" spans="1:16" x14ac:dyDescent="0.35">
      <c r="A51" s="10"/>
      <c r="B51" s="10"/>
      <c r="C51" s="56" t="s">
        <v>62</v>
      </c>
      <c r="D51" s="72">
        <v>0.46</v>
      </c>
      <c r="E51" s="10"/>
      <c r="F51" s="10"/>
      <c r="G51" s="10"/>
      <c r="H51" s="10"/>
      <c r="I51" s="10"/>
      <c r="J51" s="10"/>
      <c r="K51" s="10"/>
      <c r="L51" s="10"/>
      <c r="M51" s="10"/>
      <c r="N51" s="10"/>
      <c r="O51" s="10"/>
      <c r="P51" s="10"/>
    </row>
    <row r="52" spans="1:16" x14ac:dyDescent="0.35">
      <c r="A52" s="10"/>
      <c r="B52" s="10"/>
      <c r="C52" s="56" t="s">
        <v>76</v>
      </c>
      <c r="D52" s="72">
        <v>0.48</v>
      </c>
      <c r="E52" s="10"/>
      <c r="F52" s="10"/>
      <c r="G52" s="10"/>
      <c r="H52" s="10"/>
      <c r="I52" s="10"/>
      <c r="J52" s="10"/>
      <c r="K52" s="10"/>
      <c r="L52" s="10"/>
      <c r="M52" s="10"/>
      <c r="N52" s="10"/>
      <c r="O52" s="10"/>
      <c r="P52" s="10"/>
    </row>
    <row r="53" spans="1:16" x14ac:dyDescent="0.35">
      <c r="A53" s="10"/>
      <c r="B53" s="10"/>
      <c r="C53" s="56" t="s">
        <v>63</v>
      </c>
      <c r="D53" s="72">
        <v>0.44</v>
      </c>
      <c r="E53" s="10"/>
      <c r="F53" s="10"/>
      <c r="G53" s="10"/>
      <c r="H53" s="10"/>
      <c r="I53" s="10"/>
      <c r="J53" s="10"/>
      <c r="K53" s="10"/>
      <c r="L53" s="10"/>
      <c r="M53" s="10"/>
      <c r="N53" s="10"/>
      <c r="O53" s="10"/>
      <c r="P53" s="10"/>
    </row>
    <row r="54" spans="1:16" x14ac:dyDescent="0.35">
      <c r="A54" s="10"/>
      <c r="B54" s="10"/>
      <c r="C54" s="56" t="s">
        <v>64</v>
      </c>
      <c r="D54" s="72">
        <v>0.34</v>
      </c>
      <c r="E54" s="10"/>
      <c r="F54" s="10"/>
      <c r="G54" s="10"/>
      <c r="H54" s="10"/>
      <c r="I54" s="10"/>
      <c r="J54" s="10"/>
      <c r="K54" s="10"/>
      <c r="L54" s="10"/>
      <c r="M54" s="10"/>
      <c r="N54" s="10"/>
      <c r="O54" s="10"/>
      <c r="P54" s="10"/>
    </row>
    <row r="55" spans="1:16" x14ac:dyDescent="0.35">
      <c r="A55" s="10"/>
      <c r="B55" s="10"/>
      <c r="C55" s="56" t="s">
        <v>65</v>
      </c>
      <c r="D55" s="72">
        <v>0.5</v>
      </c>
      <c r="E55" s="10"/>
      <c r="F55" s="10"/>
      <c r="G55" s="10"/>
      <c r="H55" s="10"/>
      <c r="I55" s="10"/>
      <c r="J55" s="10"/>
      <c r="K55" s="10"/>
      <c r="L55" s="10"/>
      <c r="M55" s="10"/>
      <c r="N55" s="10"/>
      <c r="O55" s="10"/>
      <c r="P55" s="10"/>
    </row>
    <row r="56" spans="1:16" x14ac:dyDescent="0.35">
      <c r="A56" s="10"/>
      <c r="B56" s="10"/>
      <c r="C56" s="56" t="s">
        <v>86</v>
      </c>
      <c r="D56" s="72">
        <v>0.57999999999999996</v>
      </c>
      <c r="E56" s="10"/>
      <c r="F56" s="10"/>
      <c r="G56" s="10"/>
      <c r="H56" s="10"/>
      <c r="I56" s="10"/>
      <c r="J56" s="10"/>
      <c r="K56" s="10"/>
      <c r="L56" s="10"/>
      <c r="M56" s="10"/>
      <c r="N56" s="10"/>
      <c r="O56" s="10"/>
      <c r="P56" s="10"/>
    </row>
    <row r="57" spans="1:16" x14ac:dyDescent="0.35">
      <c r="A57" s="10"/>
      <c r="B57" s="10"/>
      <c r="C57" s="56" t="s">
        <v>66</v>
      </c>
      <c r="D57" s="72">
        <v>0.37</v>
      </c>
      <c r="E57" s="10"/>
      <c r="F57" s="10"/>
      <c r="G57" s="10"/>
      <c r="H57" s="10"/>
      <c r="I57" s="10"/>
      <c r="J57" s="10"/>
      <c r="K57" s="10"/>
      <c r="L57" s="10"/>
      <c r="M57" s="10"/>
      <c r="N57" s="10"/>
      <c r="O57" s="10"/>
      <c r="P57" s="10"/>
    </row>
    <row r="58" spans="1:16" x14ac:dyDescent="0.35">
      <c r="A58" s="10"/>
      <c r="B58" s="10"/>
      <c r="C58" s="56" t="s">
        <v>67</v>
      </c>
      <c r="D58" s="72">
        <v>0.37</v>
      </c>
      <c r="E58" s="10"/>
      <c r="F58" s="10"/>
      <c r="G58" s="10"/>
      <c r="H58" s="10"/>
      <c r="I58" s="10"/>
      <c r="J58" s="10"/>
      <c r="K58" s="10"/>
      <c r="L58" s="10"/>
      <c r="M58" s="10"/>
      <c r="N58" s="10"/>
      <c r="O58" s="10"/>
      <c r="P58" s="10"/>
    </row>
    <row r="59" spans="1:16" x14ac:dyDescent="0.35">
      <c r="A59" s="10"/>
      <c r="B59" s="10"/>
      <c r="C59" s="56" t="s">
        <v>68</v>
      </c>
      <c r="D59" s="72">
        <v>0.38</v>
      </c>
      <c r="E59" s="10"/>
      <c r="F59" s="10"/>
      <c r="G59" s="10"/>
      <c r="H59" s="10"/>
      <c r="I59" s="10"/>
      <c r="J59" s="10"/>
      <c r="K59" s="10"/>
      <c r="L59" s="10"/>
      <c r="M59" s="10"/>
      <c r="N59" s="10"/>
      <c r="O59" s="10"/>
      <c r="P59" s="10"/>
    </row>
    <row r="60" spans="1:16" x14ac:dyDescent="0.35">
      <c r="A60" s="10"/>
      <c r="B60" s="10"/>
      <c r="C60" s="56" t="s">
        <v>69</v>
      </c>
      <c r="D60" s="72">
        <v>0.36</v>
      </c>
      <c r="E60" s="10"/>
      <c r="F60" s="10"/>
      <c r="G60" s="10"/>
      <c r="H60" s="10"/>
      <c r="I60" s="10"/>
      <c r="J60" s="10"/>
      <c r="K60" s="10"/>
      <c r="L60" s="10"/>
      <c r="M60" s="10"/>
      <c r="N60" s="10"/>
      <c r="O60" s="10"/>
      <c r="P60" s="10"/>
    </row>
    <row r="61" spans="1:16" x14ac:dyDescent="0.35">
      <c r="A61" s="10"/>
      <c r="B61" s="10"/>
      <c r="C61" s="56" t="s">
        <v>70</v>
      </c>
      <c r="D61" s="72">
        <v>0.37</v>
      </c>
      <c r="E61" s="10"/>
      <c r="F61" s="10"/>
      <c r="G61" s="10"/>
      <c r="H61" s="10"/>
      <c r="I61" s="10"/>
      <c r="J61" s="10"/>
      <c r="K61" s="10"/>
      <c r="L61" s="10"/>
      <c r="M61" s="10"/>
      <c r="N61" s="10"/>
      <c r="O61" s="10"/>
      <c r="P61" s="10"/>
    </row>
    <row r="62" spans="1:16" x14ac:dyDescent="0.35">
      <c r="A62" s="10"/>
      <c r="B62" s="10"/>
      <c r="C62" s="56" t="s">
        <v>71</v>
      </c>
      <c r="D62" s="72">
        <v>0.53</v>
      </c>
      <c r="E62" s="10"/>
      <c r="F62" s="10"/>
      <c r="G62" s="10"/>
      <c r="H62" s="10"/>
      <c r="I62" s="10"/>
      <c r="J62" s="10"/>
      <c r="K62" s="10"/>
      <c r="L62" s="10"/>
      <c r="M62" s="10"/>
      <c r="N62" s="10"/>
      <c r="O62" s="10"/>
      <c r="P62" s="10"/>
    </row>
    <row r="63" spans="1:16" x14ac:dyDescent="0.35">
      <c r="A63" s="10"/>
      <c r="B63" s="10"/>
      <c r="C63" s="56" t="s">
        <v>72</v>
      </c>
      <c r="D63" s="72">
        <v>0.43</v>
      </c>
      <c r="E63" s="10"/>
      <c r="F63" s="10"/>
      <c r="G63" s="10"/>
      <c r="H63" s="10"/>
      <c r="I63" s="10"/>
      <c r="J63" s="10"/>
      <c r="K63" s="10"/>
      <c r="L63" s="10"/>
      <c r="M63" s="10"/>
      <c r="N63" s="10"/>
      <c r="O63" s="10"/>
      <c r="P63" s="10"/>
    </row>
    <row r="64" spans="1:16" x14ac:dyDescent="0.35">
      <c r="A64" s="10"/>
      <c r="B64" s="10"/>
      <c r="C64" s="56" t="s">
        <v>73</v>
      </c>
      <c r="D64" s="72">
        <v>0.38</v>
      </c>
      <c r="E64" s="10"/>
      <c r="F64" s="10"/>
      <c r="G64" s="10"/>
      <c r="H64" s="10"/>
      <c r="I64" s="10"/>
      <c r="J64" s="10"/>
      <c r="K64" s="10"/>
      <c r="L64" s="10"/>
      <c r="M64" s="10"/>
      <c r="N64" s="10"/>
      <c r="O64" s="10"/>
      <c r="P64" s="10"/>
    </row>
    <row r="65" spans="1:16" x14ac:dyDescent="0.35">
      <c r="A65" s="10"/>
      <c r="B65" s="10"/>
      <c r="C65" s="56" t="s">
        <v>74</v>
      </c>
      <c r="D65" s="72">
        <v>0.42</v>
      </c>
      <c r="E65" s="10"/>
      <c r="F65" s="10"/>
      <c r="G65" s="10"/>
      <c r="H65" s="10"/>
      <c r="I65" s="10"/>
      <c r="J65" s="10"/>
      <c r="K65" s="10"/>
      <c r="L65" s="10"/>
      <c r="M65" s="10"/>
      <c r="N65" s="10"/>
      <c r="O65" s="10"/>
      <c r="P65" s="10"/>
    </row>
    <row r="66" spans="1:16" ht="15" thickBot="1" x14ac:dyDescent="0.4">
      <c r="A66" s="10"/>
      <c r="B66" s="10"/>
      <c r="C66" s="57" t="s">
        <v>75</v>
      </c>
      <c r="D66" s="73">
        <v>0.56999999999999995</v>
      </c>
      <c r="E66" s="10"/>
      <c r="F66" s="10"/>
      <c r="G66" s="10"/>
      <c r="H66" s="10"/>
      <c r="I66" s="10"/>
      <c r="J66" s="10"/>
      <c r="K66" s="10"/>
      <c r="L66" s="10"/>
      <c r="M66" s="10"/>
      <c r="N66" s="10"/>
      <c r="O66" s="10"/>
      <c r="P66" s="10"/>
    </row>
    <row r="67" spans="1:16" ht="15" thickBot="1" x14ac:dyDescent="0.4">
      <c r="A67" s="10"/>
      <c r="B67" s="10"/>
      <c r="C67" s="100" t="s">
        <v>187</v>
      </c>
      <c r="D67" s="73">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69" t="s">
        <v>143</v>
      </c>
      <c r="B70" s="10"/>
      <c r="C70" s="10"/>
      <c r="D70" s="10"/>
      <c r="E70" s="10"/>
      <c r="F70" s="10"/>
      <c r="G70" s="10"/>
      <c r="H70" s="10"/>
      <c r="I70" s="10"/>
      <c r="J70" s="10"/>
      <c r="K70" s="10"/>
      <c r="L70" s="10"/>
      <c r="M70" s="10"/>
      <c r="N70" s="10"/>
      <c r="O70" s="10"/>
      <c r="P70" s="10"/>
    </row>
    <row r="71" spans="1:16" x14ac:dyDescent="0.35">
      <c r="A71" s="66" t="s">
        <v>144</v>
      </c>
      <c r="B71" s="10"/>
      <c r="C71" s="10"/>
      <c r="D71" s="10"/>
      <c r="E71" s="10"/>
      <c r="F71" s="10"/>
      <c r="G71" s="10"/>
      <c r="H71" s="10"/>
      <c r="I71" s="10"/>
      <c r="J71" s="10"/>
      <c r="K71" s="10"/>
      <c r="L71" s="10"/>
      <c r="M71" s="10"/>
      <c r="N71" s="10"/>
      <c r="O71" s="10"/>
      <c r="P71" s="10"/>
    </row>
    <row r="72" spans="1:16" x14ac:dyDescent="0.35">
      <c r="A72" s="63" t="s">
        <v>145</v>
      </c>
      <c r="B72" s="10"/>
      <c r="C72" s="10"/>
      <c r="D72" s="10"/>
      <c r="E72" s="10"/>
      <c r="F72" s="10"/>
      <c r="G72" s="10"/>
      <c r="H72" s="10"/>
      <c r="I72" s="10"/>
      <c r="J72" s="10"/>
      <c r="K72" s="10"/>
      <c r="L72" s="10"/>
      <c r="M72" s="10"/>
      <c r="N72" s="10"/>
      <c r="O72" s="10"/>
      <c r="P72" s="10"/>
    </row>
    <row r="73" spans="1:16" ht="29.5" thickBot="1" x14ac:dyDescent="0.4">
      <c r="A73" s="64" t="s">
        <v>146</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REAforêtReboisement</vt:lpstr>
      <vt:lpstr>REAproduitsReboisement</vt:lpstr>
      <vt:lpstr>REEsubsReboisement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2021-06-24T14:32:47Z</dcterms:modified>
</cp:coreProperties>
</file>