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u Périgord\Projet Mareuil-en-Périgord_042021\"/>
    </mc:Choice>
  </mc:AlternateContent>
  <bookViews>
    <workbookView xWindow="0" yWindow="0" windowWidth="19200" windowHeight="7310"/>
  </bookViews>
  <sheets>
    <sheet name="Feuille Calcul VAN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6" l="1"/>
  <c r="B57" i="6" l="1"/>
  <c r="B58" i="6" s="1"/>
  <c r="B60" i="6" s="1"/>
  <c r="N46" i="6"/>
  <c r="N47" i="6" s="1"/>
  <c r="M47" i="6"/>
  <c r="M46" i="6"/>
  <c r="L47" i="6"/>
  <c r="L46" i="6"/>
  <c r="K47" i="6"/>
  <c r="K46" i="6"/>
  <c r="J47" i="6"/>
  <c r="J46" i="6"/>
  <c r="I47" i="6"/>
  <c r="I46" i="6"/>
  <c r="H47" i="6"/>
  <c r="H46" i="6"/>
  <c r="G47" i="6"/>
  <c r="G46" i="6"/>
  <c r="F47" i="6"/>
  <c r="F46" i="6"/>
  <c r="E47" i="6"/>
  <c r="E46" i="6"/>
  <c r="D47" i="6"/>
  <c r="D46" i="6"/>
  <c r="C47" i="6"/>
  <c r="C46" i="6"/>
  <c r="B47" i="6"/>
  <c r="B46" i="6"/>
  <c r="B43" i="6"/>
  <c r="C42" i="6"/>
  <c r="C41" i="6"/>
  <c r="C40" i="6"/>
  <c r="B34" i="6"/>
  <c r="B33" i="6"/>
  <c r="C30" i="6"/>
  <c r="C29" i="6"/>
  <c r="C28" i="6"/>
  <c r="C27" i="6"/>
  <c r="C26" i="6"/>
  <c r="C22" i="6"/>
  <c r="C21" i="6"/>
  <c r="C20" i="6"/>
  <c r="C19" i="6"/>
  <c r="C18" i="6"/>
  <c r="C14" i="6"/>
  <c r="C13" i="6"/>
  <c r="C12" i="6"/>
  <c r="C11" i="6"/>
  <c r="B6" i="6"/>
  <c r="B62" i="6" l="1"/>
</calcChain>
</file>

<file path=xl/sharedStrings.xml><?xml version="1.0" encoding="utf-8"?>
<sst xmlns="http://schemas.openxmlformats.org/spreadsheetml/2006/main" count="58" uniqueCount="42">
  <si>
    <t>Scénario de référence</t>
  </si>
  <si>
    <t>DeltaVAN</t>
  </si>
  <si>
    <t>Projet additionnel</t>
  </si>
  <si>
    <t>Projet :</t>
  </si>
  <si>
    <t>Taux d'actualisation :</t>
  </si>
  <si>
    <t>Surface (ha) :</t>
  </si>
  <si>
    <t>Travaux</t>
  </si>
  <si>
    <t>Année</t>
  </si>
  <si>
    <t>1ère éclaircie</t>
  </si>
  <si>
    <t>2ème éclaircie</t>
  </si>
  <si>
    <t>3ème éclaircie</t>
  </si>
  <si>
    <t>Itinéraire Technique Sylvicole</t>
  </si>
  <si>
    <t>Coupe rase</t>
  </si>
  <si>
    <t>4ème éclaircie</t>
  </si>
  <si>
    <t>Coupe finale</t>
  </si>
  <si>
    <t>Recettes (€/ha)</t>
  </si>
  <si>
    <t>2ème entretien</t>
  </si>
  <si>
    <t>Revenu €/année</t>
  </si>
  <si>
    <t>Revenu actualisé €/année</t>
  </si>
  <si>
    <t>VAN reboisement (€)</t>
  </si>
  <si>
    <t>Scénario Reboisement</t>
  </si>
  <si>
    <t>Recettes nettes à l'année 0 liées à vidange des bois dépérissants R0 (€)</t>
  </si>
  <si>
    <t>Durée de révolution de l'essence constituant les accrus :</t>
  </si>
  <si>
    <t xml:space="preserve">Recettes </t>
  </si>
  <si>
    <t>Volume bois (m3/ha)</t>
  </si>
  <si>
    <t>Recettes nettes par m3 (Prix de vente du bois récolté - Coûts des travaux) (en €/m3)</t>
  </si>
  <si>
    <t>VAN (Valeur actualisée nette) référence (€)</t>
  </si>
  <si>
    <t>Recettes nettes Totales (€) liées à la coupe rase du peuplement issu des accrus post-dépérissement</t>
  </si>
  <si>
    <t>Alliance Forêts Bois/GCF n° 24 - Mareuil en Périgord (24)</t>
  </si>
  <si>
    <t>Pin Maritime : 3 ha</t>
  </si>
  <si>
    <t>Estimation Recettes nettes (€)</t>
  </si>
  <si>
    <t>Chêne sessile/Pin Sylvestre : 9.2 ha</t>
  </si>
  <si>
    <t>Chêne pubescent + Pin sylvestre : 2.3 ha</t>
  </si>
  <si>
    <t>DEFI travaux</t>
  </si>
  <si>
    <t>€</t>
  </si>
  <si>
    <t>Aides publiques</t>
  </si>
  <si>
    <t>Travaux de reboisement indivision</t>
  </si>
  <si>
    <t>1ers entretiens</t>
  </si>
  <si>
    <t>Coûts HT (€)</t>
  </si>
  <si>
    <t>3ème entretien</t>
  </si>
  <si>
    <t>Travaux de reboisement GF</t>
  </si>
  <si>
    <t>TOTAL Coûts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</si>
</sst>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1" xfId="0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/>
    <xf numFmtId="164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0" fillId="4" borderId="7" xfId="0" applyFill="1" applyBorder="1"/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1" fontId="0" fillId="0" borderId="12" xfId="0" applyNumberForma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0" fontId="2" fillId="7" borderId="1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/>
    </xf>
    <xf numFmtId="0" fontId="0" fillId="4" borderId="19" xfId="0" applyFill="1" applyBorder="1"/>
    <xf numFmtId="0" fontId="0" fillId="0" borderId="20" xfId="0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164" fontId="0" fillId="8" borderId="8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1" fontId="0" fillId="0" borderId="21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wrapText="1"/>
    </xf>
    <xf numFmtId="0" fontId="0" fillId="4" borderId="5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" fillId="2" borderId="24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4" borderId="25" xfId="0" applyFill="1" applyBorder="1"/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2"/>
  <sheetViews>
    <sheetView tabSelected="1" topLeftCell="A58" zoomScale="98" workbookViewId="0">
      <selection activeCell="B49" sqref="B49"/>
    </sheetView>
  </sheetViews>
  <sheetFormatPr baseColWidth="10" defaultRowHeight="14.5" x14ac:dyDescent="0.35"/>
  <cols>
    <col min="1" max="1" width="27" customWidth="1"/>
    <col min="2" max="2" width="20.08984375" customWidth="1"/>
    <col min="3" max="3" width="15.7265625" customWidth="1"/>
    <col min="4" max="4" width="12.6328125" customWidth="1"/>
    <col min="5" max="5" width="8.7265625" customWidth="1"/>
    <col min="6" max="6" width="6.81640625" customWidth="1"/>
    <col min="7" max="7" width="7.7265625" customWidth="1"/>
    <col min="8" max="8" width="7.6328125" customWidth="1"/>
    <col min="9" max="9" width="7" customWidth="1"/>
    <col min="10" max="10" width="7.36328125" customWidth="1"/>
    <col min="11" max="11" width="7" customWidth="1"/>
    <col min="12" max="12" width="6.81640625" customWidth="1"/>
    <col min="13" max="13" width="7.453125" customWidth="1"/>
    <col min="14" max="14" width="8.26953125" customWidth="1"/>
    <col min="15" max="15" width="8.81640625" customWidth="1"/>
    <col min="16" max="16" width="3.36328125" bestFit="1" customWidth="1"/>
    <col min="17" max="17" width="6.36328125" bestFit="1" customWidth="1"/>
    <col min="18" max="22" width="3.36328125" bestFit="1" customWidth="1"/>
    <col min="23" max="23" width="6.36328125" bestFit="1" customWidth="1"/>
    <col min="24" max="30" width="3.36328125" bestFit="1" customWidth="1"/>
    <col min="31" max="31" width="6.36328125" bestFit="1" customWidth="1"/>
    <col min="32" max="38" width="3.36328125" bestFit="1" customWidth="1"/>
    <col min="39" max="39" width="7.36328125" bestFit="1" customWidth="1"/>
  </cols>
  <sheetData>
    <row r="1" spans="1:61" ht="56" x14ac:dyDescent="0.35">
      <c r="A1" s="11" t="s">
        <v>3</v>
      </c>
      <c r="B1" s="69" t="s">
        <v>28</v>
      </c>
      <c r="C1" s="21"/>
      <c r="D1" s="22"/>
      <c r="E1" s="22"/>
      <c r="F1" s="22"/>
      <c r="G1" s="23"/>
    </row>
    <row r="2" spans="1:61" x14ac:dyDescent="0.35">
      <c r="A2" s="1" t="s">
        <v>4</v>
      </c>
      <c r="B2" s="6">
        <v>4.4999999999999998E-2</v>
      </c>
    </row>
    <row r="3" spans="1:61" x14ac:dyDescent="0.35">
      <c r="A3" s="1" t="s">
        <v>5</v>
      </c>
      <c r="B3" s="10">
        <v>14.5</v>
      </c>
      <c r="C3" s="3"/>
      <c r="D3" s="3"/>
      <c r="E3" s="2"/>
    </row>
    <row r="4" spans="1:61" x14ac:dyDescent="0.35">
      <c r="A4" s="4"/>
      <c r="B4" s="12"/>
      <c r="C4" s="3"/>
      <c r="D4" s="3"/>
      <c r="E4" s="2"/>
    </row>
    <row r="5" spans="1:61" ht="15" thickBot="1" x14ac:dyDescent="0.4">
      <c r="A5" s="4"/>
      <c r="B5" s="12"/>
      <c r="C5" s="3"/>
      <c r="D5" s="3"/>
      <c r="E5" s="2"/>
    </row>
    <row r="6" spans="1:61" ht="44" thickBot="1" x14ac:dyDescent="0.4">
      <c r="A6" s="59" t="s">
        <v>21</v>
      </c>
      <c r="B6" s="60">
        <f>(200+85)*14.5</f>
        <v>4132.5</v>
      </c>
      <c r="C6" s="2"/>
    </row>
    <row r="7" spans="1:61" ht="15" thickBot="1" x14ac:dyDescent="0.4">
      <c r="A7" s="25"/>
      <c r="B7" s="18"/>
      <c r="C7" s="2"/>
    </row>
    <row r="8" spans="1:61" ht="19" thickBot="1" x14ac:dyDescent="0.4">
      <c r="A8" s="34" t="s">
        <v>20</v>
      </c>
    </row>
    <row r="9" spans="1:61" ht="19" thickBot="1" x14ac:dyDescent="0.4">
      <c r="A9" s="45" t="s">
        <v>29</v>
      </c>
    </row>
    <row r="10" spans="1:61" ht="46.5" x14ac:dyDescent="0.35">
      <c r="A10" s="37" t="s">
        <v>11</v>
      </c>
      <c r="B10" s="46" t="s">
        <v>7</v>
      </c>
      <c r="C10" s="47" t="s">
        <v>30</v>
      </c>
      <c r="D10" s="70"/>
      <c r="E10" s="70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</row>
    <row r="11" spans="1:61" x14ac:dyDescent="0.35">
      <c r="A11" s="17" t="s">
        <v>8</v>
      </c>
      <c r="B11" s="5">
        <v>13</v>
      </c>
      <c r="C11" s="15">
        <f>250*3</f>
        <v>750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x14ac:dyDescent="0.35">
      <c r="A12" s="17" t="s">
        <v>9</v>
      </c>
      <c r="B12" s="5">
        <v>16</v>
      </c>
      <c r="C12" s="15">
        <f>400*3</f>
        <v>1200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</row>
    <row r="13" spans="1:61" ht="15.5" x14ac:dyDescent="0.35">
      <c r="A13" s="17" t="s">
        <v>10</v>
      </c>
      <c r="B13" s="5">
        <v>21</v>
      </c>
      <c r="C13" s="15">
        <f>500*3</f>
        <v>1500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35"/>
      <c r="R13" s="35"/>
      <c r="S13" s="35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</row>
    <row r="14" spans="1:61" ht="15" thickBot="1" x14ac:dyDescent="0.4">
      <c r="A14" s="26" t="s">
        <v>12</v>
      </c>
      <c r="B14" s="27">
        <v>38</v>
      </c>
      <c r="C14" s="28">
        <f>8000*3</f>
        <v>24000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</row>
    <row r="15" spans="1:61" x14ac:dyDescent="0.35">
      <c r="A15" s="2"/>
      <c r="B15" s="44"/>
      <c r="C15" s="44"/>
      <c r="D15" s="44"/>
      <c r="E15" s="44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</row>
    <row r="16" spans="1:61" ht="19" thickBot="1" x14ac:dyDescent="0.4">
      <c r="A16" s="48" t="s">
        <v>31</v>
      </c>
      <c r="B16" s="44"/>
      <c r="C16" s="44"/>
      <c r="D16" s="44"/>
      <c r="E16" s="44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</row>
    <row r="17" spans="1:61" ht="46.5" x14ac:dyDescent="0.35">
      <c r="A17" s="37" t="s">
        <v>11</v>
      </c>
      <c r="B17" s="46" t="s">
        <v>7</v>
      </c>
      <c r="C17" s="47" t="s">
        <v>30</v>
      </c>
      <c r="D17" s="70"/>
      <c r="E17" s="7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2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</row>
    <row r="18" spans="1:61" ht="15.5" x14ac:dyDescent="0.35">
      <c r="A18" s="17" t="s">
        <v>8</v>
      </c>
      <c r="B18" s="5">
        <v>25</v>
      </c>
      <c r="C18" s="15">
        <f>175*9.2</f>
        <v>1609.9999999999998</v>
      </c>
      <c r="D18" s="70"/>
      <c r="E18" s="7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2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</row>
    <row r="19" spans="1:61" ht="15.5" x14ac:dyDescent="0.35">
      <c r="A19" s="17" t="s">
        <v>9</v>
      </c>
      <c r="B19" s="5">
        <v>35</v>
      </c>
      <c r="C19" s="15">
        <f>500*9.2</f>
        <v>4600</v>
      </c>
      <c r="D19" s="70"/>
      <c r="E19" s="7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2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</row>
    <row r="20" spans="1:61" ht="15.5" x14ac:dyDescent="0.35">
      <c r="A20" s="17" t="s">
        <v>10</v>
      </c>
      <c r="B20" s="5">
        <v>45</v>
      </c>
      <c r="C20" s="15">
        <f>1000*9.2</f>
        <v>9200</v>
      </c>
      <c r="D20" s="70"/>
      <c r="E20" s="7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2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</row>
    <row r="21" spans="1:61" ht="15.5" x14ac:dyDescent="0.35">
      <c r="A21" s="17" t="s">
        <v>13</v>
      </c>
      <c r="B21" s="5">
        <v>60</v>
      </c>
      <c r="C21" s="15">
        <f>1000*9.2</f>
        <v>9200</v>
      </c>
      <c r="D21" s="70"/>
      <c r="E21" s="70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2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" ht="15" thickBot="1" x14ac:dyDescent="0.4">
      <c r="A22" s="26" t="s">
        <v>14</v>
      </c>
      <c r="B22" s="27">
        <v>80</v>
      </c>
      <c r="C22" s="28">
        <f>10000*9.2</f>
        <v>92000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2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</row>
    <row r="23" spans="1:61" ht="17" customHeight="1" x14ac:dyDescent="0.35">
      <c r="A23" s="2"/>
      <c r="B23" s="44"/>
      <c r="C23" s="44"/>
      <c r="D23" s="44"/>
      <c r="E23" s="44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1:61" ht="16" customHeight="1" thickBot="1" x14ac:dyDescent="0.4">
      <c r="A24" s="48" t="s">
        <v>32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2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</row>
    <row r="25" spans="1:61" ht="45" customHeight="1" x14ac:dyDescent="0.35">
      <c r="A25" s="37" t="s">
        <v>11</v>
      </c>
      <c r="B25" s="46" t="s">
        <v>7</v>
      </c>
      <c r="C25" s="47" t="s">
        <v>30</v>
      </c>
      <c r="D25" s="70"/>
      <c r="E25" s="70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</row>
    <row r="26" spans="1:61" ht="16" customHeight="1" x14ac:dyDescent="0.35">
      <c r="A26" s="17" t="s">
        <v>8</v>
      </c>
      <c r="B26" s="5">
        <v>25</v>
      </c>
      <c r="C26" s="15">
        <f>200*2.3</f>
        <v>459.99999999999994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2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</row>
    <row r="27" spans="1:61" ht="16" customHeight="1" x14ac:dyDescent="0.35">
      <c r="A27" s="17" t="s">
        <v>9</v>
      </c>
      <c r="B27" s="5">
        <v>35</v>
      </c>
      <c r="C27" s="15">
        <f>500*2.3</f>
        <v>1150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2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</row>
    <row r="28" spans="1:61" ht="16" customHeight="1" x14ac:dyDescent="0.35">
      <c r="A28" s="17" t="s">
        <v>10</v>
      </c>
      <c r="B28" s="5">
        <v>45</v>
      </c>
      <c r="C28" s="15">
        <f>1000*2.3</f>
        <v>2300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2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</row>
    <row r="29" spans="1:61" ht="16" customHeight="1" x14ac:dyDescent="0.35">
      <c r="A29" s="17" t="s">
        <v>13</v>
      </c>
      <c r="B29" s="5">
        <v>60</v>
      </c>
      <c r="C29" s="15">
        <f>1000*2.3</f>
        <v>2300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2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</row>
    <row r="30" spans="1:61" ht="16" customHeight="1" thickBot="1" x14ac:dyDescent="0.4">
      <c r="A30" s="26" t="s">
        <v>14</v>
      </c>
      <c r="B30" s="27">
        <v>80</v>
      </c>
      <c r="C30" s="28">
        <f>10000*2.3</f>
        <v>23000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2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</row>
    <row r="31" spans="1:61" ht="15" thickBot="1" x14ac:dyDescent="0.4">
      <c r="A31" s="2"/>
      <c r="B31" s="44"/>
      <c r="C31" s="44"/>
      <c r="D31" s="44"/>
      <c r="E31" s="44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2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</row>
    <row r="32" spans="1:61" ht="15" thickBot="1" x14ac:dyDescent="0.4">
      <c r="A32" s="51" t="s">
        <v>35</v>
      </c>
      <c r="B32" s="52" t="s">
        <v>34</v>
      </c>
      <c r="C32" s="71"/>
      <c r="D32" s="71"/>
      <c r="E32" s="44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2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</row>
    <row r="33" spans="1:63" x14ac:dyDescent="0.35">
      <c r="A33" s="49" t="s">
        <v>33</v>
      </c>
      <c r="B33" s="50">
        <f>(1067*12.2)+(1130*2.3)</f>
        <v>15616.4</v>
      </c>
      <c r="C33" s="18"/>
      <c r="D33" s="18"/>
      <c r="E33" s="44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2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</row>
    <row r="34" spans="1:63" ht="16" thickBot="1" x14ac:dyDescent="0.4">
      <c r="A34" s="30" t="s">
        <v>15</v>
      </c>
      <c r="B34" s="53">
        <f>SUM(C11:C14,C18:C22,C26:C30,B33)</f>
        <v>188886.39999999999</v>
      </c>
      <c r="C34" s="20"/>
      <c r="D34" s="20"/>
      <c r="E34" s="44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2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</row>
    <row r="35" spans="1:63" x14ac:dyDescent="0.35">
      <c r="A35" s="2"/>
      <c r="B35" s="44"/>
      <c r="C35" s="44"/>
      <c r="D35" s="44"/>
      <c r="E35" s="44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2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</row>
    <row r="36" spans="1:63" ht="16" thickBot="1" x14ac:dyDescent="0.4">
      <c r="A36" s="2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</row>
    <row r="37" spans="1:63" ht="15.5" x14ac:dyDescent="0.35">
      <c r="A37" s="31" t="s">
        <v>6</v>
      </c>
      <c r="B37" s="32" t="s">
        <v>7</v>
      </c>
      <c r="C37" s="33" t="s">
        <v>38</v>
      </c>
      <c r="D37" s="35"/>
      <c r="E37" s="35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</row>
    <row r="38" spans="1:63" ht="29" x14ac:dyDescent="0.35">
      <c r="A38" s="54" t="s">
        <v>36</v>
      </c>
      <c r="B38" s="5">
        <v>0</v>
      </c>
      <c r="C38" s="15">
        <v>7295.6</v>
      </c>
      <c r="D38" s="18"/>
      <c r="E38" s="18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</row>
    <row r="39" spans="1:63" x14ac:dyDescent="0.35">
      <c r="A39" s="54" t="s">
        <v>40</v>
      </c>
      <c r="B39" s="5">
        <v>0</v>
      </c>
      <c r="C39" s="15">
        <v>39559.5</v>
      </c>
      <c r="D39" s="18"/>
      <c r="E39" s="18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</row>
    <row r="40" spans="1:63" x14ac:dyDescent="0.35">
      <c r="A40" s="17" t="s">
        <v>37</v>
      </c>
      <c r="B40" s="5">
        <v>1</v>
      </c>
      <c r="C40" s="15">
        <f>1035+4590</f>
        <v>5625</v>
      </c>
      <c r="D40" s="18"/>
      <c r="E40" s="18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</row>
    <row r="41" spans="1:63" x14ac:dyDescent="0.35">
      <c r="A41" s="17" t="s">
        <v>16</v>
      </c>
      <c r="B41" s="5">
        <v>2</v>
      </c>
      <c r="C41" s="15">
        <f t="shared" ref="C41:C43" si="0">1035+4590</f>
        <v>5625</v>
      </c>
      <c r="D41" s="18"/>
      <c r="E41" s="18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</row>
    <row r="42" spans="1:63" ht="15" thickBot="1" x14ac:dyDescent="0.4">
      <c r="A42" s="26" t="s">
        <v>39</v>
      </c>
      <c r="B42" s="24">
        <v>3</v>
      </c>
      <c r="C42" s="36">
        <f t="shared" si="0"/>
        <v>5625</v>
      </c>
      <c r="D42" s="18"/>
      <c r="E42" s="18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</row>
    <row r="43" spans="1:63" ht="15" thickBot="1" x14ac:dyDescent="0.4">
      <c r="A43" s="72" t="s">
        <v>41</v>
      </c>
      <c r="B43" s="73">
        <f>SUM(C38:C42)</f>
        <v>63730.1</v>
      </c>
      <c r="C43" s="74"/>
      <c r="D43" s="18"/>
      <c r="E43" s="18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</row>
    <row r="44" spans="1:63" ht="16" thickBot="1" x14ac:dyDescent="0.4">
      <c r="A44" s="2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"/>
      <c r="BK44" s="2"/>
    </row>
    <row r="45" spans="1:63" s="2" customFormat="1" ht="15.5" x14ac:dyDescent="0.35">
      <c r="A45" s="37" t="s">
        <v>7</v>
      </c>
      <c r="B45" s="38">
        <v>0</v>
      </c>
      <c r="C45" s="38">
        <v>1</v>
      </c>
      <c r="D45" s="38">
        <v>2</v>
      </c>
      <c r="E45" s="38">
        <v>3</v>
      </c>
      <c r="F45" s="38">
        <v>13</v>
      </c>
      <c r="G45" s="38">
        <v>16</v>
      </c>
      <c r="H45" s="38">
        <v>21</v>
      </c>
      <c r="I45" s="38">
        <v>25</v>
      </c>
      <c r="J45" s="55">
        <v>35</v>
      </c>
      <c r="K45" s="38">
        <v>38</v>
      </c>
      <c r="L45" s="55">
        <v>45</v>
      </c>
      <c r="M45" s="55">
        <v>60</v>
      </c>
      <c r="N45" s="75">
        <v>80</v>
      </c>
      <c r="O45" s="56"/>
      <c r="P45" s="56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</row>
    <row r="46" spans="1:63" x14ac:dyDescent="0.35">
      <c r="A46" s="42" t="s">
        <v>17</v>
      </c>
      <c r="B46" s="40">
        <f>B33-(C38+C39)</f>
        <v>-31238.699999999997</v>
      </c>
      <c r="C46" s="40">
        <f>0-C40</f>
        <v>-5625</v>
      </c>
      <c r="D46" s="40">
        <f>0-C41</f>
        <v>-5625</v>
      </c>
      <c r="E46" s="40">
        <f>0-C42</f>
        <v>-5625</v>
      </c>
      <c r="F46" s="40">
        <f>C11</f>
        <v>750</v>
      </c>
      <c r="G46" s="40">
        <f>C12</f>
        <v>1200</v>
      </c>
      <c r="H46" s="40">
        <f>C13</f>
        <v>1500</v>
      </c>
      <c r="I46" s="40">
        <f>C18+C26</f>
        <v>2069.9999999999995</v>
      </c>
      <c r="J46" s="40">
        <f>C19+C27</f>
        <v>5750</v>
      </c>
      <c r="K46" s="40">
        <f>C14</f>
        <v>24000</v>
      </c>
      <c r="L46" s="40">
        <f>C20+C28</f>
        <v>11500</v>
      </c>
      <c r="M46" s="40">
        <f>C21+C29</f>
        <v>11500</v>
      </c>
      <c r="N46" s="76">
        <f>C22+C30</f>
        <v>115000</v>
      </c>
      <c r="O46" s="56"/>
      <c r="P46" s="56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"/>
      <c r="BK46" s="2"/>
    </row>
    <row r="47" spans="1:63" ht="15" thickBot="1" x14ac:dyDescent="0.4">
      <c r="A47" s="43" t="s">
        <v>18</v>
      </c>
      <c r="B47" s="41">
        <f>B46/((1+$B$2)^B45)</f>
        <v>-31238.699999999997</v>
      </c>
      <c r="C47" s="41">
        <f>C46/((1+$B$2)^C45)</f>
        <v>-5382.7751196172248</v>
      </c>
      <c r="D47" s="41">
        <f>D46/((1+$B$2)^D45)</f>
        <v>-5150.9809757102639</v>
      </c>
      <c r="E47" s="41">
        <f>E46/((1+$B$2)^E45)</f>
        <v>-4929.1683978088649</v>
      </c>
      <c r="F47" s="41">
        <f>F46/((1+$B$2)^F45)</f>
        <v>423.20373076490728</v>
      </c>
      <c r="G47" s="41">
        <f>G46/((1+$B$2)^G45)</f>
        <v>593.36318734825045</v>
      </c>
      <c r="H47" s="41">
        <f>H46/((1+$B$2)^H45)</f>
        <v>595.18113830323136</v>
      </c>
      <c r="I47" s="41">
        <f>I46/((1+$B$2)^I45)</f>
        <v>688.75233512331738</v>
      </c>
      <c r="J47" s="41">
        <f>J46/((1+$B$2)^J45)</f>
        <v>1231.9630406909375</v>
      </c>
      <c r="K47" s="41">
        <f>K46/((1+$B$2)^K45)</f>
        <v>4506.0105553194944</v>
      </c>
      <c r="L47" s="41">
        <f>L46/((1+$B$2)^L45)</f>
        <v>1586.5902102775983</v>
      </c>
      <c r="M47" s="41">
        <f>M46/((1+$B$2)^M45)</f>
        <v>819.82359522850834</v>
      </c>
      <c r="N47" s="77">
        <f t="shared" ref="F47:N47" si="1">N46/((1+$B$2)^N45)</f>
        <v>3399.3399996244602</v>
      </c>
      <c r="O47" s="56"/>
      <c r="P47" s="56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"/>
      <c r="BK47" s="2"/>
    </row>
    <row r="48" spans="1:63" ht="15" thickBot="1" x14ac:dyDescent="0.4">
      <c r="A48" s="57" t="s">
        <v>19</v>
      </c>
      <c r="B48" s="58">
        <f>B6+SUM(B47:N47)</f>
        <v>-28724.896700455633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</row>
    <row r="49" spans="1:2" x14ac:dyDescent="0.35">
      <c r="A49" s="66"/>
    </row>
    <row r="51" spans="1:2" ht="15" thickBot="1" x14ac:dyDescent="0.4"/>
    <row r="52" spans="1:2" ht="16" thickBot="1" x14ac:dyDescent="0.4">
      <c r="A52" s="13" t="s">
        <v>0</v>
      </c>
    </row>
    <row r="53" spans="1:2" ht="46.5" x14ac:dyDescent="0.35">
      <c r="A53" s="61" t="s">
        <v>22</v>
      </c>
      <c r="B53" s="14">
        <v>40</v>
      </c>
    </row>
    <row r="54" spans="1:2" x14ac:dyDescent="0.35">
      <c r="A54" s="67" t="s">
        <v>23</v>
      </c>
      <c r="B54" s="68"/>
    </row>
    <row r="55" spans="1:2" x14ac:dyDescent="0.35">
      <c r="A55" s="17" t="s">
        <v>24</v>
      </c>
      <c r="B55" s="15">
        <v>250</v>
      </c>
    </row>
    <row r="56" spans="1:2" ht="43.5" x14ac:dyDescent="0.35">
      <c r="A56" s="62" t="s">
        <v>25</v>
      </c>
      <c r="B56" s="63">
        <v>10</v>
      </c>
    </row>
    <row r="57" spans="1:2" ht="62.5" thickBot="1" x14ac:dyDescent="0.4">
      <c r="A57" s="16" t="s">
        <v>27</v>
      </c>
      <c r="B57" s="64">
        <f>B55*B56*B3</f>
        <v>36250</v>
      </c>
    </row>
    <row r="58" spans="1:2" ht="31.5" thickBot="1" x14ac:dyDescent="0.4">
      <c r="A58" s="16" t="s">
        <v>26</v>
      </c>
      <c r="B58" s="39">
        <f>B6+(B57/((1+B2)^B53))</f>
        <v>10364.915414418614</v>
      </c>
    </row>
    <row r="60" spans="1:2" ht="21" x14ac:dyDescent="0.35">
      <c r="A60" s="7" t="s">
        <v>1</v>
      </c>
      <c r="B60" s="78">
        <f>B48-B58</f>
        <v>-39089.81211487425</v>
      </c>
    </row>
    <row r="61" spans="1:2" x14ac:dyDescent="0.35">
      <c r="A61" s="8"/>
    </row>
    <row r="62" spans="1:2" ht="23.5" x14ac:dyDescent="0.35">
      <c r="A62" s="65" t="s">
        <v>2</v>
      </c>
      <c r="B62" s="9" t="str">
        <f>IF(B60&lt;0,"OUI","NON")</f>
        <v>OUI</v>
      </c>
    </row>
  </sheetData>
  <mergeCells count="2">
    <mergeCell ref="A54:B54"/>
    <mergeCell ref="B43:C43"/>
  </mergeCells>
  <conditionalFormatting sqref="Q45:AM47 F37:AM43 B36:AM36 B44:AM44">
    <cfRule type="cellIs" dxfId="12" priority="21" operator="greaterThan">
      <formula>0</formula>
    </cfRule>
  </conditionalFormatting>
  <conditionalFormatting sqref="Q45:AM47 B44:AM44">
    <cfRule type="cellIs" dxfId="11" priority="18" operator="lessThan">
      <formula>0</formula>
    </cfRule>
  </conditionalFormatting>
  <conditionalFormatting sqref="B58 B46:P47">
    <cfRule type="cellIs" dxfId="10" priority="16" operator="lessThan">
      <formula>0</formula>
    </cfRule>
    <cfRule type="cellIs" dxfId="9" priority="17" operator="greaterThan">
      <formula>0</formula>
    </cfRule>
  </conditionalFormatting>
  <conditionalFormatting sqref="B48">
    <cfRule type="cellIs" dxfId="8" priority="14" operator="lessThan">
      <formula>0</formula>
    </cfRule>
    <cfRule type="cellIs" dxfId="7" priority="15" operator="greaterThan">
      <formula>0</formula>
    </cfRule>
  </conditionalFormatting>
  <conditionalFormatting sqref="D34">
    <cfRule type="cellIs" dxfId="6" priority="7" operator="greaterThan">
      <formula>0</formula>
    </cfRule>
  </conditionalFormatting>
  <conditionalFormatting sqref="B34">
    <cfRule type="cellIs" dxfId="5" priority="10" operator="greaterThan">
      <formula>0</formula>
    </cfRule>
  </conditionalFormatting>
  <conditionalFormatting sqref="C34">
    <cfRule type="cellIs" dxfId="4" priority="9" operator="greaterThan">
      <formula>0</formula>
    </cfRule>
  </conditionalFormatting>
  <conditionalFormatting sqref="B60">
    <cfRule type="cellIs" dxfId="3" priority="2" operator="equal">
      <formula>0</formula>
    </cfRule>
    <cfRule type="cellIs" dxfId="2" priority="3" operator="greaterThan">
      <formula>0</formula>
    </cfRule>
    <cfRule type="cellIs" dxfId="1" priority="4" operator="lessThan">
      <formula>0</formula>
    </cfRule>
  </conditionalFormatting>
  <conditionalFormatting sqref="B62">
    <cfRule type="containsText" dxfId="0" priority="1" operator="containsText" text="NON">
      <formula>NOT(ISERROR(SEARCH("NON",B62)))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Calcul VAN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HEUSCHMIDT</dc:creator>
  <cp:lastModifiedBy>Florence HEUSCHMIDT</cp:lastModifiedBy>
  <dcterms:created xsi:type="dcterms:W3CDTF">2019-12-09T14:03:55Z</dcterms:created>
  <dcterms:modified xsi:type="dcterms:W3CDTF">2021-05-03T16:21:20Z</dcterms:modified>
</cp:coreProperties>
</file>