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Forest CO2\C6 &amp; C7 - Projets carbone\Tour de France\74 - Sallanches\Dossier LBC\"/>
    </mc:Choice>
  </mc:AlternateContent>
  <bookViews>
    <workbookView xWindow="0" yWindow="0" windowWidth="28800" windowHeight="12435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Paramètres!$A$2:$A$88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HG5" i="2" l="1"/>
  <c r="HG6" i="2" s="1"/>
  <c r="HG7" i="2" s="1"/>
  <c r="HG8" i="2" s="1"/>
  <c r="HG9" i="2" s="1"/>
  <c r="HG10" i="2" s="1"/>
  <c r="HG11" i="2" s="1"/>
  <c r="HG12" i="2" s="1"/>
  <c r="HG13" i="2" s="1"/>
  <c r="HG14" i="2" s="1"/>
  <c r="HG15" i="2" s="1"/>
  <c r="HG16" i="2" s="1"/>
  <c r="HG17" i="2" s="1"/>
  <c r="HG18" i="2" s="1"/>
  <c r="HG19" i="2" s="1"/>
  <c r="HG20" i="2" s="1"/>
  <c r="HG21" i="2" s="1"/>
  <c r="HG22" i="2" s="1"/>
  <c r="HG23" i="2" s="1"/>
  <c r="HG24" i="2" s="1"/>
  <c r="HG25" i="2" s="1"/>
  <c r="HG26" i="2" s="1"/>
  <c r="HG27" i="2" s="1"/>
  <c r="HG28" i="2" s="1"/>
  <c r="HG29" i="2" s="1"/>
  <c r="HG30" i="2" s="1"/>
  <c r="HG31" i="2" s="1"/>
  <c r="HG32" i="2" s="1"/>
  <c r="HG33" i="2" s="1"/>
  <c r="HG34" i="2" s="1"/>
  <c r="HG35" i="2" s="1"/>
  <c r="HG36" i="2" s="1"/>
  <c r="HG37" i="2" s="1"/>
  <c r="HG38" i="2" s="1"/>
  <c r="HG39" i="2" s="1"/>
  <c r="HG40" i="2" s="1"/>
  <c r="HG41" i="2" s="1"/>
  <c r="HG42" i="2" s="1"/>
  <c r="HG43" i="2" s="1"/>
  <c r="HG44" i="2" s="1"/>
  <c r="HG45" i="2" s="1"/>
  <c r="HG46" i="2" s="1"/>
  <c r="HG47" i="2" s="1"/>
  <c r="HG48" i="2" s="1"/>
  <c r="HG49" i="2" s="1"/>
  <c r="HG50" i="2" s="1"/>
  <c r="HG51" i="2" s="1"/>
  <c r="HG52" i="2" s="1"/>
  <c r="HG53" i="2" s="1"/>
  <c r="HG54" i="2" s="1"/>
  <c r="HG55" i="2" s="1"/>
  <c r="HG56" i="2" s="1"/>
  <c r="HG57" i="2" s="1"/>
  <c r="HG58" i="2" s="1"/>
  <c r="HG59" i="2" s="1"/>
  <c r="HG60" i="2" s="1"/>
  <c r="HG61" i="2" s="1"/>
  <c r="HG62" i="2" s="1"/>
  <c r="HG63" i="2" s="1"/>
  <c r="HG64" i="2" s="1"/>
  <c r="HG65" i="2" s="1"/>
  <c r="HG66" i="2" s="1"/>
  <c r="HG67" i="2" s="1"/>
  <c r="HG68" i="2" s="1"/>
  <c r="HG69" i="2" s="1"/>
  <c r="HG70" i="2" s="1"/>
  <c r="HG71" i="2" s="1"/>
  <c r="HG72" i="2" s="1"/>
  <c r="HG73" i="2" s="1"/>
  <c r="HG74" i="2" s="1"/>
  <c r="HG75" i="2" s="1"/>
  <c r="HG76" i="2" s="1"/>
  <c r="HG77" i="2" s="1"/>
  <c r="HG78" i="2" s="1"/>
  <c r="HG79" i="2" s="1"/>
  <c r="HG80" i="2" s="1"/>
  <c r="HG81" i="2" s="1"/>
  <c r="HG82" i="2" s="1"/>
  <c r="HG83" i="2" s="1"/>
  <c r="HG84" i="2" s="1"/>
  <c r="HG85" i="2" s="1"/>
  <c r="HG86" i="2" s="1"/>
  <c r="HG87" i="2" s="1"/>
  <c r="HG88" i="2" s="1"/>
  <c r="HG89" i="2" s="1"/>
  <c r="HG90" i="2" s="1"/>
  <c r="HG91" i="2" s="1"/>
  <c r="HG92" i="2" s="1"/>
  <c r="HG93" i="2" s="1"/>
  <c r="HG94" i="2" s="1"/>
  <c r="HG95" i="2" s="1"/>
  <c r="HG96" i="2" s="1"/>
  <c r="HG97" i="2" s="1"/>
  <c r="HG98" i="2" s="1"/>
  <c r="HG99" i="2" s="1"/>
  <c r="HG100" i="2" s="1"/>
  <c r="HG101" i="2" s="1"/>
  <c r="HG102" i="2" s="1"/>
  <c r="HG103" i="2" s="1"/>
  <c r="HG104" i="2" s="1"/>
  <c r="HG105" i="2" s="1"/>
  <c r="HG106" i="2" s="1"/>
  <c r="HG107" i="2" s="1"/>
  <c r="HG108" i="2" s="1"/>
  <c r="HG109" i="2" s="1"/>
  <c r="HG110" i="2" s="1"/>
  <c r="HG111" i="2" s="1"/>
  <c r="HG112" i="2" s="1"/>
  <c r="HG113" i="2" s="1"/>
  <c r="HG114" i="2" s="1"/>
  <c r="HG115" i="2" s="1"/>
  <c r="HG116" i="2" s="1"/>
  <c r="HG117" i="2" s="1"/>
  <c r="HG118" i="2" s="1"/>
  <c r="HG119" i="2" s="1"/>
  <c r="HG120" i="2" s="1"/>
  <c r="HG121" i="2" s="1"/>
  <c r="HG122" i="2" s="1"/>
  <c r="HG123" i="2" s="1"/>
  <c r="HG124" i="2" s="1"/>
  <c r="HG125" i="2" s="1"/>
  <c r="HG126" i="2" s="1"/>
  <c r="HG127" i="2" s="1"/>
  <c r="HG128" i="2" s="1"/>
  <c r="HG129" i="2" s="1"/>
  <c r="HG130" i="2" s="1"/>
  <c r="HG131" i="2" s="1"/>
  <c r="HG132" i="2" s="1"/>
  <c r="HG133" i="2" s="1"/>
  <c r="HG134" i="2" s="1"/>
  <c r="HG135" i="2" s="1"/>
  <c r="HG136" i="2" s="1"/>
  <c r="HG137" i="2" s="1"/>
  <c r="HG138" i="2" s="1"/>
  <c r="HG139" i="2" s="1"/>
  <c r="HG140" i="2" s="1"/>
  <c r="HG141" i="2" s="1"/>
  <c r="HG142" i="2" s="1"/>
  <c r="HG143" i="2" s="1"/>
  <c r="HG144" i="2" s="1"/>
  <c r="HG145" i="2" s="1"/>
  <c r="HG146" i="2" s="1"/>
  <c r="HG147" i="2" s="1"/>
  <c r="HG148" i="2" s="1"/>
  <c r="HG149" i="2" s="1"/>
  <c r="HG150" i="2" s="1"/>
  <c r="HG151" i="2" s="1"/>
  <c r="HG152" i="2" s="1"/>
  <c r="HG153" i="2" s="1"/>
  <c r="HG154" i="2" s="1"/>
  <c r="HG155" i="2" s="1"/>
  <c r="HG156" i="2" s="1"/>
  <c r="HG157" i="2" s="1"/>
  <c r="HG158" i="2" s="1"/>
  <c r="HG159" i="2" s="1"/>
  <c r="HG160" i="2" s="1"/>
  <c r="HG161" i="2" s="1"/>
  <c r="HG162" i="2" s="1"/>
  <c r="HG163" i="2" s="1"/>
  <c r="HG164" i="2" s="1"/>
  <c r="HG165" i="2" s="1"/>
  <c r="HG166" i="2" s="1"/>
  <c r="HG167" i="2" s="1"/>
  <c r="HG168" i="2" s="1"/>
  <c r="HG169" i="2" s="1"/>
  <c r="HG170" i="2" s="1"/>
  <c r="HG171" i="2" s="1"/>
  <c r="HG172" i="2" s="1"/>
  <c r="HG173" i="2" s="1"/>
  <c r="HG174" i="2" s="1"/>
  <c r="HG175" i="2" s="1"/>
  <c r="HG176" i="2" s="1"/>
  <c r="HG177" i="2" s="1"/>
  <c r="HG178" i="2" s="1"/>
  <c r="HG179" i="2" s="1"/>
  <c r="HG180" i="2" s="1"/>
  <c r="HG181" i="2" s="1"/>
  <c r="HG182" i="2" s="1"/>
  <c r="HG183" i="2" s="1"/>
  <c r="HG184" i="2" s="1"/>
  <c r="HG185" i="2" s="1"/>
  <c r="HG186" i="2" s="1"/>
  <c r="HG187" i="2" s="1"/>
  <c r="HG188" i="2" s="1"/>
  <c r="HG189" i="2" s="1"/>
  <c r="HG190" i="2" s="1"/>
  <c r="HG191" i="2" s="1"/>
  <c r="HG192" i="2" s="1"/>
  <c r="HG193" i="2" s="1"/>
  <c r="HG194" i="2" s="1"/>
  <c r="HG195" i="2" s="1"/>
  <c r="HG196" i="2" s="1"/>
  <c r="HG197" i="2" s="1"/>
  <c r="HG198" i="2" s="1"/>
  <c r="HG199" i="2" s="1"/>
  <c r="HG200" i="2" s="1"/>
  <c r="HG201" i="2" s="1"/>
  <c r="HG202" i="2" s="1"/>
  <c r="HG203" i="2" s="1"/>
  <c r="HH5" i="2"/>
  <c r="HH6" i="2" s="1"/>
  <c r="HH7" i="2" s="1"/>
  <c r="HH8" i="2" s="1"/>
  <c r="HH9" i="2" s="1"/>
  <c r="HH10" i="2" s="1"/>
  <c r="HH11" i="2" s="1"/>
  <c r="HH12" i="2" s="1"/>
  <c r="HH13" i="2" s="1"/>
  <c r="HH14" i="2" s="1"/>
  <c r="HH15" i="2" s="1"/>
  <c r="HH16" i="2" s="1"/>
  <c r="HH17" i="2" s="1"/>
  <c r="HH18" i="2" s="1"/>
  <c r="HH19" i="2" s="1"/>
  <c r="HH20" i="2" s="1"/>
  <c r="HH21" i="2" s="1"/>
  <c r="HH22" i="2" s="1"/>
  <c r="HH23" i="2" s="1"/>
  <c r="HH24" i="2" s="1"/>
  <c r="HH25" i="2" s="1"/>
  <c r="HH26" i="2" s="1"/>
  <c r="HH27" i="2" s="1"/>
  <c r="HH28" i="2" s="1"/>
  <c r="HH29" i="2" s="1"/>
  <c r="HH30" i="2" s="1"/>
  <c r="HH31" i="2" s="1"/>
  <c r="HH32" i="2" s="1"/>
  <c r="HH33" i="2" s="1"/>
  <c r="HH34" i="2" s="1"/>
  <c r="HH35" i="2" s="1"/>
  <c r="HH36" i="2" s="1"/>
  <c r="HH37" i="2" s="1"/>
  <c r="HH38" i="2" s="1"/>
  <c r="HH39" i="2" s="1"/>
  <c r="HH40" i="2" s="1"/>
  <c r="HH41" i="2" s="1"/>
  <c r="HH42" i="2" s="1"/>
  <c r="HH43" i="2" s="1"/>
  <c r="HH44" i="2" s="1"/>
  <c r="HH45" i="2" s="1"/>
  <c r="HH46" i="2" s="1"/>
  <c r="HH47" i="2" s="1"/>
  <c r="HH48" i="2" s="1"/>
  <c r="HH49" i="2" s="1"/>
  <c r="HH50" i="2" s="1"/>
  <c r="HH51" i="2" s="1"/>
  <c r="HH52" i="2" s="1"/>
  <c r="HH53" i="2" s="1"/>
  <c r="HH54" i="2" s="1"/>
  <c r="HH55" i="2" s="1"/>
  <c r="HH56" i="2" s="1"/>
  <c r="HH57" i="2" s="1"/>
  <c r="HH58" i="2" s="1"/>
  <c r="HH59" i="2" s="1"/>
  <c r="HH60" i="2" s="1"/>
  <c r="HH61" i="2" s="1"/>
  <c r="HH62" i="2" s="1"/>
  <c r="HH63" i="2" s="1"/>
  <c r="HH64" i="2" s="1"/>
  <c r="HH65" i="2" s="1"/>
  <c r="HH66" i="2" s="1"/>
  <c r="HH67" i="2" s="1"/>
  <c r="HH68" i="2" s="1"/>
  <c r="HH69" i="2" s="1"/>
  <c r="HH70" i="2" s="1"/>
  <c r="HH71" i="2" s="1"/>
  <c r="HH72" i="2" s="1"/>
  <c r="HH73" i="2" s="1"/>
  <c r="HH74" i="2" s="1"/>
  <c r="HH75" i="2" s="1"/>
  <c r="HH76" i="2" s="1"/>
  <c r="HH77" i="2" s="1"/>
  <c r="HH78" i="2" s="1"/>
  <c r="HH79" i="2" s="1"/>
  <c r="HH80" i="2" s="1"/>
  <c r="HH81" i="2" s="1"/>
  <c r="HH82" i="2" s="1"/>
  <c r="HH83" i="2" s="1"/>
  <c r="HH84" i="2" s="1"/>
  <c r="HH85" i="2" s="1"/>
  <c r="HH86" i="2" s="1"/>
  <c r="HH87" i="2" s="1"/>
  <c r="HH88" i="2" s="1"/>
  <c r="HH89" i="2" s="1"/>
  <c r="HH90" i="2" s="1"/>
  <c r="HH91" i="2" s="1"/>
  <c r="HH92" i="2" s="1"/>
  <c r="HH93" i="2" s="1"/>
  <c r="HH94" i="2" s="1"/>
  <c r="HH95" i="2" s="1"/>
  <c r="HH96" i="2" s="1"/>
  <c r="HH97" i="2" s="1"/>
  <c r="HH98" i="2" s="1"/>
  <c r="HH99" i="2" s="1"/>
  <c r="HH100" i="2" s="1"/>
  <c r="HH101" i="2" s="1"/>
  <c r="HH102" i="2" s="1"/>
  <c r="HH103" i="2" s="1"/>
  <c r="HH104" i="2" s="1"/>
  <c r="HH105" i="2" s="1"/>
  <c r="HH106" i="2" s="1"/>
  <c r="HH107" i="2" s="1"/>
  <c r="HH108" i="2" s="1"/>
  <c r="HH109" i="2" s="1"/>
  <c r="HH110" i="2" s="1"/>
  <c r="HH111" i="2" s="1"/>
  <c r="HH112" i="2" s="1"/>
  <c r="HH113" i="2" s="1"/>
  <c r="HH114" i="2" s="1"/>
  <c r="HH115" i="2" s="1"/>
  <c r="HH116" i="2" s="1"/>
  <c r="HH117" i="2" s="1"/>
  <c r="HH118" i="2" s="1"/>
  <c r="HH119" i="2" s="1"/>
  <c r="HH120" i="2" s="1"/>
  <c r="HH121" i="2" s="1"/>
  <c r="HH122" i="2" s="1"/>
  <c r="HH123" i="2" s="1"/>
  <c r="HH124" i="2" s="1"/>
  <c r="HH125" i="2" s="1"/>
  <c r="HH126" i="2" s="1"/>
  <c r="HH127" i="2" s="1"/>
  <c r="HH128" i="2" s="1"/>
  <c r="HH129" i="2" s="1"/>
  <c r="HH130" i="2" s="1"/>
  <c r="HH131" i="2" s="1"/>
  <c r="HH132" i="2" s="1"/>
  <c r="HH133" i="2" s="1"/>
  <c r="HH134" i="2" s="1"/>
  <c r="HH135" i="2" s="1"/>
  <c r="HH136" i="2" s="1"/>
  <c r="HH137" i="2" s="1"/>
  <c r="HH138" i="2" s="1"/>
  <c r="HH139" i="2" s="1"/>
  <c r="HH140" i="2" s="1"/>
  <c r="HH141" i="2" s="1"/>
  <c r="HH142" i="2" s="1"/>
  <c r="HH143" i="2" s="1"/>
  <c r="HH144" i="2" s="1"/>
  <c r="HH145" i="2" s="1"/>
  <c r="HH146" i="2" s="1"/>
  <c r="HH147" i="2" s="1"/>
  <c r="HH148" i="2" s="1"/>
  <c r="HH149" i="2" s="1"/>
  <c r="HH150" i="2" s="1"/>
  <c r="HH151" i="2" s="1"/>
  <c r="HH152" i="2" s="1"/>
  <c r="HH153" i="2" s="1"/>
  <c r="HH154" i="2" s="1"/>
  <c r="HH155" i="2" s="1"/>
  <c r="HH156" i="2" s="1"/>
  <c r="HH157" i="2" s="1"/>
  <c r="HH158" i="2" s="1"/>
  <c r="HH159" i="2" s="1"/>
  <c r="HH160" i="2" s="1"/>
  <c r="HH161" i="2" s="1"/>
  <c r="HH162" i="2" s="1"/>
  <c r="HH163" i="2" s="1"/>
  <c r="HH164" i="2" s="1"/>
  <c r="HH165" i="2" s="1"/>
  <c r="HH166" i="2" s="1"/>
  <c r="HH167" i="2" s="1"/>
  <c r="HH168" i="2" s="1"/>
  <c r="HH169" i="2" s="1"/>
  <c r="HH170" i="2" s="1"/>
  <c r="HH171" i="2" s="1"/>
  <c r="HH172" i="2" s="1"/>
  <c r="HH173" i="2" s="1"/>
  <c r="HH174" i="2" s="1"/>
  <c r="HH175" i="2" s="1"/>
  <c r="HH176" i="2" s="1"/>
  <c r="HH177" i="2" s="1"/>
  <c r="HH178" i="2" s="1"/>
  <c r="HH179" i="2" s="1"/>
  <c r="HH180" i="2" s="1"/>
  <c r="HH181" i="2" s="1"/>
  <c r="HH182" i="2" s="1"/>
  <c r="HH183" i="2" s="1"/>
  <c r="HH184" i="2" s="1"/>
  <c r="HH185" i="2" s="1"/>
  <c r="HH186" i="2" s="1"/>
  <c r="HH187" i="2" s="1"/>
  <c r="HH188" i="2" s="1"/>
  <c r="HH189" i="2" s="1"/>
  <c r="HH190" i="2" s="1"/>
  <c r="HH191" i="2" s="1"/>
  <c r="HH192" i="2" s="1"/>
  <c r="HH193" i="2" s="1"/>
  <c r="HH194" i="2" s="1"/>
  <c r="HH195" i="2" s="1"/>
  <c r="HH196" i="2" s="1"/>
  <c r="HH197" i="2" s="1"/>
  <c r="HH198" i="2" s="1"/>
  <c r="HH199" i="2" s="1"/>
  <c r="HH200" i="2" s="1"/>
  <c r="HH201" i="2" s="1"/>
  <c r="HH202" i="2" s="1"/>
  <c r="HH203" i="2" s="1"/>
  <c r="HI5" i="2"/>
  <c r="HI6" i="2" s="1"/>
  <c r="HI7" i="2" s="1"/>
  <c r="HI8" i="2" s="1"/>
  <c r="HI9" i="2" s="1"/>
  <c r="HI10" i="2" s="1"/>
  <c r="HI11" i="2" s="1"/>
  <c r="HI12" i="2" s="1"/>
  <c r="HI13" i="2" s="1"/>
  <c r="HI14" i="2" s="1"/>
  <c r="HI15" i="2" s="1"/>
  <c r="HI16" i="2" s="1"/>
  <c r="HI17" i="2" s="1"/>
  <c r="HI18" i="2" s="1"/>
  <c r="HI19" i="2" s="1"/>
  <c r="HI20" i="2" s="1"/>
  <c r="HI21" i="2" s="1"/>
  <c r="HI22" i="2" s="1"/>
  <c r="HI23" i="2" s="1"/>
  <c r="HI24" i="2" s="1"/>
  <c r="HI25" i="2" s="1"/>
  <c r="HI26" i="2" s="1"/>
  <c r="HI27" i="2" s="1"/>
  <c r="HI28" i="2" s="1"/>
  <c r="HI29" i="2" s="1"/>
  <c r="HI30" i="2" s="1"/>
  <c r="HI31" i="2" s="1"/>
  <c r="HI32" i="2" s="1"/>
  <c r="HI33" i="2" s="1"/>
  <c r="HI34" i="2" s="1"/>
  <c r="HI35" i="2" s="1"/>
  <c r="HI36" i="2" s="1"/>
  <c r="HI37" i="2" s="1"/>
  <c r="HI38" i="2" s="1"/>
  <c r="HI39" i="2" s="1"/>
  <c r="HI40" i="2" s="1"/>
  <c r="HI41" i="2" s="1"/>
  <c r="HI42" i="2" s="1"/>
  <c r="HI43" i="2" s="1"/>
  <c r="HI44" i="2" s="1"/>
  <c r="HI45" i="2" s="1"/>
  <c r="HI46" i="2" s="1"/>
  <c r="HI47" i="2" s="1"/>
  <c r="HI48" i="2" s="1"/>
  <c r="HI49" i="2" s="1"/>
  <c r="HI50" i="2" s="1"/>
  <c r="HI51" i="2" s="1"/>
  <c r="HI52" i="2" s="1"/>
  <c r="HI53" i="2" s="1"/>
  <c r="HI54" i="2" s="1"/>
  <c r="HI55" i="2" s="1"/>
  <c r="HI56" i="2" s="1"/>
  <c r="HI57" i="2" s="1"/>
  <c r="HI58" i="2" s="1"/>
  <c r="HI59" i="2" s="1"/>
  <c r="HI60" i="2" s="1"/>
  <c r="HI61" i="2" s="1"/>
  <c r="HI62" i="2" s="1"/>
  <c r="HI63" i="2" s="1"/>
  <c r="HI64" i="2" s="1"/>
  <c r="HI65" i="2" s="1"/>
  <c r="HI66" i="2" s="1"/>
  <c r="HI67" i="2" s="1"/>
  <c r="HI68" i="2" s="1"/>
  <c r="HI69" i="2" s="1"/>
  <c r="HI70" i="2" s="1"/>
  <c r="HI71" i="2" s="1"/>
  <c r="HI72" i="2" s="1"/>
  <c r="HI73" i="2" s="1"/>
  <c r="HI74" i="2" s="1"/>
  <c r="HI75" i="2" s="1"/>
  <c r="HI76" i="2" s="1"/>
  <c r="HI77" i="2" s="1"/>
  <c r="HI78" i="2" s="1"/>
  <c r="HI79" i="2" s="1"/>
  <c r="HI80" i="2" s="1"/>
  <c r="HI81" i="2" s="1"/>
  <c r="HI82" i="2" s="1"/>
  <c r="HI83" i="2" s="1"/>
  <c r="HI84" i="2" s="1"/>
  <c r="HI85" i="2" s="1"/>
  <c r="HI86" i="2" s="1"/>
  <c r="HI87" i="2" s="1"/>
  <c r="HI88" i="2" s="1"/>
  <c r="HI89" i="2" s="1"/>
  <c r="HI90" i="2" s="1"/>
  <c r="HI91" i="2" s="1"/>
  <c r="HI92" i="2" s="1"/>
  <c r="HI93" i="2" s="1"/>
  <c r="HI94" i="2" s="1"/>
  <c r="HI95" i="2" s="1"/>
  <c r="HI96" i="2" s="1"/>
  <c r="HI97" i="2" s="1"/>
  <c r="HI98" i="2" s="1"/>
  <c r="HI99" i="2" s="1"/>
  <c r="HI100" i="2" s="1"/>
  <c r="HI101" i="2" s="1"/>
  <c r="HI102" i="2" s="1"/>
  <c r="HI103" i="2" s="1"/>
  <c r="HI104" i="2" s="1"/>
  <c r="HI105" i="2" s="1"/>
  <c r="HI106" i="2" s="1"/>
  <c r="HI107" i="2" s="1"/>
  <c r="HI108" i="2" s="1"/>
  <c r="HI109" i="2" s="1"/>
  <c r="HI110" i="2" s="1"/>
  <c r="HI111" i="2" s="1"/>
  <c r="HI112" i="2" s="1"/>
  <c r="HI113" i="2" s="1"/>
  <c r="HI114" i="2" s="1"/>
  <c r="HI115" i="2" s="1"/>
  <c r="HI116" i="2" s="1"/>
  <c r="HI117" i="2" s="1"/>
  <c r="HI118" i="2" s="1"/>
  <c r="HI119" i="2" s="1"/>
  <c r="HI120" i="2" s="1"/>
  <c r="HI121" i="2" s="1"/>
  <c r="HI122" i="2" s="1"/>
  <c r="HI123" i="2" s="1"/>
  <c r="HI124" i="2" s="1"/>
  <c r="HI125" i="2" s="1"/>
  <c r="HI126" i="2" s="1"/>
  <c r="HI127" i="2" s="1"/>
  <c r="HI128" i="2" s="1"/>
  <c r="HI129" i="2" s="1"/>
  <c r="HI130" i="2" s="1"/>
  <c r="HI131" i="2" s="1"/>
  <c r="HI132" i="2" s="1"/>
  <c r="HI133" i="2" s="1"/>
  <c r="HI134" i="2" s="1"/>
  <c r="HI135" i="2" s="1"/>
  <c r="HI136" i="2" s="1"/>
  <c r="HI137" i="2" s="1"/>
  <c r="HI138" i="2" s="1"/>
  <c r="HI139" i="2" s="1"/>
  <c r="HI140" i="2" s="1"/>
  <c r="HI141" i="2" s="1"/>
  <c r="HI142" i="2" s="1"/>
  <c r="HI143" i="2" s="1"/>
  <c r="HI144" i="2" s="1"/>
  <c r="HI145" i="2" s="1"/>
  <c r="HI146" i="2" s="1"/>
  <c r="HI147" i="2" s="1"/>
  <c r="HI148" i="2" s="1"/>
  <c r="HI149" i="2" s="1"/>
  <c r="HI150" i="2" s="1"/>
  <c r="HI151" i="2" s="1"/>
  <c r="HI152" i="2" s="1"/>
  <c r="HI153" i="2" s="1"/>
  <c r="HI154" i="2" s="1"/>
  <c r="HI155" i="2" s="1"/>
  <c r="HI156" i="2" s="1"/>
  <c r="HI157" i="2" s="1"/>
  <c r="HI158" i="2" s="1"/>
  <c r="HI159" i="2" s="1"/>
  <c r="HI160" i="2" s="1"/>
  <c r="HI161" i="2" s="1"/>
  <c r="HI162" i="2" s="1"/>
  <c r="HI163" i="2" s="1"/>
  <c r="HI164" i="2" s="1"/>
  <c r="HI165" i="2" s="1"/>
  <c r="HI166" i="2" s="1"/>
  <c r="HI167" i="2" s="1"/>
  <c r="HI168" i="2" s="1"/>
  <c r="HI169" i="2" s="1"/>
  <c r="HI170" i="2" s="1"/>
  <c r="HI171" i="2" s="1"/>
  <c r="HI172" i="2" s="1"/>
  <c r="HI173" i="2" s="1"/>
  <c r="HI174" i="2" s="1"/>
  <c r="HI175" i="2" s="1"/>
  <c r="HI176" i="2" s="1"/>
  <c r="HI177" i="2" s="1"/>
  <c r="HI178" i="2" s="1"/>
  <c r="HI179" i="2" s="1"/>
  <c r="HI180" i="2" s="1"/>
  <c r="HI181" i="2" s="1"/>
  <c r="HI182" i="2" s="1"/>
  <c r="HI183" i="2" s="1"/>
  <c r="HI184" i="2" s="1"/>
  <c r="HI185" i="2" s="1"/>
  <c r="HI186" i="2" s="1"/>
  <c r="HI187" i="2" s="1"/>
  <c r="HI188" i="2" s="1"/>
  <c r="HI189" i="2" s="1"/>
  <c r="HI190" i="2" s="1"/>
  <c r="HI191" i="2" s="1"/>
  <c r="HI192" i="2" s="1"/>
  <c r="HI193" i="2" s="1"/>
  <c r="HI194" i="2" s="1"/>
  <c r="HI195" i="2" s="1"/>
  <c r="HI196" i="2" s="1"/>
  <c r="HI197" i="2" s="1"/>
  <c r="HI198" i="2" s="1"/>
  <c r="HI199" i="2" s="1"/>
  <c r="HI200" i="2" s="1"/>
  <c r="HI201" i="2" s="1"/>
  <c r="HI202" i="2" s="1"/>
  <c r="HI203" i="2" s="1"/>
  <c r="HI4" i="2"/>
  <c r="HH4" i="2"/>
  <c r="HG4" i="2"/>
  <c r="GL5" i="2"/>
  <c r="GL6" i="2" s="1"/>
  <c r="GL7" i="2" s="1"/>
  <c r="GL8" i="2" s="1"/>
  <c r="GL9" i="2" s="1"/>
  <c r="GL10" i="2" s="1"/>
  <c r="GL11" i="2" s="1"/>
  <c r="GL12" i="2" s="1"/>
  <c r="GL13" i="2" s="1"/>
  <c r="GL14" i="2" s="1"/>
  <c r="GL15" i="2" s="1"/>
  <c r="GL16" i="2" s="1"/>
  <c r="GL17" i="2" s="1"/>
  <c r="GL18" i="2" s="1"/>
  <c r="GL19" i="2" s="1"/>
  <c r="GL20" i="2" s="1"/>
  <c r="GL21" i="2" s="1"/>
  <c r="GL22" i="2" s="1"/>
  <c r="GL23" i="2" s="1"/>
  <c r="GL24" i="2" s="1"/>
  <c r="GL25" i="2" s="1"/>
  <c r="GL26" i="2" s="1"/>
  <c r="GL27" i="2" s="1"/>
  <c r="GL28" i="2" s="1"/>
  <c r="GL29" i="2" s="1"/>
  <c r="GL30" i="2" s="1"/>
  <c r="GL31" i="2" s="1"/>
  <c r="GL32" i="2" s="1"/>
  <c r="GL33" i="2" s="1"/>
  <c r="GL34" i="2" s="1"/>
  <c r="GL35" i="2" s="1"/>
  <c r="GL36" i="2" s="1"/>
  <c r="GL37" i="2" s="1"/>
  <c r="GL38" i="2" s="1"/>
  <c r="GL39" i="2" s="1"/>
  <c r="GL40" i="2" s="1"/>
  <c r="GL41" i="2" s="1"/>
  <c r="GL42" i="2" s="1"/>
  <c r="GL43" i="2" s="1"/>
  <c r="GL44" i="2" s="1"/>
  <c r="GL45" i="2" s="1"/>
  <c r="GL46" i="2" s="1"/>
  <c r="GL47" i="2" s="1"/>
  <c r="GL48" i="2" s="1"/>
  <c r="GL49" i="2" s="1"/>
  <c r="GL50" i="2" s="1"/>
  <c r="GL51" i="2" s="1"/>
  <c r="GL52" i="2" s="1"/>
  <c r="GL53" i="2" s="1"/>
  <c r="GL54" i="2" s="1"/>
  <c r="GL55" i="2" s="1"/>
  <c r="GL56" i="2" s="1"/>
  <c r="GL57" i="2" s="1"/>
  <c r="GL58" i="2" s="1"/>
  <c r="GL59" i="2" s="1"/>
  <c r="GL60" i="2" s="1"/>
  <c r="GL61" i="2" s="1"/>
  <c r="GL62" i="2" s="1"/>
  <c r="GL63" i="2" s="1"/>
  <c r="GL64" i="2" s="1"/>
  <c r="GL65" i="2" s="1"/>
  <c r="GL66" i="2" s="1"/>
  <c r="GL67" i="2" s="1"/>
  <c r="GL68" i="2" s="1"/>
  <c r="GL69" i="2" s="1"/>
  <c r="GL70" i="2" s="1"/>
  <c r="GL71" i="2" s="1"/>
  <c r="GL72" i="2" s="1"/>
  <c r="GL73" i="2" s="1"/>
  <c r="GL74" i="2" s="1"/>
  <c r="GL75" i="2" s="1"/>
  <c r="GL76" i="2" s="1"/>
  <c r="GL77" i="2" s="1"/>
  <c r="GL78" i="2" s="1"/>
  <c r="GL79" i="2" s="1"/>
  <c r="GL80" i="2" s="1"/>
  <c r="GL81" i="2" s="1"/>
  <c r="GL82" i="2" s="1"/>
  <c r="GL83" i="2" s="1"/>
  <c r="GL84" i="2" s="1"/>
  <c r="GL85" i="2" s="1"/>
  <c r="GL86" i="2" s="1"/>
  <c r="GL87" i="2" s="1"/>
  <c r="GL88" i="2" s="1"/>
  <c r="GL89" i="2" s="1"/>
  <c r="GL90" i="2" s="1"/>
  <c r="GL91" i="2" s="1"/>
  <c r="GL92" i="2" s="1"/>
  <c r="GL93" i="2" s="1"/>
  <c r="GL94" i="2" s="1"/>
  <c r="GL95" i="2" s="1"/>
  <c r="GL96" i="2" s="1"/>
  <c r="GL97" i="2" s="1"/>
  <c r="GL98" i="2" s="1"/>
  <c r="GL99" i="2" s="1"/>
  <c r="GL100" i="2" s="1"/>
  <c r="GL101" i="2" s="1"/>
  <c r="GL102" i="2" s="1"/>
  <c r="GL103" i="2" s="1"/>
  <c r="GL104" i="2" s="1"/>
  <c r="GL105" i="2" s="1"/>
  <c r="GL106" i="2" s="1"/>
  <c r="GL107" i="2" s="1"/>
  <c r="GL108" i="2" s="1"/>
  <c r="GL109" i="2" s="1"/>
  <c r="GL110" i="2" s="1"/>
  <c r="GL111" i="2" s="1"/>
  <c r="GL112" i="2" s="1"/>
  <c r="GL113" i="2" s="1"/>
  <c r="GL114" i="2" s="1"/>
  <c r="GL115" i="2" s="1"/>
  <c r="GL116" i="2" s="1"/>
  <c r="GL117" i="2" s="1"/>
  <c r="GL118" i="2" s="1"/>
  <c r="GL119" i="2" s="1"/>
  <c r="GL120" i="2" s="1"/>
  <c r="GL121" i="2" s="1"/>
  <c r="GL122" i="2" s="1"/>
  <c r="GL123" i="2" s="1"/>
  <c r="GL124" i="2" s="1"/>
  <c r="GL125" i="2" s="1"/>
  <c r="GL126" i="2" s="1"/>
  <c r="GL127" i="2" s="1"/>
  <c r="GL128" i="2" s="1"/>
  <c r="GL129" i="2" s="1"/>
  <c r="GL130" i="2" s="1"/>
  <c r="GL131" i="2" s="1"/>
  <c r="GL132" i="2" s="1"/>
  <c r="GL133" i="2" s="1"/>
  <c r="GL134" i="2" s="1"/>
  <c r="GL135" i="2" s="1"/>
  <c r="GL136" i="2" s="1"/>
  <c r="GL137" i="2" s="1"/>
  <c r="GL138" i="2" s="1"/>
  <c r="GL139" i="2" s="1"/>
  <c r="GL140" i="2" s="1"/>
  <c r="GL141" i="2" s="1"/>
  <c r="GL142" i="2" s="1"/>
  <c r="GL143" i="2" s="1"/>
  <c r="GL144" i="2" s="1"/>
  <c r="GL145" i="2" s="1"/>
  <c r="GL146" i="2" s="1"/>
  <c r="GL147" i="2" s="1"/>
  <c r="GL148" i="2" s="1"/>
  <c r="GL149" i="2" s="1"/>
  <c r="GL150" i="2" s="1"/>
  <c r="GL151" i="2" s="1"/>
  <c r="GL152" i="2" s="1"/>
  <c r="GL153" i="2" s="1"/>
  <c r="GL154" i="2" s="1"/>
  <c r="GL155" i="2" s="1"/>
  <c r="GL156" i="2" s="1"/>
  <c r="GL157" i="2" s="1"/>
  <c r="GL158" i="2" s="1"/>
  <c r="GL159" i="2" s="1"/>
  <c r="GL160" i="2" s="1"/>
  <c r="GL161" i="2" s="1"/>
  <c r="GL162" i="2" s="1"/>
  <c r="GL163" i="2" s="1"/>
  <c r="GL164" i="2" s="1"/>
  <c r="GL165" i="2" s="1"/>
  <c r="GL166" i="2" s="1"/>
  <c r="GL167" i="2" s="1"/>
  <c r="GL168" i="2" s="1"/>
  <c r="GL169" i="2" s="1"/>
  <c r="GL170" i="2" s="1"/>
  <c r="GL171" i="2" s="1"/>
  <c r="GL172" i="2" s="1"/>
  <c r="GL173" i="2" s="1"/>
  <c r="GL174" i="2" s="1"/>
  <c r="GL175" i="2" s="1"/>
  <c r="GL176" i="2" s="1"/>
  <c r="GL177" i="2" s="1"/>
  <c r="GL178" i="2" s="1"/>
  <c r="GL179" i="2" s="1"/>
  <c r="GL180" i="2" s="1"/>
  <c r="GL181" i="2" s="1"/>
  <c r="GL182" i="2" s="1"/>
  <c r="GL183" i="2" s="1"/>
  <c r="GL184" i="2" s="1"/>
  <c r="GL185" i="2" s="1"/>
  <c r="GL186" i="2" s="1"/>
  <c r="GL187" i="2" s="1"/>
  <c r="GL188" i="2" s="1"/>
  <c r="GL189" i="2" s="1"/>
  <c r="GL190" i="2" s="1"/>
  <c r="GL191" i="2" s="1"/>
  <c r="GL192" i="2" s="1"/>
  <c r="GL193" i="2" s="1"/>
  <c r="GL194" i="2" s="1"/>
  <c r="GL195" i="2" s="1"/>
  <c r="GL196" i="2" s="1"/>
  <c r="GL197" i="2" s="1"/>
  <c r="GL198" i="2" s="1"/>
  <c r="GL199" i="2" s="1"/>
  <c r="GL200" i="2" s="1"/>
  <c r="GL201" i="2" s="1"/>
  <c r="GL202" i="2" s="1"/>
  <c r="GL203" i="2" s="1"/>
  <c r="GM5" i="2"/>
  <c r="GM6" i="2" s="1"/>
  <c r="GM7" i="2" s="1"/>
  <c r="GM8" i="2" s="1"/>
  <c r="GM9" i="2" s="1"/>
  <c r="GM10" i="2" s="1"/>
  <c r="GM11" i="2" s="1"/>
  <c r="GM12" i="2" s="1"/>
  <c r="GM13" i="2" s="1"/>
  <c r="GM14" i="2" s="1"/>
  <c r="GM15" i="2" s="1"/>
  <c r="GM16" i="2" s="1"/>
  <c r="GM17" i="2" s="1"/>
  <c r="GM18" i="2" s="1"/>
  <c r="GM19" i="2" s="1"/>
  <c r="GM20" i="2" s="1"/>
  <c r="GM21" i="2" s="1"/>
  <c r="GM22" i="2" s="1"/>
  <c r="GM23" i="2" s="1"/>
  <c r="GM24" i="2" s="1"/>
  <c r="GM25" i="2" s="1"/>
  <c r="GM26" i="2" s="1"/>
  <c r="GM27" i="2" s="1"/>
  <c r="GM28" i="2" s="1"/>
  <c r="GM29" i="2" s="1"/>
  <c r="GM30" i="2" s="1"/>
  <c r="GM31" i="2" s="1"/>
  <c r="GM32" i="2" s="1"/>
  <c r="GM33" i="2" s="1"/>
  <c r="GM34" i="2" s="1"/>
  <c r="GM35" i="2" s="1"/>
  <c r="GM36" i="2" s="1"/>
  <c r="GM37" i="2" s="1"/>
  <c r="GM38" i="2" s="1"/>
  <c r="GM39" i="2" s="1"/>
  <c r="GM40" i="2" s="1"/>
  <c r="GM41" i="2" s="1"/>
  <c r="GM42" i="2" s="1"/>
  <c r="GM43" i="2" s="1"/>
  <c r="GM44" i="2" s="1"/>
  <c r="GM45" i="2" s="1"/>
  <c r="GM46" i="2" s="1"/>
  <c r="GM47" i="2" s="1"/>
  <c r="GM48" i="2" s="1"/>
  <c r="GM49" i="2" s="1"/>
  <c r="GM50" i="2" s="1"/>
  <c r="GM51" i="2" s="1"/>
  <c r="GM52" i="2" s="1"/>
  <c r="GM53" i="2" s="1"/>
  <c r="GM54" i="2" s="1"/>
  <c r="GM55" i="2" s="1"/>
  <c r="GM56" i="2" s="1"/>
  <c r="GM57" i="2" s="1"/>
  <c r="GM58" i="2" s="1"/>
  <c r="GM59" i="2" s="1"/>
  <c r="GM60" i="2" s="1"/>
  <c r="GM61" i="2" s="1"/>
  <c r="GM62" i="2" s="1"/>
  <c r="GM63" i="2" s="1"/>
  <c r="GM64" i="2" s="1"/>
  <c r="GM65" i="2" s="1"/>
  <c r="GM66" i="2" s="1"/>
  <c r="GM67" i="2" s="1"/>
  <c r="GM68" i="2" s="1"/>
  <c r="GM69" i="2" s="1"/>
  <c r="GM70" i="2" s="1"/>
  <c r="GM71" i="2" s="1"/>
  <c r="GM72" i="2" s="1"/>
  <c r="GM73" i="2" s="1"/>
  <c r="GM74" i="2" s="1"/>
  <c r="GM75" i="2" s="1"/>
  <c r="GM76" i="2" s="1"/>
  <c r="GM77" i="2" s="1"/>
  <c r="GM78" i="2" s="1"/>
  <c r="GM79" i="2" s="1"/>
  <c r="GM80" i="2" s="1"/>
  <c r="GM81" i="2" s="1"/>
  <c r="GM82" i="2" s="1"/>
  <c r="GM83" i="2" s="1"/>
  <c r="GM84" i="2" s="1"/>
  <c r="GM85" i="2" s="1"/>
  <c r="GM86" i="2" s="1"/>
  <c r="GM87" i="2" s="1"/>
  <c r="GM88" i="2" s="1"/>
  <c r="GM89" i="2" s="1"/>
  <c r="GM90" i="2" s="1"/>
  <c r="GM91" i="2" s="1"/>
  <c r="GM92" i="2" s="1"/>
  <c r="GM93" i="2" s="1"/>
  <c r="GM94" i="2" s="1"/>
  <c r="GM95" i="2" s="1"/>
  <c r="GM96" i="2" s="1"/>
  <c r="GM97" i="2" s="1"/>
  <c r="GM98" i="2" s="1"/>
  <c r="GM99" i="2" s="1"/>
  <c r="GM100" i="2" s="1"/>
  <c r="GM101" i="2" s="1"/>
  <c r="GM102" i="2" s="1"/>
  <c r="GM103" i="2" s="1"/>
  <c r="GM104" i="2" s="1"/>
  <c r="GM105" i="2" s="1"/>
  <c r="GM106" i="2" s="1"/>
  <c r="GM107" i="2" s="1"/>
  <c r="GM108" i="2" s="1"/>
  <c r="GM109" i="2" s="1"/>
  <c r="GM110" i="2" s="1"/>
  <c r="GM111" i="2" s="1"/>
  <c r="GM112" i="2" s="1"/>
  <c r="GM113" i="2" s="1"/>
  <c r="GM114" i="2" s="1"/>
  <c r="GM115" i="2" s="1"/>
  <c r="GM116" i="2" s="1"/>
  <c r="GM117" i="2" s="1"/>
  <c r="GM118" i="2" s="1"/>
  <c r="GM119" i="2" s="1"/>
  <c r="GM120" i="2" s="1"/>
  <c r="GM121" i="2" s="1"/>
  <c r="GM122" i="2" s="1"/>
  <c r="GM123" i="2" s="1"/>
  <c r="GM124" i="2" s="1"/>
  <c r="GM125" i="2" s="1"/>
  <c r="GM126" i="2" s="1"/>
  <c r="GM127" i="2" s="1"/>
  <c r="GM128" i="2" s="1"/>
  <c r="GM129" i="2" s="1"/>
  <c r="GM130" i="2" s="1"/>
  <c r="GM131" i="2" s="1"/>
  <c r="GM132" i="2" s="1"/>
  <c r="GM133" i="2" s="1"/>
  <c r="GM134" i="2" s="1"/>
  <c r="GM135" i="2" s="1"/>
  <c r="GM136" i="2" s="1"/>
  <c r="GM137" i="2" s="1"/>
  <c r="GM138" i="2" s="1"/>
  <c r="GM139" i="2" s="1"/>
  <c r="GM140" i="2" s="1"/>
  <c r="GM141" i="2" s="1"/>
  <c r="GM142" i="2" s="1"/>
  <c r="GM143" i="2" s="1"/>
  <c r="GM144" i="2" s="1"/>
  <c r="GM145" i="2" s="1"/>
  <c r="GM146" i="2" s="1"/>
  <c r="GM147" i="2" s="1"/>
  <c r="GM148" i="2" s="1"/>
  <c r="GM149" i="2" s="1"/>
  <c r="GM150" i="2" s="1"/>
  <c r="GM151" i="2" s="1"/>
  <c r="GM152" i="2" s="1"/>
  <c r="GM153" i="2" s="1"/>
  <c r="GM154" i="2" s="1"/>
  <c r="GM155" i="2" s="1"/>
  <c r="GM156" i="2" s="1"/>
  <c r="GM157" i="2" s="1"/>
  <c r="GM158" i="2" s="1"/>
  <c r="GM159" i="2" s="1"/>
  <c r="GM160" i="2" s="1"/>
  <c r="GM161" i="2" s="1"/>
  <c r="GM162" i="2" s="1"/>
  <c r="GM163" i="2" s="1"/>
  <c r="GM164" i="2" s="1"/>
  <c r="GM165" i="2" s="1"/>
  <c r="GM166" i="2" s="1"/>
  <c r="GM167" i="2" s="1"/>
  <c r="GM168" i="2" s="1"/>
  <c r="GM169" i="2" s="1"/>
  <c r="GM170" i="2" s="1"/>
  <c r="GM171" i="2" s="1"/>
  <c r="GM172" i="2" s="1"/>
  <c r="GM173" i="2" s="1"/>
  <c r="GM174" i="2" s="1"/>
  <c r="GM175" i="2" s="1"/>
  <c r="GM176" i="2" s="1"/>
  <c r="GM177" i="2" s="1"/>
  <c r="GM178" i="2" s="1"/>
  <c r="GM179" i="2" s="1"/>
  <c r="GM180" i="2" s="1"/>
  <c r="GM181" i="2" s="1"/>
  <c r="GM182" i="2" s="1"/>
  <c r="GM183" i="2" s="1"/>
  <c r="GM184" i="2" s="1"/>
  <c r="GM185" i="2" s="1"/>
  <c r="GM186" i="2" s="1"/>
  <c r="GM187" i="2" s="1"/>
  <c r="GM188" i="2" s="1"/>
  <c r="GM189" i="2" s="1"/>
  <c r="GM190" i="2" s="1"/>
  <c r="GM191" i="2" s="1"/>
  <c r="GM192" i="2" s="1"/>
  <c r="GM193" i="2" s="1"/>
  <c r="GM194" i="2" s="1"/>
  <c r="GM195" i="2" s="1"/>
  <c r="GM196" i="2" s="1"/>
  <c r="GM197" i="2" s="1"/>
  <c r="GM198" i="2" s="1"/>
  <c r="GM199" i="2" s="1"/>
  <c r="GM200" i="2" s="1"/>
  <c r="GM201" i="2" s="1"/>
  <c r="GM202" i="2" s="1"/>
  <c r="GM203" i="2" s="1"/>
  <c r="GN5" i="2"/>
  <c r="GN6" i="2"/>
  <c r="GN7" i="2" s="1"/>
  <c r="GN8" i="2" s="1"/>
  <c r="GN9" i="2" s="1"/>
  <c r="GN10" i="2" s="1"/>
  <c r="GN11" i="2" s="1"/>
  <c r="GN12" i="2" s="1"/>
  <c r="GN13" i="2" s="1"/>
  <c r="GN14" i="2" s="1"/>
  <c r="GN15" i="2" s="1"/>
  <c r="GN16" i="2" s="1"/>
  <c r="GN17" i="2" s="1"/>
  <c r="GN18" i="2" s="1"/>
  <c r="GN19" i="2" s="1"/>
  <c r="GN20" i="2" s="1"/>
  <c r="GN21" i="2" s="1"/>
  <c r="GN22" i="2" s="1"/>
  <c r="GN23" i="2" s="1"/>
  <c r="GN24" i="2" s="1"/>
  <c r="GN25" i="2" s="1"/>
  <c r="GN26" i="2" s="1"/>
  <c r="GN27" i="2" s="1"/>
  <c r="GN28" i="2" s="1"/>
  <c r="GN29" i="2" s="1"/>
  <c r="GN30" i="2" s="1"/>
  <c r="GN31" i="2" s="1"/>
  <c r="GN32" i="2" s="1"/>
  <c r="GN33" i="2" s="1"/>
  <c r="GN34" i="2" s="1"/>
  <c r="GN35" i="2" s="1"/>
  <c r="GN36" i="2" s="1"/>
  <c r="GN37" i="2" s="1"/>
  <c r="GN38" i="2" s="1"/>
  <c r="GN39" i="2" s="1"/>
  <c r="GN40" i="2" s="1"/>
  <c r="GN41" i="2" s="1"/>
  <c r="GN42" i="2" s="1"/>
  <c r="GN43" i="2" s="1"/>
  <c r="GN44" i="2" s="1"/>
  <c r="GN45" i="2" s="1"/>
  <c r="GN46" i="2" s="1"/>
  <c r="GN47" i="2" s="1"/>
  <c r="GN48" i="2" s="1"/>
  <c r="GN49" i="2" s="1"/>
  <c r="GN50" i="2" s="1"/>
  <c r="GN51" i="2" s="1"/>
  <c r="GN52" i="2" s="1"/>
  <c r="GN53" i="2" s="1"/>
  <c r="GN54" i="2" s="1"/>
  <c r="GN55" i="2" s="1"/>
  <c r="GN56" i="2" s="1"/>
  <c r="GN57" i="2" s="1"/>
  <c r="GN58" i="2" s="1"/>
  <c r="GN59" i="2" s="1"/>
  <c r="GN60" i="2" s="1"/>
  <c r="GN61" i="2" s="1"/>
  <c r="GN62" i="2" s="1"/>
  <c r="GN63" i="2" s="1"/>
  <c r="GN64" i="2" s="1"/>
  <c r="GN65" i="2" s="1"/>
  <c r="GN66" i="2" s="1"/>
  <c r="GN67" i="2" s="1"/>
  <c r="GN68" i="2" s="1"/>
  <c r="GN69" i="2" s="1"/>
  <c r="GN70" i="2" s="1"/>
  <c r="GN71" i="2" s="1"/>
  <c r="GN72" i="2" s="1"/>
  <c r="GN73" i="2" s="1"/>
  <c r="GN74" i="2" s="1"/>
  <c r="GN75" i="2" s="1"/>
  <c r="GN76" i="2" s="1"/>
  <c r="GN77" i="2" s="1"/>
  <c r="GN78" i="2" s="1"/>
  <c r="GN79" i="2" s="1"/>
  <c r="GN80" i="2" s="1"/>
  <c r="GN81" i="2" s="1"/>
  <c r="GN82" i="2" s="1"/>
  <c r="GN83" i="2" s="1"/>
  <c r="GN84" i="2" s="1"/>
  <c r="GN85" i="2" s="1"/>
  <c r="GN86" i="2" s="1"/>
  <c r="GN87" i="2" s="1"/>
  <c r="GN88" i="2" s="1"/>
  <c r="GN89" i="2" s="1"/>
  <c r="GN90" i="2" s="1"/>
  <c r="GN91" i="2" s="1"/>
  <c r="GN92" i="2" s="1"/>
  <c r="GN93" i="2" s="1"/>
  <c r="GN94" i="2" s="1"/>
  <c r="GN95" i="2" s="1"/>
  <c r="GN96" i="2" s="1"/>
  <c r="GN97" i="2" s="1"/>
  <c r="GN98" i="2" s="1"/>
  <c r="GN99" i="2" s="1"/>
  <c r="GN100" i="2" s="1"/>
  <c r="GN101" i="2" s="1"/>
  <c r="GN102" i="2" s="1"/>
  <c r="GN103" i="2" s="1"/>
  <c r="GN104" i="2" s="1"/>
  <c r="GN105" i="2" s="1"/>
  <c r="GN106" i="2" s="1"/>
  <c r="GN107" i="2" s="1"/>
  <c r="GN108" i="2" s="1"/>
  <c r="GN109" i="2" s="1"/>
  <c r="GN110" i="2" s="1"/>
  <c r="GN111" i="2" s="1"/>
  <c r="GN112" i="2" s="1"/>
  <c r="GN113" i="2" s="1"/>
  <c r="GN114" i="2" s="1"/>
  <c r="GN115" i="2" s="1"/>
  <c r="GN116" i="2" s="1"/>
  <c r="GN117" i="2" s="1"/>
  <c r="GN118" i="2" s="1"/>
  <c r="GN119" i="2" s="1"/>
  <c r="GN120" i="2" s="1"/>
  <c r="GN121" i="2" s="1"/>
  <c r="GN122" i="2" s="1"/>
  <c r="GN123" i="2" s="1"/>
  <c r="GN124" i="2" s="1"/>
  <c r="GN125" i="2" s="1"/>
  <c r="GN126" i="2" s="1"/>
  <c r="GN127" i="2" s="1"/>
  <c r="GN128" i="2" s="1"/>
  <c r="GN129" i="2" s="1"/>
  <c r="GN130" i="2" s="1"/>
  <c r="GN131" i="2" s="1"/>
  <c r="GN132" i="2" s="1"/>
  <c r="GN133" i="2" s="1"/>
  <c r="GN134" i="2" s="1"/>
  <c r="GN135" i="2" s="1"/>
  <c r="GN136" i="2" s="1"/>
  <c r="GN137" i="2" s="1"/>
  <c r="GN138" i="2" s="1"/>
  <c r="GN139" i="2" s="1"/>
  <c r="GN140" i="2" s="1"/>
  <c r="GN141" i="2" s="1"/>
  <c r="GN142" i="2" s="1"/>
  <c r="GN143" i="2" s="1"/>
  <c r="GN144" i="2" s="1"/>
  <c r="GN145" i="2" s="1"/>
  <c r="GN146" i="2" s="1"/>
  <c r="GN147" i="2" s="1"/>
  <c r="GN148" i="2" s="1"/>
  <c r="GN149" i="2" s="1"/>
  <c r="GN150" i="2" s="1"/>
  <c r="GN151" i="2" s="1"/>
  <c r="GN152" i="2" s="1"/>
  <c r="GN153" i="2" s="1"/>
  <c r="GN154" i="2" s="1"/>
  <c r="GN155" i="2" s="1"/>
  <c r="GN156" i="2" s="1"/>
  <c r="GN157" i="2" s="1"/>
  <c r="GN158" i="2" s="1"/>
  <c r="GN159" i="2" s="1"/>
  <c r="GN160" i="2" s="1"/>
  <c r="GN161" i="2" s="1"/>
  <c r="GN162" i="2" s="1"/>
  <c r="GN163" i="2" s="1"/>
  <c r="GN164" i="2" s="1"/>
  <c r="GN165" i="2" s="1"/>
  <c r="GN166" i="2" s="1"/>
  <c r="GN167" i="2" s="1"/>
  <c r="GN168" i="2" s="1"/>
  <c r="GN169" i="2" s="1"/>
  <c r="GN170" i="2" s="1"/>
  <c r="GN171" i="2" s="1"/>
  <c r="GN172" i="2" s="1"/>
  <c r="GN173" i="2" s="1"/>
  <c r="GN174" i="2" s="1"/>
  <c r="GN175" i="2" s="1"/>
  <c r="GN176" i="2" s="1"/>
  <c r="GN177" i="2" s="1"/>
  <c r="GN178" i="2" s="1"/>
  <c r="GN179" i="2" s="1"/>
  <c r="GN180" i="2" s="1"/>
  <c r="GN181" i="2" s="1"/>
  <c r="GN182" i="2" s="1"/>
  <c r="GN183" i="2" s="1"/>
  <c r="GN184" i="2" s="1"/>
  <c r="GN185" i="2" s="1"/>
  <c r="GN186" i="2" s="1"/>
  <c r="GN187" i="2" s="1"/>
  <c r="GN188" i="2" s="1"/>
  <c r="GN189" i="2" s="1"/>
  <c r="GN190" i="2" s="1"/>
  <c r="GN191" i="2" s="1"/>
  <c r="GN192" i="2" s="1"/>
  <c r="GN193" i="2" s="1"/>
  <c r="GN194" i="2" s="1"/>
  <c r="GN195" i="2" s="1"/>
  <c r="GN196" i="2" s="1"/>
  <c r="GN197" i="2" s="1"/>
  <c r="GN198" i="2" s="1"/>
  <c r="GN199" i="2" s="1"/>
  <c r="GN200" i="2" s="1"/>
  <c r="GN201" i="2" s="1"/>
  <c r="GN202" i="2" s="1"/>
  <c r="GN203" i="2" s="1"/>
  <c r="GN4" i="2"/>
  <c r="GM4" i="2"/>
  <c r="GL4" i="2"/>
  <c r="FQ5" i="2"/>
  <c r="FQ6" i="2" s="1"/>
  <c r="FQ7" i="2" s="1"/>
  <c r="FQ8" i="2" s="1"/>
  <c r="FQ9" i="2" s="1"/>
  <c r="FQ10" i="2" s="1"/>
  <c r="FQ11" i="2" s="1"/>
  <c r="FQ12" i="2" s="1"/>
  <c r="FQ13" i="2" s="1"/>
  <c r="FQ14" i="2" s="1"/>
  <c r="FQ15" i="2" s="1"/>
  <c r="FQ16" i="2" s="1"/>
  <c r="FQ17" i="2" s="1"/>
  <c r="FQ18" i="2" s="1"/>
  <c r="FQ19" i="2" s="1"/>
  <c r="FQ20" i="2" s="1"/>
  <c r="FQ21" i="2" s="1"/>
  <c r="FQ22" i="2" s="1"/>
  <c r="FQ23" i="2" s="1"/>
  <c r="FQ24" i="2" s="1"/>
  <c r="FQ25" i="2" s="1"/>
  <c r="FQ26" i="2" s="1"/>
  <c r="FQ27" i="2" s="1"/>
  <c r="FQ28" i="2" s="1"/>
  <c r="FQ29" i="2" s="1"/>
  <c r="FQ30" i="2" s="1"/>
  <c r="FQ31" i="2" s="1"/>
  <c r="FQ32" i="2" s="1"/>
  <c r="FQ33" i="2" s="1"/>
  <c r="FQ34" i="2" s="1"/>
  <c r="FQ35" i="2" s="1"/>
  <c r="FQ36" i="2" s="1"/>
  <c r="FQ37" i="2" s="1"/>
  <c r="FQ38" i="2" s="1"/>
  <c r="FQ39" i="2" s="1"/>
  <c r="FQ40" i="2" s="1"/>
  <c r="FQ41" i="2" s="1"/>
  <c r="FQ42" i="2" s="1"/>
  <c r="FQ43" i="2" s="1"/>
  <c r="FQ44" i="2" s="1"/>
  <c r="FQ45" i="2" s="1"/>
  <c r="FQ46" i="2" s="1"/>
  <c r="FQ47" i="2" s="1"/>
  <c r="FQ48" i="2" s="1"/>
  <c r="FQ49" i="2" s="1"/>
  <c r="FQ50" i="2" s="1"/>
  <c r="FQ51" i="2" s="1"/>
  <c r="FQ52" i="2" s="1"/>
  <c r="FQ53" i="2" s="1"/>
  <c r="FQ54" i="2" s="1"/>
  <c r="FQ55" i="2" s="1"/>
  <c r="FQ56" i="2" s="1"/>
  <c r="FQ57" i="2" s="1"/>
  <c r="FQ58" i="2" s="1"/>
  <c r="FQ59" i="2" s="1"/>
  <c r="FQ60" i="2" s="1"/>
  <c r="FQ61" i="2" s="1"/>
  <c r="FQ62" i="2" s="1"/>
  <c r="FQ63" i="2" s="1"/>
  <c r="FQ64" i="2" s="1"/>
  <c r="FQ65" i="2" s="1"/>
  <c r="FQ66" i="2" s="1"/>
  <c r="FQ67" i="2" s="1"/>
  <c r="FQ68" i="2" s="1"/>
  <c r="FQ69" i="2" s="1"/>
  <c r="FQ70" i="2" s="1"/>
  <c r="FQ71" i="2" s="1"/>
  <c r="FQ72" i="2" s="1"/>
  <c r="FQ73" i="2" s="1"/>
  <c r="FQ74" i="2" s="1"/>
  <c r="FQ75" i="2" s="1"/>
  <c r="FQ76" i="2" s="1"/>
  <c r="FQ77" i="2" s="1"/>
  <c r="FQ78" i="2" s="1"/>
  <c r="FQ79" i="2" s="1"/>
  <c r="FQ80" i="2" s="1"/>
  <c r="FQ81" i="2" s="1"/>
  <c r="FQ82" i="2" s="1"/>
  <c r="FQ83" i="2" s="1"/>
  <c r="FQ84" i="2" s="1"/>
  <c r="FQ85" i="2" s="1"/>
  <c r="FQ86" i="2" s="1"/>
  <c r="FQ87" i="2" s="1"/>
  <c r="FQ88" i="2" s="1"/>
  <c r="FQ89" i="2" s="1"/>
  <c r="FQ90" i="2" s="1"/>
  <c r="FQ91" i="2" s="1"/>
  <c r="FQ92" i="2" s="1"/>
  <c r="FQ93" i="2" s="1"/>
  <c r="FQ94" i="2" s="1"/>
  <c r="FQ95" i="2" s="1"/>
  <c r="FQ96" i="2" s="1"/>
  <c r="FQ97" i="2" s="1"/>
  <c r="FQ98" i="2" s="1"/>
  <c r="FQ99" i="2" s="1"/>
  <c r="FQ100" i="2" s="1"/>
  <c r="FQ101" i="2" s="1"/>
  <c r="FQ102" i="2" s="1"/>
  <c r="FQ103" i="2" s="1"/>
  <c r="FQ104" i="2" s="1"/>
  <c r="FQ105" i="2" s="1"/>
  <c r="FQ106" i="2" s="1"/>
  <c r="FQ107" i="2" s="1"/>
  <c r="FQ108" i="2" s="1"/>
  <c r="FQ109" i="2" s="1"/>
  <c r="FQ110" i="2" s="1"/>
  <c r="FQ111" i="2" s="1"/>
  <c r="FQ112" i="2" s="1"/>
  <c r="FQ113" i="2" s="1"/>
  <c r="FQ114" i="2" s="1"/>
  <c r="FQ115" i="2" s="1"/>
  <c r="FQ116" i="2" s="1"/>
  <c r="FQ117" i="2" s="1"/>
  <c r="FQ118" i="2" s="1"/>
  <c r="FQ119" i="2" s="1"/>
  <c r="FQ120" i="2" s="1"/>
  <c r="FQ121" i="2" s="1"/>
  <c r="FQ122" i="2" s="1"/>
  <c r="FQ123" i="2" s="1"/>
  <c r="FQ124" i="2" s="1"/>
  <c r="FQ125" i="2" s="1"/>
  <c r="FQ126" i="2" s="1"/>
  <c r="FQ127" i="2" s="1"/>
  <c r="FQ128" i="2" s="1"/>
  <c r="FQ129" i="2" s="1"/>
  <c r="FQ130" i="2" s="1"/>
  <c r="FQ131" i="2" s="1"/>
  <c r="FQ132" i="2" s="1"/>
  <c r="FQ133" i="2" s="1"/>
  <c r="FQ134" i="2" s="1"/>
  <c r="FQ135" i="2" s="1"/>
  <c r="FQ136" i="2" s="1"/>
  <c r="FQ137" i="2" s="1"/>
  <c r="FQ138" i="2" s="1"/>
  <c r="FQ139" i="2" s="1"/>
  <c r="FQ140" i="2" s="1"/>
  <c r="FQ141" i="2" s="1"/>
  <c r="FQ142" i="2" s="1"/>
  <c r="FQ143" i="2" s="1"/>
  <c r="FQ144" i="2" s="1"/>
  <c r="FQ145" i="2" s="1"/>
  <c r="FQ146" i="2" s="1"/>
  <c r="FQ147" i="2" s="1"/>
  <c r="FQ148" i="2" s="1"/>
  <c r="FQ149" i="2" s="1"/>
  <c r="FQ150" i="2" s="1"/>
  <c r="FQ151" i="2" s="1"/>
  <c r="FQ152" i="2" s="1"/>
  <c r="FQ153" i="2" s="1"/>
  <c r="FQ154" i="2" s="1"/>
  <c r="FQ155" i="2" s="1"/>
  <c r="FQ156" i="2" s="1"/>
  <c r="FQ157" i="2" s="1"/>
  <c r="FQ158" i="2" s="1"/>
  <c r="FQ159" i="2" s="1"/>
  <c r="FQ160" i="2" s="1"/>
  <c r="FQ161" i="2" s="1"/>
  <c r="FQ162" i="2" s="1"/>
  <c r="FQ163" i="2" s="1"/>
  <c r="FQ164" i="2" s="1"/>
  <c r="FQ165" i="2" s="1"/>
  <c r="FQ166" i="2" s="1"/>
  <c r="FQ167" i="2" s="1"/>
  <c r="FQ168" i="2" s="1"/>
  <c r="FQ169" i="2" s="1"/>
  <c r="FQ170" i="2" s="1"/>
  <c r="FQ171" i="2" s="1"/>
  <c r="FQ172" i="2" s="1"/>
  <c r="FQ173" i="2" s="1"/>
  <c r="FQ174" i="2" s="1"/>
  <c r="FQ175" i="2" s="1"/>
  <c r="FQ176" i="2" s="1"/>
  <c r="FQ177" i="2" s="1"/>
  <c r="FQ178" i="2" s="1"/>
  <c r="FQ179" i="2" s="1"/>
  <c r="FQ180" i="2" s="1"/>
  <c r="FQ181" i="2" s="1"/>
  <c r="FQ182" i="2" s="1"/>
  <c r="FQ183" i="2" s="1"/>
  <c r="FQ184" i="2" s="1"/>
  <c r="FQ185" i="2" s="1"/>
  <c r="FQ186" i="2" s="1"/>
  <c r="FQ187" i="2" s="1"/>
  <c r="FQ188" i="2" s="1"/>
  <c r="FQ189" i="2" s="1"/>
  <c r="FQ190" i="2" s="1"/>
  <c r="FQ191" i="2" s="1"/>
  <c r="FQ192" i="2" s="1"/>
  <c r="FQ193" i="2" s="1"/>
  <c r="FQ194" i="2" s="1"/>
  <c r="FQ195" i="2" s="1"/>
  <c r="FQ196" i="2" s="1"/>
  <c r="FQ197" i="2" s="1"/>
  <c r="FQ198" i="2" s="1"/>
  <c r="FQ199" i="2" s="1"/>
  <c r="FQ200" i="2" s="1"/>
  <c r="FQ201" i="2" s="1"/>
  <c r="FQ202" i="2" s="1"/>
  <c r="FQ203" i="2" s="1"/>
  <c r="FR5" i="2"/>
  <c r="FR6" i="2" s="1"/>
  <c r="FR7" i="2" s="1"/>
  <c r="FR8" i="2" s="1"/>
  <c r="FR9" i="2" s="1"/>
  <c r="FR10" i="2" s="1"/>
  <c r="FR11" i="2" s="1"/>
  <c r="FR12" i="2" s="1"/>
  <c r="FR13" i="2" s="1"/>
  <c r="FR14" i="2" s="1"/>
  <c r="FR15" i="2" s="1"/>
  <c r="FR16" i="2" s="1"/>
  <c r="FR17" i="2" s="1"/>
  <c r="FR18" i="2" s="1"/>
  <c r="FR19" i="2" s="1"/>
  <c r="FR20" i="2" s="1"/>
  <c r="FR21" i="2" s="1"/>
  <c r="FR22" i="2" s="1"/>
  <c r="FR23" i="2" s="1"/>
  <c r="FR24" i="2" s="1"/>
  <c r="FR25" i="2" s="1"/>
  <c r="FR26" i="2" s="1"/>
  <c r="FR27" i="2" s="1"/>
  <c r="FR28" i="2" s="1"/>
  <c r="FR29" i="2" s="1"/>
  <c r="FR30" i="2" s="1"/>
  <c r="FR31" i="2" s="1"/>
  <c r="FR32" i="2" s="1"/>
  <c r="FR33" i="2" s="1"/>
  <c r="FR34" i="2" s="1"/>
  <c r="FR35" i="2" s="1"/>
  <c r="FR36" i="2" s="1"/>
  <c r="FR37" i="2" s="1"/>
  <c r="FR38" i="2" s="1"/>
  <c r="FR39" i="2" s="1"/>
  <c r="FR40" i="2" s="1"/>
  <c r="FR41" i="2" s="1"/>
  <c r="FR42" i="2" s="1"/>
  <c r="FR43" i="2" s="1"/>
  <c r="FR44" i="2" s="1"/>
  <c r="FR45" i="2" s="1"/>
  <c r="FR46" i="2" s="1"/>
  <c r="FR47" i="2" s="1"/>
  <c r="FR48" i="2" s="1"/>
  <c r="FR49" i="2" s="1"/>
  <c r="FR50" i="2" s="1"/>
  <c r="FR51" i="2" s="1"/>
  <c r="FR52" i="2" s="1"/>
  <c r="FR53" i="2" s="1"/>
  <c r="FR54" i="2" s="1"/>
  <c r="FR55" i="2" s="1"/>
  <c r="FR56" i="2" s="1"/>
  <c r="FR57" i="2" s="1"/>
  <c r="FR58" i="2" s="1"/>
  <c r="FR59" i="2" s="1"/>
  <c r="FR60" i="2" s="1"/>
  <c r="FR61" i="2" s="1"/>
  <c r="FR62" i="2" s="1"/>
  <c r="FR63" i="2" s="1"/>
  <c r="FR64" i="2" s="1"/>
  <c r="FR65" i="2" s="1"/>
  <c r="FR66" i="2" s="1"/>
  <c r="FR67" i="2" s="1"/>
  <c r="FR68" i="2" s="1"/>
  <c r="FR69" i="2" s="1"/>
  <c r="FR70" i="2" s="1"/>
  <c r="FR71" i="2" s="1"/>
  <c r="FR72" i="2" s="1"/>
  <c r="FR73" i="2" s="1"/>
  <c r="FR74" i="2" s="1"/>
  <c r="FR75" i="2" s="1"/>
  <c r="FR76" i="2" s="1"/>
  <c r="FR77" i="2" s="1"/>
  <c r="FR78" i="2" s="1"/>
  <c r="FR79" i="2" s="1"/>
  <c r="FR80" i="2" s="1"/>
  <c r="FR81" i="2" s="1"/>
  <c r="FR82" i="2" s="1"/>
  <c r="FR83" i="2" s="1"/>
  <c r="FR84" i="2" s="1"/>
  <c r="FR85" i="2" s="1"/>
  <c r="FR86" i="2" s="1"/>
  <c r="FR87" i="2" s="1"/>
  <c r="FR88" i="2" s="1"/>
  <c r="FR89" i="2" s="1"/>
  <c r="FR90" i="2" s="1"/>
  <c r="FR91" i="2" s="1"/>
  <c r="FR92" i="2" s="1"/>
  <c r="FR93" i="2" s="1"/>
  <c r="FR94" i="2" s="1"/>
  <c r="FR95" i="2" s="1"/>
  <c r="FR96" i="2" s="1"/>
  <c r="FR97" i="2" s="1"/>
  <c r="FR98" i="2" s="1"/>
  <c r="FR99" i="2" s="1"/>
  <c r="FR100" i="2" s="1"/>
  <c r="FR101" i="2" s="1"/>
  <c r="FR102" i="2" s="1"/>
  <c r="FR103" i="2" s="1"/>
  <c r="FR104" i="2" s="1"/>
  <c r="FR105" i="2" s="1"/>
  <c r="FR106" i="2" s="1"/>
  <c r="FR107" i="2" s="1"/>
  <c r="FR108" i="2" s="1"/>
  <c r="FR109" i="2" s="1"/>
  <c r="FR110" i="2" s="1"/>
  <c r="FR111" i="2" s="1"/>
  <c r="FR112" i="2" s="1"/>
  <c r="FR113" i="2" s="1"/>
  <c r="FR114" i="2" s="1"/>
  <c r="FR115" i="2" s="1"/>
  <c r="FR116" i="2" s="1"/>
  <c r="FR117" i="2" s="1"/>
  <c r="FR118" i="2" s="1"/>
  <c r="FR119" i="2" s="1"/>
  <c r="FR120" i="2" s="1"/>
  <c r="FR121" i="2" s="1"/>
  <c r="FR122" i="2" s="1"/>
  <c r="FR123" i="2" s="1"/>
  <c r="FR124" i="2" s="1"/>
  <c r="FR125" i="2" s="1"/>
  <c r="FR126" i="2" s="1"/>
  <c r="FR127" i="2" s="1"/>
  <c r="FR128" i="2" s="1"/>
  <c r="FR129" i="2" s="1"/>
  <c r="FR130" i="2" s="1"/>
  <c r="FR131" i="2" s="1"/>
  <c r="FR132" i="2" s="1"/>
  <c r="FR133" i="2" s="1"/>
  <c r="FR134" i="2" s="1"/>
  <c r="FR135" i="2" s="1"/>
  <c r="FR136" i="2" s="1"/>
  <c r="FR137" i="2" s="1"/>
  <c r="FR138" i="2" s="1"/>
  <c r="FR139" i="2" s="1"/>
  <c r="FR140" i="2" s="1"/>
  <c r="FR141" i="2" s="1"/>
  <c r="FR142" i="2" s="1"/>
  <c r="FR143" i="2" s="1"/>
  <c r="FR144" i="2" s="1"/>
  <c r="FR145" i="2" s="1"/>
  <c r="FR146" i="2" s="1"/>
  <c r="FR147" i="2" s="1"/>
  <c r="FR148" i="2" s="1"/>
  <c r="FR149" i="2" s="1"/>
  <c r="FR150" i="2" s="1"/>
  <c r="FR151" i="2" s="1"/>
  <c r="FR152" i="2" s="1"/>
  <c r="FR153" i="2" s="1"/>
  <c r="FR154" i="2" s="1"/>
  <c r="FR155" i="2" s="1"/>
  <c r="FR156" i="2" s="1"/>
  <c r="FR157" i="2" s="1"/>
  <c r="FR158" i="2" s="1"/>
  <c r="FR159" i="2" s="1"/>
  <c r="FR160" i="2" s="1"/>
  <c r="FR161" i="2" s="1"/>
  <c r="FR162" i="2" s="1"/>
  <c r="FR163" i="2" s="1"/>
  <c r="FR164" i="2" s="1"/>
  <c r="FR165" i="2" s="1"/>
  <c r="FR166" i="2" s="1"/>
  <c r="FR167" i="2" s="1"/>
  <c r="FR168" i="2" s="1"/>
  <c r="FR169" i="2" s="1"/>
  <c r="FR170" i="2" s="1"/>
  <c r="FR171" i="2" s="1"/>
  <c r="FR172" i="2" s="1"/>
  <c r="FR173" i="2" s="1"/>
  <c r="FR174" i="2" s="1"/>
  <c r="FR175" i="2" s="1"/>
  <c r="FR176" i="2" s="1"/>
  <c r="FR177" i="2" s="1"/>
  <c r="FR178" i="2" s="1"/>
  <c r="FR179" i="2" s="1"/>
  <c r="FR180" i="2" s="1"/>
  <c r="FR181" i="2" s="1"/>
  <c r="FR182" i="2" s="1"/>
  <c r="FR183" i="2" s="1"/>
  <c r="FR184" i="2" s="1"/>
  <c r="FR185" i="2" s="1"/>
  <c r="FR186" i="2" s="1"/>
  <c r="FR187" i="2" s="1"/>
  <c r="FR188" i="2" s="1"/>
  <c r="FR189" i="2" s="1"/>
  <c r="FR190" i="2" s="1"/>
  <c r="FR191" i="2" s="1"/>
  <c r="FR192" i="2" s="1"/>
  <c r="FR193" i="2" s="1"/>
  <c r="FR194" i="2" s="1"/>
  <c r="FR195" i="2" s="1"/>
  <c r="FR196" i="2" s="1"/>
  <c r="FR197" i="2" s="1"/>
  <c r="FR198" i="2" s="1"/>
  <c r="FR199" i="2" s="1"/>
  <c r="FR200" i="2" s="1"/>
  <c r="FR201" i="2" s="1"/>
  <c r="FR202" i="2" s="1"/>
  <c r="FR203" i="2" s="1"/>
  <c r="FS5" i="2"/>
  <c r="FS6" i="2"/>
  <c r="FS7" i="2" s="1"/>
  <c r="FS8" i="2" s="1"/>
  <c r="FS9" i="2" s="1"/>
  <c r="FS10" i="2" s="1"/>
  <c r="FS11" i="2" s="1"/>
  <c r="FS12" i="2" s="1"/>
  <c r="FS13" i="2" s="1"/>
  <c r="FS14" i="2" s="1"/>
  <c r="FS15" i="2" s="1"/>
  <c r="FS16" i="2" s="1"/>
  <c r="FS17" i="2" s="1"/>
  <c r="FS18" i="2" s="1"/>
  <c r="FS19" i="2" s="1"/>
  <c r="FS20" i="2" s="1"/>
  <c r="FS21" i="2" s="1"/>
  <c r="FS22" i="2" s="1"/>
  <c r="FS23" i="2" s="1"/>
  <c r="FS24" i="2" s="1"/>
  <c r="FS25" i="2" s="1"/>
  <c r="FS26" i="2" s="1"/>
  <c r="FS27" i="2" s="1"/>
  <c r="FS28" i="2" s="1"/>
  <c r="FS29" i="2" s="1"/>
  <c r="FS30" i="2" s="1"/>
  <c r="FS31" i="2" s="1"/>
  <c r="FS32" i="2" s="1"/>
  <c r="FS33" i="2" s="1"/>
  <c r="FS34" i="2" s="1"/>
  <c r="FS35" i="2" s="1"/>
  <c r="FS36" i="2" s="1"/>
  <c r="FS37" i="2" s="1"/>
  <c r="FS38" i="2" s="1"/>
  <c r="FS39" i="2" s="1"/>
  <c r="FS40" i="2" s="1"/>
  <c r="FS41" i="2" s="1"/>
  <c r="FS42" i="2" s="1"/>
  <c r="FS43" i="2" s="1"/>
  <c r="FS44" i="2" s="1"/>
  <c r="FS45" i="2" s="1"/>
  <c r="FS46" i="2" s="1"/>
  <c r="FS47" i="2" s="1"/>
  <c r="FS48" i="2" s="1"/>
  <c r="FS49" i="2" s="1"/>
  <c r="FS50" i="2" s="1"/>
  <c r="FS51" i="2" s="1"/>
  <c r="FS52" i="2" s="1"/>
  <c r="FS53" i="2" s="1"/>
  <c r="FS54" i="2" s="1"/>
  <c r="FS55" i="2" s="1"/>
  <c r="FS56" i="2" s="1"/>
  <c r="FS57" i="2" s="1"/>
  <c r="FS58" i="2" s="1"/>
  <c r="FS59" i="2" s="1"/>
  <c r="FS60" i="2" s="1"/>
  <c r="FS61" i="2" s="1"/>
  <c r="FS62" i="2" s="1"/>
  <c r="FS63" i="2" s="1"/>
  <c r="FS64" i="2" s="1"/>
  <c r="FS65" i="2" s="1"/>
  <c r="FS66" i="2" s="1"/>
  <c r="FS67" i="2" s="1"/>
  <c r="FS68" i="2" s="1"/>
  <c r="FS69" i="2" s="1"/>
  <c r="FS70" i="2" s="1"/>
  <c r="FS71" i="2" s="1"/>
  <c r="FS72" i="2" s="1"/>
  <c r="FS73" i="2" s="1"/>
  <c r="FS74" i="2" s="1"/>
  <c r="FS75" i="2" s="1"/>
  <c r="FS76" i="2" s="1"/>
  <c r="FS77" i="2" s="1"/>
  <c r="FS78" i="2" s="1"/>
  <c r="FS79" i="2" s="1"/>
  <c r="FS80" i="2" s="1"/>
  <c r="FS81" i="2" s="1"/>
  <c r="FS82" i="2" s="1"/>
  <c r="FS83" i="2" s="1"/>
  <c r="FS84" i="2" s="1"/>
  <c r="FS85" i="2" s="1"/>
  <c r="FS86" i="2" s="1"/>
  <c r="FS87" i="2" s="1"/>
  <c r="FS88" i="2" s="1"/>
  <c r="FS89" i="2" s="1"/>
  <c r="FS90" i="2" s="1"/>
  <c r="FS91" i="2" s="1"/>
  <c r="FS92" i="2" s="1"/>
  <c r="FS93" i="2" s="1"/>
  <c r="FS94" i="2" s="1"/>
  <c r="FS95" i="2" s="1"/>
  <c r="FS96" i="2" s="1"/>
  <c r="FS97" i="2" s="1"/>
  <c r="FS98" i="2" s="1"/>
  <c r="FS99" i="2" s="1"/>
  <c r="FS100" i="2" s="1"/>
  <c r="FS101" i="2" s="1"/>
  <c r="FS102" i="2" s="1"/>
  <c r="FS103" i="2" s="1"/>
  <c r="FS104" i="2" s="1"/>
  <c r="FS105" i="2" s="1"/>
  <c r="FS106" i="2" s="1"/>
  <c r="FS107" i="2" s="1"/>
  <c r="FS108" i="2" s="1"/>
  <c r="FS109" i="2" s="1"/>
  <c r="FS110" i="2" s="1"/>
  <c r="FS111" i="2" s="1"/>
  <c r="FS112" i="2" s="1"/>
  <c r="FS113" i="2" s="1"/>
  <c r="FS114" i="2" s="1"/>
  <c r="FS115" i="2" s="1"/>
  <c r="FS116" i="2" s="1"/>
  <c r="FS117" i="2" s="1"/>
  <c r="FS118" i="2" s="1"/>
  <c r="FS119" i="2" s="1"/>
  <c r="FS120" i="2" s="1"/>
  <c r="FS121" i="2" s="1"/>
  <c r="FS122" i="2" s="1"/>
  <c r="FS123" i="2" s="1"/>
  <c r="FS124" i="2" s="1"/>
  <c r="FS125" i="2" s="1"/>
  <c r="FS126" i="2" s="1"/>
  <c r="FS127" i="2" s="1"/>
  <c r="FS128" i="2" s="1"/>
  <c r="FS129" i="2" s="1"/>
  <c r="FS130" i="2" s="1"/>
  <c r="FS131" i="2" s="1"/>
  <c r="FS132" i="2" s="1"/>
  <c r="FS133" i="2" s="1"/>
  <c r="FS134" i="2" s="1"/>
  <c r="FS135" i="2" s="1"/>
  <c r="FS136" i="2" s="1"/>
  <c r="FS137" i="2" s="1"/>
  <c r="FS138" i="2" s="1"/>
  <c r="FS139" i="2" s="1"/>
  <c r="FS140" i="2" s="1"/>
  <c r="FS141" i="2" s="1"/>
  <c r="FS142" i="2" s="1"/>
  <c r="FS143" i="2" s="1"/>
  <c r="FS144" i="2" s="1"/>
  <c r="FS145" i="2" s="1"/>
  <c r="FS146" i="2" s="1"/>
  <c r="FS147" i="2" s="1"/>
  <c r="FS148" i="2" s="1"/>
  <c r="FS149" i="2" s="1"/>
  <c r="FS150" i="2" s="1"/>
  <c r="FS151" i="2" s="1"/>
  <c r="FS152" i="2" s="1"/>
  <c r="FS153" i="2" s="1"/>
  <c r="FS154" i="2" s="1"/>
  <c r="FS155" i="2" s="1"/>
  <c r="FS156" i="2" s="1"/>
  <c r="FS157" i="2" s="1"/>
  <c r="FS158" i="2" s="1"/>
  <c r="FS159" i="2" s="1"/>
  <c r="FS160" i="2" s="1"/>
  <c r="FS161" i="2" s="1"/>
  <c r="FS162" i="2" s="1"/>
  <c r="FS163" i="2" s="1"/>
  <c r="FS164" i="2" s="1"/>
  <c r="FS165" i="2" s="1"/>
  <c r="FS166" i="2" s="1"/>
  <c r="FS167" i="2" s="1"/>
  <c r="FS168" i="2" s="1"/>
  <c r="FS169" i="2" s="1"/>
  <c r="FS170" i="2" s="1"/>
  <c r="FS171" i="2" s="1"/>
  <c r="FS172" i="2" s="1"/>
  <c r="FS173" i="2" s="1"/>
  <c r="FS174" i="2" s="1"/>
  <c r="FS175" i="2" s="1"/>
  <c r="FS176" i="2" s="1"/>
  <c r="FS177" i="2" s="1"/>
  <c r="FS178" i="2" s="1"/>
  <c r="FS179" i="2" s="1"/>
  <c r="FS180" i="2" s="1"/>
  <c r="FS181" i="2" s="1"/>
  <c r="FS182" i="2" s="1"/>
  <c r="FS183" i="2" s="1"/>
  <c r="FS184" i="2" s="1"/>
  <c r="FS185" i="2" s="1"/>
  <c r="FS186" i="2" s="1"/>
  <c r="FS187" i="2" s="1"/>
  <c r="FS188" i="2" s="1"/>
  <c r="FS189" i="2" s="1"/>
  <c r="FS190" i="2" s="1"/>
  <c r="FS191" i="2" s="1"/>
  <c r="FS192" i="2" s="1"/>
  <c r="FS193" i="2" s="1"/>
  <c r="FS194" i="2" s="1"/>
  <c r="FS195" i="2" s="1"/>
  <c r="FS196" i="2" s="1"/>
  <c r="FS197" i="2" s="1"/>
  <c r="FS198" i="2" s="1"/>
  <c r="FS199" i="2" s="1"/>
  <c r="FS200" i="2" s="1"/>
  <c r="FS201" i="2" s="1"/>
  <c r="FS202" i="2" s="1"/>
  <c r="FS203" i="2" s="1"/>
  <c r="FS4" i="2"/>
  <c r="FR4" i="2"/>
  <c r="FQ4" i="2"/>
  <c r="EV5" i="2"/>
  <c r="EV6" i="2" s="1"/>
  <c r="EV7" i="2" s="1"/>
  <c r="EV8" i="2" s="1"/>
  <c r="EV9" i="2" s="1"/>
  <c r="EV10" i="2" s="1"/>
  <c r="EV11" i="2" s="1"/>
  <c r="EV12" i="2" s="1"/>
  <c r="EV13" i="2" s="1"/>
  <c r="EV14" i="2" s="1"/>
  <c r="EV15" i="2" s="1"/>
  <c r="EV16" i="2" s="1"/>
  <c r="EV17" i="2" s="1"/>
  <c r="EV18" i="2" s="1"/>
  <c r="EV19" i="2" s="1"/>
  <c r="EV20" i="2" s="1"/>
  <c r="EV21" i="2" s="1"/>
  <c r="EV22" i="2" s="1"/>
  <c r="EV23" i="2" s="1"/>
  <c r="EV24" i="2" s="1"/>
  <c r="EV25" i="2" s="1"/>
  <c r="EV26" i="2" s="1"/>
  <c r="EV27" i="2" s="1"/>
  <c r="EV28" i="2" s="1"/>
  <c r="EV29" i="2" s="1"/>
  <c r="EV30" i="2" s="1"/>
  <c r="EV31" i="2" s="1"/>
  <c r="EV32" i="2" s="1"/>
  <c r="EV33" i="2" s="1"/>
  <c r="EV34" i="2" s="1"/>
  <c r="EV35" i="2" s="1"/>
  <c r="EV36" i="2" s="1"/>
  <c r="EV37" i="2" s="1"/>
  <c r="EV38" i="2" s="1"/>
  <c r="EV39" i="2" s="1"/>
  <c r="EV40" i="2" s="1"/>
  <c r="EV41" i="2" s="1"/>
  <c r="EV42" i="2" s="1"/>
  <c r="EV43" i="2" s="1"/>
  <c r="EV44" i="2" s="1"/>
  <c r="EV45" i="2" s="1"/>
  <c r="EV46" i="2" s="1"/>
  <c r="EV47" i="2" s="1"/>
  <c r="EV48" i="2" s="1"/>
  <c r="EV49" i="2" s="1"/>
  <c r="EV50" i="2" s="1"/>
  <c r="EV51" i="2" s="1"/>
  <c r="EV52" i="2" s="1"/>
  <c r="EV53" i="2" s="1"/>
  <c r="EV54" i="2" s="1"/>
  <c r="EV55" i="2" s="1"/>
  <c r="EV56" i="2" s="1"/>
  <c r="EV57" i="2" s="1"/>
  <c r="EV58" i="2" s="1"/>
  <c r="EV59" i="2" s="1"/>
  <c r="EV60" i="2" s="1"/>
  <c r="EV61" i="2" s="1"/>
  <c r="EV62" i="2" s="1"/>
  <c r="EV63" i="2" s="1"/>
  <c r="EV64" i="2" s="1"/>
  <c r="EV65" i="2" s="1"/>
  <c r="EV66" i="2" s="1"/>
  <c r="EV67" i="2" s="1"/>
  <c r="EV68" i="2" s="1"/>
  <c r="EV69" i="2" s="1"/>
  <c r="EV70" i="2" s="1"/>
  <c r="EV71" i="2" s="1"/>
  <c r="EV72" i="2" s="1"/>
  <c r="EV73" i="2" s="1"/>
  <c r="EV74" i="2" s="1"/>
  <c r="EV75" i="2" s="1"/>
  <c r="EV76" i="2" s="1"/>
  <c r="EV77" i="2" s="1"/>
  <c r="EV78" i="2" s="1"/>
  <c r="EV79" i="2" s="1"/>
  <c r="EV80" i="2" s="1"/>
  <c r="EV81" i="2" s="1"/>
  <c r="EV82" i="2" s="1"/>
  <c r="EV83" i="2" s="1"/>
  <c r="EV84" i="2" s="1"/>
  <c r="EV85" i="2" s="1"/>
  <c r="EV86" i="2" s="1"/>
  <c r="EV87" i="2" s="1"/>
  <c r="EV88" i="2" s="1"/>
  <c r="EV89" i="2" s="1"/>
  <c r="EV90" i="2" s="1"/>
  <c r="EV91" i="2" s="1"/>
  <c r="EV92" i="2" s="1"/>
  <c r="EV93" i="2" s="1"/>
  <c r="EV94" i="2" s="1"/>
  <c r="EV95" i="2" s="1"/>
  <c r="EV96" i="2" s="1"/>
  <c r="EV97" i="2" s="1"/>
  <c r="EV98" i="2" s="1"/>
  <c r="EV99" i="2" s="1"/>
  <c r="EV100" i="2" s="1"/>
  <c r="EV101" i="2" s="1"/>
  <c r="EV102" i="2" s="1"/>
  <c r="EV103" i="2" s="1"/>
  <c r="EV104" i="2" s="1"/>
  <c r="EV105" i="2" s="1"/>
  <c r="EV106" i="2" s="1"/>
  <c r="EV107" i="2" s="1"/>
  <c r="EV108" i="2" s="1"/>
  <c r="EV109" i="2" s="1"/>
  <c r="EV110" i="2" s="1"/>
  <c r="EV111" i="2" s="1"/>
  <c r="EV112" i="2" s="1"/>
  <c r="EV113" i="2" s="1"/>
  <c r="EV114" i="2" s="1"/>
  <c r="EV115" i="2" s="1"/>
  <c r="EV116" i="2" s="1"/>
  <c r="EV117" i="2" s="1"/>
  <c r="EV118" i="2" s="1"/>
  <c r="EV119" i="2" s="1"/>
  <c r="EV120" i="2" s="1"/>
  <c r="EV121" i="2" s="1"/>
  <c r="EV122" i="2" s="1"/>
  <c r="EV123" i="2" s="1"/>
  <c r="EV124" i="2" s="1"/>
  <c r="EV125" i="2" s="1"/>
  <c r="EV126" i="2" s="1"/>
  <c r="EV127" i="2" s="1"/>
  <c r="EV128" i="2" s="1"/>
  <c r="EV129" i="2" s="1"/>
  <c r="EV130" i="2" s="1"/>
  <c r="EV131" i="2" s="1"/>
  <c r="EV132" i="2" s="1"/>
  <c r="EV133" i="2" s="1"/>
  <c r="EV134" i="2" s="1"/>
  <c r="EV135" i="2" s="1"/>
  <c r="EV136" i="2" s="1"/>
  <c r="EV137" i="2" s="1"/>
  <c r="EV138" i="2" s="1"/>
  <c r="EV139" i="2" s="1"/>
  <c r="EV140" i="2" s="1"/>
  <c r="EV141" i="2" s="1"/>
  <c r="EV142" i="2" s="1"/>
  <c r="EV143" i="2" s="1"/>
  <c r="EV144" i="2" s="1"/>
  <c r="EV145" i="2" s="1"/>
  <c r="EV146" i="2" s="1"/>
  <c r="EV147" i="2" s="1"/>
  <c r="EV148" i="2" s="1"/>
  <c r="EV149" i="2" s="1"/>
  <c r="EV150" i="2" s="1"/>
  <c r="EV151" i="2" s="1"/>
  <c r="EV152" i="2" s="1"/>
  <c r="EV153" i="2" s="1"/>
  <c r="EV154" i="2" s="1"/>
  <c r="EV155" i="2" s="1"/>
  <c r="EV156" i="2" s="1"/>
  <c r="EV157" i="2" s="1"/>
  <c r="EV158" i="2" s="1"/>
  <c r="EV159" i="2" s="1"/>
  <c r="EV160" i="2" s="1"/>
  <c r="EV161" i="2" s="1"/>
  <c r="EV162" i="2" s="1"/>
  <c r="EV163" i="2" s="1"/>
  <c r="EV164" i="2" s="1"/>
  <c r="EV165" i="2" s="1"/>
  <c r="EV166" i="2" s="1"/>
  <c r="EV167" i="2" s="1"/>
  <c r="EV168" i="2" s="1"/>
  <c r="EV169" i="2" s="1"/>
  <c r="EV170" i="2" s="1"/>
  <c r="EV171" i="2" s="1"/>
  <c r="EV172" i="2" s="1"/>
  <c r="EV173" i="2" s="1"/>
  <c r="EV174" i="2" s="1"/>
  <c r="EV175" i="2" s="1"/>
  <c r="EV176" i="2" s="1"/>
  <c r="EV177" i="2" s="1"/>
  <c r="EV178" i="2" s="1"/>
  <c r="EV179" i="2" s="1"/>
  <c r="EV180" i="2" s="1"/>
  <c r="EV181" i="2" s="1"/>
  <c r="EV182" i="2" s="1"/>
  <c r="EV183" i="2" s="1"/>
  <c r="EV184" i="2" s="1"/>
  <c r="EV185" i="2" s="1"/>
  <c r="EV186" i="2" s="1"/>
  <c r="EV187" i="2" s="1"/>
  <c r="EV188" i="2" s="1"/>
  <c r="EV189" i="2" s="1"/>
  <c r="EV190" i="2" s="1"/>
  <c r="EV191" i="2" s="1"/>
  <c r="EV192" i="2" s="1"/>
  <c r="EV193" i="2" s="1"/>
  <c r="EV194" i="2" s="1"/>
  <c r="EV195" i="2" s="1"/>
  <c r="EV196" i="2" s="1"/>
  <c r="EV197" i="2" s="1"/>
  <c r="EV198" i="2" s="1"/>
  <c r="EV199" i="2" s="1"/>
  <c r="EV200" i="2" s="1"/>
  <c r="EV201" i="2" s="1"/>
  <c r="EV202" i="2" s="1"/>
  <c r="EV203" i="2" s="1"/>
  <c r="EW5" i="2"/>
  <c r="EW6" i="2" s="1"/>
  <c r="EW7" i="2" s="1"/>
  <c r="EW8" i="2" s="1"/>
  <c r="EW9" i="2" s="1"/>
  <c r="EW10" i="2" s="1"/>
  <c r="EW11" i="2" s="1"/>
  <c r="EX5" i="2"/>
  <c r="EX6" i="2"/>
  <c r="EX7" i="2" s="1"/>
  <c r="EX8" i="2" s="1"/>
  <c r="EX9" i="2" s="1"/>
  <c r="EX10" i="2" s="1"/>
  <c r="EX11" i="2" s="1"/>
  <c r="EX12" i="2" s="1"/>
  <c r="EX13" i="2" s="1"/>
  <c r="EX14" i="2" s="1"/>
  <c r="EX15" i="2" s="1"/>
  <c r="EX16" i="2" s="1"/>
  <c r="EX17" i="2" s="1"/>
  <c r="EX18" i="2" s="1"/>
  <c r="EX19" i="2" s="1"/>
  <c r="EX20" i="2" s="1"/>
  <c r="EX21" i="2" s="1"/>
  <c r="EX22" i="2" s="1"/>
  <c r="EX23" i="2" s="1"/>
  <c r="EX24" i="2" s="1"/>
  <c r="EX25" i="2" s="1"/>
  <c r="EX26" i="2" s="1"/>
  <c r="EX27" i="2" s="1"/>
  <c r="EX28" i="2" s="1"/>
  <c r="EX29" i="2" s="1"/>
  <c r="EX30" i="2" s="1"/>
  <c r="EX31" i="2" s="1"/>
  <c r="EX32" i="2" s="1"/>
  <c r="EX33" i="2" s="1"/>
  <c r="EX34" i="2" s="1"/>
  <c r="EX35" i="2" s="1"/>
  <c r="EX36" i="2" s="1"/>
  <c r="EX37" i="2" s="1"/>
  <c r="EX38" i="2" s="1"/>
  <c r="EX39" i="2" s="1"/>
  <c r="EX40" i="2" s="1"/>
  <c r="EX41" i="2" s="1"/>
  <c r="EX42" i="2" s="1"/>
  <c r="EX43" i="2" s="1"/>
  <c r="EX44" i="2" s="1"/>
  <c r="EX45" i="2" s="1"/>
  <c r="EX46" i="2" s="1"/>
  <c r="EX47" i="2" s="1"/>
  <c r="EX48" i="2" s="1"/>
  <c r="EX49" i="2" s="1"/>
  <c r="EX50" i="2" s="1"/>
  <c r="EX51" i="2" s="1"/>
  <c r="EX52" i="2" s="1"/>
  <c r="EX53" i="2" s="1"/>
  <c r="EX54" i="2" s="1"/>
  <c r="EX55" i="2" s="1"/>
  <c r="EX56" i="2" s="1"/>
  <c r="EX57" i="2" s="1"/>
  <c r="EX58" i="2" s="1"/>
  <c r="EX59" i="2" s="1"/>
  <c r="EX60" i="2" s="1"/>
  <c r="EX61" i="2" s="1"/>
  <c r="EX62" i="2" s="1"/>
  <c r="EX63" i="2" s="1"/>
  <c r="EX64" i="2" s="1"/>
  <c r="EX65" i="2" s="1"/>
  <c r="EX66" i="2" s="1"/>
  <c r="EX67" i="2" s="1"/>
  <c r="EX68" i="2" s="1"/>
  <c r="EX69" i="2" s="1"/>
  <c r="EX70" i="2" s="1"/>
  <c r="EX71" i="2" s="1"/>
  <c r="EX72" i="2" s="1"/>
  <c r="EX73" i="2" s="1"/>
  <c r="EX74" i="2" s="1"/>
  <c r="EX75" i="2" s="1"/>
  <c r="EX76" i="2" s="1"/>
  <c r="EX77" i="2" s="1"/>
  <c r="EX78" i="2" s="1"/>
  <c r="EX79" i="2" s="1"/>
  <c r="EX80" i="2" s="1"/>
  <c r="EX81" i="2" s="1"/>
  <c r="EX82" i="2" s="1"/>
  <c r="EX83" i="2" s="1"/>
  <c r="EX84" i="2" s="1"/>
  <c r="EX85" i="2" s="1"/>
  <c r="EX86" i="2" s="1"/>
  <c r="EX87" i="2" s="1"/>
  <c r="EX88" i="2" s="1"/>
  <c r="EX89" i="2" s="1"/>
  <c r="EX90" i="2" s="1"/>
  <c r="EX91" i="2" s="1"/>
  <c r="EX92" i="2" s="1"/>
  <c r="EX93" i="2" s="1"/>
  <c r="EX94" i="2" s="1"/>
  <c r="EX95" i="2" s="1"/>
  <c r="EX96" i="2" s="1"/>
  <c r="EX97" i="2" s="1"/>
  <c r="EX98" i="2" s="1"/>
  <c r="EX99" i="2" s="1"/>
  <c r="EX100" i="2" s="1"/>
  <c r="EX101" i="2" s="1"/>
  <c r="EX102" i="2" s="1"/>
  <c r="EX103" i="2" s="1"/>
  <c r="EX104" i="2" s="1"/>
  <c r="EX105" i="2" s="1"/>
  <c r="EX106" i="2" s="1"/>
  <c r="EX107" i="2" s="1"/>
  <c r="EX108" i="2" s="1"/>
  <c r="EX109" i="2" s="1"/>
  <c r="EX110" i="2" s="1"/>
  <c r="EX111" i="2" s="1"/>
  <c r="EX112" i="2" s="1"/>
  <c r="EX113" i="2" s="1"/>
  <c r="EX114" i="2" s="1"/>
  <c r="EX115" i="2" s="1"/>
  <c r="EX116" i="2" s="1"/>
  <c r="EX117" i="2" s="1"/>
  <c r="EX118" i="2" s="1"/>
  <c r="EX119" i="2" s="1"/>
  <c r="EX120" i="2" s="1"/>
  <c r="EX121" i="2" s="1"/>
  <c r="EX122" i="2" s="1"/>
  <c r="EX123" i="2" s="1"/>
  <c r="EX124" i="2" s="1"/>
  <c r="EX125" i="2" s="1"/>
  <c r="EX126" i="2" s="1"/>
  <c r="EX127" i="2" s="1"/>
  <c r="EX128" i="2" s="1"/>
  <c r="EX129" i="2" s="1"/>
  <c r="EX130" i="2" s="1"/>
  <c r="EX131" i="2" s="1"/>
  <c r="EX132" i="2" s="1"/>
  <c r="EX133" i="2" s="1"/>
  <c r="EX134" i="2" s="1"/>
  <c r="EX135" i="2" s="1"/>
  <c r="EX136" i="2" s="1"/>
  <c r="EX137" i="2" s="1"/>
  <c r="EX138" i="2" s="1"/>
  <c r="EX139" i="2" s="1"/>
  <c r="EX140" i="2" s="1"/>
  <c r="EX141" i="2" s="1"/>
  <c r="EX142" i="2" s="1"/>
  <c r="EX143" i="2" s="1"/>
  <c r="EX144" i="2" s="1"/>
  <c r="EX145" i="2" s="1"/>
  <c r="EX146" i="2" s="1"/>
  <c r="EX147" i="2" s="1"/>
  <c r="EX148" i="2" s="1"/>
  <c r="EX149" i="2" s="1"/>
  <c r="EX150" i="2" s="1"/>
  <c r="EX151" i="2" s="1"/>
  <c r="EX152" i="2" s="1"/>
  <c r="EX153" i="2" s="1"/>
  <c r="EX154" i="2" s="1"/>
  <c r="EX155" i="2" s="1"/>
  <c r="EX156" i="2" s="1"/>
  <c r="EX157" i="2" s="1"/>
  <c r="EX158" i="2" s="1"/>
  <c r="EX159" i="2" s="1"/>
  <c r="EX160" i="2" s="1"/>
  <c r="EX161" i="2" s="1"/>
  <c r="EX162" i="2" s="1"/>
  <c r="EX163" i="2" s="1"/>
  <c r="EX164" i="2" s="1"/>
  <c r="EX165" i="2" s="1"/>
  <c r="EX166" i="2" s="1"/>
  <c r="EX167" i="2" s="1"/>
  <c r="EX168" i="2" s="1"/>
  <c r="EX169" i="2" s="1"/>
  <c r="EX170" i="2" s="1"/>
  <c r="EX171" i="2" s="1"/>
  <c r="EX172" i="2" s="1"/>
  <c r="EX173" i="2" s="1"/>
  <c r="EX174" i="2" s="1"/>
  <c r="EX175" i="2" s="1"/>
  <c r="EX176" i="2" s="1"/>
  <c r="EX177" i="2" s="1"/>
  <c r="EX178" i="2" s="1"/>
  <c r="EX179" i="2" s="1"/>
  <c r="EX180" i="2" s="1"/>
  <c r="EX181" i="2" s="1"/>
  <c r="EX182" i="2" s="1"/>
  <c r="EX183" i="2" s="1"/>
  <c r="EX184" i="2" s="1"/>
  <c r="EX185" i="2" s="1"/>
  <c r="EX186" i="2" s="1"/>
  <c r="EX187" i="2" s="1"/>
  <c r="EX188" i="2" s="1"/>
  <c r="EX189" i="2" s="1"/>
  <c r="EX190" i="2" s="1"/>
  <c r="EX191" i="2" s="1"/>
  <c r="EX192" i="2" s="1"/>
  <c r="EX193" i="2" s="1"/>
  <c r="EX194" i="2" s="1"/>
  <c r="EX195" i="2" s="1"/>
  <c r="EX196" i="2" s="1"/>
  <c r="EX197" i="2" s="1"/>
  <c r="EX198" i="2" s="1"/>
  <c r="EX199" i="2" s="1"/>
  <c r="EX200" i="2" s="1"/>
  <c r="EX201" i="2" s="1"/>
  <c r="EX202" i="2" s="1"/>
  <c r="EX203" i="2" s="1"/>
  <c r="EW12" i="2"/>
  <c r="EW13" i="2" s="1"/>
  <c r="EW14" i="2" s="1"/>
  <c r="EW15" i="2" s="1"/>
  <c r="EW16" i="2" s="1"/>
  <c r="EW17" i="2" s="1"/>
  <c r="EW18" i="2" s="1"/>
  <c r="EW19" i="2" s="1"/>
  <c r="EW20" i="2" s="1"/>
  <c r="EW21" i="2" s="1"/>
  <c r="EW22" i="2" s="1"/>
  <c r="EW23" i="2" s="1"/>
  <c r="EW24" i="2" s="1"/>
  <c r="EW25" i="2" s="1"/>
  <c r="EW26" i="2" s="1"/>
  <c r="EW27" i="2" s="1"/>
  <c r="EW28" i="2" s="1"/>
  <c r="EW29" i="2" s="1"/>
  <c r="EW30" i="2" s="1"/>
  <c r="EW31" i="2" s="1"/>
  <c r="EW32" i="2" s="1"/>
  <c r="EW33" i="2" s="1"/>
  <c r="EW34" i="2" s="1"/>
  <c r="EW35" i="2" s="1"/>
  <c r="EW36" i="2" s="1"/>
  <c r="EW37" i="2" s="1"/>
  <c r="EW38" i="2" s="1"/>
  <c r="EW39" i="2" s="1"/>
  <c r="EW40" i="2" s="1"/>
  <c r="EW41" i="2" s="1"/>
  <c r="EW42" i="2" s="1"/>
  <c r="EW43" i="2" s="1"/>
  <c r="EW44" i="2" s="1"/>
  <c r="EW45" i="2" s="1"/>
  <c r="EW46" i="2" s="1"/>
  <c r="EW47" i="2" s="1"/>
  <c r="EW48" i="2" s="1"/>
  <c r="EW49" i="2" s="1"/>
  <c r="EW50" i="2" s="1"/>
  <c r="EW51" i="2" s="1"/>
  <c r="EW52" i="2" s="1"/>
  <c r="EW53" i="2" s="1"/>
  <c r="EW54" i="2" s="1"/>
  <c r="EW55" i="2" s="1"/>
  <c r="EW56" i="2" s="1"/>
  <c r="EW57" i="2" s="1"/>
  <c r="EW58" i="2" s="1"/>
  <c r="EW59" i="2" s="1"/>
  <c r="EW60" i="2" s="1"/>
  <c r="EW61" i="2" s="1"/>
  <c r="EW62" i="2" s="1"/>
  <c r="EW63" i="2" s="1"/>
  <c r="EW64" i="2" s="1"/>
  <c r="EW65" i="2" s="1"/>
  <c r="EW66" i="2" s="1"/>
  <c r="EW67" i="2" s="1"/>
  <c r="EW68" i="2" s="1"/>
  <c r="EW69" i="2" s="1"/>
  <c r="EW70" i="2" s="1"/>
  <c r="EW71" i="2" s="1"/>
  <c r="EW72" i="2" s="1"/>
  <c r="EW73" i="2" s="1"/>
  <c r="EW74" i="2" s="1"/>
  <c r="EW75" i="2" s="1"/>
  <c r="EW76" i="2" s="1"/>
  <c r="EW77" i="2" s="1"/>
  <c r="EW78" i="2" s="1"/>
  <c r="EW79" i="2" s="1"/>
  <c r="EW80" i="2" s="1"/>
  <c r="EW81" i="2" s="1"/>
  <c r="EW82" i="2" s="1"/>
  <c r="EW83" i="2" s="1"/>
  <c r="EW84" i="2" s="1"/>
  <c r="EW85" i="2" s="1"/>
  <c r="EW86" i="2" s="1"/>
  <c r="EW87" i="2" s="1"/>
  <c r="EW88" i="2" s="1"/>
  <c r="EW89" i="2" s="1"/>
  <c r="EW90" i="2" s="1"/>
  <c r="EW91" i="2" s="1"/>
  <c r="EW92" i="2" s="1"/>
  <c r="EW93" i="2" s="1"/>
  <c r="EW94" i="2" s="1"/>
  <c r="EW95" i="2" s="1"/>
  <c r="EW96" i="2" s="1"/>
  <c r="EW97" i="2" s="1"/>
  <c r="EW98" i="2" s="1"/>
  <c r="EW99" i="2" s="1"/>
  <c r="EW100" i="2" s="1"/>
  <c r="EW101" i="2" s="1"/>
  <c r="EW102" i="2" s="1"/>
  <c r="EW103" i="2" s="1"/>
  <c r="EW104" i="2" s="1"/>
  <c r="EW105" i="2" s="1"/>
  <c r="EW106" i="2" s="1"/>
  <c r="EW107" i="2" s="1"/>
  <c r="EW108" i="2" s="1"/>
  <c r="EW109" i="2" s="1"/>
  <c r="EW110" i="2" s="1"/>
  <c r="EW111" i="2" s="1"/>
  <c r="EW112" i="2" s="1"/>
  <c r="EW113" i="2" s="1"/>
  <c r="EW114" i="2" s="1"/>
  <c r="EW115" i="2" s="1"/>
  <c r="EW116" i="2" s="1"/>
  <c r="EW117" i="2" s="1"/>
  <c r="EW118" i="2" s="1"/>
  <c r="EW119" i="2" s="1"/>
  <c r="EW120" i="2" s="1"/>
  <c r="EW121" i="2" s="1"/>
  <c r="EW122" i="2" s="1"/>
  <c r="EW123" i="2" s="1"/>
  <c r="EW124" i="2" s="1"/>
  <c r="EW125" i="2" s="1"/>
  <c r="EW126" i="2" s="1"/>
  <c r="EW127" i="2" s="1"/>
  <c r="EW128" i="2" s="1"/>
  <c r="EW129" i="2" s="1"/>
  <c r="EW130" i="2" s="1"/>
  <c r="EW131" i="2" s="1"/>
  <c r="EW132" i="2" s="1"/>
  <c r="EW133" i="2" s="1"/>
  <c r="EW134" i="2" s="1"/>
  <c r="EW135" i="2" s="1"/>
  <c r="EW136" i="2" s="1"/>
  <c r="EW137" i="2" s="1"/>
  <c r="EW138" i="2" s="1"/>
  <c r="EW139" i="2" s="1"/>
  <c r="EW140" i="2" s="1"/>
  <c r="EW141" i="2" s="1"/>
  <c r="EW142" i="2" s="1"/>
  <c r="EW143" i="2" s="1"/>
  <c r="EW144" i="2" s="1"/>
  <c r="EW145" i="2" s="1"/>
  <c r="EW146" i="2" s="1"/>
  <c r="EW147" i="2" s="1"/>
  <c r="EW148" i="2" s="1"/>
  <c r="EW149" i="2" s="1"/>
  <c r="EW150" i="2" s="1"/>
  <c r="EW151" i="2" s="1"/>
  <c r="EW152" i="2" s="1"/>
  <c r="EW153" i="2" s="1"/>
  <c r="EW154" i="2" s="1"/>
  <c r="EW155" i="2" s="1"/>
  <c r="EW156" i="2" s="1"/>
  <c r="EW157" i="2" s="1"/>
  <c r="EW158" i="2" s="1"/>
  <c r="EW159" i="2" s="1"/>
  <c r="EW160" i="2" s="1"/>
  <c r="EW161" i="2" s="1"/>
  <c r="EW162" i="2" s="1"/>
  <c r="EW163" i="2" s="1"/>
  <c r="EW164" i="2" s="1"/>
  <c r="EW165" i="2" s="1"/>
  <c r="EW166" i="2" s="1"/>
  <c r="EW167" i="2" s="1"/>
  <c r="EW168" i="2" s="1"/>
  <c r="EW169" i="2" s="1"/>
  <c r="EW170" i="2" s="1"/>
  <c r="EW171" i="2" s="1"/>
  <c r="EW172" i="2" s="1"/>
  <c r="EW173" i="2" s="1"/>
  <c r="EW174" i="2" s="1"/>
  <c r="EW175" i="2" s="1"/>
  <c r="EW176" i="2" s="1"/>
  <c r="EW177" i="2" s="1"/>
  <c r="EW178" i="2" s="1"/>
  <c r="EW179" i="2" s="1"/>
  <c r="EW180" i="2" s="1"/>
  <c r="EW181" i="2" s="1"/>
  <c r="EW182" i="2" s="1"/>
  <c r="EW183" i="2" s="1"/>
  <c r="EW184" i="2" s="1"/>
  <c r="EW185" i="2" s="1"/>
  <c r="EW186" i="2" s="1"/>
  <c r="EW187" i="2" s="1"/>
  <c r="EW188" i="2" s="1"/>
  <c r="EW189" i="2" s="1"/>
  <c r="EW190" i="2" s="1"/>
  <c r="EW191" i="2" s="1"/>
  <c r="EW192" i="2" s="1"/>
  <c r="EW193" i="2" s="1"/>
  <c r="EW194" i="2" s="1"/>
  <c r="EW195" i="2" s="1"/>
  <c r="EW196" i="2" s="1"/>
  <c r="EW197" i="2" s="1"/>
  <c r="EW198" i="2" s="1"/>
  <c r="EW199" i="2" s="1"/>
  <c r="EW200" i="2" s="1"/>
  <c r="EW201" i="2" s="1"/>
  <c r="EW202" i="2" s="1"/>
  <c r="EW203" i="2" s="1"/>
  <c r="EX4" i="2"/>
  <c r="EW4" i="2"/>
  <c r="EV4" i="2"/>
  <c r="EA5" i="2"/>
  <c r="EA6" i="2" s="1"/>
  <c r="EA7" i="2" s="1"/>
  <c r="EA8" i="2" s="1"/>
  <c r="EA9" i="2" s="1"/>
  <c r="EA10" i="2" s="1"/>
  <c r="EA11" i="2" s="1"/>
  <c r="EA12" i="2" s="1"/>
  <c r="EA13" i="2" s="1"/>
  <c r="EA14" i="2" s="1"/>
  <c r="EA15" i="2" s="1"/>
  <c r="EA16" i="2" s="1"/>
  <c r="EA17" i="2" s="1"/>
  <c r="EA18" i="2" s="1"/>
  <c r="EA19" i="2" s="1"/>
  <c r="EA20" i="2" s="1"/>
  <c r="EA21" i="2" s="1"/>
  <c r="EA22" i="2" s="1"/>
  <c r="EA23" i="2" s="1"/>
  <c r="EA24" i="2" s="1"/>
  <c r="EA25" i="2" s="1"/>
  <c r="EA26" i="2" s="1"/>
  <c r="EA27" i="2" s="1"/>
  <c r="EA28" i="2" s="1"/>
  <c r="EA29" i="2" s="1"/>
  <c r="EA30" i="2" s="1"/>
  <c r="EA31" i="2" s="1"/>
  <c r="EA32" i="2" s="1"/>
  <c r="EA33" i="2" s="1"/>
  <c r="EA34" i="2" s="1"/>
  <c r="EA35" i="2" s="1"/>
  <c r="EA36" i="2" s="1"/>
  <c r="EA37" i="2" s="1"/>
  <c r="EA38" i="2" s="1"/>
  <c r="EA39" i="2" s="1"/>
  <c r="EA40" i="2" s="1"/>
  <c r="EA41" i="2" s="1"/>
  <c r="EA42" i="2" s="1"/>
  <c r="EA43" i="2" s="1"/>
  <c r="EA44" i="2" s="1"/>
  <c r="EA45" i="2" s="1"/>
  <c r="EA46" i="2" s="1"/>
  <c r="EA47" i="2" s="1"/>
  <c r="EA48" i="2" s="1"/>
  <c r="EA49" i="2" s="1"/>
  <c r="EA50" i="2" s="1"/>
  <c r="EA51" i="2" s="1"/>
  <c r="EA52" i="2" s="1"/>
  <c r="EA53" i="2" s="1"/>
  <c r="EA54" i="2" s="1"/>
  <c r="EA55" i="2" s="1"/>
  <c r="EA56" i="2" s="1"/>
  <c r="EA57" i="2" s="1"/>
  <c r="EA58" i="2" s="1"/>
  <c r="EA59" i="2" s="1"/>
  <c r="EA60" i="2" s="1"/>
  <c r="EA61" i="2" s="1"/>
  <c r="EA62" i="2" s="1"/>
  <c r="EA63" i="2" s="1"/>
  <c r="EA64" i="2" s="1"/>
  <c r="EA65" i="2" s="1"/>
  <c r="EA66" i="2" s="1"/>
  <c r="EA67" i="2" s="1"/>
  <c r="EA68" i="2" s="1"/>
  <c r="EA69" i="2" s="1"/>
  <c r="EA70" i="2" s="1"/>
  <c r="EA71" i="2" s="1"/>
  <c r="EA72" i="2" s="1"/>
  <c r="EA73" i="2" s="1"/>
  <c r="EA74" i="2" s="1"/>
  <c r="EA75" i="2" s="1"/>
  <c r="EA76" i="2" s="1"/>
  <c r="EA77" i="2" s="1"/>
  <c r="EA78" i="2" s="1"/>
  <c r="EA79" i="2" s="1"/>
  <c r="EA80" i="2" s="1"/>
  <c r="EA81" i="2" s="1"/>
  <c r="EA82" i="2" s="1"/>
  <c r="EA83" i="2" s="1"/>
  <c r="EA84" i="2" s="1"/>
  <c r="EA85" i="2" s="1"/>
  <c r="EA86" i="2" s="1"/>
  <c r="EA87" i="2" s="1"/>
  <c r="EA88" i="2" s="1"/>
  <c r="EA89" i="2" s="1"/>
  <c r="EA90" i="2" s="1"/>
  <c r="EA91" i="2" s="1"/>
  <c r="EA92" i="2" s="1"/>
  <c r="EA93" i="2" s="1"/>
  <c r="EA94" i="2" s="1"/>
  <c r="EA95" i="2" s="1"/>
  <c r="EA96" i="2" s="1"/>
  <c r="EA97" i="2" s="1"/>
  <c r="EA98" i="2" s="1"/>
  <c r="EA99" i="2" s="1"/>
  <c r="EA100" i="2" s="1"/>
  <c r="EA101" i="2" s="1"/>
  <c r="EA102" i="2" s="1"/>
  <c r="EA103" i="2" s="1"/>
  <c r="EA104" i="2" s="1"/>
  <c r="EA105" i="2" s="1"/>
  <c r="EA106" i="2" s="1"/>
  <c r="EA107" i="2" s="1"/>
  <c r="EA108" i="2" s="1"/>
  <c r="EA109" i="2" s="1"/>
  <c r="EA110" i="2" s="1"/>
  <c r="EA111" i="2" s="1"/>
  <c r="EA112" i="2" s="1"/>
  <c r="EA113" i="2" s="1"/>
  <c r="EA114" i="2" s="1"/>
  <c r="EA115" i="2" s="1"/>
  <c r="EA116" i="2" s="1"/>
  <c r="EA117" i="2" s="1"/>
  <c r="EA118" i="2" s="1"/>
  <c r="EA119" i="2" s="1"/>
  <c r="EA120" i="2" s="1"/>
  <c r="EA121" i="2" s="1"/>
  <c r="EA122" i="2" s="1"/>
  <c r="EA123" i="2" s="1"/>
  <c r="EA124" i="2" s="1"/>
  <c r="EA125" i="2" s="1"/>
  <c r="EA126" i="2" s="1"/>
  <c r="EA127" i="2" s="1"/>
  <c r="EA128" i="2" s="1"/>
  <c r="EA129" i="2" s="1"/>
  <c r="EA130" i="2" s="1"/>
  <c r="EA131" i="2" s="1"/>
  <c r="EA132" i="2" s="1"/>
  <c r="EA133" i="2" s="1"/>
  <c r="EA134" i="2" s="1"/>
  <c r="EA135" i="2" s="1"/>
  <c r="EA136" i="2" s="1"/>
  <c r="EA137" i="2" s="1"/>
  <c r="EA138" i="2" s="1"/>
  <c r="EA139" i="2" s="1"/>
  <c r="EA140" i="2" s="1"/>
  <c r="EA141" i="2" s="1"/>
  <c r="EA142" i="2" s="1"/>
  <c r="EA143" i="2" s="1"/>
  <c r="EA144" i="2" s="1"/>
  <c r="EA145" i="2" s="1"/>
  <c r="EA146" i="2" s="1"/>
  <c r="EA147" i="2" s="1"/>
  <c r="EA148" i="2" s="1"/>
  <c r="EA149" i="2" s="1"/>
  <c r="EA150" i="2" s="1"/>
  <c r="EA151" i="2" s="1"/>
  <c r="EA152" i="2" s="1"/>
  <c r="EA153" i="2" s="1"/>
  <c r="EA154" i="2" s="1"/>
  <c r="EA155" i="2" s="1"/>
  <c r="EA156" i="2" s="1"/>
  <c r="EA157" i="2" s="1"/>
  <c r="EA158" i="2" s="1"/>
  <c r="EA159" i="2" s="1"/>
  <c r="EA160" i="2" s="1"/>
  <c r="EA161" i="2" s="1"/>
  <c r="EA162" i="2" s="1"/>
  <c r="EA163" i="2" s="1"/>
  <c r="EA164" i="2" s="1"/>
  <c r="EA165" i="2" s="1"/>
  <c r="EA166" i="2" s="1"/>
  <c r="EA167" i="2" s="1"/>
  <c r="EA168" i="2" s="1"/>
  <c r="EA169" i="2" s="1"/>
  <c r="EA170" i="2" s="1"/>
  <c r="EA171" i="2" s="1"/>
  <c r="EA172" i="2" s="1"/>
  <c r="EA173" i="2" s="1"/>
  <c r="EA174" i="2" s="1"/>
  <c r="EA175" i="2" s="1"/>
  <c r="EA176" i="2" s="1"/>
  <c r="EA177" i="2" s="1"/>
  <c r="EA178" i="2" s="1"/>
  <c r="EA179" i="2" s="1"/>
  <c r="EA180" i="2" s="1"/>
  <c r="EA181" i="2" s="1"/>
  <c r="EA182" i="2" s="1"/>
  <c r="EA183" i="2" s="1"/>
  <c r="EA184" i="2" s="1"/>
  <c r="EA185" i="2" s="1"/>
  <c r="EA186" i="2" s="1"/>
  <c r="EA187" i="2" s="1"/>
  <c r="EA188" i="2" s="1"/>
  <c r="EA189" i="2" s="1"/>
  <c r="EA190" i="2" s="1"/>
  <c r="EA191" i="2" s="1"/>
  <c r="EA192" i="2" s="1"/>
  <c r="EA193" i="2" s="1"/>
  <c r="EA194" i="2" s="1"/>
  <c r="EA195" i="2" s="1"/>
  <c r="EA196" i="2" s="1"/>
  <c r="EA197" i="2" s="1"/>
  <c r="EA198" i="2" s="1"/>
  <c r="EA199" i="2" s="1"/>
  <c r="EA200" i="2" s="1"/>
  <c r="EA201" i="2" s="1"/>
  <c r="EA202" i="2" s="1"/>
  <c r="EA203" i="2" s="1"/>
  <c r="EB5" i="2"/>
  <c r="EB6" i="2" s="1"/>
  <c r="EB7" i="2" s="1"/>
  <c r="EB8" i="2" s="1"/>
  <c r="EB9" i="2" s="1"/>
  <c r="EB10" i="2" s="1"/>
  <c r="EB11" i="2" s="1"/>
  <c r="EB12" i="2" s="1"/>
  <c r="EB13" i="2" s="1"/>
  <c r="EB14" i="2" s="1"/>
  <c r="EB15" i="2" s="1"/>
  <c r="EB16" i="2" s="1"/>
  <c r="EB17" i="2" s="1"/>
  <c r="EB18" i="2" s="1"/>
  <c r="EB19" i="2" s="1"/>
  <c r="EB20" i="2" s="1"/>
  <c r="EB21" i="2" s="1"/>
  <c r="EB22" i="2" s="1"/>
  <c r="EB23" i="2" s="1"/>
  <c r="EB24" i="2" s="1"/>
  <c r="EB25" i="2" s="1"/>
  <c r="EB26" i="2" s="1"/>
  <c r="EB27" i="2" s="1"/>
  <c r="EB28" i="2" s="1"/>
  <c r="EB29" i="2" s="1"/>
  <c r="EB30" i="2" s="1"/>
  <c r="EB31" i="2" s="1"/>
  <c r="EB32" i="2" s="1"/>
  <c r="EB33" i="2" s="1"/>
  <c r="EB34" i="2" s="1"/>
  <c r="EB35" i="2" s="1"/>
  <c r="EB36" i="2" s="1"/>
  <c r="EB37" i="2" s="1"/>
  <c r="EB38" i="2" s="1"/>
  <c r="EB39" i="2" s="1"/>
  <c r="EB40" i="2" s="1"/>
  <c r="EB41" i="2" s="1"/>
  <c r="EB42" i="2" s="1"/>
  <c r="EB43" i="2" s="1"/>
  <c r="EB44" i="2" s="1"/>
  <c r="EB45" i="2" s="1"/>
  <c r="EB46" i="2" s="1"/>
  <c r="EB47" i="2" s="1"/>
  <c r="EB48" i="2" s="1"/>
  <c r="EB49" i="2" s="1"/>
  <c r="EB50" i="2" s="1"/>
  <c r="EB51" i="2" s="1"/>
  <c r="EB52" i="2" s="1"/>
  <c r="EB53" i="2" s="1"/>
  <c r="EB54" i="2" s="1"/>
  <c r="EB55" i="2" s="1"/>
  <c r="EB56" i="2" s="1"/>
  <c r="EB57" i="2" s="1"/>
  <c r="EB58" i="2" s="1"/>
  <c r="EB59" i="2" s="1"/>
  <c r="EB60" i="2" s="1"/>
  <c r="EB61" i="2" s="1"/>
  <c r="EB62" i="2" s="1"/>
  <c r="EB63" i="2" s="1"/>
  <c r="EB64" i="2" s="1"/>
  <c r="EB65" i="2" s="1"/>
  <c r="EB66" i="2" s="1"/>
  <c r="EB67" i="2" s="1"/>
  <c r="EB68" i="2" s="1"/>
  <c r="EB69" i="2" s="1"/>
  <c r="EB70" i="2" s="1"/>
  <c r="EB71" i="2" s="1"/>
  <c r="EB72" i="2" s="1"/>
  <c r="EB73" i="2" s="1"/>
  <c r="EB74" i="2" s="1"/>
  <c r="EB75" i="2" s="1"/>
  <c r="EB76" i="2" s="1"/>
  <c r="EB77" i="2" s="1"/>
  <c r="EB78" i="2" s="1"/>
  <c r="EB79" i="2" s="1"/>
  <c r="EB80" i="2" s="1"/>
  <c r="EB81" i="2" s="1"/>
  <c r="EB82" i="2" s="1"/>
  <c r="EB83" i="2" s="1"/>
  <c r="EB84" i="2" s="1"/>
  <c r="EB85" i="2" s="1"/>
  <c r="EB86" i="2" s="1"/>
  <c r="EB87" i="2" s="1"/>
  <c r="EB88" i="2" s="1"/>
  <c r="EB89" i="2" s="1"/>
  <c r="EB90" i="2" s="1"/>
  <c r="EB91" i="2" s="1"/>
  <c r="EB92" i="2" s="1"/>
  <c r="EB93" i="2" s="1"/>
  <c r="EB94" i="2" s="1"/>
  <c r="EB95" i="2" s="1"/>
  <c r="EB96" i="2" s="1"/>
  <c r="EB97" i="2" s="1"/>
  <c r="EB98" i="2" s="1"/>
  <c r="EB99" i="2" s="1"/>
  <c r="EB100" i="2" s="1"/>
  <c r="EB101" i="2" s="1"/>
  <c r="EB102" i="2" s="1"/>
  <c r="EB103" i="2" s="1"/>
  <c r="EB104" i="2" s="1"/>
  <c r="EB105" i="2" s="1"/>
  <c r="EB106" i="2" s="1"/>
  <c r="EB107" i="2" s="1"/>
  <c r="EB108" i="2" s="1"/>
  <c r="EB109" i="2" s="1"/>
  <c r="EB110" i="2" s="1"/>
  <c r="EB111" i="2" s="1"/>
  <c r="EB112" i="2" s="1"/>
  <c r="EB113" i="2" s="1"/>
  <c r="EB114" i="2" s="1"/>
  <c r="EB115" i="2" s="1"/>
  <c r="EB116" i="2" s="1"/>
  <c r="EB117" i="2" s="1"/>
  <c r="EB118" i="2" s="1"/>
  <c r="EB119" i="2" s="1"/>
  <c r="EB120" i="2" s="1"/>
  <c r="EB121" i="2" s="1"/>
  <c r="EB122" i="2" s="1"/>
  <c r="EB123" i="2" s="1"/>
  <c r="EB124" i="2" s="1"/>
  <c r="EB125" i="2" s="1"/>
  <c r="EB126" i="2" s="1"/>
  <c r="EB127" i="2" s="1"/>
  <c r="EB128" i="2" s="1"/>
  <c r="EB129" i="2" s="1"/>
  <c r="EB130" i="2" s="1"/>
  <c r="EB131" i="2" s="1"/>
  <c r="EB132" i="2" s="1"/>
  <c r="EB133" i="2" s="1"/>
  <c r="EB134" i="2" s="1"/>
  <c r="EB135" i="2" s="1"/>
  <c r="EB136" i="2" s="1"/>
  <c r="EB137" i="2" s="1"/>
  <c r="EB138" i="2" s="1"/>
  <c r="EB139" i="2" s="1"/>
  <c r="EB140" i="2" s="1"/>
  <c r="EB141" i="2" s="1"/>
  <c r="EB142" i="2" s="1"/>
  <c r="EB143" i="2" s="1"/>
  <c r="EB144" i="2" s="1"/>
  <c r="EB145" i="2" s="1"/>
  <c r="EB146" i="2" s="1"/>
  <c r="EB147" i="2" s="1"/>
  <c r="EB148" i="2" s="1"/>
  <c r="EB149" i="2" s="1"/>
  <c r="EB150" i="2" s="1"/>
  <c r="EB151" i="2" s="1"/>
  <c r="EB152" i="2" s="1"/>
  <c r="EB153" i="2" s="1"/>
  <c r="EB154" i="2" s="1"/>
  <c r="EB155" i="2" s="1"/>
  <c r="EB156" i="2" s="1"/>
  <c r="EB157" i="2" s="1"/>
  <c r="EB158" i="2" s="1"/>
  <c r="EB159" i="2" s="1"/>
  <c r="EB160" i="2" s="1"/>
  <c r="EB161" i="2" s="1"/>
  <c r="EB162" i="2" s="1"/>
  <c r="EB163" i="2" s="1"/>
  <c r="EB164" i="2" s="1"/>
  <c r="EB165" i="2" s="1"/>
  <c r="EB166" i="2" s="1"/>
  <c r="EB167" i="2" s="1"/>
  <c r="EB168" i="2" s="1"/>
  <c r="EB169" i="2" s="1"/>
  <c r="EB170" i="2" s="1"/>
  <c r="EB171" i="2" s="1"/>
  <c r="EB172" i="2" s="1"/>
  <c r="EB173" i="2" s="1"/>
  <c r="EB174" i="2" s="1"/>
  <c r="EB175" i="2" s="1"/>
  <c r="EB176" i="2" s="1"/>
  <c r="EB177" i="2" s="1"/>
  <c r="EB178" i="2" s="1"/>
  <c r="EB179" i="2" s="1"/>
  <c r="EB180" i="2" s="1"/>
  <c r="EB181" i="2" s="1"/>
  <c r="EB182" i="2" s="1"/>
  <c r="EB183" i="2" s="1"/>
  <c r="EB184" i="2" s="1"/>
  <c r="EB185" i="2" s="1"/>
  <c r="EB186" i="2" s="1"/>
  <c r="EB187" i="2" s="1"/>
  <c r="EB188" i="2" s="1"/>
  <c r="EB189" i="2" s="1"/>
  <c r="EB190" i="2" s="1"/>
  <c r="EB191" i="2" s="1"/>
  <c r="EB192" i="2" s="1"/>
  <c r="EB193" i="2" s="1"/>
  <c r="EB194" i="2" s="1"/>
  <c r="EB195" i="2" s="1"/>
  <c r="EB196" i="2" s="1"/>
  <c r="EB197" i="2" s="1"/>
  <c r="EB198" i="2" s="1"/>
  <c r="EB199" i="2" s="1"/>
  <c r="EB200" i="2" s="1"/>
  <c r="EB201" i="2" s="1"/>
  <c r="EB202" i="2" s="1"/>
  <c r="EB203" i="2" s="1"/>
  <c r="EC5" i="2"/>
  <c r="EC6" i="2" s="1"/>
  <c r="EC7" i="2" s="1"/>
  <c r="EC8" i="2" s="1"/>
  <c r="EC9" i="2" s="1"/>
  <c r="EC10" i="2" s="1"/>
  <c r="EC11" i="2" s="1"/>
  <c r="EC12" i="2" s="1"/>
  <c r="EC13" i="2" s="1"/>
  <c r="EC14" i="2" s="1"/>
  <c r="EC15" i="2" s="1"/>
  <c r="EC16" i="2" s="1"/>
  <c r="EC17" i="2" s="1"/>
  <c r="EC18" i="2" s="1"/>
  <c r="EC19" i="2" s="1"/>
  <c r="EC20" i="2" s="1"/>
  <c r="EC21" i="2" s="1"/>
  <c r="EC22" i="2" s="1"/>
  <c r="EC23" i="2" s="1"/>
  <c r="EC24" i="2" s="1"/>
  <c r="EC25" i="2" s="1"/>
  <c r="EC26" i="2" s="1"/>
  <c r="EC27" i="2" s="1"/>
  <c r="EC28" i="2" s="1"/>
  <c r="EC29" i="2" s="1"/>
  <c r="EC30" i="2" s="1"/>
  <c r="EC31" i="2" s="1"/>
  <c r="EC32" i="2" s="1"/>
  <c r="EC33" i="2" s="1"/>
  <c r="EC34" i="2" s="1"/>
  <c r="EC35" i="2" s="1"/>
  <c r="EC36" i="2" s="1"/>
  <c r="EC37" i="2" s="1"/>
  <c r="EC38" i="2" s="1"/>
  <c r="EC39" i="2" s="1"/>
  <c r="EC40" i="2" s="1"/>
  <c r="EC41" i="2" s="1"/>
  <c r="EC42" i="2" s="1"/>
  <c r="EC43" i="2" s="1"/>
  <c r="EC44" i="2" s="1"/>
  <c r="EC45" i="2" s="1"/>
  <c r="EC46" i="2" s="1"/>
  <c r="EC47" i="2" s="1"/>
  <c r="EC48" i="2" s="1"/>
  <c r="EC49" i="2" s="1"/>
  <c r="EC50" i="2" s="1"/>
  <c r="EC51" i="2" s="1"/>
  <c r="EC52" i="2" s="1"/>
  <c r="EC53" i="2" s="1"/>
  <c r="EC54" i="2" s="1"/>
  <c r="EC55" i="2" s="1"/>
  <c r="EC56" i="2" s="1"/>
  <c r="EC57" i="2" s="1"/>
  <c r="EC58" i="2" s="1"/>
  <c r="EC59" i="2" s="1"/>
  <c r="EC60" i="2" s="1"/>
  <c r="EC61" i="2" s="1"/>
  <c r="EC62" i="2" s="1"/>
  <c r="EC63" i="2" s="1"/>
  <c r="EC64" i="2" s="1"/>
  <c r="EC65" i="2" s="1"/>
  <c r="EC66" i="2" s="1"/>
  <c r="EC67" i="2" s="1"/>
  <c r="EC68" i="2" s="1"/>
  <c r="EC69" i="2" s="1"/>
  <c r="EC70" i="2" s="1"/>
  <c r="EC71" i="2" s="1"/>
  <c r="EC72" i="2" s="1"/>
  <c r="EC73" i="2" s="1"/>
  <c r="EC74" i="2" s="1"/>
  <c r="EC75" i="2" s="1"/>
  <c r="EC76" i="2" s="1"/>
  <c r="EC77" i="2" s="1"/>
  <c r="EC78" i="2" s="1"/>
  <c r="EC79" i="2" s="1"/>
  <c r="EC80" i="2" s="1"/>
  <c r="EC81" i="2" s="1"/>
  <c r="EC82" i="2" s="1"/>
  <c r="EC83" i="2" s="1"/>
  <c r="EC84" i="2" s="1"/>
  <c r="EC85" i="2" s="1"/>
  <c r="EC86" i="2" s="1"/>
  <c r="EC87" i="2" s="1"/>
  <c r="EC88" i="2" s="1"/>
  <c r="EC89" i="2" s="1"/>
  <c r="EC90" i="2" s="1"/>
  <c r="EC91" i="2" s="1"/>
  <c r="EC92" i="2" s="1"/>
  <c r="EC93" i="2" s="1"/>
  <c r="EC94" i="2" s="1"/>
  <c r="EC95" i="2" s="1"/>
  <c r="EC96" i="2" s="1"/>
  <c r="EC97" i="2" s="1"/>
  <c r="EC98" i="2" s="1"/>
  <c r="EC99" i="2" s="1"/>
  <c r="EC100" i="2" s="1"/>
  <c r="EC101" i="2" s="1"/>
  <c r="EC102" i="2" s="1"/>
  <c r="EC103" i="2" s="1"/>
  <c r="EC104" i="2" s="1"/>
  <c r="EC105" i="2" s="1"/>
  <c r="EC106" i="2" s="1"/>
  <c r="EC107" i="2" s="1"/>
  <c r="EC108" i="2" s="1"/>
  <c r="EC109" i="2" s="1"/>
  <c r="EC110" i="2" s="1"/>
  <c r="EC111" i="2" s="1"/>
  <c r="EC112" i="2" s="1"/>
  <c r="EC113" i="2" s="1"/>
  <c r="EC114" i="2" s="1"/>
  <c r="EC115" i="2" s="1"/>
  <c r="EC116" i="2" s="1"/>
  <c r="EC117" i="2" s="1"/>
  <c r="EC118" i="2" s="1"/>
  <c r="EC119" i="2" s="1"/>
  <c r="EC120" i="2" s="1"/>
  <c r="EC121" i="2" s="1"/>
  <c r="EC122" i="2" s="1"/>
  <c r="EC123" i="2" s="1"/>
  <c r="EC124" i="2" s="1"/>
  <c r="EC125" i="2" s="1"/>
  <c r="EC126" i="2" s="1"/>
  <c r="EC127" i="2" s="1"/>
  <c r="EC128" i="2" s="1"/>
  <c r="EC129" i="2" s="1"/>
  <c r="EC130" i="2" s="1"/>
  <c r="EC131" i="2" s="1"/>
  <c r="EC132" i="2" s="1"/>
  <c r="EC133" i="2" s="1"/>
  <c r="EC134" i="2" s="1"/>
  <c r="EC135" i="2" s="1"/>
  <c r="EC136" i="2" s="1"/>
  <c r="EC137" i="2" s="1"/>
  <c r="EC138" i="2" s="1"/>
  <c r="EC139" i="2" s="1"/>
  <c r="EC140" i="2" s="1"/>
  <c r="EC141" i="2" s="1"/>
  <c r="EC142" i="2" s="1"/>
  <c r="EC143" i="2" s="1"/>
  <c r="EC144" i="2" s="1"/>
  <c r="EC145" i="2" s="1"/>
  <c r="EC146" i="2" s="1"/>
  <c r="EC147" i="2" s="1"/>
  <c r="EC148" i="2" s="1"/>
  <c r="EC149" i="2" s="1"/>
  <c r="EC150" i="2" s="1"/>
  <c r="EC151" i="2" s="1"/>
  <c r="EC152" i="2" s="1"/>
  <c r="EC153" i="2" s="1"/>
  <c r="EC154" i="2" s="1"/>
  <c r="EC155" i="2" s="1"/>
  <c r="EC156" i="2" s="1"/>
  <c r="EC157" i="2" s="1"/>
  <c r="EC158" i="2" s="1"/>
  <c r="EC159" i="2" s="1"/>
  <c r="EC160" i="2" s="1"/>
  <c r="EC161" i="2" s="1"/>
  <c r="EC162" i="2" s="1"/>
  <c r="EC163" i="2" s="1"/>
  <c r="EC164" i="2" s="1"/>
  <c r="EC165" i="2" s="1"/>
  <c r="EC166" i="2" s="1"/>
  <c r="EC167" i="2" s="1"/>
  <c r="EC168" i="2" s="1"/>
  <c r="EC169" i="2" s="1"/>
  <c r="EC170" i="2" s="1"/>
  <c r="EC171" i="2" s="1"/>
  <c r="EC172" i="2" s="1"/>
  <c r="EC173" i="2" s="1"/>
  <c r="EC174" i="2" s="1"/>
  <c r="EC175" i="2" s="1"/>
  <c r="EC176" i="2" s="1"/>
  <c r="EC177" i="2" s="1"/>
  <c r="EC178" i="2" s="1"/>
  <c r="EC179" i="2" s="1"/>
  <c r="EC180" i="2" s="1"/>
  <c r="EC181" i="2" s="1"/>
  <c r="EC182" i="2" s="1"/>
  <c r="EC183" i="2" s="1"/>
  <c r="EC184" i="2" s="1"/>
  <c r="EC185" i="2" s="1"/>
  <c r="EC186" i="2" s="1"/>
  <c r="EC187" i="2" s="1"/>
  <c r="EC188" i="2" s="1"/>
  <c r="EC189" i="2" s="1"/>
  <c r="EC190" i="2" s="1"/>
  <c r="EC191" i="2" s="1"/>
  <c r="EC192" i="2" s="1"/>
  <c r="EC193" i="2" s="1"/>
  <c r="EC194" i="2" s="1"/>
  <c r="EC195" i="2" s="1"/>
  <c r="EC196" i="2" s="1"/>
  <c r="EC197" i="2" s="1"/>
  <c r="EC198" i="2" s="1"/>
  <c r="EC199" i="2" s="1"/>
  <c r="EC200" i="2" s="1"/>
  <c r="EC201" i="2" s="1"/>
  <c r="EC202" i="2" s="1"/>
  <c r="EC203" i="2" s="1"/>
  <c r="EC4" i="2"/>
  <c r="EB4" i="2"/>
  <c r="EA4" i="2"/>
  <c r="AF205" i="2" l="1"/>
  <c r="O3" i="2" l="1"/>
  <c r="R30" i="6" l="1"/>
  <c r="R31" i="6" s="1"/>
  <c r="R32" i="6" s="1"/>
  <c r="R33" i="6" s="1"/>
  <c r="R34" i="6" s="1"/>
  <c r="R35" i="6" s="1"/>
  <c r="R36" i="6" s="1"/>
  <c r="R37" i="6" s="1"/>
  <c r="R38" i="6" s="1"/>
  <c r="R39" i="6" l="1"/>
  <c r="R40" i="6" s="1"/>
  <c r="R41" i="6" s="1"/>
  <c r="R42" i="6" s="1"/>
  <c r="R43" i="6" s="1"/>
  <c r="R44" i="6" s="1"/>
  <c r="R45" i="6" s="1"/>
  <c r="R46" i="6" s="1"/>
  <c r="R47" i="6" s="1"/>
  <c r="R48" i="6" s="1"/>
  <c r="R49" i="6" s="1"/>
  <c r="R50" i="6" s="1"/>
  <c r="R51" i="6" s="1"/>
  <c r="R52" i="6" s="1"/>
  <c r="R53" i="6" s="1"/>
  <c r="R54" i="6" s="1"/>
  <c r="R55" i="6" s="1"/>
  <c r="R56" i="6" s="1"/>
  <c r="R57" i="6" s="1"/>
  <c r="R58" i="6" s="1"/>
  <c r="R59" i="6" s="1"/>
  <c r="R60" i="6" s="1"/>
  <c r="R61" i="6" s="1"/>
  <c r="R62" i="6" s="1"/>
  <c r="R63" i="6" s="1"/>
  <c r="R64" i="6" s="1"/>
  <c r="R65" i="6" s="1"/>
  <c r="R66" i="6" s="1"/>
  <c r="R67" i="6" s="1"/>
  <c r="R68" i="6" s="1"/>
  <c r="R69" i="6" s="1"/>
  <c r="R70" i="6" s="1"/>
  <c r="R71" i="6" s="1"/>
  <c r="R72" i="6" s="1"/>
  <c r="R73" i="6" s="1"/>
  <c r="R74" i="6" s="1"/>
  <c r="R75" i="6" s="1"/>
  <c r="R76" i="6" s="1"/>
  <c r="R77" i="6" s="1"/>
  <c r="R78" i="6" s="1"/>
  <c r="R79" i="6" s="1"/>
  <c r="R80" i="6" s="1"/>
  <c r="R81" i="6" s="1"/>
  <c r="R82" i="6" s="1"/>
  <c r="R83" i="6" s="1"/>
  <c r="R84" i="6" s="1"/>
  <c r="R85" i="6" s="1"/>
  <c r="R86" i="6" s="1"/>
  <c r="R87" i="6" s="1"/>
  <c r="R88" i="6" s="1"/>
  <c r="R89" i="6" s="1"/>
  <c r="R90" i="6" s="1"/>
  <c r="R91" i="6" s="1"/>
  <c r="R92" i="6" s="1"/>
  <c r="R93" i="6" s="1"/>
  <c r="R94" i="6" s="1"/>
  <c r="R95" i="6" s="1"/>
  <c r="R96" i="6" s="1"/>
  <c r="R97" i="6" s="1"/>
  <c r="R98" i="6" s="1"/>
  <c r="R99" i="6" s="1"/>
  <c r="R100" i="6" s="1"/>
  <c r="R101" i="6" s="1"/>
  <c r="R102" i="6" s="1"/>
  <c r="R103" i="6" s="1"/>
  <c r="R104" i="6" s="1"/>
  <c r="R105" i="6" s="1"/>
  <c r="R106" i="6" s="1"/>
  <c r="R107" i="6" s="1"/>
  <c r="R108" i="6" s="1"/>
  <c r="R109" i="6" s="1"/>
  <c r="R110" i="6" s="1"/>
  <c r="R111" i="6" s="1"/>
  <c r="R112" i="6" s="1"/>
  <c r="F14" i="1" a="1"/>
  <c r="F14" i="1" s="1"/>
  <c r="AD3" i="2" l="1"/>
  <c r="C19" i="7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56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30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04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52" i="6"/>
  <c r="B127" i="6"/>
  <c r="B128" i="6"/>
  <c r="B129" i="6"/>
  <c r="B130" i="6"/>
  <c r="B131" i="6"/>
  <c r="B132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26" i="6"/>
  <c r="B101" i="6"/>
  <c r="B103" i="6"/>
  <c r="B105" i="6"/>
  <c r="B107" i="6"/>
  <c r="B109" i="6"/>
  <c r="B111" i="6"/>
  <c r="B112" i="6"/>
  <c r="B114" i="6"/>
  <c r="B115" i="6"/>
  <c r="B116" i="6"/>
  <c r="B117" i="6"/>
  <c r="B118" i="6"/>
  <c r="B119" i="6"/>
  <c r="B100" i="6"/>
  <c r="B75" i="6"/>
  <c r="B77" i="6"/>
  <c r="B79" i="6"/>
  <c r="B81" i="6"/>
  <c r="B83" i="6"/>
  <c r="B85" i="6"/>
  <c r="B86" i="6"/>
  <c r="B88" i="6"/>
  <c r="B89" i="6"/>
  <c r="B90" i="6"/>
  <c r="B91" i="6"/>
  <c r="B92" i="6"/>
  <c r="B93" i="6"/>
  <c r="B74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48" i="6"/>
  <c r="B23" i="6"/>
  <c r="B24" i="6"/>
  <c r="B25" i="6"/>
  <c r="B26" i="6"/>
  <c r="B27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F10" i="1" a="1"/>
  <c r="F10" i="1" s="1"/>
  <c r="F9" i="1" a="1"/>
  <c r="F9" i="1" s="1"/>
  <c r="B133" i="6"/>
  <c r="I147" i="1" l="1"/>
  <c r="B113" i="6"/>
  <c r="B110" i="6"/>
  <c r="B108" i="6"/>
  <c r="B106" i="6"/>
  <c r="B104" i="6"/>
  <c r="B102" i="6"/>
  <c r="B87" i="6"/>
  <c r="B84" i="6"/>
  <c r="B82" i="6"/>
  <c r="B80" i="6"/>
  <c r="B78" i="6"/>
  <c r="B76" i="6"/>
  <c r="B28" i="6" l="1"/>
  <c r="K205" i="2"/>
  <c r="B22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S29" i="6" l="1"/>
  <c r="CQ205" i="2"/>
  <c r="BV205" i="2"/>
  <c r="BA205" i="2"/>
  <c r="A6" i="4" l="1"/>
  <c r="A7" i="4"/>
  <c r="L3" i="2"/>
  <c r="S85" i="6"/>
  <c r="S86" i="6"/>
  <c r="S87" i="6"/>
  <c r="S88" i="6"/>
  <c r="S89" i="6"/>
  <c r="S90" i="6"/>
  <c r="S91" i="6"/>
  <c r="S92" i="6"/>
  <c r="S93" i="6"/>
  <c r="S94" i="6"/>
  <c r="S95" i="6"/>
  <c r="S96" i="6"/>
  <c r="S97" i="6"/>
  <c r="S98" i="6"/>
  <c r="S99" i="6"/>
  <c r="S100" i="6"/>
  <c r="S101" i="6"/>
  <c r="S102" i="6"/>
  <c r="S103" i="6"/>
  <c r="S104" i="6"/>
  <c r="S105" i="6"/>
  <c r="S106" i="6"/>
  <c r="S107" i="6"/>
  <c r="S108" i="6"/>
  <c r="S109" i="6"/>
  <c r="S110" i="6"/>
  <c r="S111" i="6"/>
  <c r="S112" i="6"/>
  <c r="S113" i="6"/>
  <c r="S114" i="6"/>
  <c r="S115" i="6"/>
  <c r="S116" i="6"/>
  <c r="S117" i="6"/>
  <c r="S118" i="6"/>
  <c r="S119" i="6"/>
  <c r="S120" i="6"/>
  <c r="S121" i="6"/>
  <c r="S122" i="6"/>
  <c r="S123" i="6"/>
  <c r="S124" i="6"/>
  <c r="S125" i="6"/>
  <c r="S126" i="6"/>
  <c r="S127" i="6"/>
  <c r="S128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257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56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30" i="6"/>
  <c r="D205" i="6"/>
  <c r="D206" i="6"/>
  <c r="D207" i="6"/>
  <c r="D208" i="6"/>
  <c r="D209" i="6"/>
  <c r="D210" i="6"/>
  <c r="D211" i="6"/>
  <c r="D212" i="6"/>
  <c r="D213" i="6"/>
  <c r="D215" i="6"/>
  <c r="D216" i="6"/>
  <c r="D217" i="6"/>
  <c r="D218" i="6"/>
  <c r="D219" i="6"/>
  <c r="D220" i="6"/>
  <c r="D221" i="6"/>
  <c r="D222" i="6"/>
  <c r="D223" i="6"/>
  <c r="D204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52" i="6"/>
  <c r="D127" i="6"/>
  <c r="D128" i="6"/>
  <c r="D129" i="6"/>
  <c r="D130" i="6"/>
  <c r="D131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26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00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74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48" i="6"/>
  <c r="B44" i="6"/>
  <c r="B18" i="6"/>
  <c r="A8" i="4"/>
  <c r="A9" i="4"/>
  <c r="A10" i="4"/>
  <c r="A11" i="4"/>
  <c r="A12" i="4"/>
  <c r="B174" i="6"/>
  <c r="A13" i="4"/>
  <c r="B200" i="6"/>
  <c r="A14" i="4"/>
  <c r="B226" i="6"/>
  <c r="B252" i="6"/>
  <c r="A15" i="4"/>
  <c r="B148" i="6"/>
  <c r="B122" i="6"/>
  <c r="B96" i="6"/>
  <c r="B70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22" i="6"/>
  <c r="D258" i="6"/>
  <c r="D214" i="6"/>
  <c r="D132" i="6"/>
  <c r="A257" i="6"/>
  <c r="A258" i="6"/>
  <c r="A259" i="6"/>
  <c r="A260" i="6"/>
  <c r="A261" i="6"/>
  <c r="A262" i="6"/>
  <c r="A263" i="6"/>
  <c r="A264" i="6"/>
  <c r="A265" i="6"/>
  <c r="A266" i="6"/>
  <c r="A267" i="6"/>
  <c r="A268" i="6"/>
  <c r="A269" i="6"/>
  <c r="A270" i="6"/>
  <c r="A271" i="6"/>
  <c r="A272" i="6"/>
  <c r="A273" i="6"/>
  <c r="A274" i="6"/>
  <c r="A275" i="6"/>
  <c r="A256" i="6"/>
  <c r="A231" i="6"/>
  <c r="A232" i="6"/>
  <c r="A233" i="6"/>
  <c r="A234" i="6"/>
  <c r="A235" i="6"/>
  <c r="A236" i="6"/>
  <c r="A237" i="6"/>
  <c r="A238" i="6"/>
  <c r="A239" i="6"/>
  <c r="A240" i="6"/>
  <c r="A241" i="6"/>
  <c r="A242" i="6"/>
  <c r="A243" i="6"/>
  <c r="A244" i="6"/>
  <c r="A245" i="6"/>
  <c r="A246" i="6"/>
  <c r="A247" i="6"/>
  <c r="A248" i="6"/>
  <c r="A249" i="6"/>
  <c r="A230" i="6"/>
  <c r="A205" i="6"/>
  <c r="A206" i="6"/>
  <c r="A207" i="6"/>
  <c r="A208" i="6"/>
  <c r="A209" i="6"/>
  <c r="A210" i="6"/>
  <c r="A211" i="6"/>
  <c r="A212" i="6"/>
  <c r="A213" i="6"/>
  <c r="A214" i="6"/>
  <c r="A215" i="6"/>
  <c r="A216" i="6"/>
  <c r="A217" i="6"/>
  <c r="A218" i="6"/>
  <c r="A219" i="6"/>
  <c r="A220" i="6"/>
  <c r="A221" i="6"/>
  <c r="A222" i="6"/>
  <c r="A223" i="6"/>
  <c r="A204" i="6"/>
  <c r="A190" i="6"/>
  <c r="A191" i="6"/>
  <c r="A192" i="6"/>
  <c r="A193" i="6"/>
  <c r="A194" i="6"/>
  <c r="A195" i="6"/>
  <c r="A196" i="6"/>
  <c r="A197" i="6"/>
  <c r="A179" i="6"/>
  <c r="A180" i="6"/>
  <c r="A181" i="6"/>
  <c r="A182" i="6"/>
  <c r="A183" i="6"/>
  <c r="A184" i="6"/>
  <c r="A185" i="6"/>
  <c r="A186" i="6"/>
  <c r="A187" i="6"/>
  <c r="A188" i="6"/>
  <c r="A189" i="6"/>
  <c r="A178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67" i="6"/>
  <c r="A168" i="6"/>
  <c r="A169" i="6"/>
  <c r="A170" i="6"/>
  <c r="A171" i="6"/>
  <c r="A152" i="6"/>
  <c r="A127" i="6"/>
  <c r="A128" i="6"/>
  <c r="A129" i="6"/>
  <c r="A130" i="6"/>
  <c r="A131" i="6"/>
  <c r="A132" i="6"/>
  <c r="A133" i="6"/>
  <c r="A134" i="6"/>
  <c r="A135" i="6"/>
  <c r="A136" i="6"/>
  <c r="A137" i="6"/>
  <c r="A138" i="6"/>
  <c r="A139" i="6"/>
  <c r="A140" i="6"/>
  <c r="A141" i="6"/>
  <c r="A142" i="6"/>
  <c r="A143" i="6"/>
  <c r="A144" i="6"/>
  <c r="A145" i="6"/>
  <c r="A126" i="6"/>
  <c r="A101" i="6"/>
  <c r="A102" i="6"/>
  <c r="A103" i="6"/>
  <c r="A104" i="6"/>
  <c r="A105" i="6"/>
  <c r="A106" i="6"/>
  <c r="A107" i="6"/>
  <c r="A108" i="6"/>
  <c r="A109" i="6"/>
  <c r="A110" i="6"/>
  <c r="A111" i="6"/>
  <c r="A112" i="6"/>
  <c r="A113" i="6"/>
  <c r="A114" i="6"/>
  <c r="A115" i="6"/>
  <c r="A116" i="6"/>
  <c r="A117" i="6"/>
  <c r="A118" i="6"/>
  <c r="A119" i="6"/>
  <c r="A100" i="6"/>
  <c r="A75" i="6"/>
  <c r="A76" i="6"/>
  <c r="A77" i="6"/>
  <c r="A78" i="6"/>
  <c r="A79" i="6"/>
  <c r="A80" i="6"/>
  <c r="A81" i="6"/>
  <c r="A82" i="6"/>
  <c r="A83" i="6"/>
  <c r="A84" i="6"/>
  <c r="A85" i="6"/>
  <c r="A86" i="6"/>
  <c r="A87" i="6"/>
  <c r="A88" i="6"/>
  <c r="A89" i="6"/>
  <c r="A90" i="6"/>
  <c r="A91" i="6"/>
  <c r="A92" i="6"/>
  <c r="A93" i="6"/>
  <c r="A74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48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22" i="6"/>
  <c r="J29" i="6" l="1"/>
  <c r="J28" i="6"/>
  <c r="J25" i="6"/>
  <c r="J22" i="6"/>
  <c r="J27" i="6"/>
  <c r="J23" i="6"/>
  <c r="J21" i="6"/>
  <c r="J24" i="6"/>
  <c r="J26" i="6"/>
  <c r="J20" i="6"/>
  <c r="S30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I25" i="6"/>
  <c r="I26" i="6"/>
  <c r="I28" i="6"/>
  <c r="I27" i="6"/>
  <c r="I24" i="6"/>
  <c r="I29" i="6"/>
  <c r="I23" i="6"/>
  <c r="I21" i="6"/>
  <c r="I22" i="6"/>
  <c r="I20" i="6"/>
  <c r="S58" i="6" l="1"/>
  <c r="H14" i="2"/>
  <c r="D15" i="2"/>
  <c r="G15" i="2" s="1"/>
  <c r="S31" i="6"/>
  <c r="I141" i="1"/>
  <c r="I167" i="1"/>
  <c r="S59" i="6" l="1"/>
  <c r="H15" i="2"/>
  <c r="D16" i="2"/>
  <c r="G16" i="2" s="1"/>
  <c r="S32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S60" i="6" l="1"/>
  <c r="H16" i="2"/>
  <c r="D17" i="2"/>
  <c r="G17" i="2" s="1"/>
  <c r="S33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GF3" i="2" s="1"/>
  <c r="FX3" i="2"/>
  <c r="FU1" i="2"/>
  <c r="GO3" i="2"/>
  <c r="FP3" i="2"/>
  <c r="FM3" i="2"/>
  <c r="FL3" i="2"/>
  <c r="FF3" i="2"/>
  <c r="FH3" i="2" s="1"/>
  <c r="FI3" i="2" s="1"/>
  <c r="FK3" i="2" s="1"/>
  <c r="FC3" i="2"/>
  <c r="EZ1" i="2"/>
  <c r="FT3" i="2"/>
  <c r="EU3" i="2"/>
  <c r="ER3" i="2"/>
  <c r="EQ3" i="2"/>
  <c r="EK3" i="2"/>
  <c r="EM3" i="2" s="1"/>
  <c r="EN3" i="2" s="1"/>
  <c r="EP3" i="2" s="1"/>
  <c r="EH3" i="2"/>
  <c r="EE1" i="2"/>
  <c r="EY3" i="2"/>
  <c r="DZ3" i="2"/>
  <c r="DW3" i="2"/>
  <c r="DV3" i="2"/>
  <c r="DP3" i="2"/>
  <c r="DR3" i="2" s="1"/>
  <c r="DS3" i="2" s="1"/>
  <c r="DU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GZ8" i="2" l="1"/>
  <c r="HA3" i="2"/>
  <c r="GE5" i="2"/>
  <c r="GE13" i="2"/>
  <c r="GE21" i="2"/>
  <c r="GE29" i="2"/>
  <c r="GE37" i="2"/>
  <c r="GE45" i="2"/>
  <c r="GE53" i="2"/>
  <c r="GE61" i="2"/>
  <c r="GE69" i="2"/>
  <c r="GE77" i="2"/>
  <c r="GE85" i="2"/>
  <c r="GE93" i="2"/>
  <c r="GE101" i="2"/>
  <c r="GE109" i="2"/>
  <c r="GE117" i="2"/>
  <c r="GE125" i="2"/>
  <c r="GE133" i="2"/>
  <c r="GE141" i="2"/>
  <c r="GE149" i="2"/>
  <c r="GE157" i="2"/>
  <c r="GE165" i="2"/>
  <c r="GE173" i="2"/>
  <c r="GE181" i="2"/>
  <c r="GE189" i="2"/>
  <c r="GE197" i="2"/>
  <c r="GE6" i="2"/>
  <c r="GE14" i="2"/>
  <c r="GE22" i="2"/>
  <c r="GE30" i="2"/>
  <c r="GE38" i="2"/>
  <c r="GE46" i="2"/>
  <c r="GE54" i="2"/>
  <c r="GE62" i="2"/>
  <c r="GE70" i="2"/>
  <c r="GE78" i="2"/>
  <c r="GE86" i="2"/>
  <c r="GE94" i="2"/>
  <c r="GE102" i="2"/>
  <c r="GE110" i="2"/>
  <c r="GE118" i="2"/>
  <c r="GE126" i="2"/>
  <c r="GE134" i="2"/>
  <c r="GE142" i="2"/>
  <c r="GE150" i="2"/>
  <c r="GE158" i="2"/>
  <c r="GE166" i="2"/>
  <c r="GE174" i="2"/>
  <c r="GE182" i="2"/>
  <c r="GE190" i="2"/>
  <c r="GE198" i="2"/>
  <c r="GE7" i="2"/>
  <c r="GE15" i="2"/>
  <c r="GE23" i="2"/>
  <c r="GE31" i="2"/>
  <c r="GE39" i="2"/>
  <c r="GE47" i="2"/>
  <c r="GE55" i="2"/>
  <c r="GE63" i="2"/>
  <c r="GE71" i="2"/>
  <c r="GE79" i="2"/>
  <c r="GE87" i="2"/>
  <c r="GE95" i="2"/>
  <c r="GE103" i="2"/>
  <c r="GE111" i="2"/>
  <c r="GE119" i="2"/>
  <c r="GE127" i="2"/>
  <c r="GE135" i="2"/>
  <c r="GE143" i="2"/>
  <c r="GE151" i="2"/>
  <c r="GE159" i="2"/>
  <c r="GE167" i="2"/>
  <c r="GE175" i="2"/>
  <c r="GE183" i="2"/>
  <c r="GE191" i="2"/>
  <c r="GE199" i="2"/>
  <c r="GE8" i="2"/>
  <c r="GE16" i="2"/>
  <c r="GE24" i="2"/>
  <c r="GE32" i="2"/>
  <c r="GE40" i="2"/>
  <c r="GE48" i="2"/>
  <c r="GE56" i="2"/>
  <c r="GE64" i="2"/>
  <c r="GE72" i="2"/>
  <c r="GE80" i="2"/>
  <c r="GE88" i="2"/>
  <c r="GE96" i="2"/>
  <c r="GE104" i="2"/>
  <c r="GE112" i="2"/>
  <c r="GE120" i="2"/>
  <c r="GE128" i="2"/>
  <c r="GE136" i="2"/>
  <c r="GE144" i="2"/>
  <c r="GE152" i="2"/>
  <c r="GE160" i="2"/>
  <c r="GE168" i="2"/>
  <c r="GE176" i="2"/>
  <c r="GE184" i="2"/>
  <c r="GE192" i="2"/>
  <c r="GE200" i="2"/>
  <c r="GE11" i="2"/>
  <c r="GE19" i="2"/>
  <c r="GE27" i="2"/>
  <c r="GE35" i="2"/>
  <c r="GE43" i="2"/>
  <c r="GE51" i="2"/>
  <c r="GE59" i="2"/>
  <c r="GE67" i="2"/>
  <c r="GE75" i="2"/>
  <c r="GE83" i="2"/>
  <c r="GE91" i="2"/>
  <c r="GE99" i="2"/>
  <c r="GE107" i="2"/>
  <c r="GE115" i="2"/>
  <c r="GE123" i="2"/>
  <c r="GE131" i="2"/>
  <c r="GE139" i="2"/>
  <c r="GE147" i="2"/>
  <c r="GE155" i="2"/>
  <c r="GE163" i="2"/>
  <c r="GE171" i="2"/>
  <c r="GE179" i="2"/>
  <c r="GE187" i="2"/>
  <c r="GE195" i="2"/>
  <c r="GE203" i="2"/>
  <c r="GE9" i="2"/>
  <c r="GE28" i="2"/>
  <c r="GE50" i="2"/>
  <c r="GE73" i="2"/>
  <c r="GE92" i="2"/>
  <c r="GE114" i="2"/>
  <c r="GE137" i="2"/>
  <c r="GE156" i="2"/>
  <c r="GE178" i="2"/>
  <c r="GE201" i="2"/>
  <c r="GE10" i="2"/>
  <c r="GE33" i="2"/>
  <c r="GE52" i="2"/>
  <c r="GE74" i="2"/>
  <c r="GE97" i="2"/>
  <c r="GE116" i="2"/>
  <c r="GE138" i="2"/>
  <c r="GE161" i="2"/>
  <c r="GE180" i="2"/>
  <c r="GE202" i="2"/>
  <c r="GE12" i="2"/>
  <c r="GE34" i="2"/>
  <c r="GE57" i="2"/>
  <c r="GE76" i="2"/>
  <c r="GE98" i="2"/>
  <c r="GE121" i="2"/>
  <c r="GE140" i="2"/>
  <c r="GE162" i="2"/>
  <c r="GE185" i="2"/>
  <c r="GE17" i="2"/>
  <c r="GE36" i="2"/>
  <c r="GE58" i="2"/>
  <c r="GE81" i="2"/>
  <c r="GE100" i="2"/>
  <c r="GE122" i="2"/>
  <c r="GE145" i="2"/>
  <c r="GE164" i="2"/>
  <c r="GE186" i="2"/>
  <c r="GE18" i="2"/>
  <c r="GE41" i="2"/>
  <c r="GE60" i="2"/>
  <c r="GE82" i="2"/>
  <c r="GE105" i="2"/>
  <c r="GE124" i="2"/>
  <c r="GE146" i="2"/>
  <c r="GE169" i="2"/>
  <c r="GE188" i="2"/>
  <c r="GE20" i="2"/>
  <c r="GE68" i="2"/>
  <c r="GE130" i="2"/>
  <c r="GE193" i="2"/>
  <c r="GE25" i="2"/>
  <c r="GE84" i="2"/>
  <c r="GE132" i="2"/>
  <c r="GE194" i="2"/>
  <c r="GE26" i="2"/>
  <c r="GE89" i="2"/>
  <c r="GE148" i="2"/>
  <c r="GE196" i="2"/>
  <c r="GE42" i="2"/>
  <c r="GE90" i="2"/>
  <c r="GE153" i="2"/>
  <c r="GE44" i="2"/>
  <c r="GE106" i="2"/>
  <c r="GE154" i="2"/>
  <c r="GE65" i="2"/>
  <c r="GE113" i="2"/>
  <c r="GE172" i="2"/>
  <c r="GE4" i="2"/>
  <c r="GE49" i="2"/>
  <c r="GE66" i="2"/>
  <c r="GE108" i="2"/>
  <c r="GE129" i="2"/>
  <c r="GE170" i="2"/>
  <c r="GE177" i="2"/>
  <c r="GZ4" i="2"/>
  <c r="GZ12" i="2"/>
  <c r="GZ20" i="2"/>
  <c r="GZ28" i="2"/>
  <c r="GZ36" i="2"/>
  <c r="GZ44" i="2"/>
  <c r="GZ52" i="2"/>
  <c r="GZ60" i="2"/>
  <c r="GZ68" i="2"/>
  <c r="GZ76" i="2"/>
  <c r="GZ84" i="2"/>
  <c r="GZ92" i="2"/>
  <c r="GZ100" i="2"/>
  <c r="GZ108" i="2"/>
  <c r="GZ116" i="2"/>
  <c r="GZ124" i="2"/>
  <c r="GZ132" i="2"/>
  <c r="GZ140" i="2"/>
  <c r="GZ148" i="2"/>
  <c r="GZ156" i="2"/>
  <c r="GZ164" i="2"/>
  <c r="GZ172" i="2"/>
  <c r="GZ180" i="2"/>
  <c r="GZ188" i="2"/>
  <c r="GZ196" i="2"/>
  <c r="GZ5" i="2"/>
  <c r="GZ13" i="2"/>
  <c r="GZ21" i="2"/>
  <c r="GZ29" i="2"/>
  <c r="GZ37" i="2"/>
  <c r="GZ45" i="2"/>
  <c r="GZ53" i="2"/>
  <c r="GZ61" i="2"/>
  <c r="GZ69" i="2"/>
  <c r="GZ77" i="2"/>
  <c r="GZ85" i="2"/>
  <c r="GZ93" i="2"/>
  <c r="GZ101" i="2"/>
  <c r="GZ109" i="2"/>
  <c r="GZ117" i="2"/>
  <c r="GZ125" i="2"/>
  <c r="GZ133" i="2"/>
  <c r="GZ141" i="2"/>
  <c r="GZ149" i="2"/>
  <c r="GZ157" i="2"/>
  <c r="GZ165" i="2"/>
  <c r="GZ173" i="2"/>
  <c r="GZ181" i="2"/>
  <c r="GZ189" i="2"/>
  <c r="GZ197" i="2"/>
  <c r="GZ6" i="2"/>
  <c r="GZ14" i="2"/>
  <c r="GZ22" i="2"/>
  <c r="GZ30" i="2"/>
  <c r="GZ38" i="2"/>
  <c r="GZ46" i="2"/>
  <c r="GZ54" i="2"/>
  <c r="GZ62" i="2"/>
  <c r="GZ70" i="2"/>
  <c r="GZ78" i="2"/>
  <c r="GZ86" i="2"/>
  <c r="GZ94" i="2"/>
  <c r="GZ102" i="2"/>
  <c r="GZ110" i="2"/>
  <c r="GZ118" i="2"/>
  <c r="GZ126" i="2"/>
  <c r="GZ134" i="2"/>
  <c r="GZ142" i="2"/>
  <c r="GZ150" i="2"/>
  <c r="GZ158" i="2"/>
  <c r="GZ166" i="2"/>
  <c r="GZ174" i="2"/>
  <c r="GZ182" i="2"/>
  <c r="GZ190" i="2"/>
  <c r="GZ198" i="2"/>
  <c r="GZ7" i="2"/>
  <c r="GZ15" i="2"/>
  <c r="GZ23" i="2"/>
  <c r="GZ31" i="2"/>
  <c r="GZ39" i="2"/>
  <c r="GZ47" i="2"/>
  <c r="GZ55" i="2"/>
  <c r="GZ63" i="2"/>
  <c r="GZ71" i="2"/>
  <c r="GZ79" i="2"/>
  <c r="GZ87" i="2"/>
  <c r="GZ95" i="2"/>
  <c r="GZ103" i="2"/>
  <c r="GZ111" i="2"/>
  <c r="GZ119" i="2"/>
  <c r="GZ127" i="2"/>
  <c r="GZ135" i="2"/>
  <c r="GZ143" i="2"/>
  <c r="GZ151" i="2"/>
  <c r="GZ159" i="2"/>
  <c r="GZ167" i="2"/>
  <c r="GZ175" i="2"/>
  <c r="GZ183" i="2"/>
  <c r="GZ191" i="2"/>
  <c r="GZ199" i="2"/>
  <c r="GZ16" i="2"/>
  <c r="GZ24" i="2"/>
  <c r="GZ32" i="2"/>
  <c r="GZ40" i="2"/>
  <c r="GZ48" i="2"/>
  <c r="GZ56" i="2"/>
  <c r="GZ64" i="2"/>
  <c r="GZ72" i="2"/>
  <c r="GZ80" i="2"/>
  <c r="GZ88" i="2"/>
  <c r="GZ96" i="2"/>
  <c r="GZ104" i="2"/>
  <c r="GZ112" i="2"/>
  <c r="GZ120" i="2"/>
  <c r="GZ128" i="2"/>
  <c r="GZ136" i="2"/>
  <c r="GZ144" i="2"/>
  <c r="GZ152" i="2"/>
  <c r="GZ160" i="2"/>
  <c r="GZ168" i="2"/>
  <c r="GZ176" i="2"/>
  <c r="GZ184" i="2"/>
  <c r="GZ192" i="2"/>
  <c r="GZ200" i="2"/>
  <c r="GZ9" i="2"/>
  <c r="GZ17" i="2"/>
  <c r="GZ25" i="2"/>
  <c r="GZ33" i="2"/>
  <c r="GZ41" i="2"/>
  <c r="GZ49" i="2"/>
  <c r="GZ57" i="2"/>
  <c r="GZ65" i="2"/>
  <c r="GZ73" i="2"/>
  <c r="GZ81" i="2"/>
  <c r="GZ89" i="2"/>
  <c r="GZ97" i="2"/>
  <c r="GZ105" i="2"/>
  <c r="GZ113" i="2"/>
  <c r="GZ121" i="2"/>
  <c r="GZ129" i="2"/>
  <c r="GZ137" i="2"/>
  <c r="GZ145" i="2"/>
  <c r="GZ153" i="2"/>
  <c r="GZ161" i="2"/>
  <c r="GZ169" i="2"/>
  <c r="GZ177" i="2"/>
  <c r="GZ185" i="2"/>
  <c r="GZ193" i="2"/>
  <c r="GZ201" i="2"/>
  <c r="GZ10" i="2"/>
  <c r="GZ18" i="2"/>
  <c r="GZ26" i="2"/>
  <c r="GZ34" i="2"/>
  <c r="GZ42" i="2"/>
  <c r="GZ50" i="2"/>
  <c r="GZ58" i="2"/>
  <c r="GZ66" i="2"/>
  <c r="GZ74" i="2"/>
  <c r="GZ82" i="2"/>
  <c r="GZ90" i="2"/>
  <c r="GZ98" i="2"/>
  <c r="GZ106" i="2"/>
  <c r="GZ114" i="2"/>
  <c r="GZ122" i="2"/>
  <c r="GZ130" i="2"/>
  <c r="GZ138" i="2"/>
  <c r="GZ146" i="2"/>
  <c r="GZ154" i="2"/>
  <c r="GZ162" i="2"/>
  <c r="GZ170" i="2"/>
  <c r="GZ178" i="2"/>
  <c r="GZ186" i="2"/>
  <c r="GZ194" i="2"/>
  <c r="GZ202" i="2"/>
  <c r="GZ67" i="2"/>
  <c r="GZ131" i="2"/>
  <c r="GZ195" i="2"/>
  <c r="GZ11" i="2"/>
  <c r="GZ75" i="2"/>
  <c r="GZ139" i="2"/>
  <c r="GZ203" i="2"/>
  <c r="GZ19" i="2"/>
  <c r="GZ83" i="2"/>
  <c r="GZ147" i="2"/>
  <c r="GZ27" i="2"/>
  <c r="GZ91" i="2"/>
  <c r="GZ155" i="2"/>
  <c r="GZ51" i="2"/>
  <c r="GZ115" i="2"/>
  <c r="GZ179" i="2"/>
  <c r="GZ171" i="2"/>
  <c r="GZ35" i="2"/>
  <c r="GZ187" i="2"/>
  <c r="GZ43" i="2"/>
  <c r="GZ59" i="2"/>
  <c r="GZ99" i="2"/>
  <c r="GZ107" i="2"/>
  <c r="GZ123" i="2"/>
  <c r="GZ163" i="2"/>
  <c r="S61" i="6"/>
  <c r="H17" i="2"/>
  <c r="D18" i="2"/>
  <c r="G18" i="2" s="1"/>
  <c r="S34" i="6"/>
  <c r="D12" i="1"/>
  <c r="D13" i="1"/>
  <c r="D14" i="1"/>
  <c r="K25" i="6" s="1"/>
  <c r="L25" i="6" s="1"/>
  <c r="D15" i="1"/>
  <c r="K26" i="6" s="1"/>
  <c r="L26" i="6" s="1"/>
  <c r="D16" i="1"/>
  <c r="K27" i="6" s="1"/>
  <c r="L27" i="6" s="1"/>
  <c r="D17" i="1"/>
  <c r="K28" i="6" s="1"/>
  <c r="L28" i="6" s="1"/>
  <c r="D18" i="1"/>
  <c r="S62" i="6" l="1"/>
  <c r="H18" i="2"/>
  <c r="D19" i="2"/>
  <c r="G19" i="2" s="1"/>
  <c r="S35" i="6"/>
  <c r="B13" i="4"/>
  <c r="B15" i="4"/>
  <c r="K29" i="6"/>
  <c r="L29" i="6" s="1"/>
  <c r="B6" i="4"/>
  <c r="K20" i="6"/>
  <c r="L20" i="6" s="1"/>
  <c r="B8" i="4"/>
  <c r="K22" i="6"/>
  <c r="L22" i="6" s="1"/>
  <c r="B12" i="4"/>
  <c r="B7" i="4"/>
  <c r="K21" i="6"/>
  <c r="L21" i="6" s="1"/>
  <c r="B11" i="4"/>
  <c r="B10" i="4"/>
  <c r="K24" i="6"/>
  <c r="L24" i="6" s="1"/>
  <c r="B9" i="4"/>
  <c r="K23" i="6"/>
  <c r="L23" i="6" s="1"/>
  <c r="D19" i="1"/>
  <c r="B14" i="4"/>
  <c r="S63" i="6" l="1"/>
  <c r="H19" i="2"/>
  <c r="D20" i="2"/>
  <c r="G20" i="2" s="1"/>
  <c r="J33" i="6"/>
  <c r="S36" i="6"/>
  <c r="S64" i="6" l="1"/>
  <c r="H20" i="2"/>
  <c r="D21" i="2"/>
  <c r="G21" i="2" s="1"/>
  <c r="S37" i="6"/>
  <c r="S65" i="6" l="1"/>
  <c r="H21" i="2"/>
  <c r="D22" i="2"/>
  <c r="G22" i="2" s="1"/>
  <c r="S38" i="6"/>
  <c r="S66" i="6" l="1"/>
  <c r="H22" i="2"/>
  <c r="D23" i="2"/>
  <c r="G23" i="2" s="1"/>
  <c r="S39" i="6"/>
  <c r="S67" i="6" l="1"/>
  <c r="H23" i="2"/>
  <c r="D24" i="2"/>
  <c r="G24" i="2" s="1"/>
  <c r="S40" i="6"/>
  <c r="S68" i="6" l="1"/>
  <c r="H24" i="2"/>
  <c r="D25" i="2"/>
  <c r="G25" i="2" s="1"/>
  <c r="S41" i="6"/>
  <c r="S69" i="6" l="1"/>
  <c r="H25" i="2"/>
  <c r="D26" i="2"/>
  <c r="G26" i="2" s="1"/>
  <c r="S42" i="6"/>
  <c r="S70" i="6" l="1"/>
  <c r="H26" i="2"/>
  <c r="D27" i="2"/>
  <c r="G27" i="2" s="1"/>
  <c r="S43" i="6"/>
  <c r="S71" i="6" l="1"/>
  <c r="H27" i="2"/>
  <c r="D28" i="2"/>
  <c r="G28" i="2" s="1"/>
  <c r="S44" i="6"/>
  <c r="S72" i="6" l="1"/>
  <c r="H28" i="2"/>
  <c r="D29" i="2"/>
  <c r="G29" i="2" s="1"/>
  <c r="S45" i="6"/>
  <c r="S73" i="6" l="1"/>
  <c r="H29" i="2"/>
  <c r="D30" i="2"/>
  <c r="G30" i="2" s="1"/>
  <c r="S46" i="6"/>
  <c r="S74" i="6" l="1"/>
  <c r="H30" i="2"/>
  <c r="D31" i="2"/>
  <c r="G31" i="2" s="1"/>
  <c r="S47" i="6"/>
  <c r="S75" i="6" l="1"/>
  <c r="H31" i="2"/>
  <c r="D32" i="2"/>
  <c r="G32" i="2" s="1"/>
  <c r="S48" i="6"/>
  <c r="S76" i="6" l="1"/>
  <c r="H32" i="2"/>
  <c r="D33" i="2"/>
  <c r="G33" i="2" s="1"/>
  <c r="S49" i="6"/>
  <c r="S77" i="6" l="1"/>
  <c r="H33" i="2"/>
  <c r="D34" i="2"/>
  <c r="G34" i="2" s="1"/>
  <c r="S50" i="6"/>
  <c r="S78" i="6" l="1"/>
  <c r="H34" i="2"/>
  <c r="D35" i="2"/>
  <c r="G35" i="2" s="1"/>
  <c r="S51" i="6"/>
  <c r="S79" i="6" l="1"/>
  <c r="H35" i="2"/>
  <c r="D36" i="2"/>
  <c r="G36" i="2" s="1"/>
  <c r="S52" i="6"/>
  <c r="S80" i="6" l="1"/>
  <c r="H36" i="2"/>
  <c r="D37" i="2"/>
  <c r="G37" i="2" s="1"/>
  <c r="S53" i="6"/>
  <c r="Y3" i="2"/>
  <c r="AC3" i="2"/>
  <c r="S81" i="6" l="1"/>
  <c r="H37" i="2"/>
  <c r="D38" i="2"/>
  <c r="G38" i="2" s="1"/>
  <c r="S54" i="6"/>
  <c r="V3" i="2"/>
  <c r="U3" i="2"/>
  <c r="S82" i="6" l="1"/>
  <c r="H38" i="2"/>
  <c r="D39" i="2"/>
  <c r="G39" i="2" s="1"/>
  <c r="S55" i="6"/>
  <c r="I39" i="1"/>
  <c r="I38" i="1"/>
  <c r="S84" i="6" l="1"/>
  <c r="S83" i="6"/>
  <c r="H39" i="2"/>
  <c r="D40" i="2"/>
  <c r="G40" i="2" s="1"/>
  <c r="S57" i="6"/>
  <c r="S56" i="6"/>
  <c r="H40" i="2" l="1"/>
  <c r="D41" i="2"/>
  <c r="G41" i="2" s="1"/>
  <c r="P28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DF4" i="2" s="1"/>
  <c r="BM4" i="2"/>
  <c r="DD4" i="2"/>
  <c r="DG4" i="2" s="1"/>
  <c r="CH4" i="2"/>
  <c r="BN4" i="2"/>
  <c r="BQ4" i="2" s="1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CM4" i="2" s="1"/>
  <c r="BO4" i="2"/>
  <c r="BB4" i="2"/>
  <c r="BA4" i="2"/>
  <c r="AT4" i="2"/>
  <c r="A5" i="2"/>
  <c r="AQ4" i="2"/>
  <c r="AF4" i="2"/>
  <c r="AG4" i="2"/>
  <c r="AP4" i="2"/>
  <c r="Y4" i="2"/>
  <c r="U4" i="2"/>
  <c r="V4" i="2"/>
  <c r="DH4" i="2" l="1"/>
  <c r="DH5" i="2" s="1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DG5" i="2" s="1"/>
  <c r="CH5" i="2"/>
  <c r="AS5" i="2"/>
  <c r="DX5" i="2"/>
  <c r="CI5" i="2"/>
  <c r="X5" i="2"/>
  <c r="DC5" i="2"/>
  <c r="DF5" i="2" s="1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CM5" i="2" l="1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DG6" i="2" s="1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DH6" i="2" s="1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DF6" i="2" l="1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G7" i="2" s="1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H7" i="2" s="1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DF7" i="2" l="1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G8" i="2" s="1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H8" i="2" s="1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DF8" i="2" l="1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H9" i="2" s="1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DF9" i="2" l="1"/>
  <c r="DG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DF10" i="2" s="1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DH10" i="2" s="1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DG10" i="2" l="1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DF11" i="2" s="1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H11" i="2" s="1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DG11" i="2" l="1"/>
  <c r="CM11" i="2"/>
  <c r="AU11" i="2"/>
  <c r="AV11" i="2"/>
  <c r="AW11" i="2"/>
  <c r="AW12" i="2" s="1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DF12" i="2" s="1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DH12" i="2" s="1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AU12" i="2" l="1"/>
  <c r="DG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H13" i="2" s="1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U13" i="2" s="1"/>
  <c r="AG13" i="2"/>
  <c r="AP13" i="2"/>
  <c r="AF13" i="2"/>
  <c r="V13" i="2"/>
  <c r="A14" i="2"/>
  <c r="Y13" i="2"/>
  <c r="U13" i="2"/>
  <c r="AX9" i="2"/>
  <c r="Z12" i="2"/>
  <c r="AC11" i="2"/>
  <c r="DF13" i="2" l="1"/>
  <c r="DG13" i="2"/>
  <c r="CM13" i="2"/>
  <c r="CK13" i="2"/>
  <c r="CL13" i="2"/>
  <c r="AV13" i="2"/>
  <c r="AW13" i="2"/>
  <c r="AW14" i="2" s="1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DH14" i="2" s="1"/>
  <c r="EU14" i="2"/>
  <c r="CF14" i="2"/>
  <c r="BL14" i="2"/>
  <c r="CG14" i="2"/>
  <c r="CM14" i="2" s="1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DG14" i="2" l="1"/>
  <c r="DF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H15" i="2" s="1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CM15" i="2" s="1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DG15" i="2" l="1"/>
  <c r="DF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DG16" i="2" s="1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H16" i="2" s="1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DF16" i="2" l="1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DG17" i="2" s="1"/>
  <c r="ET17" i="2"/>
  <c r="CH17" i="2"/>
  <c r="AS17" i="2"/>
  <c r="CI17" i="2"/>
  <c r="X17" i="2"/>
  <c r="AR17" i="2"/>
  <c r="ES17" i="2"/>
  <c r="BN17" i="2"/>
  <c r="W17" i="2"/>
  <c r="DC17" i="2"/>
  <c r="DF17" i="2" s="1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H17" i="2" s="1"/>
  <c r="DL17" i="2"/>
  <c r="DZ17" i="2"/>
  <c r="CG17" i="2"/>
  <c r="BV17" i="2"/>
  <c r="BO17" i="2"/>
  <c r="BB17" i="2"/>
  <c r="BK17" i="2"/>
  <c r="DE17" i="2"/>
  <c r="BW17" i="2"/>
  <c r="CF17" i="2"/>
  <c r="BL17" i="2"/>
  <c r="BR17" i="2" s="1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CM17" i="2" l="1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DG18" i="2" s="1"/>
  <c r="BN18" i="2"/>
  <c r="FO18" i="2"/>
  <c r="CH18" i="2"/>
  <c r="AS18" i="2"/>
  <c r="ES18" i="2"/>
  <c r="DX18" i="2"/>
  <c r="DC18" i="2"/>
  <c r="DF18" i="2" s="1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DH18" i="2" s="1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CM18" i="2" l="1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DG19" i="2" s="1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DH19" i="2" s="1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DF19" i="2" l="1"/>
  <c r="CL19" i="2"/>
  <c r="CM19" i="2"/>
  <c r="BR19" i="2"/>
  <c r="AU19" i="2"/>
  <c r="AV19" i="2"/>
  <c r="AV20" i="2" s="1"/>
  <c r="AW19" i="2"/>
  <c r="AW20" i="2" s="1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DF20" i="2" s="1"/>
  <c r="CH20" i="2"/>
  <c r="BN20" i="2"/>
  <c r="AS20" i="2"/>
  <c r="AR20" i="2"/>
  <c r="FN20" i="2"/>
  <c r="HE20" i="2"/>
  <c r="DD20" i="2"/>
  <c r="DG20" i="2" s="1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DH20" i="2" s="1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CM20" i="2" l="1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DG21" i="2" s="1"/>
  <c r="CH21" i="2"/>
  <c r="AS21" i="2"/>
  <c r="DX21" i="2"/>
  <c r="CI21" i="2"/>
  <c r="BM21" i="2"/>
  <c r="X21" i="2"/>
  <c r="DC21" i="2"/>
  <c r="DF21" i="2" s="1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DH21" i="2" s="1"/>
  <c r="FL21" i="2"/>
  <c r="FC21" i="2"/>
  <c r="DZ21" i="2"/>
  <c r="DE21" i="2"/>
  <c r="DL21" i="2"/>
  <c r="CG21" i="2"/>
  <c r="CM21" i="2" s="1"/>
  <c r="BV21" i="2"/>
  <c r="BO21" i="2"/>
  <c r="BB21" i="2"/>
  <c r="BK21" i="2"/>
  <c r="BW21" i="2"/>
  <c r="BL21" i="2"/>
  <c r="BR21" i="2" s="1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AU21" i="2" l="1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DG22" i="2" s="1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DH22" i="2" s="1"/>
  <c r="CG22" i="2"/>
  <c r="CM22" i="2" s="1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DF22" i="2" l="1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H23" i="2" s="1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CM23" i="2" s="1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DF23" i="2" l="1"/>
  <c r="DG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G24" i="2" s="1"/>
  <c r="DC24" i="2"/>
  <c r="DF24" i="2" s="1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H24" i="2" s="1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CM24" i="2" s="1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CK24" i="2" l="1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DG25" i="2" s="1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DH25" i="2" s="1"/>
  <c r="HC25" i="2"/>
  <c r="DZ25" i="2"/>
  <c r="CR25" i="2"/>
  <c r="DE25" i="2"/>
  <c r="DL25" i="2"/>
  <c r="CG25" i="2"/>
  <c r="CM25" i="2" s="1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DF25" i="2" l="1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G26" i="2" s="1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DH26" i="2" s="1"/>
  <c r="EU26" i="2"/>
  <c r="CF26" i="2"/>
  <c r="BB26" i="2"/>
  <c r="CG26" i="2"/>
  <c r="CM26" i="2" s="1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DF26" i="2" l="1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DG27" i="2" s="1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DH27" i="2" s="1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CM27" i="2" s="1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DH28" i="2" l="1"/>
  <c r="DF27" i="2"/>
  <c r="AW27" i="2"/>
  <c r="AV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DF28" i="2" s="1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CM28" i="2" s="1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DG28" i="2" l="1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H29" i="2" s="1"/>
  <c r="DZ29" i="2"/>
  <c r="CR29" i="2"/>
  <c r="CQ29" i="2"/>
  <c r="DE29" i="2"/>
  <c r="CG29" i="2"/>
  <c r="CM29" i="2" s="1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DG29" i="2" l="1"/>
  <c r="DF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DG30" i="2" s="1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DH30" i="2" s="1"/>
  <c r="EU30" i="2"/>
  <c r="CR30" i="2"/>
  <c r="CQ30" i="2"/>
  <c r="CF30" i="2"/>
  <c r="BB30" i="2"/>
  <c r="CG30" i="2"/>
  <c r="CM30" i="2" s="1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DF30" i="2" l="1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F31" i="2" s="1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DH31" i="2" s="1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CM31" i="2" s="1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CK31" i="2" l="1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DG32" i="2" s="1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H32" i="2" s="1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CM32" i="2" s="1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DF32" i="2" l="1"/>
  <c r="DF33" i="2" s="1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DG33" i="2" l="1"/>
  <c r="DH33" i="2"/>
  <c r="DH34" i="2" s="1"/>
  <c r="AV33" i="2"/>
  <c r="AW33" i="2"/>
  <c r="AU33" i="2"/>
  <c r="BR33" i="2"/>
  <c r="BP33" i="2"/>
  <c r="BQ33" i="2"/>
  <c r="CL33" i="2"/>
  <c r="CK33" i="2"/>
  <c r="CM33" i="2"/>
  <c r="CM34" i="2" s="1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DF34" i="2" s="1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DG34" i="2" l="1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F35" i="2" s="1"/>
  <c r="DD35" i="2"/>
  <c r="DG35" i="2" s="1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DH35" i="2" s="1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AV35" i="2" l="1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DG36" i="2" s="1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DH36" i="2" s="1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DF36" i="2" l="1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DG37" i="2" s="1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DH37" i="2" s="1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DF37" i="2" l="1"/>
  <c r="AV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DG38" i="2" s="1"/>
  <c r="CI38" i="2"/>
  <c r="BM38" i="2"/>
  <c r="X38" i="2"/>
  <c r="DC38" i="2"/>
  <c r="DF38" i="2" s="1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CM38" i="2" s="1"/>
  <c r="BV38" i="2"/>
  <c r="BO38" i="2"/>
  <c r="DB38" i="2"/>
  <c r="DH38" i="2" s="1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BR38" i="2" l="1"/>
  <c r="AV38" i="2"/>
  <c r="AU38" i="2"/>
  <c r="AW38" i="2"/>
  <c r="AW39" i="2" s="1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G39" i="2" s="1"/>
  <c r="DC39" i="2"/>
  <c r="DF39" i="2" s="1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H39" i="2" s="1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CM39" i="2" s="1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AV39" i="2" l="1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DH40" i="2" s="1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CM40" i="2" s="1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DF40" i="2" l="1"/>
  <c r="DG40" i="2"/>
  <c r="AV40" i="2"/>
  <c r="AU40" i="2"/>
  <c r="AW40" i="2"/>
  <c r="AW41" i="2" s="1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DH41" i="2" s="1"/>
  <c r="CR41" i="2"/>
  <c r="GS41" i="2"/>
  <c r="DZ41" i="2"/>
  <c r="DE41" i="2"/>
  <c r="CQ41" i="2"/>
  <c r="DL41" i="2"/>
  <c r="CG41" i="2"/>
  <c r="CM41" i="2" s="1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DH42" i="2" l="1"/>
  <c r="DF41" i="2"/>
  <c r="DG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DF42" i="2" s="1"/>
  <c r="W42" i="2"/>
  <c r="X42" i="2"/>
  <c r="DD42" i="2"/>
  <c r="DG42" i="2" s="1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CM42" i="2" s="1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AV42" i="2" l="1"/>
  <c r="AU42" i="2"/>
  <c r="AW42" i="2"/>
  <c r="AW43" i="2" s="1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H43" i="2" s="1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F43" i="2" l="1"/>
  <c r="DG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DH44" i="2" s="1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DF44" i="2" l="1"/>
  <c r="DG44" i="2"/>
  <c r="CM44" i="2"/>
  <c r="AU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DG45" i="2" s="1"/>
  <c r="CH45" i="2"/>
  <c r="AS45" i="2"/>
  <c r="CI45" i="2"/>
  <c r="BM45" i="2"/>
  <c r="X45" i="2"/>
  <c r="HD45" i="2"/>
  <c r="DC45" i="2"/>
  <c r="DF45" i="2" s="1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H45" i="2" s="1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CM45" i="2" l="1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DH46" i="2" s="1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DF46" i="2" l="1"/>
  <c r="DG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H47" i="2" s="1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DF47" i="2" l="1"/>
  <c r="DG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DF48" i="2" s="1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H48" i="2" s="1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DG48" i="2" l="1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H49" i="2" s="1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DG49" i="2" l="1"/>
  <c r="DF49" i="2"/>
  <c r="CM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DG50" i="2" s="1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DH50" i="2" s="1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DF50" i="2" l="1"/>
  <c r="CM50" i="2"/>
  <c r="AV50" i="2"/>
  <c r="AU50" i="2"/>
  <c r="AW50" i="2"/>
  <c r="AW51" i="2" s="1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F51" i="2" s="1"/>
  <c r="DD51" i="2"/>
  <c r="DG51" i="2" s="1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DH51" i="2" s="1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CM51" i="2" l="1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DG52" i="2" s="1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DH52" i="2" s="1"/>
  <c r="FW52" i="2"/>
  <c r="DZ52" i="2"/>
  <c r="DL52" i="2"/>
  <c r="DE52" i="2"/>
  <c r="EQ52" i="2"/>
  <c r="EH52" i="2"/>
  <c r="CQ52" i="2"/>
  <c r="CJ52" i="2"/>
  <c r="BK52" i="2"/>
  <c r="CR52" i="2"/>
  <c r="BW52" i="2"/>
  <c r="BL52" i="2"/>
  <c r="BR52" i="2" s="1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DF52" i="2" l="1"/>
  <c r="AU52" i="2"/>
  <c r="CM52" i="2"/>
  <c r="AV52" i="2"/>
  <c r="AW52" i="2"/>
  <c r="AW53" i="2" s="1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DH53" i="2" s="1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DF53" i="2" l="1"/>
  <c r="DG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DH54" i="2" s="1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DF54" i="2" l="1"/>
  <c r="DG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G55" i="2" s="1"/>
  <c r="DC55" i="2"/>
  <c r="DF55" i="2" s="1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H55" i="2" s="1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BR55" i="2" l="1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G56" i="2" s="1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H56" i="2" s="1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DF56" i="2" l="1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H57" i="2" s="1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DF57" i="2" l="1"/>
  <c r="DG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DF58" i="2" s="1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DH58" i="2" s="1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DG58" i="2" l="1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DF59" i="2" s="1"/>
  <c r="BN59" i="2"/>
  <c r="CI59" i="2"/>
  <c r="BM59" i="2"/>
  <c r="DD59" i="2"/>
  <c r="DG59" i="2" s="1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H59" i="2" s="1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CM59" i="2" l="1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DH60" i="2" s="1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DG60" i="2" l="1"/>
  <c r="DF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DF61" i="2" s="1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DH61" i="2" s="1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DG61" i="2" l="1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DH62" i="2" s="1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DF62" i="2" l="1"/>
  <c r="DG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H63" i="2" s="1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DG63" i="2" l="1"/>
  <c r="DF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DF64" i="2" s="1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H64" i="2" s="1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DG64" i="2" l="1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H65" i="2" s="1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DG65" i="2" l="1"/>
  <c r="DF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DG66" i="2" s="1"/>
  <c r="BN66" i="2"/>
  <c r="CH66" i="2"/>
  <c r="AS66" i="2"/>
  <c r="DY66" i="2"/>
  <c r="DC66" i="2"/>
  <c r="DF66" i="2" s="1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DH66" i="2" s="1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CM66" i="2" l="1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DH67" i="2" s="1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DG67" i="2" l="1"/>
  <c r="DF67" i="2"/>
  <c r="CM67" i="2"/>
  <c r="BR67" i="2"/>
  <c r="AV67" i="2"/>
  <c r="AW67" i="2"/>
  <c r="AU67" i="2"/>
  <c r="AU68" i="2" s="1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DH68" i="2" s="1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DG68" i="2" l="1"/>
  <c r="DF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DF69" i="2" s="1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DH69" i="2" s="1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DG69" i="2" l="1"/>
  <c r="CM69" i="2"/>
  <c r="BP69" i="2"/>
  <c r="AV69" i="2"/>
  <c r="AW69" i="2"/>
  <c r="AU69" i="2"/>
  <c r="AU70" i="2" s="1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F70" i="2" s="1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DH70" i="2" s="1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DG70" i="2" l="1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DF71" i="2" s="1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H71" i="2" s="1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DG71" i="2" l="1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DF72" i="2" s="1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H72" i="2" s="1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DG72" i="2" l="1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DF73" i="2" s="1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H73" i="2" s="1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DG73" i="2" l="1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DF74" i="2" s="1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DH74" i="2" s="1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DG74" i="2" l="1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DF75" i="2" s="1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H75" i="2" s="1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DG75" i="2" l="1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DH76" i="2" s="1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DG76" i="2" l="1"/>
  <c r="DF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H77" i="2" s="1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DG77" i="2" l="1"/>
  <c r="DF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DH78" i="2" s="1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DF78" i="2" l="1"/>
  <c r="DG78" i="2"/>
  <c r="AU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H79" i="2" s="1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DG79" i="2" l="1"/>
  <c r="DF79" i="2"/>
  <c r="CM79" i="2"/>
  <c r="AV79" i="2"/>
  <c r="AW79" i="2"/>
  <c r="AU79" i="2"/>
  <c r="AU80" i="2" s="1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H80" i="2" s="1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DG80" i="2" l="1"/>
  <c r="DF80" i="2"/>
  <c r="CM80" i="2"/>
  <c r="AV80" i="2"/>
  <c r="AW80" i="2"/>
  <c r="AW81" i="2" s="1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H81" i="2" s="1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DF81" i="2" l="1"/>
  <c r="DG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DG82" i="2" s="1"/>
  <c r="BN82" i="2"/>
  <c r="FO82" i="2"/>
  <c r="CH82" i="2"/>
  <c r="AS82" i="2"/>
  <c r="ES82" i="2"/>
  <c r="DX82" i="2"/>
  <c r="DC82" i="2"/>
  <c r="DF82" i="2" s="1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DH82" i="2" s="1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CM82" i="2" l="1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DG83" i="2" s="1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DH83" i="2" s="1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DF83" i="2" l="1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DF84" i="2" s="1"/>
  <c r="CH84" i="2"/>
  <c r="BN84" i="2"/>
  <c r="AS84" i="2"/>
  <c r="AR84" i="2"/>
  <c r="FN84" i="2"/>
  <c r="DD84" i="2"/>
  <c r="DG84" i="2" s="1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DH84" i="2" s="1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CM84" i="2" l="1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G85" i="2" s="1"/>
  <c r="DY85" i="2"/>
  <c r="CH85" i="2"/>
  <c r="AS85" i="2"/>
  <c r="DX85" i="2"/>
  <c r="CI85" i="2"/>
  <c r="BM85" i="2"/>
  <c r="X85" i="2"/>
  <c r="DC85" i="2"/>
  <c r="DF85" i="2" s="1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DH85" i="2" s="1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DH86" i="2" l="1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F86" i="2" s="1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DG86" i="2" s="1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CM86" i="2" l="1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G87" i="2" s="1"/>
  <c r="DC87" i="2"/>
  <c r="DF87" i="2" s="1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H87" i="2" s="1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CM87" i="2" l="1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H88" i="2" s="1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DF88" i="2" l="1"/>
  <c r="DG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DF89" i="2" s="1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H89" i="2" s="1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DG89" i="2" l="1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DH90" i="2" s="1"/>
  <c r="EU90" i="2"/>
  <c r="CQ90" i="2"/>
  <c r="CF90" i="2"/>
  <c r="BB90" i="2"/>
  <c r="CG90" i="2"/>
  <c r="BV90" i="2"/>
  <c r="BO90" i="2"/>
  <c r="BK90" i="2"/>
  <c r="BW90" i="2"/>
  <c r="BL90" i="2"/>
  <c r="BR90" i="2" s="1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DF90" i="2" l="1"/>
  <c r="DF91" i="2" s="1"/>
  <c r="DG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H91" i="2" s="1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DG91" i="2" l="1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DH92" i="2" s="1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DG92" i="2" l="1"/>
  <c r="DG93" i="2" s="1"/>
  <c r="DF92" i="2"/>
  <c r="CM92" i="2"/>
  <c r="BR92" i="2"/>
  <c r="AV92" i="2"/>
  <c r="AU92" i="2"/>
  <c r="AW92" i="2"/>
  <c r="AW93" i="2" s="1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DF93" i="2" s="1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H93" i="2" s="1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BR93" i="2" l="1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DF94" i="2" s="1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DH94" i="2" s="1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DG94" i="2" l="1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DH95" i="2" s="1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DF95" i="2" l="1"/>
  <c r="DG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H96" i="2" s="1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DF96" i="2" l="1"/>
  <c r="DG96" i="2"/>
  <c r="CM96" i="2"/>
  <c r="AV96" i="2"/>
  <c r="AU96" i="2"/>
  <c r="AW96" i="2"/>
  <c r="AW97" i="2" s="1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DF97" i="2" s="1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H97" i="2" s="1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DG97" i="2" l="1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DH98" i="2" s="1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DG98" i="2" l="1"/>
  <c r="DF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DH99" i="2" s="1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DG99" i="2" l="1"/>
  <c r="DF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DH100" i="2" s="1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DG100" i="2" l="1"/>
  <c r="DF100" i="2"/>
  <c r="DF101" i="2" s="1"/>
  <c r="AU100" i="2"/>
  <c r="CM100" i="2"/>
  <c r="BP100" i="2"/>
  <c r="BR100" i="2"/>
  <c r="AV100" i="2"/>
  <c r="AW100" i="2"/>
  <c r="AW101" i="2" s="1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DH101" i="2" s="1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BR101" i="2" s="1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DG101" i="2" l="1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DH102" i="2" s="1"/>
  <c r="BK102" i="2"/>
  <c r="BW102" i="2"/>
  <c r="BL102" i="2"/>
  <c r="BR102" i="2" s="1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DG102" i="2" l="1"/>
  <c r="DF102" i="2"/>
  <c r="DF103" i="2" s="1"/>
  <c r="AU102" i="2"/>
  <c r="CM102" i="2"/>
  <c r="AV102" i="2"/>
  <c r="AW102" i="2"/>
  <c r="AW103" i="2" s="1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H103" i="2" s="1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DG103" i="2" l="1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DG104" i="2" s="1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H104" i="2" s="1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DF104" i="2" l="1"/>
  <c r="AU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G105" i="2" s="1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DH105" i="2" s="1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DF105" i="2" l="1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DG106" i="2" s="1"/>
  <c r="BN106" i="2"/>
  <c r="ES106" i="2"/>
  <c r="DX106" i="2"/>
  <c r="CH106" i="2"/>
  <c r="AS106" i="2"/>
  <c r="DC106" i="2"/>
  <c r="W106" i="2"/>
  <c r="X106" i="2"/>
  <c r="BM106" i="2"/>
  <c r="BP106" i="2" s="1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DH106" i="2" s="1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DF106" i="2" l="1"/>
  <c r="AU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H107" i="2" s="1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DF107" i="2" l="1"/>
  <c r="DG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DH108" i="2" s="1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DG108" i="2" l="1"/>
  <c r="DF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G109" i="2" s="1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H109" i="2" s="1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DF109" i="2" l="1"/>
  <c r="CM109" i="2"/>
  <c r="BQ109" i="2"/>
  <c r="AV109" i="2"/>
  <c r="AW109" i="2"/>
  <c r="AU109" i="2"/>
  <c r="AU110" i="2" s="1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DH110" i="2" s="1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DF110" i="2" l="1"/>
  <c r="DF111" i="2" s="1"/>
  <c r="DG110" i="2"/>
  <c r="CM110" i="2"/>
  <c r="AV110" i="2"/>
  <c r="AW110" i="2"/>
  <c r="AW111" i="2" s="1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H111" i="2" s="1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DG111" i="2" l="1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DF112" i="2" s="1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H112" i="2" s="1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DG112" i="2" l="1"/>
  <c r="CM112" i="2"/>
  <c r="AV112" i="2"/>
  <c r="AU112" i="2"/>
  <c r="AW112" i="2"/>
  <c r="AW113" i="2" s="1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DF113" i="2" s="1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H113" i="2" s="1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DG113" i="2" l="1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DH114" i="2" s="1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DG114" i="2" l="1"/>
  <c r="DF114" i="2"/>
  <c r="AU114" i="2"/>
  <c r="CM114" i="2"/>
  <c r="BQ114" i="2"/>
  <c r="AV114" i="2"/>
  <c r="AW114" i="2"/>
  <c r="AW115" i="2" s="1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DH115" i="2" s="1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DG115" i="2" l="1"/>
  <c r="DF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DG116" i="2" s="1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DH116" i="2" s="1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DF116" i="2" l="1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DH117" i="2" s="1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DF117" i="2" l="1"/>
  <c r="DG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F118" i="2" s="1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DH118" i="2" s="1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DG118" i="2" l="1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F119" i="2" s="1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H119" i="2" s="1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DG119" i="2" l="1"/>
  <c r="CM119" i="2"/>
  <c r="AV119" i="2"/>
  <c r="AW119" i="2"/>
  <c r="AU119" i="2"/>
  <c r="AU120" i="2" s="1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H120" i="2" s="1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DG120" i="2" l="1"/>
  <c r="DF120" i="2"/>
  <c r="CM120" i="2"/>
  <c r="AV120" i="2"/>
  <c r="AW120" i="2"/>
  <c r="AW121" i="2" s="1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H121" i="2" s="1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DF121" i="2" l="1"/>
  <c r="DG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DH122" i="2" s="1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DG122" i="2" l="1"/>
  <c r="DF122" i="2"/>
  <c r="AU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H123" i="2" s="1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DG123" i="2" l="1"/>
  <c r="DG124" i="2" s="1"/>
  <c r="DF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DH124" i="2" s="1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DF124" i="2" l="1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DF125" i="2" s="1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H125" i="2" s="1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DG125" i="2" l="1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F126" i="2" s="1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DH126" i="2" s="1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DG126" i="2" l="1"/>
  <c r="DG127" i="2" s="1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H127" i="2" s="1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DF127" i="2" l="1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DG128" i="2" s="1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H128" i="2" s="1"/>
  <c r="DZ128" i="2"/>
  <c r="DL128" i="2"/>
  <c r="DE128" i="2"/>
  <c r="FM128" i="2"/>
  <c r="EQ128" i="2"/>
  <c r="EH128" i="2"/>
  <c r="CJ128" i="2"/>
  <c r="BK128" i="2"/>
  <c r="BW128" i="2"/>
  <c r="BL128" i="2"/>
  <c r="BR128" i="2" s="1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DF128" i="2" l="1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DF129" i="2" s="1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H129" i="2" s="1"/>
  <c r="DL129" i="2"/>
  <c r="CR129" i="2"/>
  <c r="DZ129" i="2"/>
  <c r="CG129" i="2"/>
  <c r="BV129" i="2"/>
  <c r="BO129" i="2"/>
  <c r="DE129" i="2"/>
  <c r="BK129" i="2"/>
  <c r="BW129" i="2"/>
  <c r="BL129" i="2"/>
  <c r="BR129" i="2" s="1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DG129" i="2" l="1"/>
  <c r="DG130" i="2" s="1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DH130" i="2" s="1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DF130" i="2" l="1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DH131" i="2" s="1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DF131" i="2" l="1"/>
  <c r="DF132" i="2" s="1"/>
  <c r="DG131" i="2"/>
  <c r="DG132" i="2" s="1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DH132" i="2" s="1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DH133" i="2" l="1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G133" i="2" s="1"/>
  <c r="DC133" i="2"/>
  <c r="DF133" i="2" s="1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CM133" i="2" l="1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DG134" i="2" s="1"/>
  <c r="BN134" i="2"/>
  <c r="DY134" i="2"/>
  <c r="CH134" i="2"/>
  <c r="AS134" i="2"/>
  <c r="W134" i="2"/>
  <c r="DC134" i="2"/>
  <c r="DF134" i="2" s="1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DH134" i="2" s="1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CM134" i="2" l="1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F135" i="2" s="1"/>
  <c r="DD135" i="2"/>
  <c r="DG135" i="2" s="1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H135" i="2" s="1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CM135" i="2" l="1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DF136" i="2" s="1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H136" i="2" s="1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DG136" i="2" l="1"/>
  <c r="AU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H137" i="2" s="1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DF137" i="2" l="1"/>
  <c r="DG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DH138" i="2" s="1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DG138" i="2" l="1"/>
  <c r="DF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DG139" i="2" s="1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H139" i="2" s="1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DF139" i="2" l="1"/>
  <c r="DF140" i="2" s="1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DH140" i="2" s="1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DG140" i="2" l="1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DF141" i="2" s="1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H141" i="2" s="1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DG141" i="2" l="1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F142" i="2" s="1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DH142" i="2" s="1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DG142" i="2" l="1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DG143" i="2" s="1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H143" i="2" s="1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DF143" i="2" l="1"/>
  <c r="DF144" i="2" s="1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DG144" i="2" s="1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H144" i="2" s="1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BR144" i="2" l="1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F145" i="2" s="1"/>
  <c r="DX145" i="2"/>
  <c r="DD145" i="2"/>
  <c r="DG145" i="2" s="1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H145" i="2" s="1"/>
  <c r="DL145" i="2"/>
  <c r="CR145" i="2"/>
  <c r="DZ145" i="2"/>
  <c r="CG145" i="2"/>
  <c r="BV145" i="2"/>
  <c r="BO145" i="2"/>
  <c r="BK145" i="2"/>
  <c r="DE145" i="2"/>
  <c r="BW145" i="2"/>
  <c r="BL145" i="2"/>
  <c r="BR145" i="2" s="1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CM145" i="2" l="1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DF146" i="2" s="1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DH146" i="2" s="1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DG146" i="2" l="1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DH147" i="2" s="1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DG147" i="2" l="1"/>
  <c r="DF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DH148" i="2" s="1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DG148" i="2" l="1"/>
  <c r="DF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G149" i="2" s="1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DH149" i="2" s="1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DF149" i="2" l="1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DG150" i="2" s="1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DH150" i="2" s="1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DF150" i="2" l="1"/>
  <c r="CM150" i="2"/>
  <c r="BQ150" i="2"/>
  <c r="BR150" i="2"/>
  <c r="AV150" i="2"/>
  <c r="AU150" i="2"/>
  <c r="AW150" i="2"/>
  <c r="AW151" i="2" s="1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DF151" i="2" s="1"/>
  <c r="HD151" i="2"/>
  <c r="DD151" i="2"/>
  <c r="BN151" i="2"/>
  <c r="BQ151" i="2" s="1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H151" i="2" s="1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Q18" i="6"/>
  <c r="Q20" i="6" s="1"/>
  <c r="DG151" i="2" l="1"/>
  <c r="BR151" i="2"/>
  <c r="CM151" i="2"/>
  <c r="AV151" i="2"/>
  <c r="AU151" i="2"/>
  <c r="BP151" i="2"/>
  <c r="CK151" i="2"/>
  <c r="CL151" i="2"/>
  <c r="J34" i="6"/>
  <c r="J35" i="6" s="1"/>
  <c r="J3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H152" i="2" s="1"/>
  <c r="DZ152" i="2"/>
  <c r="DL152" i="2"/>
  <c r="DE152" i="2"/>
  <c r="FW152" i="2"/>
  <c r="EQ152" i="2"/>
  <c r="EH152" i="2"/>
  <c r="CJ152" i="2"/>
  <c r="BK152" i="2"/>
  <c r="CR152" i="2"/>
  <c r="BW152" i="2"/>
  <c r="BL152" i="2"/>
  <c r="BR152" i="2" s="1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DG152" i="2" l="1"/>
  <c r="DF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H153" i="2" s="1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DF153" i="2" l="1"/>
  <c r="DG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DF154" i="2" s="1"/>
  <c r="CI154" i="2"/>
  <c r="BK154" i="2"/>
  <c r="BN154" i="2"/>
  <c r="U154" i="2"/>
  <c r="BV154" i="2"/>
  <c r="BO154" i="2"/>
  <c r="AP154" i="2"/>
  <c r="V154" i="2"/>
  <c r="L154" i="2"/>
  <c r="DB154" i="2"/>
  <c r="DH154" i="2" s="1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A154" i="2" s="1"/>
  <c r="AB153" i="2"/>
  <c r="AB154" i="2" s="1"/>
  <c r="AX150" i="2"/>
  <c r="Z153" i="2"/>
  <c r="Z154" i="2" s="1"/>
  <c r="AC152" i="2"/>
  <c r="DG154" i="2" l="1"/>
  <c r="DI154" i="2" s="1"/>
  <c r="CM154" i="2"/>
  <c r="BR154" i="2"/>
  <c r="AV154" i="2"/>
  <c r="AU154" i="2"/>
  <c r="AW154" i="2"/>
  <c r="AW155" i="2" s="1"/>
  <c r="BQ154" i="2"/>
  <c r="BP154" i="2"/>
  <c r="CL154" i="2"/>
  <c r="CK154" i="2"/>
  <c r="CN154" i="2" s="1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DH155" i="2" s="1"/>
  <c r="CH155" i="2"/>
  <c r="BO155" i="2"/>
  <c r="DC155" i="2"/>
  <c r="DF155" i="2" s="1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Z155" i="2" s="1"/>
  <c r="A156" i="2"/>
  <c r="H193" i="2"/>
  <c r="AC154" i="2"/>
  <c r="HJ154" i="2"/>
  <c r="EY154" i="2"/>
  <c r="ED154" i="2"/>
  <c r="GO154" i="2"/>
  <c r="FT154" i="2"/>
  <c r="D194" i="2"/>
  <c r="G194" i="2" s="1"/>
  <c r="DI153" i="2"/>
  <c r="FT153" i="2"/>
  <c r="CN153" i="2"/>
  <c r="HJ153" i="2"/>
  <c r="GO153" i="2"/>
  <c r="EY153" i="2"/>
  <c r="ED153" i="2"/>
  <c r="AC153" i="2"/>
  <c r="AX151" i="2"/>
  <c r="DG155" i="2" l="1"/>
  <c r="DI155" i="2" s="1"/>
  <c r="CM155" i="2"/>
  <c r="BQ155" i="2"/>
  <c r="AV155" i="2"/>
  <c r="AU155" i="2"/>
  <c r="BR155" i="2"/>
  <c r="BP155" i="2"/>
  <c r="CK155" i="2"/>
  <c r="CN155" i="2" s="1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GO155" i="2"/>
  <c r="ED155" i="2"/>
  <c r="AX152" i="2"/>
  <c r="DG156" i="2" l="1"/>
  <c r="DF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H157" i="2" s="1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DG157" i="2" l="1"/>
  <c r="DF157" i="2"/>
  <c r="DI157" i="2" s="1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DH158" i="2" s="1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DG158" i="2" l="1"/>
  <c r="DF158" i="2"/>
  <c r="DI158" i="2" s="1"/>
  <c r="AU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DH159" i="2" s="1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ED158" i="2"/>
  <c r="D198" i="2"/>
  <c r="G198" i="2" s="1"/>
  <c r="DG159" i="2" l="1"/>
  <c r="DF159" i="2"/>
  <c r="DI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ED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DH160" i="2" s="1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/>
  <c r="DF160" i="2" l="1"/>
  <c r="AU160" i="2"/>
  <c r="CM160" i="2"/>
  <c r="BR160" i="2"/>
  <c r="AV160" i="2"/>
  <c r="AW160" i="2"/>
  <c r="AW161" i="2" s="1"/>
  <c r="BQ160" i="2"/>
  <c r="BP160" i="2"/>
  <c r="CL160" i="2"/>
  <c r="CK160" i="2"/>
  <c r="CN159" i="2"/>
  <c r="FT159" i="2"/>
  <c r="GO159" i="2"/>
  <c r="Z160" i="2"/>
  <c r="AC159" i="2"/>
  <c r="HJ159" i="2"/>
  <c r="ED160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DG161" i="2" s="1"/>
  <c r="CJ161" i="2"/>
  <c r="EH161" i="2"/>
  <c r="CR161" i="2"/>
  <c r="ES161" i="2"/>
  <c r="DB161" i="2"/>
  <c r="DH161" i="2" s="1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DF161" i="2" l="1"/>
  <c r="DI161" i="2" s="1"/>
  <c r="CN160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DG162" i="2" s="1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DH162" i="2" s="1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/>
  <c r="ED161" i="2"/>
  <c r="DF162" i="2" l="1"/>
  <c r="AU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DH163" i="2" s="1"/>
  <c r="ER163" i="2"/>
  <c r="DZ163" i="2"/>
  <c r="EU163" i="2"/>
  <c r="DD163" i="2"/>
  <c r="DG163" i="2" s="1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DF163" i="2" l="1"/>
  <c r="DI163" i="2" s="1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DG164" i="2" s="1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F164" i="2" l="1"/>
  <c r="DI164" i="2" s="1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DH165" i="2" s="1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DF165" i="2" l="1"/>
  <c r="DG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DH166" i="2" s="1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EY165" i="2"/>
  <c r="AX163" i="2"/>
  <c r="DF166" i="2" l="1"/>
  <c r="DG166" i="2"/>
  <c r="DI166" i="2" s="1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EY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DH167" i="2" s="1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F167" i="2" l="1"/>
  <c r="DG167" i="2"/>
  <c r="DI167" i="2" s="1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EY167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DH168" i="2" s="1"/>
  <c r="CH168" i="2"/>
  <c r="ER168" i="2"/>
  <c r="DC168" i="2"/>
  <c r="DF168" i="2" s="1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DH169" i="2" s="1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DI168" i="2"/>
  <c r="DF169" i="2" l="1"/>
  <c r="DG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EY169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DF170" i="2" s="1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DH170" i="2" s="1"/>
  <c r="BN170" i="2"/>
  <c r="BO170" i="2"/>
  <c r="X170" i="2"/>
  <c r="CF170" i="2"/>
  <c r="Y170" i="2"/>
  <c r="AQ170" i="2"/>
  <c r="AX167" i="2"/>
  <c r="DG170" i="2" l="1"/>
  <c r="DI170" i="2" s="1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DH171" i="2" s="1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DF171" i="2" s="1"/>
  <c r="CJ171" i="2"/>
  <c r="BL171" i="2"/>
  <c r="AS171" i="2"/>
  <c r="BN171" i="2"/>
  <c r="AX168" i="2"/>
  <c r="DG171" i="2" l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DH172" i="2" s="1"/>
  <c r="CH172" i="2"/>
  <c r="BK172" i="2"/>
  <c r="DZ172" i="2"/>
  <c r="DC172" i="2"/>
  <c r="DF172" i="2" s="1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DG172" i="2" l="1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HJ172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DH173" i="2" s="1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DF173" i="2" s="1"/>
  <c r="CG173" i="2"/>
  <c r="V173" i="2"/>
  <c r="CH173" i="2"/>
  <c r="W173" i="2"/>
  <c r="CI173" i="2"/>
  <c r="CL173" i="2" s="1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DG173" i="2" l="1"/>
  <c r="DI173" i="2" s="1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DF174" i="2" s="1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DH174" i="2" s="1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DG174" i="2" l="1"/>
  <c r="DI174" i="2" s="1"/>
  <c r="CL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DH175" i="2" s="1"/>
  <c r="CH175" i="2"/>
  <c r="FW175" i="2"/>
  <c r="ER175" i="2"/>
  <c r="ES175" i="2"/>
  <c r="EU175" i="2"/>
  <c r="CR175" i="2"/>
  <c r="CF175" i="2"/>
  <c r="BK175" i="2"/>
  <c r="DL175" i="2"/>
  <c r="DC175" i="2"/>
  <c r="DF175" i="2" s="1"/>
  <c r="CI175" i="2"/>
  <c r="BL175" i="2"/>
  <c r="BR175" i="2" s="1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DG175" i="2" l="1"/>
  <c r="DI175" i="2" s="1"/>
  <c r="CN174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DH176" i="2" s="1"/>
  <c r="CH176" i="2"/>
  <c r="EQ176" i="2"/>
  <c r="DC176" i="2"/>
  <c r="DF176" i="2" s="1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DG176" i="2" s="1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AU176" i="2" l="1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DF177" i="2" s="1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DH177" i="2" s="1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DG177" i="2" l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7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DG178" i="2" s="1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DH178" i="2" s="1"/>
  <c r="CH178" i="2"/>
  <c r="BM178" i="2"/>
  <c r="BA178" i="2"/>
  <c r="DC178" i="2"/>
  <c r="DF178" i="2" s="1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CL178" i="2" l="1"/>
  <c r="CM178" i="2"/>
  <c r="AV178" i="2"/>
  <c r="AU178" i="2"/>
  <c r="AW178" i="2"/>
  <c r="AW179" i="2" s="1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H179" i="2" s="1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DG179" i="2" l="1"/>
  <c r="DI179" i="2" s="1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DH180" i="2" s="1"/>
  <c r="AT180" i="2"/>
  <c r="Y180" i="2"/>
  <c r="DD180" i="2"/>
  <c r="DG180" i="2" s="1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DF180" i="2" l="1"/>
  <c r="DI180" i="2" s="1"/>
  <c r="CN179" i="2"/>
  <c r="CM180" i="2"/>
  <c r="BR180" i="2"/>
  <c r="AV180" i="2"/>
  <c r="AW180" i="2"/>
  <c r="AU180" i="2"/>
  <c r="AU181" i="2" s="1"/>
  <c r="BP180" i="2"/>
  <c r="BQ180" i="2"/>
  <c r="CL180" i="2"/>
  <c r="CK180" i="2"/>
  <c r="CN180" i="2" s="1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DH181" i="2" s="1"/>
  <c r="CF181" i="2"/>
  <c r="BM181" i="2"/>
  <c r="BB181" i="2"/>
  <c r="ET181" i="2"/>
  <c r="DZ181" i="2"/>
  <c r="DC181" i="2"/>
  <c r="CG181" i="2"/>
  <c r="BN181" i="2"/>
  <c r="DD181" i="2"/>
  <c r="DG181" i="2" s="1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DF181" i="2" l="1"/>
  <c r="CM181" i="2"/>
  <c r="BP181" i="2"/>
  <c r="AV181" i="2"/>
  <c r="AW181" i="2"/>
  <c r="AW182" i="2" s="1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DH182" i="2" s="1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B182" i="2" s="1"/>
  <c r="AX179" i="2"/>
  <c r="DF182" i="2" l="1"/>
  <c r="DI182" i="2" s="1"/>
  <c r="CN181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DH183" i="2" s="1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DG183" i="2" s="1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DF183" i="2" l="1"/>
  <c r="DI183" i="2" s="1"/>
  <c r="CM183" i="2"/>
  <c r="AV183" i="2"/>
  <c r="AU183" i="2"/>
  <c r="AW183" i="2"/>
  <c r="AW184" i="2" s="1"/>
  <c r="BP183" i="2"/>
  <c r="BQ183" i="2"/>
  <c r="BR183" i="2"/>
  <c r="CK183" i="2"/>
  <c r="CL183" i="2"/>
  <c r="FT182" i="2"/>
  <c r="CN182" i="2"/>
  <c r="EY183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DH184" i="2" s="1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DG184" i="2" s="1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DF184" i="2" l="1"/>
  <c r="DI184" i="2" s="1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DH185" i="2" s="1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DG185" i="2" l="1"/>
  <c r="DF185" i="2"/>
  <c r="DI185" i="2" s="1"/>
  <c r="AU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ED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DH186" i="2" s="1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DF186" i="2" l="1"/>
  <c r="DI186" i="2" s="1"/>
  <c r="DG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DH187" i="2" s="1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B187" i="2" s="1"/>
  <c r="EY186" i="2"/>
  <c r="AX184" i="2"/>
  <c r="DF187" i="2" l="1"/>
  <c r="DI187" i="2" s="1"/>
  <c r="DG187" i="2"/>
  <c r="CM187" i="2"/>
  <c r="BQ187" i="2"/>
  <c r="BR187" i="2"/>
  <c r="AV187" i="2"/>
  <c r="AU187" i="2"/>
  <c r="AW187" i="2"/>
  <c r="BP187" i="2"/>
  <c r="CK187" i="2"/>
  <c r="CL187" i="2"/>
  <c r="CN186" i="2"/>
  <c r="ED187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DH188" i="2" s="1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DG188" i="2" l="1"/>
  <c r="DF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DH189" i="2" s="1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DF189" i="2" l="1"/>
  <c r="DG189" i="2"/>
  <c r="CM189" i="2"/>
  <c r="AV189" i="2"/>
  <c r="AU189" i="2"/>
  <c r="AW189" i="2"/>
  <c r="BR189" i="2"/>
  <c r="BP189" i="2"/>
  <c r="BQ189" i="2"/>
  <c r="CL189" i="2"/>
  <c r="CK189" i="2"/>
  <c r="CN189" i="2" s="1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DH190" i="2" s="1"/>
  <c r="CI190" i="2"/>
  <c r="AG190" i="2"/>
  <c r="U190" i="2"/>
  <c r="AQ190" i="2"/>
  <c r="L190" i="2"/>
  <c r="ED189" i="2"/>
  <c r="EY189" i="2"/>
  <c r="AX187" i="2"/>
  <c r="DG190" i="2" l="1"/>
  <c r="DF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DH191" i="2" s="1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DG191" i="2" l="1"/>
  <c r="DF191" i="2"/>
  <c r="DI191" i="2" s="1"/>
  <c r="CM191" i="2"/>
  <c r="BR191" i="2"/>
  <c r="BP191" i="2"/>
  <c r="AV191" i="2"/>
  <c r="AU191" i="2"/>
  <c r="AW191" i="2"/>
  <c r="AW192" i="2" s="1"/>
  <c r="BQ191" i="2"/>
  <c r="CL191" i="2"/>
  <c r="CK191" i="2"/>
  <c r="EY190" i="2"/>
  <c r="CN190" i="2"/>
  <c r="DI190" i="2"/>
  <c r="HJ190" i="2"/>
  <c r="GO190" i="2"/>
  <c r="GO191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DH192" i="2" s="1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BR192" i="2" s="1"/>
  <c r="CG192" i="2"/>
  <c r="U192" i="2"/>
  <c r="V192" i="2"/>
  <c r="EY191" i="2"/>
  <c r="AX189" i="2"/>
  <c r="DF192" i="2" l="1"/>
  <c r="DG192" i="2"/>
  <c r="DI192" i="2" s="1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DG193" i="2" s="1"/>
  <c r="ET193" i="2"/>
  <c r="DX193" i="2"/>
  <c r="EU193" i="2"/>
  <c r="DY193" i="2"/>
  <c r="GG193" i="2"/>
  <c r="DZ193" i="2"/>
  <c r="DB193" i="2"/>
  <c r="DH193" i="2" s="1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DF193" i="2" l="1"/>
  <c r="DI193" i="2" s="1"/>
  <c r="CN192" i="2"/>
  <c r="CM193" i="2"/>
  <c r="BQ193" i="2"/>
  <c r="BR193" i="2"/>
  <c r="AV193" i="2"/>
  <c r="AU193" i="2"/>
  <c r="AW193" i="2"/>
  <c r="AW194" i="2" s="1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DG194" i="2" s="1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DH194" i="2" s="1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DF194" i="2" l="1"/>
  <c r="CM194" i="2"/>
  <c r="AV194" i="2"/>
  <c r="AU194" i="2"/>
  <c r="AU195" i="2" s="1"/>
  <c r="BR194" i="2"/>
  <c r="BQ194" i="2"/>
  <c r="BP194" i="2"/>
  <c r="CL194" i="2"/>
  <c r="CK194" i="2"/>
  <c r="CN194" i="2" s="1"/>
  <c r="FT193" i="2"/>
  <c r="GO193" i="2"/>
  <c r="HJ193" i="2"/>
  <c r="EY194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DG195" i="2" s="1"/>
  <c r="CH195" i="2"/>
  <c r="BK195" i="2"/>
  <c r="BB195" i="2"/>
  <c r="AR195" i="2"/>
  <c r="DC195" i="2"/>
  <c r="DF195" i="2" s="1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CM195" i="2" l="1"/>
  <c r="BQ195" i="2"/>
  <c r="AV195" i="2"/>
  <c r="AW195" i="2"/>
  <c r="AW196" i="2" s="1"/>
  <c r="BR195" i="2"/>
  <c r="BP195" i="2"/>
  <c r="CK195" i="2"/>
  <c r="CL195" i="2"/>
  <c r="GO194" i="2"/>
  <c r="FT194" i="2"/>
  <c r="HJ194" i="2"/>
  <c r="Z195" i="2"/>
  <c r="EY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DF196" i="2" s="1"/>
  <c r="BW196" i="2"/>
  <c r="DD196" i="2"/>
  <c r="DG196" i="2" s="1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DH196" i="2" s="1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CM196" i="2" l="1"/>
  <c r="AV196" i="2"/>
  <c r="AU196" i="2"/>
  <c r="BP196" i="2"/>
  <c r="BQ196" i="2"/>
  <c r="BR196" i="2"/>
  <c r="CK196" i="2"/>
  <c r="CL196" i="2"/>
  <c r="HJ195" i="2"/>
  <c r="ED195" i="2"/>
  <c r="DI195" i="2"/>
  <c r="CN195" i="2"/>
  <c r="EY196" i="2"/>
  <c r="Z196" i="2"/>
  <c r="Z197" i="2" s="1"/>
  <c r="DI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DH197" i="2" s="1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DF197" i="2" s="1"/>
  <c r="CI197" i="2"/>
  <c r="Y197" i="2"/>
  <c r="L197" i="2"/>
  <c r="BL197" i="2"/>
  <c r="AS197" i="2"/>
  <c r="DD197" i="2"/>
  <c r="AQ197" i="2"/>
  <c r="AA196" i="2"/>
  <c r="AA197" i="2" s="1"/>
  <c r="AX194" i="2"/>
  <c r="ED196" i="2"/>
  <c r="DG197" i="2" l="1"/>
  <c r="CM197" i="2"/>
  <c r="AV197" i="2"/>
  <c r="AU197" i="2"/>
  <c r="AW197" i="2"/>
  <c r="AW198" i="2" s="1"/>
  <c r="BR197" i="2"/>
  <c r="BP197" i="2"/>
  <c r="BQ197" i="2"/>
  <c r="CK197" i="2"/>
  <c r="CL197" i="2"/>
  <c r="GO196" i="2"/>
  <c r="CN196" i="2"/>
  <c r="HJ196" i="2"/>
  <c r="FT196" i="2"/>
  <c r="AB197" i="2"/>
  <c r="AC197" i="2" s="1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DH198" i="2" s="1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DG198" i="2" s="1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Z198" i="2" s="1"/>
  <c r="CF198" i="2"/>
  <c r="BV198" i="2"/>
  <c r="AG198" i="2"/>
  <c r="U198" i="2"/>
  <c r="ED197" i="2"/>
  <c r="AX195" i="2"/>
  <c r="DF198" i="2" l="1"/>
  <c r="DI198" i="2" s="1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H199" i="2" s="1"/>
  <c r="DV199" i="2"/>
  <c r="EG199" i="2"/>
  <c r="EQ199" i="2"/>
  <c r="DZ199" i="2"/>
  <c r="DD199" i="2"/>
  <c r="DG199" i="2" s="1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DF199" i="2" s="1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AU199" i="2" l="1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DH200" i="2" s="1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B200" i="2" s="1"/>
  <c r="BX4" i="2" a="1"/>
  <c r="BX4" i="2" s="1"/>
  <c r="BY4" i="2" s="1"/>
  <c r="AA199" i="2"/>
  <c r="AX197" i="2"/>
  <c r="DG200" i="2" l="1"/>
  <c r="DF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HJ200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DF201" i="2" s="1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DH201" i="2" s="1"/>
  <c r="AS201" i="2"/>
  <c r="DE201" i="2"/>
  <c r="BV201" i="2"/>
  <c r="BK201" i="2"/>
  <c r="AF201" i="2"/>
  <c r="L201" i="2"/>
  <c r="BW201" i="2"/>
  <c r="BL201" i="2"/>
  <c r="AG201" i="2"/>
  <c r="CG201" i="2"/>
  <c r="CM201" i="2" s="1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I5" i="2" s="1"/>
  <c r="AH5" i="2" a="1"/>
  <c r="AH5" i="2" s="1"/>
  <c r="EI4" i="2" a="1"/>
  <c r="EI4" i="2" s="1"/>
  <c r="EJ4" i="2" s="1"/>
  <c r="AX198" i="2"/>
  <c r="EY200" i="2"/>
  <c r="ED200" i="2"/>
  <c r="DI200" i="2"/>
  <c r="DG201" i="2" l="1"/>
  <c r="AC200" i="2"/>
  <c r="CN200" i="2"/>
  <c r="CL201" i="2"/>
  <c r="CK201" i="2"/>
  <c r="CN201" i="2" s="1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6" i="2" a="1"/>
  <c r="FY6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DH202" i="2" s="1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DG202" i="2" l="1"/>
  <c r="DF202" i="2"/>
  <c r="CM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I203" i="2"/>
  <c r="AF203" i="2"/>
  <c r="V203" i="2"/>
  <c r="DB203" i="2"/>
  <c r="DH203" i="2" s="1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BQ203" i="2" s="1"/>
  <c r="CF203" i="2"/>
  <c r="L203" i="2"/>
  <c r="M203" i="2" s="1" a="1"/>
  <c r="M203" i="2" s="1"/>
  <c r="AP203" i="2"/>
  <c r="W203" i="2"/>
  <c r="CG203" i="2"/>
  <c r="CM203" i="2" s="1"/>
  <c r="U203" i="2"/>
  <c r="CJ203" i="2"/>
  <c r="AG203" i="2"/>
  <c r="FY7" i="2" a="1"/>
  <c r="FY7" i="2" s="1"/>
  <c r="FZ7" i="2" s="1"/>
  <c r="FY61" i="2" a="1"/>
  <c r="FY61" i="2" s="1"/>
  <c r="FY125" i="2" a="1"/>
  <c r="FY125" i="2" s="1"/>
  <c r="FY8" i="2" a="1"/>
  <c r="FY8" i="2" s="1"/>
  <c r="FY189" i="2" a="1"/>
  <c r="FY189" i="2" s="1"/>
  <c r="FY51" i="2" a="1"/>
  <c r="FY51" i="2" s="1"/>
  <c r="FY59" i="2" a="1"/>
  <c r="FY59" i="2" s="1"/>
  <c r="FY122" i="2" a="1"/>
  <c r="FY122" i="2" s="1"/>
  <c r="FY138" i="2" a="1"/>
  <c r="FY138" i="2" s="1"/>
  <c r="FY48" i="2" a="1"/>
  <c r="FY48" i="2" s="1"/>
  <c r="FY177" i="2" a="1"/>
  <c r="FY177" i="2" s="1"/>
  <c r="FY180" i="2" a="1"/>
  <c r="FY180" i="2" s="1"/>
  <c r="FY103" i="2" a="1"/>
  <c r="FY103" i="2" s="1"/>
  <c r="FY105" i="2" a="1"/>
  <c r="FY105" i="2" s="1"/>
  <c r="FY150" i="2" a="1"/>
  <c r="FY150" i="2" s="1"/>
  <c r="FY10" i="2" a="1"/>
  <c r="FY10" i="2" s="1"/>
  <c r="FY130" i="2" a="1"/>
  <c r="FY130" i="2" s="1"/>
  <c r="FY37" i="2" a="1"/>
  <c r="FY37" i="2" s="1"/>
  <c r="FY141" i="2" a="1"/>
  <c r="FY141" i="2" s="1"/>
  <c r="FY119" i="2" a="1"/>
  <c r="FY119" i="2" s="1"/>
  <c r="FY20" i="2" a="1"/>
  <c r="FY20" i="2" s="1"/>
  <c r="FY144" i="2" a="1"/>
  <c r="FY144" i="2" s="1"/>
  <c r="FY123" i="2" a="1"/>
  <c r="FY123" i="2" s="1"/>
  <c r="FY93" i="2" a="1"/>
  <c r="FY93" i="2" s="1"/>
  <c r="FY91" i="2" a="1"/>
  <c r="FY91" i="2" s="1"/>
  <c r="FY77" i="2" a="1"/>
  <c r="FY77" i="2" s="1"/>
  <c r="FY9" i="2" a="1"/>
  <c r="FY9" i="2" s="1"/>
  <c r="FY198" i="2" a="1"/>
  <c r="FY198" i="2" s="1"/>
  <c r="FY132" i="2" a="1"/>
  <c r="FY132" i="2" s="1"/>
  <c r="FY16" i="2" a="1"/>
  <c r="FY16" i="2" s="1"/>
  <c r="FY11" i="2" a="1"/>
  <c r="FY11" i="2" s="1"/>
  <c r="FY129" i="2" a="1"/>
  <c r="FY129" i="2" s="1"/>
  <c r="FY47" i="2" a="1"/>
  <c r="FY47" i="2" s="1"/>
  <c r="FY157" i="2" a="1"/>
  <c r="FY157" i="2" s="1"/>
  <c r="FY155" i="2" a="1"/>
  <c r="FY155" i="2" s="1"/>
  <c r="FY195" i="2" a="1"/>
  <c r="FY195" i="2" s="1"/>
  <c r="FY147" i="2" a="1"/>
  <c r="FY147" i="2" s="1"/>
  <c r="FY101" i="2" a="1"/>
  <c r="FY101" i="2" s="1"/>
  <c r="FY113" i="2" a="1"/>
  <c r="FY113" i="2" s="1"/>
  <c r="FY183" i="2" a="1"/>
  <c r="FY183" i="2" s="1"/>
  <c r="FY40" i="2" a="1"/>
  <c r="FY40" i="2" s="1"/>
  <c r="FY112" i="2" a="1"/>
  <c r="FY112" i="2" s="1"/>
  <c r="FY175" i="2" a="1"/>
  <c r="FY175" i="2" s="1"/>
  <c r="FY67" i="2" a="1"/>
  <c r="FY67" i="2" s="1"/>
  <c r="FY68" i="2" a="1"/>
  <c r="FY68" i="2" s="1"/>
  <c r="FY108" i="2" a="1"/>
  <c r="FY108" i="2" s="1"/>
  <c r="FY27" i="2" a="1"/>
  <c r="FY27" i="2" s="1"/>
  <c r="FY26" i="2" a="1"/>
  <c r="FY26" i="2" s="1"/>
  <c r="FY79" i="2" a="1"/>
  <c r="FY79" i="2" s="1"/>
  <c r="FY63" i="2" a="1"/>
  <c r="FY63" i="2" s="1"/>
  <c r="FY36" i="2" a="1"/>
  <c r="FY36" i="2" s="1"/>
  <c r="FY137" i="2" a="1"/>
  <c r="FY137" i="2" s="1"/>
  <c r="FY200" i="2" a="1"/>
  <c r="FY200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185" i="2" a="1"/>
  <c r="AH185" i="2" s="1"/>
  <c r="AH162" i="2" a="1"/>
  <c r="AH162" i="2" s="1"/>
  <c r="AH140" i="2" a="1"/>
  <c r="AH140" i="2" s="1"/>
  <c r="AH155" i="2" a="1"/>
  <c r="AH155" i="2" s="1"/>
  <c r="AH143" i="2" a="1"/>
  <c r="AH143" i="2" s="1"/>
  <c r="AH17" i="2" a="1"/>
  <c r="AH17" i="2" s="1"/>
  <c r="AH37" i="2" a="1"/>
  <c r="AH37" i="2" s="1"/>
  <c r="AH136" i="2" a="1"/>
  <c r="AH136" i="2" s="1"/>
  <c r="AH198" i="2" a="1"/>
  <c r="AH198" i="2" s="1"/>
  <c r="AH92" i="2" a="1"/>
  <c r="AH92" i="2" s="1"/>
  <c r="AH38" i="2" a="1"/>
  <c r="AH38" i="2" s="1"/>
  <c r="AH83" i="2" a="1"/>
  <c r="AH83" i="2" s="1"/>
  <c r="CS27" i="2" a="1"/>
  <c r="CS27" i="2" s="1"/>
  <c r="CS133" i="2" a="1"/>
  <c r="CS133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196" i="2" a="1"/>
  <c r="BC196" i="2" s="1"/>
  <c r="BC15" i="2" a="1"/>
  <c r="BC15" i="2" s="1"/>
  <c r="BC146" i="2" a="1"/>
  <c r="BC146" i="2" s="1"/>
  <c r="BC68" i="2" a="1"/>
  <c r="BC68" i="2" s="1"/>
  <c r="BC71" i="2" a="1"/>
  <c r="BC71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CS58" i="2" a="1"/>
  <c r="CS58" i="2" s="1"/>
  <c r="CS195" i="2" a="1"/>
  <c r="CS195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BX29" i="2" a="1"/>
  <c r="BX29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BX197" i="2" a="1"/>
  <c r="BX197" i="2" s="1"/>
  <c r="BX136" i="2" a="1"/>
  <c r="BX136" i="2" s="1"/>
  <c r="BX163" i="2" a="1"/>
  <c r="BX163" i="2" s="1"/>
  <c r="BX158" i="2" a="1"/>
  <c r="BX158" i="2" s="1"/>
  <c r="BX117" i="2" a="1"/>
  <c r="BX117" i="2" s="1"/>
  <c r="BX67" i="2" a="1"/>
  <c r="BX67" i="2" s="1"/>
  <c r="BX176" i="2" a="1"/>
  <c r="BX176" i="2" s="1"/>
  <c r="BX113" i="2" a="1"/>
  <c r="BX113" i="2" s="1"/>
  <c r="BX110" i="2" a="1"/>
  <c r="BX110" i="2" s="1"/>
  <c r="BX157" i="2" a="1"/>
  <c r="BX157" i="2" s="1"/>
  <c r="BX125" i="2" a="1"/>
  <c r="BX125" i="2" s="1"/>
  <c r="BX73" i="2" a="1"/>
  <c r="BX73" i="2" s="1"/>
  <c r="BX41" i="2" a="1"/>
  <c r="BX41" i="2" s="1"/>
  <c r="BX12" i="2" a="1"/>
  <c r="BX12" i="2" s="1"/>
  <c r="BX119" i="2" a="1"/>
  <c r="BX119" i="2" s="1"/>
  <c r="BX174" i="2" a="1"/>
  <c r="BX174" i="2" s="1"/>
  <c r="BX182" i="2" a="1"/>
  <c r="BX182" i="2" s="1"/>
  <c r="BX177" i="2" a="1"/>
  <c r="BX177" i="2" s="1"/>
  <c r="BX142" i="2" a="1"/>
  <c r="BX142" i="2" s="1"/>
  <c r="BX96" i="2" a="1"/>
  <c r="BX96" i="2" s="1"/>
  <c r="BX76" i="2" a="1"/>
  <c r="BX76" i="2" s="1"/>
  <c r="BX152" i="2" a="1"/>
  <c r="BX152" i="2" s="1"/>
  <c r="BX201" i="2" a="1"/>
  <c r="BX201" i="2" s="1"/>
  <c r="AH151" i="2" a="1"/>
  <c r="AH151" i="2" s="1"/>
  <c r="AH14" i="2" a="1"/>
  <c r="AH14" i="2" s="1"/>
  <c r="AH157" i="2" a="1"/>
  <c r="AH157" i="2" s="1"/>
  <c r="AH79" i="2" a="1"/>
  <c r="AH79" i="2" s="1"/>
  <c r="AH201" i="2" a="1"/>
  <c r="AH201" i="2" s="1"/>
  <c r="DN103" i="2" a="1"/>
  <c r="DN103" i="2" s="1"/>
  <c r="DN114" i="2" a="1"/>
  <c r="DN114" i="2" s="1"/>
  <c r="CS77" i="2" a="1"/>
  <c r="CS77" i="2" s="1"/>
  <c r="BX8" i="2" a="1"/>
  <c r="BX8" i="2" s="1"/>
  <c r="AH90" i="2" a="1"/>
  <c r="AH90" i="2" s="1"/>
  <c r="AH89" i="2" a="1"/>
  <c r="AH89" i="2" s="1"/>
  <c r="AH19" i="2" a="1"/>
  <c r="AH19" i="2" s="1"/>
  <c r="AH186" i="2" a="1"/>
  <c r="AH186" i="2" s="1"/>
  <c r="AH56" i="2" a="1"/>
  <c r="AH56" i="2" s="1"/>
  <c r="AH197" i="2" a="1"/>
  <c r="AH197" i="2" s="1"/>
  <c r="AH146" i="2" a="1"/>
  <c r="AH146" i="2" s="1"/>
  <c r="AH144" i="2" a="1"/>
  <c r="AH144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BX50" i="2" a="1"/>
  <c r="BX50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7" i="2" a="1"/>
  <c r="BX7" i="2" s="1"/>
  <c r="BX100" i="2" a="1"/>
  <c r="BX100" i="2" s="1"/>
  <c r="BX79" i="2" a="1"/>
  <c r="BX79" i="2" s="1"/>
  <c r="BX72" i="2" a="1"/>
  <c r="BX72" i="2" s="1"/>
  <c r="BX66" i="2" a="1"/>
  <c r="BX66" i="2" s="1"/>
  <c r="BX65" i="2" a="1"/>
  <c r="BX65" i="2" s="1"/>
  <c r="BX107" i="2" a="1"/>
  <c r="BX107" i="2" s="1"/>
  <c r="BX171" i="2" a="1"/>
  <c r="BX171" i="2" s="1"/>
  <c r="BX54" i="2" a="1"/>
  <c r="BX54" i="2" s="1"/>
  <c r="BX59" i="2" a="1"/>
  <c r="BX59" i="2" s="1"/>
  <c r="BX63" i="2" a="1"/>
  <c r="BX63" i="2" s="1"/>
  <c r="BX58" i="2" a="1"/>
  <c r="BX58" i="2" s="1"/>
  <c r="BX155" i="2" a="1"/>
  <c r="BX155" i="2" s="1"/>
  <c r="BX159" i="2" a="1"/>
  <c r="BX159" i="2" s="1"/>
  <c r="BX150" i="2" a="1"/>
  <c r="BX150" i="2" s="1"/>
  <c r="BX17" i="2" a="1"/>
  <c r="BX17" i="2" s="1"/>
  <c r="BX55" i="2" a="1"/>
  <c r="BX55" i="2" s="1"/>
  <c r="BX9" i="2" a="1"/>
  <c r="BX9" i="2" s="1"/>
  <c r="BX146" i="2" a="1"/>
  <c r="BX146" i="2" s="1"/>
  <c r="BX36" i="2" a="1"/>
  <c r="BX36" i="2" s="1"/>
  <c r="BX80" i="2" a="1"/>
  <c r="BX80" i="2" s="1"/>
  <c r="BX51" i="2" a="1"/>
  <c r="BX51" i="2" s="1"/>
  <c r="FD82" i="2" a="1"/>
  <c r="FD82" i="2" s="1"/>
  <c r="DN187" i="2" a="1"/>
  <c r="DN187" i="2" s="1"/>
  <c r="AC202" i="2"/>
  <c r="HJ202" i="2"/>
  <c r="EY202" i="2"/>
  <c r="AX200" i="2"/>
  <c r="DF203" i="2" l="1"/>
  <c r="DG203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D15" i="4"/>
  <c r="D13" i="4"/>
  <c r="D14" i="4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D11" i="4"/>
  <c r="D12" i="4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DO34" i="2"/>
  <c r="DP33" i="2"/>
  <c r="DQ33" i="2" s="1"/>
  <c r="DR33" i="2" s="1"/>
  <c r="DS33" i="2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V33" i="2"/>
  <c r="GW33" i="2" s="1"/>
  <c r="GX33" i="2" s="1"/>
  <c r="GY33" i="2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GE3" i="2"/>
  <c r="C14" i="4" s="1"/>
  <c r="E14" i="4" s="1"/>
  <c r="F14" i="4" s="1"/>
  <c r="G14" i="4" s="1"/>
  <c r="L14" i="4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CD158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CD152" i="2"/>
  <c r="CD174" i="2"/>
  <c r="CD167" i="2"/>
  <c r="CD21" i="2"/>
  <c r="CD147" i="2"/>
  <c r="CD198" i="2"/>
  <c r="CD53" i="2"/>
  <c r="CD75" i="2"/>
  <c r="CD95" i="2"/>
  <c r="CD142" i="2"/>
  <c r="CD199" i="2"/>
  <c r="CD69" i="2"/>
  <c r="CD32" i="2"/>
  <c r="CD155" i="2"/>
  <c r="CD192" i="2"/>
  <c r="CD33" i="2"/>
  <c r="CD36" i="2"/>
  <c r="CD129" i="2"/>
  <c r="CD109" i="2"/>
  <c r="CD178" i="2"/>
  <c r="CD159" i="2"/>
  <c r="CD78" i="2"/>
  <c r="CD68" i="2"/>
  <c r="CD139" i="2"/>
  <c r="CD113" i="2"/>
  <c r="CD114" i="2"/>
  <c r="CD48" i="2"/>
  <c r="CD200" i="2"/>
  <c r="CD90" i="2"/>
  <c r="CD180" i="2"/>
  <c r="CD125" i="2"/>
  <c r="CD196" i="2"/>
  <c r="CD145" i="2"/>
  <c r="CD50" i="2"/>
  <c r="CD55" i="2"/>
  <c r="CD156" i="2"/>
  <c r="CD112" i="2"/>
  <c r="CD146" i="2"/>
  <c r="CD76" i="2"/>
  <c r="CD44" i="2"/>
  <c r="CD135" i="2"/>
  <c r="CD79" i="2"/>
  <c r="CD96" i="2"/>
  <c r="CD49" i="2"/>
  <c r="CD41" i="2"/>
  <c r="CD85" i="2"/>
  <c r="CD23" i="2"/>
  <c r="CD51" i="2"/>
  <c r="CD141" i="2"/>
  <c r="CD144" i="2"/>
  <c r="CD107" i="2"/>
  <c r="CD67" i="2"/>
  <c r="CD45" i="2"/>
  <c r="CD162" i="2"/>
  <c r="CD15" i="2"/>
  <c r="CD54" i="2"/>
  <c r="CD66" i="2"/>
  <c r="CD132" i="2"/>
  <c r="CD37" i="2"/>
  <c r="CD175" i="2"/>
  <c r="CD70" i="2"/>
  <c r="CD154" i="2"/>
  <c r="CD6" i="2"/>
  <c r="CD179" i="2"/>
  <c r="CD190" i="2"/>
  <c r="CD81" i="2"/>
  <c r="CD64" i="2"/>
  <c r="CD197" i="2"/>
  <c r="CD46" i="2"/>
  <c r="CD182" i="2"/>
  <c r="CD166" i="2"/>
  <c r="CD102" i="2"/>
  <c r="CD19" i="2"/>
  <c r="CD118" i="2"/>
  <c r="CD191" i="2"/>
  <c r="CD28" i="2"/>
  <c r="CD9" i="2"/>
  <c r="CD39" i="2"/>
  <c r="CD181" i="2"/>
  <c r="CD92" i="2"/>
  <c r="CD73" i="2"/>
  <c r="CD136" i="2"/>
  <c r="CD148" i="2"/>
  <c r="CD89" i="2"/>
  <c r="CD71" i="2"/>
  <c r="CD137" i="2"/>
  <c r="CD62" i="2"/>
  <c r="CD105" i="2"/>
  <c r="CD111" i="2"/>
  <c r="CD183" i="2"/>
  <c r="CD31" i="2"/>
  <c r="CD58" i="2"/>
  <c r="CD164" i="2"/>
  <c r="CD128" i="2"/>
  <c r="CD171" i="2"/>
  <c r="CD173" i="2"/>
  <c r="CD195" i="2"/>
  <c r="CD77" i="2"/>
  <c r="CD103" i="2"/>
  <c r="CD80" i="2"/>
  <c r="CD59" i="2"/>
  <c r="CD4" i="2"/>
  <c r="CD87" i="2"/>
  <c r="CD5" i="2"/>
  <c r="CD88" i="2"/>
  <c r="CD127" i="2"/>
  <c r="CD30" i="2"/>
  <c r="CD20" i="2"/>
  <c r="CD122" i="2"/>
  <c r="CD63" i="2"/>
  <c r="CD82" i="2"/>
  <c r="CD138" i="2"/>
  <c r="CD25" i="2"/>
  <c r="CD12" i="2"/>
  <c r="CD35" i="2"/>
  <c r="CD124" i="2"/>
  <c r="CD189" i="2"/>
  <c r="CD24" i="2"/>
  <c r="CD188" i="2"/>
  <c r="CD94" i="2"/>
  <c r="CD26" i="2"/>
  <c r="CD56" i="2"/>
  <c r="CD83" i="2"/>
  <c r="CD91" i="2"/>
  <c r="CD165" i="2"/>
  <c r="CD115" i="2"/>
  <c r="CD153" i="2"/>
  <c r="CD7" i="2"/>
  <c r="CD186" i="2"/>
  <c r="CD108" i="2"/>
  <c r="CD131" i="2"/>
  <c r="CD13" i="2"/>
  <c r="CD38" i="2"/>
  <c r="CD160" i="2"/>
  <c r="CD157" i="2"/>
  <c r="CD84" i="2"/>
  <c r="CD184" i="2"/>
  <c r="CD27" i="2"/>
  <c r="CD201" i="2"/>
  <c r="CD100" i="2"/>
  <c r="CD117" i="2"/>
  <c r="CD17" i="2"/>
  <c r="CD130" i="2"/>
  <c r="CD86" i="2"/>
  <c r="CD47" i="2"/>
  <c r="CD72" i="2"/>
  <c r="CD203" i="2"/>
  <c r="CD8" i="2"/>
  <c r="CD202" i="2"/>
  <c r="CD16" i="2"/>
  <c r="CD172" i="2"/>
  <c r="CD40" i="2"/>
  <c r="CD161" i="2"/>
  <c r="CD116" i="2"/>
  <c r="CD149" i="2"/>
  <c r="CD170" i="2"/>
  <c r="CD134" i="2"/>
  <c r="CD185" i="2"/>
  <c r="CD194" i="2"/>
  <c r="CD126" i="2"/>
  <c r="CD140" i="2"/>
  <c r="CD110" i="2"/>
  <c r="CD104" i="2"/>
  <c r="CD11" i="2"/>
  <c r="CD93" i="2"/>
  <c r="CD3" i="2"/>
  <c r="C9" i="4" s="1"/>
  <c r="E9" i="4" s="1"/>
  <c r="F9" i="4" s="1"/>
  <c r="G9" i="4" s="1"/>
  <c r="L9" i="4" s="1"/>
  <c r="CD143" i="2" l="1"/>
  <c r="CD99" i="2"/>
  <c r="CD177" i="2"/>
  <c r="CD60" i="2"/>
  <c r="CD61" i="2"/>
  <c r="CD74" i="2"/>
  <c r="CD120" i="2"/>
  <c r="CD168" i="2"/>
  <c r="CD176" i="2"/>
  <c r="CD123" i="2"/>
  <c r="CD193" i="2"/>
  <c r="CD169" i="2"/>
  <c r="CD52" i="2"/>
  <c r="CD65" i="2"/>
  <c r="CD42" i="2"/>
  <c r="CD18" i="2"/>
  <c r="CD22" i="2"/>
  <c r="CD29" i="2"/>
  <c r="CD97" i="2"/>
  <c r="CD34" i="2"/>
  <c r="CD187" i="2"/>
  <c r="CD106" i="2"/>
  <c r="CD119" i="2"/>
  <c r="CD10" i="2"/>
  <c r="CD14" i="2"/>
  <c r="CD151" i="2"/>
  <c r="CD163" i="2"/>
  <c r="CD43" i="2"/>
  <c r="CD101" i="2"/>
  <c r="CD98" i="2"/>
  <c r="CD57" i="2"/>
  <c r="CD121" i="2"/>
  <c r="CD150" i="2"/>
  <c r="CD133" i="2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CY117" i="2" l="1"/>
  <c r="CY69" i="2"/>
  <c r="CY47" i="2"/>
  <c r="CY188" i="2"/>
  <c r="CY187" i="2"/>
  <c r="CY24" i="2"/>
  <c r="CY130" i="2"/>
  <c r="CY68" i="2"/>
  <c r="CY44" i="2"/>
  <c r="CY73" i="2"/>
  <c r="CY21" i="2"/>
  <c r="CY107" i="2"/>
  <c r="CY194" i="2"/>
  <c r="CY152" i="2"/>
  <c r="CY6" i="2"/>
  <c r="CY70" i="2"/>
  <c r="CY13" i="2"/>
  <c r="CY51" i="2"/>
  <c r="CY193" i="2"/>
  <c r="CY175" i="2"/>
  <c r="CY10" i="2"/>
  <c r="CY91" i="2"/>
  <c r="CY201" i="2"/>
  <c r="CY172" i="2"/>
  <c r="CY26" i="2"/>
  <c r="CY9" i="2"/>
  <c r="CY66" i="2"/>
  <c r="CY18" i="2"/>
  <c r="CY7" i="2"/>
  <c r="CY176" i="2"/>
  <c r="CY93" i="2"/>
  <c r="CY62" i="2"/>
  <c r="CY168" i="2"/>
  <c r="CY137" i="2"/>
  <c r="CY74" i="2"/>
  <c r="CY184" i="2"/>
  <c r="CY96" i="2"/>
  <c r="CY108" i="2"/>
  <c r="CY17" i="2"/>
  <c r="CY40" i="2"/>
  <c r="CY29" i="2"/>
  <c r="CY23" i="2"/>
  <c r="CY5" i="2"/>
  <c r="CY114" i="2"/>
  <c r="CY34" i="2"/>
  <c r="CY58" i="2"/>
  <c r="CY164" i="2"/>
  <c r="CY75" i="2"/>
  <c r="CY179" i="2"/>
  <c r="CY151" i="2"/>
  <c r="CY36" i="2"/>
  <c r="CY143" i="2"/>
  <c r="CY38" i="2"/>
  <c r="CY78" i="2"/>
  <c r="CY97" i="2"/>
  <c r="CY3" i="2"/>
  <c r="C10" i="4" s="1"/>
  <c r="E10" i="4" s="1"/>
  <c r="F10" i="4" s="1"/>
  <c r="G10" i="4" s="1"/>
  <c r="L10" i="4" s="1"/>
  <c r="CY19" i="2"/>
  <c r="CY131" i="2"/>
  <c r="CY121" i="2"/>
  <c r="CY61" i="2"/>
  <c r="CY88" i="2"/>
  <c r="CY90" i="2"/>
  <c r="CY158" i="2"/>
  <c r="CY42" i="2"/>
  <c r="CY198" i="2"/>
  <c r="CY39" i="2"/>
  <c r="CY177" i="2"/>
  <c r="CY77" i="2"/>
  <c r="CY84" i="2"/>
  <c r="CY101" i="2"/>
  <c r="CY199" i="2"/>
  <c r="CY141" i="2"/>
  <c r="CY43" i="2"/>
  <c r="CY30" i="2"/>
  <c r="CY103" i="2"/>
  <c r="CY120" i="2"/>
  <c r="CY140" i="2"/>
  <c r="CY126" i="2"/>
  <c r="CY59" i="2"/>
  <c r="CY95" i="2"/>
  <c r="CY79" i="2"/>
  <c r="CY128" i="2"/>
  <c r="CY182" i="2"/>
  <c r="CY118" i="2"/>
  <c r="CY167" i="2"/>
  <c r="CY85" i="2"/>
  <c r="CY145" i="2"/>
  <c r="CY87" i="2"/>
  <c r="CY197" i="2"/>
  <c r="CY127" i="2"/>
  <c r="CY119" i="2"/>
  <c r="CY191" i="2"/>
  <c r="CY37" i="2"/>
  <c r="CY156" i="2"/>
  <c r="CY178" i="2"/>
  <c r="CY186" i="2"/>
  <c r="CY125" i="2"/>
  <c r="CY144" i="2"/>
  <c r="CY192" i="2"/>
  <c r="CY174" i="2"/>
  <c r="CY14" i="2"/>
  <c r="CY148" i="2"/>
  <c r="CY86" i="2"/>
  <c r="CY171" i="2"/>
  <c r="CY180" i="2"/>
  <c r="CY45" i="2"/>
  <c r="CY162" i="2"/>
  <c r="CY161" i="2"/>
  <c r="CY185" i="2"/>
  <c r="CY122" i="2"/>
  <c r="CY115" i="2"/>
  <c r="CY154" i="2"/>
  <c r="CY49" i="2"/>
  <c r="CY111" i="2"/>
  <c r="CY63" i="2"/>
  <c r="CY200" i="2"/>
  <c r="CY181" i="2"/>
  <c r="CY27" i="2"/>
  <c r="CY98" i="2"/>
  <c r="CY48" i="2"/>
  <c r="CY190" i="2"/>
  <c r="CY16" i="2"/>
  <c r="CY132" i="2"/>
  <c r="CY160" i="2"/>
  <c r="CY28" i="2"/>
  <c r="CY136" i="2"/>
  <c r="CY169" i="2"/>
  <c r="CY32" i="2"/>
  <c r="CY94" i="2"/>
  <c r="CY129" i="2"/>
  <c r="CY54" i="2"/>
  <c r="CY189" i="2"/>
  <c r="CY22" i="2"/>
  <c r="CY71" i="2"/>
  <c r="CY170" i="2"/>
  <c r="CY139" i="2"/>
  <c r="CY146" i="2"/>
  <c r="CY11" i="2"/>
  <c r="CY31" i="2"/>
  <c r="CY166" i="2"/>
  <c r="CY124" i="2"/>
  <c r="CY147" i="2"/>
  <c r="CY149" i="2"/>
  <c r="CY195" i="2"/>
  <c r="CY113" i="2"/>
  <c r="CY46" i="2"/>
  <c r="CY105" i="2"/>
  <c r="CY138" i="2"/>
  <c r="CY159" i="2"/>
  <c r="CY25" i="2"/>
  <c r="CY163" i="2"/>
  <c r="CY203" i="2"/>
  <c r="CY57" i="2"/>
  <c r="CY110" i="2"/>
  <c r="CY116" i="2"/>
  <c r="CY165" i="2"/>
  <c r="CY67" i="2"/>
  <c r="CY106" i="2"/>
  <c r="CY173" i="2"/>
  <c r="CY76" i="2"/>
  <c r="CY82" i="2"/>
  <c r="CY56" i="2"/>
  <c r="CY142" i="2"/>
  <c r="CY134" i="2"/>
  <c r="CY99" i="2"/>
  <c r="CY4" i="2"/>
  <c r="CY112" i="2"/>
  <c r="CY20" i="2"/>
  <c r="CY60" i="2"/>
  <c r="CY80" i="2"/>
  <c r="CY64" i="2"/>
  <c r="CY55" i="2"/>
  <c r="CY183" i="2"/>
  <c r="CY8" i="2"/>
  <c r="CY102" i="2"/>
  <c r="CY89" i="2"/>
  <c r="CY52" i="2"/>
  <c r="CY12" i="2"/>
  <c r="CY41" i="2"/>
  <c r="CY133" i="2"/>
  <c r="CY33" i="2"/>
  <c r="CY109" i="2"/>
  <c r="CY196" i="2"/>
  <c r="CY153" i="2"/>
  <c r="CY123" i="2"/>
  <c r="CY150" i="2"/>
  <c r="CY135" i="2"/>
  <c r="CY15" i="2"/>
  <c r="CY50" i="2"/>
  <c r="CY202" i="2"/>
  <c r="CY83" i="2"/>
  <c r="CY81" i="2"/>
  <c r="CY65" i="2"/>
  <c r="CY157" i="2"/>
  <c r="CY104" i="2"/>
  <c r="CY35" i="2"/>
  <c r="CY92" i="2"/>
  <c r="CY72" i="2"/>
  <c r="CY53" i="2"/>
  <c r="CY155" i="2"/>
  <c r="CY100" i="2"/>
  <c r="FE75" i="2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<sst xmlns="http://schemas.openxmlformats.org/spreadsheetml/2006/main" count="1004" uniqueCount="314">
  <si>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</si>
  <si>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</si>
  <si>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</si>
  <si>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</si>
  <si>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</si>
  <si>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</si>
  <si>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</si>
  <si>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</si>
  <si>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</si>
  <si>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</si>
  <si>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</si>
  <si>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</si>
  <si>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</si>
  <si>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</si>
  <si>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</si>
  <si>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</si>
  <si>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</si>
  <si>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</si>
  <si>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</si>
  <si>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</si>
  <si>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</si>
  <si>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</si>
  <si>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</si>
  <si>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</si>
  <si>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</si>
  <si>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</si>
  <si>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</si>
  <si>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</si>
  <si>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</si>
  <si>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</si>
  <si>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</si>
  <si>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</si>
  <si>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</si>
  <si>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</si>
  <si>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</si>
  <si>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</si>
  <si>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</si>
  <si>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</si>
  <si>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</si>
  <si>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</si>
  <si>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</si>
  <si>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</si>
  <si>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</si>
  <si>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</si>
  <si>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</si>
  <si>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</si>
  <si>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</si>
  <si>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</si>
  <si>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</si>
  <si>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</si>
  <si>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</si>
  <si>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</si>
  <si>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</si>
  <si>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</si>
  <si>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</si>
  <si>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</si>
  <si>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</si>
  <si>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</si>
  <si>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</si>
  <si>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</si>
  <si>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</si>
  <si>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</si>
  <si>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</si>
  <si>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</si>
  <si>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</si>
  <si>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</si>
  <si>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</si>
  <si>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</si>
  <si>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</si>
  <si>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</si>
  <si>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</si>
  <si>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</si>
  <si>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</si>
  <si>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</si>
  <si>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</si>
  <si>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</si>
  <si>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</si>
  <si>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</si>
  <si>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</si>
  <si>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</si>
  <si>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</si>
  <si>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</si>
  <si>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</si>
  <si>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</si>
  <si>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</si>
  <si>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</si>
  <si>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</si>
  <si>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</si>
  <si>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</si>
  <si>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</si>
  <si>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</si>
  <si>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</si>
  <si>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</si>
  <si>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</si>
  <si>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</si>
  <si>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</si>
  <si>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</si>
  <si>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</si>
  <si>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</si>
  <si>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</si>
  <si>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</si>
  <si>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</si>
  <si>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</si>
  <si>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</si>
  <si>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</si>
  <si>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</si>
  <si>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</si>
  <si>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</si>
  <si>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</si>
  <si>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</si>
  <si>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</si>
  <si>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</si>
  <si>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</si>
  <si>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</si>
  <si>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</si>
  <si>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</si>
  <si>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</si>
  <si>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</si>
  <si>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</si>
  <si>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</si>
  <si>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</si>
  <si>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</si>
  <si>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</si>
  <si>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</si>
  <si>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</si>
  <si>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</si>
  <si>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</si>
  <si>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</si>
  <si>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</si>
  <si>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</si>
  <si>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</si>
  <si>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</si>
  <si>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</si>
  <si>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</si>
  <si>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</si>
  <si>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</si>
  <si>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</si>
  <si>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</si>
  <si>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</si>
  <si>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</si>
  <si>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</si>
  <si>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</si>
  <si>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</si>
  <si>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</si>
  <si>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</si>
  <si>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</si>
  <si>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</si>
  <si>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</si>
  <si>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</si>
  <si>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</si>
  <si>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</si>
  <si>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</si>
  <si>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</si>
  <si>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</si>
  <si>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</si>
  <si>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</si>
  <si>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</si>
  <si>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</si>
  <si>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</si>
  <si>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</si>
  <si>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</si>
  <si>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</si>
  <si>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</si>
  <si>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</si>
  <si>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</si>
  <si>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</si>
  <si>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</si>
  <si>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</si>
  <si>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</si>
  <si>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</si>
  <si>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</si>
  <si>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</si>
  <si>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</si>
  <si>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</si>
  <si>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</si>
  <si>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</si>
  <si>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</si>
  <si>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</si>
  <si>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</si>
  <si>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</si>
  <si>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</si>
  <si>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</si>
  <si>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</si>
  <si>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</si>
  <si>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</si>
  <si>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</si>
  <si>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</si>
  <si>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</si>
  <si>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</si>
  <si>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</si>
  <si>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</si>
  <si>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</si>
  <si>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</si>
  <si>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</si>
  <si>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</si>
  <si>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</si>
  <si>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</si>
  <si>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</si>
  <si>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</si>
  <si>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</si>
  <si>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</si>
  <si>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</si>
  <si>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</si>
  <si>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</si>
  <si>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</si>
  <si>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</si>
  <si>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</si>
  <si>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</si>
  <si>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</si>
  <si>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</si>
  <si>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</si>
  <si>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</si>
  <si>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</si>
  <si>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</si>
  <si>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</si>
  <si>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</si>
  <si>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</si>
  <si>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</si>
  <si>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</si>
  <si>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</si>
  <si>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</si>
  <si>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</si>
  <si>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</si>
  <si>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</si>
  <si>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</si>
  <si>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</si>
  <si>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</si>
  <si>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</si>
  <si>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</si>
  <si>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</si>
  <si>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</si>
  <si>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</si>
  <si>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</si>
  <si>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</si>
  <si>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</si>
  <si>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</si>
  <si>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</si>
  <si>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</si>
  <si>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</si>
  <si>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</si>
  <si>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</si>
  <si>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</si>
  <si>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</si>
  <si>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</si>
  <si>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</si>
  <si>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</si>
  <si>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</si>
  <si>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</si>
  <si>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</si>
  <si>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</si>
  <si>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</si>
  <si>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</si>
  <si>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</si>
  <si>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</si>
  <si>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</si>
  <si>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</si>
  <si>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</si>
  <si>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</si>
  <si>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</si>
  <si>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</si>
  <si>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Etirer la formule de la colonne "Année"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</si>
  <si>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</si>
  <si>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</si>
  <si>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</si>
  <si>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</si>
  <si>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</si>
  <si>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</si>
  <si>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</si>
  <si>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</si>
  <si>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</si>
  <si>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</si>
  <si>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</si>
  <si>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</si>
  <si>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</si>
  <si>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</si>
  <si>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</si>
  <si>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</si>
  <si>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</si>
  <si>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</si>
  <si>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</si>
  <si>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</si>
  <si>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</si>
  <si>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</si>
  <si>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</si>
  <si>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</si>
  <si>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</si>
  <si>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</si>
  <si>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</si>
  <si>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Coûts</t>
  </si>
  <si>
    <t>Coût du boisement/reboisement (€/ha)</t>
  </si>
  <si>
    <t>Recettes (€/ha)</t>
  </si>
  <si>
    <t>Volume (m³/ha)</t>
  </si>
  <si>
    <t>Ce coût doit intégrer les coûts non imputables aux essences (préparation de la parcelle, protections, dégagements et autres).</t>
  </si>
  <si>
    <t>Ce coût doit intégrer les coûts imputables à l'essence (achats des plants, opération de plantation, éclaircies, etc).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</si>
  <si>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</si>
  <si>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</si>
  <si>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</si>
  <si>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à partir de la cellule R29 jusqu'au "STOP"</t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</si>
  <si>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</si>
  <si>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</si>
  <si>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</si>
  <si>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</si>
  <si>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</si>
  <si>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</si>
  <si>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</si>
  <si>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</si>
  <si>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Renseignez les % de surfaces de culture à l'année 0</t>
  </si>
  <si>
    <t>→ Si scénarios 2, 3, 4 ou 5 :</t>
  </si>
  <si>
    <t>Biomasse totale (tCO₂/ha)</t>
  </si>
  <si>
    <t>Stock moyen de long terme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</si>
  <si>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</si>
  <si>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</si>
  <si>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ainsi que pour laisser la possibilité de noter des commentaires dans les cellules non verrouillées.</t>
  </si>
  <si>
    <t>V28/09/2021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</si>
</sst>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</fills>
  <borders count="5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6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6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5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6" xfId="0" applyFont="1" applyFill="1" applyBorder="1" applyAlignment="1" applyProtection="1">
      <alignment horizontal="center" vertical="center" wrapText="1"/>
      <protection hidden="1"/>
    </xf>
    <xf numFmtId="164" fontId="0" fillId="6" borderId="35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0" fontId="1" fillId="2" borderId="44" xfId="0" applyFont="1" applyFill="1" applyBorder="1" applyAlignment="1" applyProtection="1">
      <alignment horizontal="center" vertical="center" wrapText="1"/>
      <protection hidden="1"/>
    </xf>
    <xf numFmtId="164" fontId="0" fillId="2" borderId="37" xfId="0" applyNumberFormat="1" applyFill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6" borderId="38" xfId="0" applyFont="1" applyFill="1" applyBorder="1" applyAlignment="1" applyProtection="1">
      <alignment horizontal="center" vertical="center" wrapText="1"/>
      <protection hidden="1"/>
    </xf>
    <xf numFmtId="0" fontId="0" fillId="6" borderId="37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7" xfId="0" applyNumberFormat="1" applyFill="1" applyBorder="1" applyAlignment="1" applyProtection="1">
      <alignment horizontal="center" vertical="center"/>
      <protection hidden="1"/>
    </xf>
    <xf numFmtId="0" fontId="0" fillId="2" borderId="37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/>
      <protection hidden="1"/>
    </xf>
    <xf numFmtId="0" fontId="0" fillId="10" borderId="34" xfId="0" applyFill="1" applyBorder="1" applyAlignment="1" applyProtection="1">
      <alignment horizontal="center" vertical="center"/>
      <protection hidden="1"/>
    </xf>
    <xf numFmtId="0" fontId="0" fillId="10" borderId="10" xfId="0" applyFill="1" applyBorder="1" applyAlignment="1" applyProtection="1">
      <alignment horizontal="center" vertical="center"/>
      <protection hidden="1"/>
    </xf>
    <xf numFmtId="0" fontId="1" fillId="10" borderId="10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0" fillId="0" borderId="6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1" fillId="4" borderId="14" xfId="0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2" fillId="0" borderId="16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0" borderId="46" xfId="0" applyNumberFormat="1" applyBorder="1" applyAlignment="1" applyProtection="1">
      <alignment horizontal="center" vertical="center"/>
      <protection hidden="1"/>
    </xf>
    <xf numFmtId="0" fontId="0" fillId="0" borderId="46" xfId="0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9" fontId="0" fillId="8" borderId="17" xfId="0" applyNumberFormat="1" applyFill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9" fontId="0" fillId="8" borderId="22" xfId="0" applyNumberFormat="1" applyFill="1" applyBorder="1" applyAlignment="1" applyProtection="1">
      <alignment horizontal="center" vertical="center"/>
      <protection hidden="1"/>
    </xf>
    <xf numFmtId="9" fontId="0" fillId="8" borderId="19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9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1" xfId="0" applyBorder="1" applyProtection="1">
      <protection hidden="1"/>
    </xf>
    <xf numFmtId="0" fontId="0" fillId="0" borderId="21" xfId="0" applyBorder="1" applyAlignment="1" applyProtection="1">
      <alignment horizontal="center" vertical="center"/>
      <protection hidden="1"/>
    </xf>
    <xf numFmtId="0" fontId="0" fillId="0" borderId="21" xfId="0" applyBorder="1" applyAlignment="1" applyProtection="1">
      <alignment horizontal="center"/>
      <protection hidden="1"/>
    </xf>
    <xf numFmtId="0" fontId="0" fillId="0" borderId="22" xfId="0" applyBorder="1" applyProtection="1">
      <protection hidden="1"/>
    </xf>
    <xf numFmtId="0" fontId="1" fillId="15" borderId="12" xfId="0" applyFont="1" applyFill="1" applyBorder="1" applyAlignment="1" applyProtection="1">
      <alignment horizontal="center" vertical="center"/>
      <protection hidden="1"/>
    </xf>
    <xf numFmtId="0" fontId="1" fillId="15" borderId="29" xfId="0" applyFont="1" applyFill="1" applyBorder="1" applyAlignment="1" applyProtection="1">
      <alignment horizontal="center" vertical="center" wrapText="1"/>
      <protection hidden="1"/>
    </xf>
    <xf numFmtId="0" fontId="1" fillId="13" borderId="13" xfId="0" applyFont="1" applyFill="1" applyBorder="1" applyAlignment="1" applyProtection="1">
      <alignment horizontal="center" vertical="center" wrapText="1"/>
      <protection hidden="1"/>
    </xf>
    <xf numFmtId="0" fontId="1" fillId="9" borderId="12" xfId="0" applyFont="1" applyFill="1" applyBorder="1" applyAlignment="1" applyProtection="1">
      <alignment horizontal="center" vertical="center" wrapText="1"/>
      <protection hidden="1"/>
    </xf>
    <xf numFmtId="0" fontId="1" fillId="9" borderId="14" xfId="0" applyFont="1" applyFill="1" applyBorder="1" applyAlignment="1" applyProtection="1">
      <alignment horizontal="center" vertical="center" wrapText="1"/>
      <protection hidden="1"/>
    </xf>
    <xf numFmtId="0" fontId="1" fillId="17" borderId="31" xfId="0" applyFont="1" applyFill="1" applyBorder="1" applyAlignment="1" applyProtection="1">
      <alignment horizontal="center" vertical="center" wrapText="1"/>
      <protection hidden="1"/>
    </xf>
    <xf numFmtId="0" fontId="1" fillId="17" borderId="29" xfId="0" applyFont="1" applyFill="1" applyBorder="1" applyAlignment="1" applyProtection="1">
      <alignment horizontal="center" vertical="center" wrapText="1"/>
      <protection hidden="1"/>
    </xf>
    <xf numFmtId="0" fontId="1" fillId="15" borderId="2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4" borderId="11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3" borderId="28" xfId="0" applyNumberFormat="1" applyFill="1" applyBorder="1" applyAlignment="1" applyProtection="1">
      <alignment horizontal="center"/>
      <protection hidden="1"/>
    </xf>
    <xf numFmtId="1" fontId="0" fillId="16" borderId="32" xfId="0" applyNumberFormat="1" applyFill="1" applyBorder="1" applyAlignment="1" applyProtection="1">
      <alignment horizontal="center"/>
      <protection hidden="1"/>
    </xf>
    <xf numFmtId="1" fontId="0" fillId="16" borderId="4" xfId="0" applyNumberFormat="1" applyFill="1" applyBorder="1" applyAlignment="1" applyProtection="1">
      <alignment horizontal="center"/>
      <protection hidden="1"/>
    </xf>
    <xf numFmtId="1" fontId="0" fillId="10" borderId="33" xfId="0" applyNumberFormat="1" applyFill="1" applyBorder="1" applyAlignment="1" applyProtection="1">
      <alignment horizontal="center"/>
      <protection hidden="1"/>
    </xf>
    <xf numFmtId="0" fontId="1" fillId="15" borderId="18" xfId="0" applyFont="1" applyFill="1" applyBorder="1" applyAlignment="1" applyProtection="1">
      <alignment horizontal="center"/>
      <protection hidden="1"/>
    </xf>
    <xf numFmtId="2" fontId="1" fillId="15" borderId="5" xfId="0" applyNumberFormat="1" applyFont="1" applyFill="1" applyBorder="1" applyAlignment="1" applyProtection="1">
      <alignment horizontal="center"/>
      <protection hidden="1"/>
    </xf>
    <xf numFmtId="1" fontId="0" fillId="3" borderId="18" xfId="0" applyNumberFormat="1" applyFill="1" applyBorder="1" applyAlignment="1" applyProtection="1">
      <alignment horizontal="center"/>
      <protection hidden="1"/>
    </xf>
    <xf numFmtId="0" fontId="1" fillId="15" borderId="20" xfId="0" applyFont="1" applyFill="1" applyBorder="1" applyAlignment="1" applyProtection="1">
      <alignment horizontal="center"/>
      <protection hidden="1"/>
    </xf>
    <xf numFmtId="2" fontId="1" fillId="15" borderId="30" xfId="0" applyNumberFormat="1" applyFont="1" applyFill="1" applyBorder="1" applyAlignment="1" applyProtection="1">
      <alignment horizontal="center"/>
      <protection hidden="1"/>
    </xf>
    <xf numFmtId="1" fontId="0" fillId="4" borderId="21" xfId="0" applyNumberFormat="1" applyFill="1" applyBorder="1" applyAlignment="1" applyProtection="1">
      <alignment horizontal="center"/>
      <protection hidden="1"/>
    </xf>
    <xf numFmtId="1" fontId="0" fillId="4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3" borderId="50" xfId="0" applyNumberFormat="1" applyFill="1" applyBorder="1" applyAlignment="1" applyProtection="1">
      <alignment horizontal="center"/>
      <protection hidden="1"/>
    </xf>
    <xf numFmtId="1" fontId="0" fillId="16" borderId="51" xfId="0" applyNumberFormat="1" applyFill="1" applyBorder="1" applyAlignment="1" applyProtection="1">
      <alignment horizontal="center"/>
      <protection hidden="1"/>
    </xf>
    <xf numFmtId="1" fontId="0" fillId="16" borderId="39" xfId="0" applyNumberFormat="1" applyFill="1" applyBorder="1" applyAlignment="1" applyProtection="1">
      <alignment horizontal="center"/>
      <protection hidden="1"/>
    </xf>
    <xf numFmtId="1" fontId="0" fillId="10" borderId="47" xfId="0" applyNumberForma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13" borderId="13" xfId="0" applyNumberFormat="1" applyFont="1" applyFill="1" applyBorder="1" applyAlignment="1" applyProtection="1">
      <alignment horizontal="center"/>
      <protection hidden="1"/>
    </xf>
    <xf numFmtId="1" fontId="1" fillId="9" borderId="13" xfId="0" applyNumberFormat="1" applyFont="1" applyFill="1" applyBorder="1" applyAlignment="1" applyProtection="1">
      <alignment horizontal="center"/>
      <protection hidden="1"/>
    </xf>
    <xf numFmtId="1" fontId="1" fillId="17" borderId="13" xfId="0" applyNumberFormat="1" applyFont="1" applyFill="1" applyBorder="1" applyAlignment="1" applyProtection="1">
      <alignment horizontal="center"/>
      <protection hidden="1"/>
    </xf>
    <xf numFmtId="1" fontId="1" fillId="10" borderId="14" xfId="0" applyNumberFormat="1" applyFont="1" applyFill="1" applyBorder="1" applyAlignment="1" applyProtection="1">
      <alignment horizontal="center"/>
      <protection hidden="1"/>
    </xf>
    <xf numFmtId="0" fontId="1" fillId="15" borderId="10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165" fontId="1" fillId="4" borderId="1" xfId="0" applyNumberFormat="1" applyFont="1" applyFill="1" applyBorder="1" applyAlignment="1" applyProtection="1">
      <alignment horizontal="center" vertical="center"/>
      <protection hidden="1"/>
    </xf>
    <xf numFmtId="0" fontId="0" fillId="0" borderId="42" xfId="0" applyFont="1" applyBorder="1" applyProtection="1">
      <protection hidden="1"/>
    </xf>
    <xf numFmtId="0" fontId="0" fillId="0" borderId="42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2" xfId="0" applyFont="1" applyBorder="1" applyProtection="1">
      <protection hidden="1"/>
    </xf>
    <xf numFmtId="0" fontId="15" fillId="0" borderId="0" xfId="0" applyFont="1" applyAlignment="1" applyProtection="1">
      <alignment wrapText="1"/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0" fontId="0" fillId="0" borderId="9" xfId="0" applyFill="1" applyBorder="1" applyProtection="1">
      <protection locked="0" hidden="1"/>
    </xf>
    <xf numFmtId="168" fontId="0" fillId="0" borderId="9" xfId="0" applyNumberFormat="1" applyFill="1" applyBorder="1" applyAlignment="1" applyProtection="1">
      <alignment horizontal="center" vertical="center"/>
      <protection locked="0" hidden="1"/>
    </xf>
    <xf numFmtId="0" fontId="1" fillId="0" borderId="9" xfId="0" applyFont="1" applyFill="1" applyBorder="1" applyAlignment="1" applyProtection="1">
      <alignment horizontal="center" vertical="center"/>
      <protection locked="0" hidden="1"/>
    </xf>
    <xf numFmtId="168" fontId="0" fillId="0" borderId="9" xfId="0" applyNumberFormat="1" applyFill="1" applyBorder="1" applyAlignment="1" applyProtection="1">
      <alignment horizontal="center"/>
      <protection locked="0"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8" xfId="0" applyFont="1" applyBorder="1" applyProtection="1">
      <protection locked="0" hidden="1"/>
    </xf>
    <xf numFmtId="168" fontId="15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6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Fill="1" applyAlignment="1" applyProtection="1">
      <alignment horizontal="center"/>
      <protection locked="0" hidden="1"/>
    </xf>
    <xf numFmtId="0" fontId="0" fillId="0" borderId="42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2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9" xfId="0" applyFont="1" applyFill="1" applyBorder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6" fillId="0" borderId="0" xfId="0" applyFont="1" applyFill="1" applyBorder="1" applyAlignment="1" applyProtection="1">
      <alignment horizontal="center"/>
      <protection locked="0" hidden="1"/>
    </xf>
    <xf numFmtId="0" fontId="0" fillId="0" borderId="0" xfId="0" applyFill="1" applyProtection="1">
      <protection locked="0" hidden="1"/>
    </xf>
    <xf numFmtId="0" fontId="15" fillId="0" borderId="0" xfId="0" applyFont="1" applyAlignment="1" applyProtection="1">
      <alignment wrapText="1"/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9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8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10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7" fillId="4" borderId="45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8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4" borderId="45" xfId="0" applyFont="1" applyFill="1" applyBorder="1" applyAlignment="1" applyProtection="1">
      <alignment horizontal="center"/>
      <protection hidden="1"/>
    </xf>
    <xf numFmtId="0" fontId="7" fillId="2" borderId="38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6" xfId="0" applyFont="1" applyFill="1" applyBorder="1" applyAlignment="1" applyProtection="1">
      <alignment horizontal="center"/>
      <protection hidden="1"/>
    </xf>
    <xf numFmtId="0" fontId="7" fillId="6" borderId="38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6" xfId="0" applyFont="1" applyFill="1" applyBorder="1" applyAlignment="1" applyProtection="1">
      <alignment horizont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" fillId="9" borderId="25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5" fillId="0" borderId="26" xfId="0" applyFont="1" applyBorder="1" applyAlignment="1" applyProtection="1">
      <alignment horizontal="center" wrapText="1"/>
      <protection hidden="1"/>
    </xf>
    <xf numFmtId="0" fontId="15" fillId="0" borderId="26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wrapText="1"/>
      <protection hidden="1"/>
    </xf>
    <xf numFmtId="0" fontId="15" fillId="0" borderId="9" xfId="0" applyFont="1" applyBorder="1" applyAlignment="1" applyProtection="1">
      <alignment horizontal="center" wrapText="1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0" fillId="0" borderId="1" xfId="0" applyNumberForma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5" fillId="0" borderId="41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5" fillId="0" borderId="40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6070272"/>
        <c:axId val="-1456071904"/>
      </c:scatterChart>
      <c:valAx>
        <c:axId val="-1456070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071904"/>
        <c:crosses val="autoZero"/>
        <c:crossBetween val="midCat"/>
      </c:valAx>
      <c:valAx>
        <c:axId val="-145607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070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99039296"/>
        <c:axId val="-1299038752"/>
      </c:scatterChart>
      <c:valAx>
        <c:axId val="-12990392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99038752"/>
        <c:crosses val="autoZero"/>
        <c:crossBetween val="midCat"/>
      </c:valAx>
      <c:valAx>
        <c:axId val="-129903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990392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1.5198603429563082</c:v>
                </c:pt>
                <c:pt idx="2">
                  <c:v>1.8362371066929584</c:v>
                </c:pt>
                <c:pt idx="3">
                  <c:v>2.218725819598768</c:v>
                </c:pt>
                <c:pt idx="4">
                  <c:v>2.6811919831540849</c:v>
                </c:pt>
                <c:pt idx="5">
                  <c:v>3.2404190074891841</c:v>
                </c:pt>
                <c:pt idx="6">
                  <c:v>3.9167242180623174</c:v>
                </c:pt>
                <c:pt idx="7">
                  <c:v>4.7347052909699165</c:v>
                </c:pt>
                <c:pt idx="8">
                  <c:v>5.7241448074245556</c:v>
                </c:pt>
                <c:pt idx="9">
                  <c:v>6.9211065112600325</c:v>
                </c:pt>
                <c:pt idx="10">
                  <c:v>8.3692640037273804</c:v>
                </c:pt>
                <c:pt idx="11">
                  <c:v>10.121511286018778</c:v>
                </c:pt>
                <c:pt idx="12">
                  <c:v>12.241915088120697</c:v>
                </c:pt>
                <c:pt idx="13">
                  <c:v>14.80808169885036</c:v>
                </c:pt>
                <c:pt idx="14">
                  <c:v>17.914026517234074</c:v>
                </c:pt>
                <c:pt idx="15">
                  <c:v>21.673653363782577</c:v>
                </c:pt>
                <c:pt idx="16">
                  <c:v>26.22497343095154</c:v>
                </c:pt>
                <c:pt idx="17">
                  <c:v>31.735221476472066</c:v>
                </c:pt>
                <c:pt idx="18">
                  <c:v>38.407060517371498</c:v>
                </c:pt>
                <c:pt idx="19">
                  <c:v>46.486107136879497</c:v>
                </c:pt>
                <c:pt idx="20">
                  <c:v>56.270059114182743</c:v>
                </c:pt>
                <c:pt idx="21">
                  <c:v>68.11976730254527</c:v>
                </c:pt>
                <c:pt idx="22">
                  <c:v>82.47266679149044</c:v>
                </c:pt>
                <c:pt idx="23">
                  <c:v>99.859071159349909</c:v>
                </c:pt>
                <c:pt idx="24">
                  <c:v>120.92194141345094</c:v>
                </c:pt>
                <c:pt idx="25">
                  <c:v>146.44087210837122</c:v>
                </c:pt>
                <c:pt idx="26">
                  <c:v>177.36119608708984</c:v>
                </c:pt>
                <c:pt idx="27">
                  <c:v>214.82930233053571</c:v>
                </c:pt>
                <c:pt idx="28">
                  <c:v>260.2354958484018</c:v>
                </c:pt>
                <c:pt idx="29">
                  <c:v>315.26601329283494</c:v>
                </c:pt>
                <c:pt idx="30">
                  <c:v>381.96615383459556</c:v>
                </c:pt>
                <c:pt idx="31">
                  <c:v>352.97597255905083</c:v>
                </c:pt>
                <c:pt idx="32">
                  <c:v>379.36999026143502</c:v>
                </c:pt>
                <c:pt idx="33">
                  <c:v>405.72406245234038</c:v>
                </c:pt>
                <c:pt idx="34">
                  <c:v>432.04114599195532</c:v>
                </c:pt>
                <c:pt idx="35">
                  <c:v>458.32380837814776</c:v>
                </c:pt>
                <c:pt idx="36">
                  <c:v>484.57429885995197</c:v>
                </c:pt>
                <c:pt idx="37">
                  <c:v>510.79460333712336</c:v>
                </c:pt>
                <c:pt idx="38">
                  <c:v>536.98648740134536</c:v>
                </c:pt>
                <c:pt idx="39">
                  <c:v>563.1515305451934</c:v>
                </c:pt>
                <c:pt idx="40">
                  <c:v>589.29115368535543</c:v>
                </c:pt>
                <c:pt idx="41">
                  <c:v>615.40664155107049</c:v>
                </c:pt>
                <c:pt idx="42">
                  <c:v>641.4991610771657</c:v>
                </c:pt>
                <c:pt idx="43">
                  <c:v>667.56977665132592</c:v>
                </c:pt>
                <c:pt idx="44">
                  <c:v>693.6194628577997</c:v>
                </c:pt>
                <c:pt idx="45">
                  <c:v>719.64911520900421</c:v>
                </c:pt>
                <c:pt idx="46">
                  <c:v>518.73651996584852</c:v>
                </c:pt>
                <c:pt idx="47">
                  <c:v>539.02098274050331</c:v>
                </c:pt>
                <c:pt idx="48">
                  <c:v>559.28941295549305</c:v>
                </c:pt>
                <c:pt idx="49">
                  <c:v>579.54247290007413</c:v>
                </c:pt>
                <c:pt idx="50">
                  <c:v>599.78077483958634</c:v>
                </c:pt>
                <c:pt idx="51">
                  <c:v>620.00488638842671</c:v>
                </c:pt>
                <c:pt idx="52">
                  <c:v>640.21533514601003</c:v>
                </c:pt>
                <c:pt idx="53">
                  <c:v>660.41261271733799</c:v>
                </c:pt>
                <c:pt idx="54">
                  <c:v>680.59717821655511</c:v>
                </c:pt>
                <c:pt idx="55">
                  <c:v>700.76946133363469</c:v>
                </c:pt>
                <c:pt idx="56">
                  <c:v>720.92986502991926</c:v>
                </c:pt>
                <c:pt idx="57">
                  <c:v>741.07876791676017</c:v>
                </c:pt>
                <c:pt idx="58">
                  <c:v>761.21652636228134</c:v>
                </c:pt>
                <c:pt idx="59">
                  <c:v>781.34347636385371</c:v>
                </c:pt>
                <c:pt idx="60">
                  <c:v>801.45993521781475</c:v>
                </c:pt>
                <c:pt idx="61">
                  <c:v>595.17935047675076</c:v>
                </c:pt>
                <c:pt idx="62">
                  <c:v>615.60952027389885</c:v>
                </c:pt>
                <c:pt idx="63">
                  <c:v>636.02563791944988</c:v>
                </c:pt>
                <c:pt idx="64">
                  <c:v>656.42821753232545</c:v>
                </c:pt>
                <c:pt idx="65">
                  <c:v>676.81773869906476</c:v>
                </c:pt>
                <c:pt idx="66">
                  <c:v>697.19464978468329</c:v>
                </c:pt>
                <c:pt idx="67">
                  <c:v>717.55937083669278</c:v>
                </c:pt>
                <c:pt idx="68">
                  <c:v>737.91229614262863</c:v>
                </c:pt>
                <c:pt idx="69">
                  <c:v>758.25379649102933</c:v>
                </c:pt>
                <c:pt idx="70">
                  <c:v>778.5842211774376</c:v>
                </c:pt>
                <c:pt idx="71">
                  <c:v>798.903899790217</c:v>
                </c:pt>
                <c:pt idx="72">
                  <c:v>819.21314380544175</c:v>
                </c:pt>
                <c:pt idx="73">
                  <c:v>839.51224801560056</c:v>
                </c:pt>
                <c:pt idx="74">
                  <c:v>859.80149181309469</c:v>
                </c:pt>
                <c:pt idx="75">
                  <c:v>880.0811403464453</c:v>
                </c:pt>
                <c:pt idx="76">
                  <c:v>721.19949065137962</c:v>
                </c:pt>
                <c:pt idx="77">
                  <c:v>736.9016618685032</c:v>
                </c:pt>
                <c:pt idx="78">
                  <c:v>752.59702218400662</c:v>
                </c:pt>
                <c:pt idx="79">
                  <c:v>768.2857335280022</c:v>
                </c:pt>
                <c:pt idx="80">
                  <c:v>783.96795068388781</c:v>
                </c:pt>
                <c:pt idx="81">
                  <c:v>799.64382174333969</c:v>
                </c:pt>
                <c:pt idx="82">
                  <c:v>815.31348852381007</c:v>
                </c:pt>
                <c:pt idx="83">
                  <c:v>830.97708695228812</c:v>
                </c:pt>
                <c:pt idx="84">
                  <c:v>846.634747418654</c:v>
                </c:pt>
                <c:pt idx="85">
                  <c:v>862.28659510156115</c:v>
                </c:pt>
                <c:pt idx="86">
                  <c:v>877.93275026945264</c:v>
                </c:pt>
                <c:pt idx="87">
                  <c:v>893.57332855902644</c:v>
                </c:pt>
                <c:pt idx="88">
                  <c:v>909.20844123321547</c:v>
                </c:pt>
                <c:pt idx="89">
                  <c:v>924.8381954205164</c:v>
                </c:pt>
                <c:pt idx="90">
                  <c:v>940.46269433732095</c:v>
                </c:pt>
                <c:pt idx="91">
                  <c:v>808.99255815457821</c:v>
                </c:pt>
                <c:pt idx="92">
                  <c:v>821.5662030130253</c:v>
                </c:pt>
                <c:pt idx="93">
                  <c:v>834.13597312499769</c:v>
                </c:pt>
                <c:pt idx="94">
                  <c:v>846.70193506310795</c:v>
                </c:pt>
                <c:pt idx="95">
                  <c:v>859.26415326442418</c:v>
                </c:pt>
                <c:pt idx="96">
                  <c:v>871.82269012983886</c:v>
                </c:pt>
                <c:pt idx="97">
                  <c:v>884.37760611742544</c:v>
                </c:pt>
                <c:pt idx="98">
                  <c:v>896.92895983021606</c:v>
                </c:pt>
                <c:pt idx="99">
                  <c:v>909.47680809882104</c:v>
                </c:pt>
                <c:pt idx="100">
                  <c:v>922.02120605925336</c:v>
                </c:pt>
                <c:pt idx="101">
                  <c:v>934.56220722630269</c:v>
                </c:pt>
                <c:pt idx="102">
                  <c:v>947.09986356277113</c:v>
                </c:pt>
                <c:pt idx="103">
                  <c:v>959.6342255448543</c:v>
                </c:pt>
                <c:pt idx="104">
                  <c:v>972.16534222393523</c:v>
                </c:pt>
                <c:pt idx="105">
                  <c:v>984.6932612850278</c:v>
                </c:pt>
                <c:pt idx="106">
                  <c:v>871.41979896606597</c:v>
                </c:pt>
                <c:pt idx="107">
                  <c:v>881.893762874137</c:v>
                </c:pt>
                <c:pt idx="108">
                  <c:v>892.36523974757392</c:v>
                </c:pt>
                <c:pt idx="109">
                  <c:v>902.83426286256565</c:v>
                </c:pt>
                <c:pt idx="110">
                  <c:v>913.30086466123737</c:v>
                </c:pt>
                <c:pt idx="111">
                  <c:v>923.76507678207565</c:v>
                </c:pt>
                <c:pt idx="112">
                  <c:v>934.22693008890349</c:v>
                </c:pt>
                <c:pt idx="113">
                  <c:v>944.68645469849014</c:v>
                </c:pt>
                <c:pt idx="114">
                  <c:v>955.14368000687773</c:v>
                </c:pt>
                <c:pt idx="115">
                  <c:v>965.59863471449501</c:v>
                </c:pt>
                <c:pt idx="116">
                  <c:v>976.05134685012774</c:v>
                </c:pt>
                <c:pt idx="117">
                  <c:v>986.50184379381028</c:v>
                </c:pt>
                <c:pt idx="118">
                  <c:v>996.95015229869841</c:v>
                </c:pt>
                <c:pt idx="119">
                  <c:v>1007.3962985119775</c:v>
                </c:pt>
                <c:pt idx="120">
                  <c:v>1017.840307994859</c:v>
                </c:pt>
                <c:pt idx="121">
                  <c:v>914.30714224922122</c:v>
                </c:pt>
                <c:pt idx="122">
                  <c:v>923.3626508974163</c:v>
                </c:pt>
                <c:pt idx="123">
                  <c:v>932.4163921853409</c:v>
                </c:pt>
                <c:pt idx="124">
                  <c:v>941.46838568086969</c:v>
                </c:pt>
                <c:pt idx="125">
                  <c:v>950.51865054519101</c:v>
                </c:pt>
                <c:pt idx="126">
                  <c:v>959.56720554513015</c:v>
                </c:pt>
                <c:pt idx="127">
                  <c:v>968.61406906498678</c:v>
                </c:pt>
                <c:pt idx="128">
                  <c:v>977.65925911790657</c:v>
                </c:pt>
                <c:pt idx="129">
                  <c:v>986.70279335681107</c:v>
                </c:pt>
                <c:pt idx="130">
                  <c:v>995.74468908490519</c:v>
                </c:pt>
                <c:pt idx="131">
                  <c:v>1004.7849632657858</c:v>
                </c:pt>
                <c:pt idx="132">
                  <c:v>1013.8236325331651</c:v>
                </c:pt>
                <c:pt idx="133">
                  <c:v>1022.860713200232</c:v>
                </c:pt>
                <c:pt idx="134">
                  <c:v>1031.8962212686633</c:v>
                </c:pt>
                <c:pt idx="135">
                  <c:v>1040.9301724373074</c:v>
                </c:pt>
                <c:pt idx="136">
                  <c:v>946.42948447334845</c:v>
                </c:pt>
                <c:pt idx="137">
                  <c:v>954.4063862958692</c:v>
                </c:pt>
                <c:pt idx="138">
                  <c:v>962.38196571585513</c:v>
                </c:pt>
                <c:pt idx="139">
                  <c:v>970.35623522981484</c:v>
                </c:pt>
                <c:pt idx="140">
                  <c:v>978.32920711226598</c:v>
                </c:pt>
                <c:pt idx="141">
                  <c:v>986.30089342149392</c:v>
                </c:pt>
                <c:pt idx="142">
                  <c:v>994.27130600511418</c:v>
                </c:pt>
                <c:pt idx="143">
                  <c:v>1002.2404565054475</c:v>
                </c:pt>
                <c:pt idx="144">
                  <c:v>1010.208356364716</c:v>
                </c:pt>
                <c:pt idx="145">
                  <c:v>1018.1750168300663</c:v>
                </c:pt>
                <c:pt idx="146">
                  <c:v>1026.1404489584284</c:v>
                </c:pt>
                <c:pt idx="147">
                  <c:v>1034.1046636212134</c:v>
                </c:pt>
                <c:pt idx="148">
                  <c:v>1042.0676715088637</c:v>
                </c:pt>
                <c:pt idx="149">
                  <c:v>1050.0294831352514</c:v>
                </c:pt>
                <c:pt idx="150">
                  <c:v>1057.9901088419422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6068640"/>
        <c:axId val="-1456067552"/>
      </c:scatterChart>
      <c:valAx>
        <c:axId val="-14560686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067552"/>
        <c:crosses val="autoZero"/>
        <c:crossBetween val="midCat"/>
      </c:valAx>
      <c:valAx>
        <c:axId val="-1456067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0686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2.5739702149710419</c:v>
                </c:pt>
                <c:pt idx="2">
                  <c:v>3.2459194465110297</c:v>
                </c:pt>
                <c:pt idx="3">
                  <c:v>4.0939710189489533</c:v>
                </c:pt>
                <c:pt idx="4">
                  <c:v>5.1644468142220035</c:v>
                </c:pt>
                <c:pt idx="5">
                  <c:v>6.5158949204199574</c:v>
                </c:pt>
                <c:pt idx="6">
                  <c:v>8.2223268474483628</c:v>
                </c:pt>
                <c:pt idx="7">
                  <c:v>10.377314381529446</c:v>
                </c:pt>
                <c:pt idx="8">
                  <c:v>13.0991749633718</c:v>
                </c:pt>
                <c:pt idx="9">
                  <c:v>16.5375355648608</c:v>
                </c:pt>
                <c:pt idx="10">
                  <c:v>20.881642470054704</c:v>
                </c:pt>
                <c:pt idx="11">
                  <c:v>40.158707029353486</c:v>
                </c:pt>
                <c:pt idx="12">
                  <c:v>59.175912716477491</c:v>
                </c:pt>
                <c:pt idx="13">
                  <c:v>78.031511845010769</c:v>
                </c:pt>
                <c:pt idx="14">
                  <c:v>96.770620064133439</c:v>
                </c:pt>
                <c:pt idx="15">
                  <c:v>115.41913240124948</c:v>
                </c:pt>
                <c:pt idx="16">
                  <c:v>139.33857382377983</c:v>
                </c:pt>
                <c:pt idx="17">
                  <c:v>163.15917370613849</c:v>
                </c:pt>
                <c:pt idx="18">
                  <c:v>186.89742338047495</c:v>
                </c:pt>
                <c:pt idx="19">
                  <c:v>210.56526416532461</c:v>
                </c:pt>
                <c:pt idx="20">
                  <c:v>234.1717261002126</c:v>
                </c:pt>
                <c:pt idx="21">
                  <c:v>259.39935592084555</c:v>
                </c:pt>
                <c:pt idx="22">
                  <c:v>284.57154692229051</c:v>
                </c:pt>
                <c:pt idx="23">
                  <c:v>309.69389008754689</c:v>
                </c:pt>
                <c:pt idx="24">
                  <c:v>334.77099499390852</c:v>
                </c:pt>
                <c:pt idx="25">
                  <c:v>359.80672426785873</c:v>
                </c:pt>
                <c:pt idx="26">
                  <c:v>210.9431548618206</c:v>
                </c:pt>
                <c:pt idx="27">
                  <c:v>235.40539801641577</c:v>
                </c:pt>
                <c:pt idx="28">
                  <c:v>259.80964246306229</c:v>
                </c:pt>
                <c:pt idx="29">
                  <c:v>284.16210054487738</c:v>
                </c:pt>
                <c:pt idx="30">
                  <c:v>308.46783220083086</c:v>
                </c:pt>
                <c:pt idx="31">
                  <c:v>330.45275291424451</c:v>
                </c:pt>
                <c:pt idx="32">
                  <c:v>352.40541718901864</c:v>
                </c:pt>
                <c:pt idx="33">
                  <c:v>374.32811573713349</c:v>
                </c:pt>
                <c:pt idx="34">
                  <c:v>396.22284916008135</c:v>
                </c:pt>
                <c:pt idx="35">
                  <c:v>418.09137902152241</c:v>
                </c:pt>
                <c:pt idx="36">
                  <c:v>318.57961605769276</c:v>
                </c:pt>
                <c:pt idx="37">
                  <c:v>337.86441268071212</c:v>
                </c:pt>
                <c:pt idx="38">
                  <c:v>357.12498806665661</c:v>
                </c:pt>
                <c:pt idx="39">
                  <c:v>376.36283173143846</c:v>
                </c:pt>
                <c:pt idx="40">
                  <c:v>395.57926853763871</c:v>
                </c:pt>
                <c:pt idx="41">
                  <c:v>412.20358038568497</c:v>
                </c:pt>
                <c:pt idx="42">
                  <c:v>428.81342781743956</c:v>
                </c:pt>
                <c:pt idx="43">
                  <c:v>445.40944978214952</c:v>
                </c:pt>
                <c:pt idx="44">
                  <c:v>461.99223374704587</c:v>
                </c:pt>
                <c:pt idx="45">
                  <c:v>478.56232158259263</c:v>
                </c:pt>
                <c:pt idx="46">
                  <c:v>392.93696243046719</c:v>
                </c:pt>
                <c:pt idx="47">
                  <c:v>407.39725092409685</c:v>
                </c:pt>
                <c:pt idx="48">
                  <c:v>421.84645320649815</c:v>
                </c:pt>
                <c:pt idx="49">
                  <c:v>436.28500243236414</c:v>
                </c:pt>
                <c:pt idx="50">
                  <c:v>450.7133007522707</c:v>
                </c:pt>
                <c:pt idx="51">
                  <c:v>463.14005644065509</c:v>
                </c:pt>
                <c:pt idx="52">
                  <c:v>475.55970127795899</c:v>
                </c:pt>
                <c:pt idx="53">
                  <c:v>487.97244712622177</c:v>
                </c:pt>
                <c:pt idx="54">
                  <c:v>500.37849419092498</c:v>
                </c:pt>
                <c:pt idx="55">
                  <c:v>512.77803194152796</c:v>
                </c:pt>
                <c:pt idx="56">
                  <c:v>464.52411486759246</c:v>
                </c:pt>
                <c:pt idx="57">
                  <c:v>475.12108258788476</c:v>
                </c:pt>
                <c:pt idx="58">
                  <c:v>485.71302236336152</c:v>
                </c:pt>
                <c:pt idx="59">
                  <c:v>496.30005930433055</c:v>
                </c:pt>
                <c:pt idx="60">
                  <c:v>506.88231274768879</c:v>
                </c:pt>
                <c:pt idx="61">
                  <c:v>515.70851280829277</c:v>
                </c:pt>
                <c:pt idx="62">
                  <c:v>524.53152544253942</c:v>
                </c:pt>
                <c:pt idx="63">
                  <c:v>533.35141183484177</c:v>
                </c:pt>
                <c:pt idx="64">
                  <c:v>542.16823098066709</c:v>
                </c:pt>
                <c:pt idx="65">
                  <c:v>550.98203979993968</c:v>
                </c:pt>
                <c:pt idx="66">
                  <c:v>512.10430825653827</c:v>
                </c:pt>
                <c:pt idx="67">
                  <c:v>519.68262684712829</c:v>
                </c:pt>
                <c:pt idx="68">
                  <c:v>527.2586152730355</c:v>
                </c:pt>
                <c:pt idx="69">
                  <c:v>534.83231174765194</c:v>
                </c:pt>
                <c:pt idx="70">
                  <c:v>542.40375331351447</c:v>
                </c:pt>
                <c:pt idx="71">
                  <c:v>549.43479260711786</c:v>
                </c:pt>
                <c:pt idx="72">
                  <c:v>556.46394525822063</c:v>
                </c:pt>
                <c:pt idx="73">
                  <c:v>563.4912384664442</c:v>
                </c:pt>
                <c:pt idx="74">
                  <c:v>570.51669869748378</c:v>
                </c:pt>
                <c:pt idx="75">
                  <c:v>577.54035171190242</c:v>
                </c:pt>
                <c:pt idx="76">
                  <c:v>583.52081267868198</c:v>
                </c:pt>
                <c:pt idx="77">
                  <c:v>589.49999610729913</c:v>
                </c:pt>
                <c:pt idx="78">
                  <c:v>595.47791678717317</c:v>
                </c:pt>
                <c:pt idx="79">
                  <c:v>601.45458918647978</c:v>
                </c:pt>
                <c:pt idx="80">
                  <c:v>607.43002746232321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6072448"/>
        <c:axId val="-1456074080"/>
      </c:scatterChart>
      <c:valAx>
        <c:axId val="-14560724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074080"/>
        <c:crosses val="autoZero"/>
        <c:crossBetween val="midCat"/>
      </c:valAx>
      <c:valAx>
        <c:axId val="-1456074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0724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87.672415653160499</c:v>
                </c:pt>
                <c:pt idx="17">
                  <c:v>104.14760645595801</c:v>
                </c:pt>
                <c:pt idx="18">
                  <c:v>120.55829551377816</c:v>
                </c:pt>
                <c:pt idx="19">
                  <c:v>136.9145198877824</c:v>
                </c:pt>
                <c:pt idx="20">
                  <c:v>153.22371186614834</c:v>
                </c:pt>
                <c:pt idx="21">
                  <c:v>123.62898327972762</c:v>
                </c:pt>
                <c:pt idx="22">
                  <c:v>141.67594470663133</c:v>
                </c:pt>
                <c:pt idx="23">
                  <c:v>159.66774547880371</c:v>
                </c:pt>
                <c:pt idx="24">
                  <c:v>177.61148225294485</c:v>
                </c:pt>
                <c:pt idx="25">
                  <c:v>195.51269709583855</c:v>
                </c:pt>
                <c:pt idx="26">
                  <c:v>169.32232688472158</c:v>
                </c:pt>
                <c:pt idx="27">
                  <c:v>188.76221470729038</c:v>
                </c:pt>
                <c:pt idx="28">
                  <c:v>208.15542061438944</c:v>
                </c:pt>
                <c:pt idx="29">
                  <c:v>227.50690659831903</c:v>
                </c:pt>
                <c:pt idx="30">
                  <c:v>246.82072062447358</c:v>
                </c:pt>
                <c:pt idx="31">
                  <c:v>266.10022493300397</c:v>
                </c:pt>
                <c:pt idx="32">
                  <c:v>224.98501498915437</c:v>
                </c:pt>
                <c:pt idx="33">
                  <c:v>244.30353923844871</c:v>
                </c:pt>
                <c:pt idx="34">
                  <c:v>263.58734797276003</c:v>
                </c:pt>
                <c:pt idx="35">
                  <c:v>282.83933776674911</c:v>
                </c:pt>
                <c:pt idx="36">
                  <c:v>302.06197856553007</c:v>
                </c:pt>
                <c:pt idx="37">
                  <c:v>321.25740024962437</c:v>
                </c:pt>
                <c:pt idx="38">
                  <c:v>279.73236813579501</c:v>
                </c:pt>
                <c:pt idx="39">
                  <c:v>298.36290228402567</c:v>
                </c:pt>
                <c:pt idx="40">
                  <c:v>316.96751977104657</c:v>
                </c:pt>
                <c:pt idx="41">
                  <c:v>335.5479553564636</c:v>
                </c:pt>
                <c:pt idx="42">
                  <c:v>354.10573601815037</c:v>
                </c:pt>
                <c:pt idx="43">
                  <c:v>372.64221565134466</c:v>
                </c:pt>
                <c:pt idx="44">
                  <c:v>391.15860250001066</c:v>
                </c:pt>
                <c:pt idx="45">
                  <c:v>336.88699770814992</c:v>
                </c:pt>
                <c:pt idx="46">
                  <c:v>354.16518115704025</c:v>
                </c:pt>
                <c:pt idx="47">
                  <c:v>371.42490308727588</c:v>
                </c:pt>
                <c:pt idx="48">
                  <c:v>388.66714186934951</c:v>
                </c:pt>
                <c:pt idx="49">
                  <c:v>405.8927820061424</c:v>
                </c:pt>
                <c:pt idx="50">
                  <c:v>423.10262682279273</c:v>
                </c:pt>
                <c:pt idx="51">
                  <c:v>440.29740898417253</c:v>
                </c:pt>
                <c:pt idx="52">
                  <c:v>457.47779928386586</c:v>
                </c:pt>
                <c:pt idx="53">
                  <c:v>393.44213889474241</c:v>
                </c:pt>
                <c:pt idx="54">
                  <c:v>409.0041420403515</c:v>
                </c:pt>
                <c:pt idx="55">
                  <c:v>424.55336102424553</c:v>
                </c:pt>
                <c:pt idx="56">
                  <c:v>440.09032987714414</c:v>
                </c:pt>
                <c:pt idx="57">
                  <c:v>455.61554185670792</c:v>
                </c:pt>
                <c:pt idx="58">
                  <c:v>471.12945387267996</c:v>
                </c:pt>
                <c:pt idx="59">
                  <c:v>486.63249029889329</c:v>
                </c:pt>
                <c:pt idx="60">
                  <c:v>502.125046274314</c:v>
                </c:pt>
                <c:pt idx="61">
                  <c:v>438.70974904240529</c:v>
                </c:pt>
                <c:pt idx="62">
                  <c:v>453.06329508642119</c:v>
                </c:pt>
                <c:pt idx="63">
                  <c:v>467.40712233198587</c:v>
                </c:pt>
                <c:pt idx="64">
                  <c:v>481.74157097323285</c:v>
                </c:pt>
                <c:pt idx="65">
                  <c:v>496.06695931286293</c:v>
                </c:pt>
                <c:pt idx="66">
                  <c:v>510.38358577553481</c:v>
                </c:pt>
                <c:pt idx="67">
                  <c:v>524.69173068364398</c:v>
                </c:pt>
                <c:pt idx="68">
                  <c:v>538.99165782937473</c:v>
                </c:pt>
                <c:pt idx="69">
                  <c:v>553.28361587129041</c:v>
                </c:pt>
                <c:pt idx="70">
                  <c:v>1.3525069634579169E-12</c:v>
                </c:pt>
                <c:pt idx="71">
                  <c:v>1.3525069634579169E-12</c:v>
                </c:pt>
                <c:pt idx="72">
                  <c:v>1.3525069634579169E-12</c:v>
                </c:pt>
                <c:pt idx="73">
                  <c:v>1.3525069634579169E-12</c:v>
                </c:pt>
                <c:pt idx="74">
                  <c:v>1.3525069634579169E-12</c:v>
                </c:pt>
                <c:pt idx="75">
                  <c:v>1.3525069634579169E-12</c:v>
                </c:pt>
                <c:pt idx="76">
                  <c:v>1.3525069634579169E-12</c:v>
                </c:pt>
                <c:pt idx="77">
                  <c:v>1.3525069634579169E-12</c:v>
                </c:pt>
                <c:pt idx="78">
                  <c:v>1.3525069634579169E-12</c:v>
                </c:pt>
                <c:pt idx="79">
                  <c:v>1.3525069634579169E-12</c:v>
                </c:pt>
                <c:pt idx="80">
                  <c:v>1.3525069634579169E-12</c:v>
                </c:pt>
                <c:pt idx="81">
                  <c:v>1.3525069634579169E-12</c:v>
                </c:pt>
                <c:pt idx="82">
                  <c:v>1.3525069634579169E-12</c:v>
                </c:pt>
                <c:pt idx="83">
                  <c:v>1.3525069634579169E-12</c:v>
                </c:pt>
                <c:pt idx="84">
                  <c:v>1.3525069634579169E-12</c:v>
                </c:pt>
                <c:pt idx="85">
                  <c:v>1.3525069634579169E-12</c:v>
                </c:pt>
                <c:pt idx="86">
                  <c:v>1.3525069634579169E-12</c:v>
                </c:pt>
                <c:pt idx="87">
                  <c:v>1.3525069634579169E-12</c:v>
                </c:pt>
                <c:pt idx="88">
                  <c:v>1.3525069634579169E-12</c:v>
                </c:pt>
                <c:pt idx="89">
                  <c:v>1.3525069634579169E-12</c:v>
                </c:pt>
                <c:pt idx="90">
                  <c:v>1.3525069634579169E-12</c:v>
                </c:pt>
                <c:pt idx="91">
                  <c:v>1.3525069634579169E-12</c:v>
                </c:pt>
                <c:pt idx="92">
                  <c:v>1.3525069634579169E-12</c:v>
                </c:pt>
                <c:pt idx="93">
                  <c:v>1.3525069634579169E-12</c:v>
                </c:pt>
                <c:pt idx="94">
                  <c:v>1.3525069634579169E-12</c:v>
                </c:pt>
                <c:pt idx="95">
                  <c:v>1.3525069634579169E-12</c:v>
                </c:pt>
                <c:pt idx="96">
                  <c:v>1.3525069634579169E-12</c:v>
                </c:pt>
                <c:pt idx="97">
                  <c:v>1.3525069634579169E-12</c:v>
                </c:pt>
                <c:pt idx="98">
                  <c:v>1.3525069634579169E-12</c:v>
                </c:pt>
                <c:pt idx="99">
                  <c:v>1.3525069634579169E-12</c:v>
                </c:pt>
                <c:pt idx="100">
                  <c:v>1.3525069634579169E-12</c:v>
                </c:pt>
                <c:pt idx="101">
                  <c:v>1.3525069634579169E-12</c:v>
                </c:pt>
                <c:pt idx="102">
                  <c:v>1.3525069634579169E-12</c:v>
                </c:pt>
                <c:pt idx="103">
                  <c:v>1.3525069634579169E-12</c:v>
                </c:pt>
                <c:pt idx="104">
                  <c:v>1.3525069634579169E-12</c:v>
                </c:pt>
                <c:pt idx="105">
                  <c:v>1.3525069634579169E-12</c:v>
                </c:pt>
                <c:pt idx="106">
                  <c:v>1.3525069634579169E-12</c:v>
                </c:pt>
                <c:pt idx="107">
                  <c:v>1.3525069634579169E-12</c:v>
                </c:pt>
                <c:pt idx="108">
                  <c:v>1.3525069634579169E-12</c:v>
                </c:pt>
                <c:pt idx="109">
                  <c:v>1.3525069634579169E-12</c:v>
                </c:pt>
                <c:pt idx="110">
                  <c:v>1.3525069634579169E-12</c:v>
                </c:pt>
                <c:pt idx="111">
                  <c:v>1.3525069634579169E-12</c:v>
                </c:pt>
                <c:pt idx="112">
                  <c:v>1.3525069634579169E-12</c:v>
                </c:pt>
                <c:pt idx="113">
                  <c:v>1.3525069634579169E-12</c:v>
                </c:pt>
                <c:pt idx="114">
                  <c:v>1.3525069634579169E-12</c:v>
                </c:pt>
                <c:pt idx="115">
                  <c:v>1.3525069634579169E-12</c:v>
                </c:pt>
                <c:pt idx="116">
                  <c:v>1.3525069634579169E-12</c:v>
                </c:pt>
                <c:pt idx="117">
                  <c:v>1.3525069634579169E-12</c:v>
                </c:pt>
                <c:pt idx="118">
                  <c:v>1.3525069634579169E-12</c:v>
                </c:pt>
                <c:pt idx="119">
                  <c:v>1.3525069634579169E-12</c:v>
                </c:pt>
                <c:pt idx="120">
                  <c:v>1.3525069634579169E-12</c:v>
                </c:pt>
                <c:pt idx="121">
                  <c:v>1.3525069634579169E-12</c:v>
                </c:pt>
                <c:pt idx="122">
                  <c:v>1.3525069634579169E-12</c:v>
                </c:pt>
                <c:pt idx="123">
                  <c:v>1.3525069634579169E-12</c:v>
                </c:pt>
                <c:pt idx="124">
                  <c:v>1.3525069634579169E-12</c:v>
                </c:pt>
                <c:pt idx="125">
                  <c:v>1.3525069634579169E-12</c:v>
                </c:pt>
                <c:pt idx="126">
                  <c:v>1.3525069634579169E-12</c:v>
                </c:pt>
                <c:pt idx="127">
                  <c:v>1.3525069634579169E-12</c:v>
                </c:pt>
                <c:pt idx="128">
                  <c:v>1.3525069634579169E-12</c:v>
                </c:pt>
                <c:pt idx="129">
                  <c:v>1.3525069634579169E-12</c:v>
                </c:pt>
                <c:pt idx="130">
                  <c:v>1.3525069634579169E-12</c:v>
                </c:pt>
                <c:pt idx="131">
                  <c:v>1.3525069634579169E-12</c:v>
                </c:pt>
                <c:pt idx="132">
                  <c:v>1.3525069634579169E-12</c:v>
                </c:pt>
                <c:pt idx="133">
                  <c:v>1.3525069634579169E-12</c:v>
                </c:pt>
                <c:pt idx="134">
                  <c:v>1.3525069634579169E-12</c:v>
                </c:pt>
                <c:pt idx="135">
                  <c:v>1.3525069634579169E-12</c:v>
                </c:pt>
                <c:pt idx="136">
                  <c:v>1.3525069634579169E-12</c:v>
                </c:pt>
                <c:pt idx="137">
                  <c:v>1.3525069634579169E-12</c:v>
                </c:pt>
                <c:pt idx="138">
                  <c:v>1.3525069634579169E-12</c:v>
                </c:pt>
                <c:pt idx="139">
                  <c:v>1.3525069634579169E-12</c:v>
                </c:pt>
                <c:pt idx="140">
                  <c:v>1.3525069634579169E-12</c:v>
                </c:pt>
                <c:pt idx="141">
                  <c:v>1.3525069634579169E-12</c:v>
                </c:pt>
                <c:pt idx="142">
                  <c:v>1.3525069634579169E-12</c:v>
                </c:pt>
                <c:pt idx="143">
                  <c:v>1.3525069634579169E-12</c:v>
                </c:pt>
                <c:pt idx="144">
                  <c:v>1.3525069634579169E-12</c:v>
                </c:pt>
                <c:pt idx="145">
                  <c:v>1.3525069634579169E-12</c:v>
                </c:pt>
                <c:pt idx="146">
                  <c:v>1.3525069634579169E-12</c:v>
                </c:pt>
                <c:pt idx="147">
                  <c:v>1.3525069634579169E-12</c:v>
                </c:pt>
                <c:pt idx="148">
                  <c:v>1.3525069634579169E-12</c:v>
                </c:pt>
                <c:pt idx="149">
                  <c:v>1.3525069634579169E-12</c:v>
                </c:pt>
                <c:pt idx="150">
                  <c:v>1.3525069634579169E-12</c:v>
                </c:pt>
                <c:pt idx="151">
                  <c:v>1.3525069634579169E-12</c:v>
                </c:pt>
                <c:pt idx="152">
                  <c:v>1.3525069634579169E-12</c:v>
                </c:pt>
                <c:pt idx="153">
                  <c:v>1.3525069634579169E-12</c:v>
                </c:pt>
                <c:pt idx="154">
                  <c:v>1.3525069634579169E-12</c:v>
                </c:pt>
                <c:pt idx="155">
                  <c:v>1.3525069634579169E-12</c:v>
                </c:pt>
                <c:pt idx="156">
                  <c:v>1.3525069634579169E-12</c:v>
                </c:pt>
                <c:pt idx="157">
                  <c:v>1.3525069634579169E-12</c:v>
                </c:pt>
                <c:pt idx="158">
                  <c:v>1.3525069634579169E-12</c:v>
                </c:pt>
                <c:pt idx="159">
                  <c:v>1.3525069634579169E-12</c:v>
                </c:pt>
                <c:pt idx="160">
                  <c:v>1.3525069634579169E-12</c:v>
                </c:pt>
                <c:pt idx="161">
                  <c:v>1.3525069634579169E-12</c:v>
                </c:pt>
                <c:pt idx="162">
                  <c:v>1.3525069634579169E-12</c:v>
                </c:pt>
                <c:pt idx="163">
                  <c:v>1.3525069634579169E-12</c:v>
                </c:pt>
                <c:pt idx="164">
                  <c:v>1.3525069634579169E-12</c:v>
                </c:pt>
                <c:pt idx="165">
                  <c:v>1.3525069634579169E-12</c:v>
                </c:pt>
                <c:pt idx="166">
                  <c:v>1.3525069634579169E-12</c:v>
                </c:pt>
                <c:pt idx="167">
                  <c:v>1.3525069634579169E-12</c:v>
                </c:pt>
                <c:pt idx="168">
                  <c:v>1.3525069634579169E-12</c:v>
                </c:pt>
                <c:pt idx="169">
                  <c:v>1.3525069634579169E-12</c:v>
                </c:pt>
                <c:pt idx="170">
                  <c:v>1.3525069634579169E-12</c:v>
                </c:pt>
                <c:pt idx="171">
                  <c:v>1.3525069634579169E-12</c:v>
                </c:pt>
                <c:pt idx="172">
                  <c:v>1.3525069634579169E-12</c:v>
                </c:pt>
                <c:pt idx="173">
                  <c:v>1.3525069634579169E-12</c:v>
                </c:pt>
                <c:pt idx="174">
                  <c:v>1.3525069634579169E-12</c:v>
                </c:pt>
                <c:pt idx="175">
                  <c:v>1.3525069634579169E-12</c:v>
                </c:pt>
                <c:pt idx="176">
                  <c:v>1.3525069634579169E-12</c:v>
                </c:pt>
                <c:pt idx="177">
                  <c:v>1.3525069634579169E-12</c:v>
                </c:pt>
                <c:pt idx="178">
                  <c:v>1.3525069634579169E-12</c:v>
                </c:pt>
                <c:pt idx="179">
                  <c:v>1.3525069634579169E-12</c:v>
                </c:pt>
                <c:pt idx="180">
                  <c:v>1.3525069634579169E-12</c:v>
                </c:pt>
                <c:pt idx="181">
                  <c:v>1.3525069634579169E-12</c:v>
                </c:pt>
                <c:pt idx="182">
                  <c:v>1.3525069634579169E-12</c:v>
                </c:pt>
                <c:pt idx="183">
                  <c:v>1.3525069634579169E-12</c:v>
                </c:pt>
                <c:pt idx="184">
                  <c:v>1.3525069634579169E-12</c:v>
                </c:pt>
                <c:pt idx="185">
                  <c:v>1.3525069634579169E-12</c:v>
                </c:pt>
                <c:pt idx="186">
                  <c:v>1.3525069634579169E-12</c:v>
                </c:pt>
                <c:pt idx="187">
                  <c:v>1.3525069634579169E-12</c:v>
                </c:pt>
                <c:pt idx="188">
                  <c:v>1.3525069634579169E-12</c:v>
                </c:pt>
                <c:pt idx="189">
                  <c:v>1.3525069634579169E-12</c:v>
                </c:pt>
                <c:pt idx="190">
                  <c:v>1.3525069634579169E-12</c:v>
                </c:pt>
                <c:pt idx="191">
                  <c:v>1.3525069634579169E-12</c:v>
                </c:pt>
                <c:pt idx="192">
                  <c:v>1.3525069634579169E-12</c:v>
                </c:pt>
                <c:pt idx="193">
                  <c:v>1.3525069634579169E-12</c:v>
                </c:pt>
                <c:pt idx="194">
                  <c:v>1.3525069634579169E-12</c:v>
                </c:pt>
                <c:pt idx="195">
                  <c:v>1.3525069634579169E-12</c:v>
                </c:pt>
                <c:pt idx="196">
                  <c:v>1.3525069634579169E-12</c:v>
                </c:pt>
                <c:pt idx="197">
                  <c:v>1.3525069634579169E-12</c:v>
                </c:pt>
                <c:pt idx="198">
                  <c:v>1.3525069634579169E-12</c:v>
                </c:pt>
                <c:pt idx="199">
                  <c:v>1.3525069634579169E-12</c:v>
                </c:pt>
                <c:pt idx="200">
                  <c:v>1.3525069634579169E-12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6069728"/>
        <c:axId val="-1456073536"/>
      </c:scatterChart>
      <c:valAx>
        <c:axId val="-1456069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073536"/>
        <c:crosses val="autoZero"/>
        <c:crossBetween val="midCat"/>
      </c:valAx>
      <c:valAx>
        <c:axId val="-1456073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069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1.8571401331452277</c:v>
                </c:pt>
                <c:pt idx="2">
                  <c:v>2.3730182268560873</c:v>
                </c:pt>
                <c:pt idx="3">
                  <c:v>3.0327744218015771</c:v>
                </c:pt>
                <c:pt idx="4">
                  <c:v>3.8766882112715897</c:v>
                </c:pt>
                <c:pt idx="5">
                  <c:v>4.9563554287630449</c:v>
                </c:pt>
                <c:pt idx="6">
                  <c:v>6.3378779408752912</c:v>
                </c:pt>
                <c:pt idx="7">
                  <c:v>8.1059551197421627</c:v>
                </c:pt>
                <c:pt idx="8">
                  <c:v>10.369132747406743</c:v>
                </c:pt>
                <c:pt idx="9">
                  <c:v>13.266537663656479</c:v>
                </c:pt>
                <c:pt idx="10">
                  <c:v>16.976519825467278</c:v>
                </c:pt>
                <c:pt idx="11">
                  <c:v>21.727743408313824</c:v>
                </c:pt>
                <c:pt idx="12">
                  <c:v>27.813422744642168</c:v>
                </c:pt>
                <c:pt idx="13">
                  <c:v>35.609597033656748</c:v>
                </c:pt>
                <c:pt idx="14">
                  <c:v>45.598592436332616</c:v>
                </c:pt>
                <c:pt idx="15">
                  <c:v>58.399147554974014</c:v>
                </c:pt>
                <c:pt idx="16">
                  <c:v>74.805099181620164</c:v>
                </c:pt>
                <c:pt idx="17">
                  <c:v>95.835066334896965</c:v>
                </c:pt>
                <c:pt idx="18">
                  <c:v>122.79626640704589</c:v>
                </c:pt>
                <c:pt idx="19">
                  <c:v>157.36649199397678</c:v>
                </c:pt>
                <c:pt idx="20">
                  <c:v>201.69942766100667</c:v>
                </c:pt>
                <c:pt idx="21">
                  <c:v>258.55996582862014</c:v>
                </c:pt>
                <c:pt idx="22">
                  <c:v>205.57216811118852</c:v>
                </c:pt>
                <c:pt idx="23">
                  <c:v>228.48746894478305</c:v>
                </c:pt>
                <c:pt idx="24">
                  <c:v>251.35018250509077</c:v>
                </c:pt>
                <c:pt idx="25">
                  <c:v>274.16576374261041</c:v>
                </c:pt>
                <c:pt idx="26">
                  <c:v>296.93868498913014</c:v>
                </c:pt>
                <c:pt idx="27">
                  <c:v>319.67267638199866</c:v>
                </c:pt>
                <c:pt idx="28">
                  <c:v>342.37089418257466</c:v>
                </c:pt>
                <c:pt idx="29">
                  <c:v>289.5804367740414</c:v>
                </c:pt>
                <c:pt idx="30">
                  <c:v>313.35190006172803</c:v>
                </c:pt>
                <c:pt idx="31">
                  <c:v>337.08338071755128</c:v>
                </c:pt>
                <c:pt idx="32">
                  <c:v>360.77808747233183</c:v>
                </c:pt>
                <c:pt idx="33">
                  <c:v>384.43877330198114</c:v>
                </c:pt>
                <c:pt idx="34">
                  <c:v>408.06782480829406</c:v>
                </c:pt>
                <c:pt idx="35">
                  <c:v>431.66732980483766</c:v>
                </c:pt>
                <c:pt idx="36">
                  <c:v>368.10109675197208</c:v>
                </c:pt>
                <c:pt idx="37">
                  <c:v>391.41168395580547</c:v>
                </c:pt>
                <c:pt idx="38">
                  <c:v>414.6921671769374</c:v>
                </c:pt>
                <c:pt idx="39">
                  <c:v>437.94447268119819</c:v>
                </c:pt>
                <c:pt idx="40">
                  <c:v>461.17030563777286</c:v>
                </c:pt>
                <c:pt idx="41">
                  <c:v>484.37118557987498</c:v>
                </c:pt>
                <c:pt idx="42">
                  <c:v>507.54847471808051</c:v>
                </c:pt>
                <c:pt idx="43">
                  <c:v>438.45334520685856</c:v>
                </c:pt>
                <c:pt idx="44">
                  <c:v>460.66198322185556</c:v>
                </c:pt>
                <c:pt idx="45">
                  <c:v>482.84777825479341</c:v>
                </c:pt>
                <c:pt idx="46">
                  <c:v>505.01192662355203</c:v>
                </c:pt>
                <c:pt idx="47">
                  <c:v>527.15551115917788</c:v>
                </c:pt>
                <c:pt idx="48">
                  <c:v>549.27951638276431</c:v>
                </c:pt>
                <c:pt idx="49">
                  <c:v>571.38484111103946</c:v>
                </c:pt>
                <c:pt idx="50">
                  <c:v>497.23149189337681</c:v>
                </c:pt>
                <c:pt idx="51">
                  <c:v>517.69200252251403</c:v>
                </c:pt>
                <c:pt idx="52">
                  <c:v>538.13546036834725</c:v>
                </c:pt>
                <c:pt idx="53">
                  <c:v>558.56260388366002</c:v>
                </c:pt>
                <c:pt idx="54">
                  <c:v>578.97411315040551</c:v>
                </c:pt>
                <c:pt idx="55">
                  <c:v>599.37061643041295</c:v>
                </c:pt>
                <c:pt idx="56">
                  <c:v>619.75269577860888</c:v>
                </c:pt>
                <c:pt idx="57">
                  <c:v>537.79768652493578</c:v>
                </c:pt>
                <c:pt idx="58">
                  <c:v>556.19994499698703</c:v>
                </c:pt>
                <c:pt idx="59">
                  <c:v>574.58945551907846</c:v>
                </c:pt>
                <c:pt idx="60">
                  <c:v>592.96668321961113</c:v>
                </c:pt>
                <c:pt idx="61">
                  <c:v>611.33206206789123</c:v>
                </c:pt>
                <c:pt idx="62">
                  <c:v>629.68599785389995</c:v>
                </c:pt>
                <c:pt idx="63">
                  <c:v>648.02887080282289</c:v>
                </c:pt>
                <c:pt idx="64">
                  <c:v>565.31190831763899</c:v>
                </c:pt>
                <c:pt idx="65">
                  <c:v>581.67201932756836</c:v>
                </c:pt>
                <c:pt idx="66">
                  <c:v>598.02253874306132</c:v>
                </c:pt>
                <c:pt idx="67">
                  <c:v>614.36376557442816</c:v>
                </c:pt>
                <c:pt idx="68">
                  <c:v>630.69598163909245</c:v>
                </c:pt>
                <c:pt idx="69">
                  <c:v>647.01945297892712</c:v>
                </c:pt>
                <c:pt idx="70">
                  <c:v>663.33443112721886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6071360"/>
        <c:axId val="-1456070816"/>
      </c:scatterChart>
      <c:valAx>
        <c:axId val="-1456071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070816"/>
        <c:crosses val="autoZero"/>
        <c:crossBetween val="midCat"/>
      </c:valAx>
      <c:valAx>
        <c:axId val="-1456070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071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6068096"/>
        <c:axId val="-1456074624"/>
      </c:scatterChart>
      <c:valAx>
        <c:axId val="-1456068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074624"/>
        <c:crosses val="autoZero"/>
        <c:crossBetween val="midCat"/>
      </c:valAx>
      <c:valAx>
        <c:axId val="-145607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068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456072992"/>
        <c:axId val="-1456069184"/>
      </c:scatterChart>
      <c:valAx>
        <c:axId val="-1456072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069184"/>
        <c:crosses val="autoZero"/>
        <c:crossBetween val="midCat"/>
      </c:valAx>
      <c:valAx>
        <c:axId val="-1456069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456072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99040384"/>
        <c:axId val="-1299043104"/>
      </c:scatterChart>
      <c:valAx>
        <c:axId val="-12990403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99043104"/>
        <c:crosses val="autoZero"/>
        <c:crossBetween val="midCat"/>
      </c:valAx>
      <c:valAx>
        <c:axId val="-129904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99040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99042560"/>
        <c:axId val="-1299038208"/>
      </c:scatterChart>
      <c:valAx>
        <c:axId val="-12990425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99038208"/>
        <c:crosses val="autoZero"/>
        <c:crossBetween val="midCat"/>
      </c:valAx>
      <c:valAx>
        <c:axId val="-129903820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990425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71" t="s">
        <v>295</v>
      </c>
      <c r="C12" s="271"/>
      <c r="D12" s="271"/>
      <c r="E12" s="271"/>
      <c r="F12" s="271"/>
      <c r="G12" s="271"/>
      <c r="H12" s="271"/>
      <c r="I12" s="271"/>
      <c r="J12" s="271"/>
      <c r="K12" s="271"/>
      <c r="L12" s="271"/>
      <c r="M12" s="271"/>
    </row>
    <row r="13" spans="2:13" ht="15" customHeight="1" x14ac:dyDescent="0.25">
      <c r="B13" s="271"/>
      <c r="C13" s="271"/>
      <c r="D13" s="271"/>
      <c r="E13" s="271"/>
      <c r="F13" s="271"/>
      <c r="G13" s="271"/>
      <c r="H13" s="271"/>
      <c r="I13" s="271"/>
      <c r="J13" s="271"/>
      <c r="K13" s="271"/>
      <c r="L13" s="271"/>
      <c r="M13" s="271"/>
    </row>
    <row r="14" spans="2:13" ht="15" customHeight="1" x14ac:dyDescent="0.25">
      <c r="B14" s="271"/>
      <c r="C14" s="271"/>
      <c r="D14" s="271"/>
      <c r="E14" s="271"/>
      <c r="F14" s="271"/>
      <c r="G14" s="271"/>
      <c r="H14" s="271"/>
      <c r="I14" s="271"/>
      <c r="J14" s="271"/>
      <c r="K14" s="271"/>
      <c r="L14" s="271"/>
      <c r="M14" s="271"/>
    </row>
    <row r="15" spans="2:13" ht="18.75" customHeight="1" x14ac:dyDescent="0.25"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</row>
    <row r="16" spans="2:13" ht="18.75" customHeight="1" x14ac:dyDescent="0.25"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</row>
    <row r="18" spans="2:13" ht="12" customHeight="1" x14ac:dyDescent="0.25">
      <c r="B18" s="271" t="s">
        <v>296</v>
      </c>
      <c r="C18" s="271"/>
      <c r="D18" s="271"/>
      <c r="E18" s="271"/>
      <c r="F18" s="271"/>
      <c r="G18" s="271"/>
      <c r="H18" s="271"/>
      <c r="I18" s="271"/>
      <c r="J18" s="271"/>
      <c r="K18" s="271"/>
      <c r="L18" s="271"/>
      <c r="M18" s="271"/>
    </row>
    <row r="19" spans="2:13" ht="12" customHeight="1" x14ac:dyDescent="0.25">
      <c r="B19" s="271"/>
      <c r="C19" s="271"/>
      <c r="D19" s="271"/>
      <c r="E19" s="271"/>
      <c r="F19" s="271"/>
      <c r="G19" s="271"/>
      <c r="H19" s="271"/>
      <c r="I19" s="271"/>
      <c r="J19" s="271"/>
      <c r="K19" s="271"/>
      <c r="L19" s="271"/>
      <c r="M19" s="271"/>
    </row>
    <row r="20" spans="2:13" ht="12" customHeight="1" x14ac:dyDescent="0.25">
      <c r="B20" s="271"/>
      <c r="C20" s="271"/>
      <c r="D20" s="271"/>
      <c r="E20" s="271"/>
      <c r="F20" s="271"/>
      <c r="G20" s="271"/>
      <c r="H20" s="271"/>
      <c r="I20" s="271"/>
      <c r="J20" s="271"/>
      <c r="K20" s="271"/>
      <c r="L20" s="271"/>
      <c r="M20" s="271"/>
    </row>
    <row r="21" spans="2:13" ht="12" customHeight="1" x14ac:dyDescent="0.25">
      <c r="B21" s="271"/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</row>
    <row r="22" spans="2:13" ht="12" customHeight="1" x14ac:dyDescent="0.25">
      <c r="B22" s="271"/>
      <c r="C22" s="271"/>
      <c r="D22" s="271"/>
      <c r="E22" s="271"/>
      <c r="F22" s="271"/>
      <c r="G22" s="271"/>
      <c r="H22" s="271"/>
      <c r="I22" s="271"/>
      <c r="J22" s="271"/>
      <c r="K22" s="271"/>
      <c r="L22" s="271"/>
      <c r="M22" s="271"/>
    </row>
    <row r="23" spans="2:13" ht="12" customHeight="1" x14ac:dyDescent="0.25">
      <c r="B23" s="271"/>
      <c r="C23" s="271"/>
      <c r="D23" s="271"/>
      <c r="E23" s="271"/>
      <c r="F23" s="271"/>
      <c r="G23" s="271"/>
      <c r="H23" s="271"/>
      <c r="I23" s="271"/>
      <c r="J23" s="271"/>
      <c r="K23" s="271"/>
      <c r="L23" s="271"/>
      <c r="M23" s="271"/>
    </row>
    <row r="24" spans="2:13" ht="12" customHeight="1" x14ac:dyDescent="0.25">
      <c r="B24" s="271"/>
      <c r="C24" s="271"/>
      <c r="D24" s="271"/>
      <c r="E24" s="271"/>
      <c r="F24" s="271"/>
      <c r="G24" s="271"/>
      <c r="H24" s="271"/>
      <c r="I24" s="271"/>
      <c r="J24" s="271"/>
      <c r="K24" s="271"/>
      <c r="L24" s="271"/>
      <c r="M24" s="271"/>
    </row>
    <row r="25" spans="2:13" ht="12" customHeight="1" x14ac:dyDescent="0.25"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</row>
    <row r="26" spans="2:13" ht="12" customHeight="1" x14ac:dyDescent="0.25"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</row>
    <row r="27" spans="2:13" ht="12" customHeight="1" x14ac:dyDescent="0.25">
      <c r="B27" s="271"/>
      <c r="C27" s="271"/>
      <c r="D27" s="271"/>
      <c r="E27" s="271"/>
      <c r="F27" s="271"/>
      <c r="G27" s="271"/>
      <c r="H27" s="271"/>
      <c r="I27" s="271"/>
      <c r="J27" s="271"/>
      <c r="K27" s="271"/>
      <c r="L27" s="271"/>
      <c r="M27" s="271"/>
    </row>
    <row r="28" spans="2:13" ht="12" customHeight="1" x14ac:dyDescent="0.25">
      <c r="B28" s="271"/>
      <c r="C28" s="271"/>
      <c r="D28" s="271"/>
      <c r="E28" s="271"/>
      <c r="F28" s="271"/>
      <c r="G28" s="271"/>
      <c r="H28" s="271"/>
      <c r="I28" s="271"/>
      <c r="J28" s="271"/>
      <c r="K28" s="271"/>
      <c r="L28" s="271"/>
      <c r="M28" s="271"/>
    </row>
    <row r="29" spans="2:13" ht="12" customHeight="1" x14ac:dyDescent="0.25">
      <c r="B29" s="271"/>
      <c r="C29" s="271"/>
      <c r="D29" s="271"/>
      <c r="E29" s="271"/>
      <c r="F29" s="271"/>
      <c r="G29" s="271"/>
      <c r="H29" s="271"/>
      <c r="I29" s="271"/>
      <c r="J29" s="271"/>
      <c r="K29" s="271"/>
      <c r="L29" s="271"/>
      <c r="M29" s="271"/>
    </row>
    <row r="30" spans="2:13" ht="12" customHeight="1" x14ac:dyDescent="0.25">
      <c r="B30" s="271"/>
      <c r="C30" s="271"/>
      <c r="D30" s="271"/>
      <c r="E30" s="271"/>
      <c r="F30" s="271"/>
      <c r="G30" s="271"/>
      <c r="H30" s="271"/>
      <c r="I30" s="271"/>
      <c r="J30" s="271"/>
      <c r="K30" s="271"/>
      <c r="L30" s="271"/>
      <c r="M30" s="271"/>
    </row>
    <row r="31" spans="2:13" ht="12" customHeight="1" x14ac:dyDescent="0.25">
      <c r="B31" s="271"/>
      <c r="C31" s="271"/>
      <c r="D31" s="271"/>
      <c r="E31" s="271"/>
      <c r="F31" s="271"/>
      <c r="G31" s="271"/>
      <c r="H31" s="271"/>
      <c r="I31" s="271"/>
      <c r="J31" s="271"/>
      <c r="K31" s="271"/>
      <c r="L31" s="271"/>
      <c r="M31" s="271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zoomScaleNormal="100" workbookViewId="0">
      <selection activeCell="D11" sqref="D11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72" t="s">
        <v>190</v>
      </c>
      <c r="D1" s="272"/>
      <c r="E1" s="272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39" t="s">
        <v>313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77" t="s">
        <v>192</v>
      </c>
      <c r="C3" s="278"/>
      <c r="D3" s="278"/>
      <c r="E3" s="278"/>
      <c r="F3" s="279"/>
      <c r="G3" s="96"/>
      <c r="I3" s="239" t="s">
        <v>311</v>
      </c>
      <c r="J3" s="9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8"/>
      <c r="B4" s="98"/>
      <c r="C4" s="98"/>
      <c r="D4" s="98"/>
      <c r="E4" s="98"/>
      <c r="F4" s="98"/>
      <c r="G4" s="252"/>
      <c r="I4" s="239" t="s">
        <v>312</v>
      </c>
      <c r="J4" s="97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283" t="s">
        <v>231</v>
      </c>
      <c r="B5" s="283"/>
      <c r="C5" s="26">
        <v>3.2679999999999998</v>
      </c>
      <c r="D5" s="284" t="s">
        <v>229</v>
      </c>
      <c r="E5" s="285"/>
      <c r="F5" s="98"/>
      <c r="G5" s="252"/>
      <c r="H5" s="253"/>
      <c r="I5" s="253"/>
      <c r="J5" s="261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9"/>
      <c r="B6" s="99"/>
      <c r="C6" s="100"/>
      <c r="D6" s="92"/>
      <c r="E6" s="92"/>
      <c r="F6" s="29"/>
      <c r="G6" s="254"/>
      <c r="H6" s="255"/>
      <c r="I6" s="255"/>
      <c r="J6" s="262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38" ht="26.25" x14ac:dyDescent="0.25">
      <c r="A7" s="281" t="s">
        <v>226</v>
      </c>
      <c r="B7" s="281"/>
      <c r="C7" s="98"/>
      <c r="D7" s="98"/>
      <c r="E7" s="5"/>
      <c r="F7" s="98"/>
      <c r="G7" s="252"/>
      <c r="H7" s="253"/>
      <c r="I7" s="253"/>
      <c r="J7" s="261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270</v>
      </c>
      <c r="D8" s="30" t="s">
        <v>271</v>
      </c>
      <c r="E8" s="31" t="s">
        <v>269</v>
      </c>
      <c r="F8" s="32" t="s">
        <v>230</v>
      </c>
      <c r="I8" s="267"/>
      <c r="J8" s="261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27</v>
      </c>
      <c r="C9" s="270">
        <v>0.31159999999999999</v>
      </c>
      <c r="D9" s="36">
        <f t="shared" ref="D9:D18" si="0">C9*$C$5</f>
        <v>1.0183087999999998</v>
      </c>
      <c r="E9" s="37">
        <v>60</v>
      </c>
      <c r="F9" s="38" t="str">
        <f t="array" ref="F9">IF(E10="","",IF(INDEX(A:A,MAX(IF(ISNUMBER($A$36:$A$55),ROW($A$36:$A$55),"")))&lt;&gt;E9,"Corrigez : révolution incorrecte","OK"))</f>
        <v>OK</v>
      </c>
      <c r="I9" s="268"/>
      <c r="J9" s="261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19</v>
      </c>
      <c r="C10" s="270">
        <v>0.27860000000000001</v>
      </c>
      <c r="D10" s="36">
        <f t="shared" si="0"/>
        <v>0.91046479999999996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68"/>
      <c r="J10" s="261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23</v>
      </c>
      <c r="C11" s="270">
        <v>0.24990000000000001</v>
      </c>
      <c r="D11" s="36">
        <f t="shared" si="0"/>
        <v>0.81667319999999999</v>
      </c>
      <c r="E11" s="37">
        <v>80</v>
      </c>
      <c r="F11" s="38" t="str">
        <f t="array" ref="F11">IF(E11="","",IF(INDEX(A:A,MAX(IF(ISNUMBER($A$88:$A$107),ROW($A$88:$A$107),"")))&lt;&gt;E11,"Corrigez : révolution incorrecte","OK"))</f>
        <v>OK</v>
      </c>
      <c r="H11" s="244"/>
      <c r="I11" s="268"/>
      <c r="J11" s="261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29</v>
      </c>
      <c r="C12" s="270">
        <v>9.3100000000000002E-2</v>
      </c>
      <c r="D12" s="36">
        <f t="shared" si="0"/>
        <v>0.30425079999999999</v>
      </c>
      <c r="E12" s="37">
        <v>69</v>
      </c>
      <c r="F12" s="38" t="str">
        <f t="array" ref="F12">IF(E12="","",IF(INDEX(A:A,MAX(IF(ISNUMBER($A$114:$A$133),ROW($A$114:$A$133),"")))&lt;&gt;E12,"Corrigez : révolution incorrecte","OK"))</f>
        <v>OK</v>
      </c>
      <c r="H12" s="244"/>
      <c r="I12" s="268"/>
      <c r="J12" s="261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18</v>
      </c>
      <c r="C13" s="270">
        <v>6.6699999999999995E-2</v>
      </c>
      <c r="D13" s="36">
        <f t="shared" si="0"/>
        <v>0.21797559999999996</v>
      </c>
      <c r="E13" s="37">
        <v>70</v>
      </c>
      <c r="F13" s="38" t="str">
        <f t="array" ref="F13">IF(E13="","",IF(INDEX(A:A,MAX(IF(ISNUMBER($A$140:$A$159),ROW($A$140:$A$159),"")))&lt;&gt;E13,"Corrigez : révolution incorrecte","OK"))</f>
        <v>OK</v>
      </c>
      <c r="H13" s="244"/>
      <c r="I13" s="268"/>
      <c r="J13" s="261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44"/>
      <c r="I14" s="268"/>
      <c r="J14" s="261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44"/>
      <c r="I15" s="268"/>
      <c r="J15" s="261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44"/>
      <c r="I16" s="268"/>
      <c r="J16" s="261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44"/>
      <c r="I17" s="268"/>
      <c r="J17" s="261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44"/>
      <c r="I18" s="268"/>
      <c r="J18" s="26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1"/>
      <c r="B19" s="39" t="s">
        <v>175</v>
      </c>
      <c r="C19" s="40">
        <f>SUM(C9:C18)</f>
        <v>0.99990000000000001</v>
      </c>
      <c r="D19" s="41">
        <f>SUM(D9:D18)</f>
        <v>3.2676731999999999</v>
      </c>
      <c r="E19" s="5"/>
      <c r="F19" s="102"/>
      <c r="G19" s="256"/>
      <c r="H19" s="257"/>
      <c r="I19" s="256"/>
      <c r="J19" s="26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1"/>
      <c r="B20" s="42" t="s">
        <v>230</v>
      </c>
      <c r="C20" s="43" t="str">
        <f>IF(C19&gt;100%,"Erreur : corrigez","OK")</f>
        <v>OK</v>
      </c>
      <c r="D20" s="263"/>
      <c r="F20" s="255"/>
      <c r="G20" s="255"/>
      <c r="H20" s="257"/>
      <c r="I20" s="256"/>
      <c r="J20" s="26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58"/>
      <c r="I21" s="269"/>
      <c r="J21" s="261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280" t="s">
        <v>232</v>
      </c>
      <c r="B22" s="280"/>
      <c r="C22" s="100"/>
      <c r="H22" s="242"/>
      <c r="I22" s="262"/>
      <c r="J22" s="262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</row>
    <row r="23" spans="1:45" x14ac:dyDescent="0.25">
      <c r="A23" s="5"/>
      <c r="B23" s="5"/>
      <c r="C23" s="5"/>
      <c r="H23" s="230"/>
      <c r="I23" s="261"/>
      <c r="J23" s="26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3"/>
      <c r="F24" s="103"/>
      <c r="G24" s="259"/>
      <c r="H24" s="244"/>
      <c r="I24" s="259"/>
      <c r="J24" s="260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4"/>
      <c r="E25" s="5"/>
      <c r="F25" s="104"/>
      <c r="G25" s="260"/>
      <c r="H25" s="244"/>
      <c r="I25" s="260"/>
      <c r="J25" s="260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3"/>
      <c r="F26" s="103"/>
      <c r="G26" s="259"/>
      <c r="I26" s="259"/>
      <c r="J26" s="259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3"/>
      <c r="F27" s="103"/>
      <c r="G27" s="259"/>
      <c r="I27" s="259"/>
      <c r="J27" s="259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61"/>
      <c r="I28" s="261"/>
      <c r="J28" s="261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61"/>
      <c r="I29" s="261"/>
      <c r="J29" s="261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282" t="s">
        <v>227</v>
      </c>
      <c r="B30" s="282"/>
      <c r="D30" s="264"/>
      <c r="H30" s="262"/>
      <c r="I30" s="262"/>
      <c r="J30" s="262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</row>
    <row r="31" spans="1:45" x14ac:dyDescent="0.25">
      <c r="A31" s="5"/>
      <c r="B31" s="5"/>
      <c r="H31" s="261"/>
      <c r="I31" s="261"/>
      <c r="J31" s="261"/>
      <c r="K31" s="264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Mélèze d'Europe</v>
      </c>
      <c r="K32" s="264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6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73" t="s">
        <v>186</v>
      </c>
      <c r="D34" s="273"/>
      <c r="E34" s="274" t="s">
        <v>187</v>
      </c>
      <c r="F34" s="275"/>
      <c r="G34" s="275"/>
      <c r="H34" s="276"/>
      <c r="I34" s="105"/>
      <c r="J34" s="26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66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18</v>
      </c>
      <c r="B36" s="53">
        <v>112</v>
      </c>
      <c r="C36" s="53">
        <v>1</v>
      </c>
      <c r="D36" s="53">
        <v>20</v>
      </c>
      <c r="E36" s="54"/>
      <c r="F36" s="54"/>
      <c r="G36" s="54">
        <v>0.5</v>
      </c>
      <c r="H36" s="54">
        <v>0.5</v>
      </c>
      <c r="I36" s="52">
        <f>IFERROR(B36/A36,"")</f>
        <v>6.2222222222222223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21</v>
      </c>
      <c r="B37" s="53">
        <v>146</v>
      </c>
      <c r="C37" s="53">
        <v>2</v>
      </c>
      <c r="D37" s="53">
        <v>26</v>
      </c>
      <c r="E37" s="54"/>
      <c r="F37" s="54"/>
      <c r="G37" s="54">
        <v>0.5</v>
      </c>
      <c r="H37" s="54">
        <v>0.5</v>
      </c>
      <c r="I37" s="56">
        <f t="shared" ref="I37:I55" si="1">IF(A37&lt;&gt;0,(B37-(B36-D36))/(A37-A36),"")</f>
        <v>18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24</v>
      </c>
      <c r="B38" s="53">
        <v>168</v>
      </c>
      <c r="C38" s="53">
        <v>3</v>
      </c>
      <c r="D38" s="53">
        <v>29</v>
      </c>
      <c r="E38" s="54"/>
      <c r="F38" s="54">
        <v>0.2</v>
      </c>
      <c r="G38" s="54">
        <v>0.4</v>
      </c>
      <c r="H38" s="54">
        <v>0.4</v>
      </c>
      <c r="I38" s="56">
        <f t="shared" si="1"/>
        <v>16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53">
        <v>224</v>
      </c>
      <c r="C39" s="53">
        <v>4</v>
      </c>
      <c r="D39" s="53">
        <v>53</v>
      </c>
      <c r="E39" s="54"/>
      <c r="F39" s="54">
        <v>0.3</v>
      </c>
      <c r="G39" s="54">
        <v>0.4</v>
      </c>
      <c r="H39" s="54">
        <v>0.3</v>
      </c>
      <c r="I39" s="52">
        <f t="shared" si="1"/>
        <v>14.166666666666666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36</v>
      </c>
      <c r="B40" s="53">
        <v>248</v>
      </c>
      <c r="C40" s="53">
        <v>5</v>
      </c>
      <c r="D40" s="53">
        <v>62</v>
      </c>
      <c r="E40" s="54"/>
      <c r="F40" s="54"/>
      <c r="G40" s="54"/>
      <c r="H40" s="54"/>
      <c r="I40" s="52">
        <f t="shared" si="1"/>
        <v>12.833333333333334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42</v>
      </c>
      <c r="B41" s="53">
        <v>255</v>
      </c>
      <c r="C41" s="53">
        <v>6</v>
      </c>
      <c r="D41" s="53">
        <v>67</v>
      </c>
      <c r="E41" s="54"/>
      <c r="F41" s="54"/>
      <c r="G41" s="54"/>
      <c r="H41" s="54"/>
      <c r="I41" s="56">
        <f t="shared" si="1"/>
        <v>11.5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48</v>
      </c>
      <c r="B42" s="53">
        <v>252</v>
      </c>
      <c r="C42" s="53">
        <v>7</v>
      </c>
      <c r="D42" s="53">
        <v>65</v>
      </c>
      <c r="E42" s="54"/>
      <c r="F42" s="54"/>
      <c r="G42" s="54"/>
      <c r="H42" s="54"/>
      <c r="I42" s="56">
        <f t="shared" si="1"/>
        <v>10.666666666666666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53">
        <v>60</v>
      </c>
      <c r="B43" s="53">
        <v>304</v>
      </c>
      <c r="C43" s="53">
        <v>8</v>
      </c>
      <c r="D43" s="53">
        <v>304</v>
      </c>
      <c r="E43" s="54"/>
      <c r="F43" s="54"/>
      <c r="G43" s="54"/>
      <c r="H43" s="54"/>
      <c r="I43" s="52">
        <f t="shared" si="1"/>
        <v>9.75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5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5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5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5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5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5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5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Epicéa commun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6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73" t="s">
        <v>186</v>
      </c>
      <c r="D60" s="273"/>
      <c r="E60" s="274" t="s">
        <v>187</v>
      </c>
      <c r="F60" s="275"/>
      <c r="G60" s="275"/>
      <c r="H60" s="276"/>
      <c r="I60" s="105"/>
      <c r="J60" s="26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66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30</v>
      </c>
      <c r="B62" s="53">
        <v>364</v>
      </c>
      <c r="C62" s="53">
        <v>1</v>
      </c>
      <c r="D62" s="53">
        <v>54</v>
      </c>
      <c r="E62" s="54"/>
      <c r="F62" s="54">
        <v>0.3</v>
      </c>
      <c r="G62" s="54">
        <v>0.4</v>
      </c>
      <c r="H62" s="54">
        <v>0.3</v>
      </c>
      <c r="I62" s="56">
        <f>IFERROR(B62/A62,"")</f>
        <v>12.133333333333333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45</v>
      </c>
      <c r="B63" s="53">
        <v>696</v>
      </c>
      <c r="C63" s="53">
        <v>2</v>
      </c>
      <c r="D63" s="53">
        <v>218</v>
      </c>
      <c r="E63" s="54"/>
      <c r="F63" s="54"/>
      <c r="G63" s="54"/>
      <c r="H63" s="54"/>
      <c r="I63" s="52">
        <f>IF(A63&lt;&gt;0,(B63-(B62-D62))/(A63-A62),"")</f>
        <v>25.733333333333334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60</v>
      </c>
      <c r="B64" s="53">
        <v>777</v>
      </c>
      <c r="C64" s="53">
        <v>3</v>
      </c>
      <c r="D64" s="53">
        <v>224</v>
      </c>
      <c r="E64" s="54"/>
      <c r="F64" s="54"/>
      <c r="G64" s="54"/>
      <c r="H64" s="54"/>
      <c r="I64" s="52">
        <f>IF(A64&lt;&gt;0,(B64-(B63-D63))/(A64-A63),"")</f>
        <v>19.933333333333334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75</v>
      </c>
      <c r="B65" s="53">
        <v>855</v>
      </c>
      <c r="C65" s="53">
        <v>4</v>
      </c>
      <c r="D65" s="53">
        <v>173</v>
      </c>
      <c r="E65" s="54"/>
      <c r="F65" s="54"/>
      <c r="G65" s="54"/>
      <c r="H65" s="54"/>
      <c r="I65" s="52">
        <f>IF(A65&lt;&gt;0,(B65-(B64-D64))/(A65-A64),"")</f>
        <v>20.133333333333333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90</v>
      </c>
      <c r="B66" s="53">
        <v>915</v>
      </c>
      <c r="C66" s="53">
        <v>5</v>
      </c>
      <c r="D66" s="53">
        <v>143</v>
      </c>
      <c r="E66" s="54"/>
      <c r="F66" s="54"/>
      <c r="G66" s="54"/>
      <c r="H66" s="54"/>
      <c r="I66" s="52">
        <f t="shared" ref="I66:I81" si="2">IF(A66&lt;&gt;0,(B66-(B65-D65))/(A66-A65),"")</f>
        <v>15.533333333333333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105</v>
      </c>
      <c r="B67" s="53">
        <v>959</v>
      </c>
      <c r="C67" s="53">
        <v>6</v>
      </c>
      <c r="D67" s="53">
        <v>123</v>
      </c>
      <c r="E67" s="54"/>
      <c r="F67" s="54"/>
      <c r="G67" s="54"/>
      <c r="H67" s="54"/>
      <c r="I67" s="52">
        <f t="shared" si="2"/>
        <v>12.466666666666667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120</v>
      </c>
      <c r="B68" s="53">
        <v>992</v>
      </c>
      <c r="C68" s="53">
        <v>7</v>
      </c>
      <c r="D68" s="53">
        <v>112</v>
      </c>
      <c r="E68" s="54"/>
      <c r="F68" s="54"/>
      <c r="G68" s="54"/>
      <c r="H68" s="54"/>
      <c r="I68" s="52">
        <f t="shared" si="2"/>
        <v>10.4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135</v>
      </c>
      <c r="B69" s="53">
        <v>1015</v>
      </c>
      <c r="C69" s="53">
        <v>8</v>
      </c>
      <c r="D69" s="53">
        <v>102</v>
      </c>
      <c r="E69" s="54"/>
      <c r="F69" s="54"/>
      <c r="G69" s="54"/>
      <c r="H69" s="54"/>
      <c r="I69" s="52">
        <f t="shared" si="2"/>
        <v>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150</v>
      </c>
      <c r="B70" s="53">
        <v>1032</v>
      </c>
      <c r="C70" s="53">
        <v>9</v>
      </c>
      <c r="D70" s="53">
        <f>B70</f>
        <v>1032</v>
      </c>
      <c r="E70" s="54"/>
      <c r="F70" s="54"/>
      <c r="G70" s="54"/>
      <c r="H70" s="54"/>
      <c r="I70" s="52">
        <f t="shared" si="2"/>
        <v>7.9333333333333336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Erable sycomore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6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73" t="s">
        <v>186</v>
      </c>
      <c r="D86" s="273"/>
      <c r="E86" s="274" t="s">
        <v>187</v>
      </c>
      <c r="F86" s="275"/>
      <c r="G86" s="275"/>
      <c r="H86" s="276"/>
      <c r="I86" s="10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8">
        <v>10</v>
      </c>
      <c r="B88" s="58">
        <v>11.1</v>
      </c>
      <c r="C88" s="58"/>
      <c r="D88" s="58"/>
      <c r="E88" s="66"/>
      <c r="F88" s="66"/>
      <c r="G88" s="66"/>
      <c r="H88" s="66"/>
      <c r="I88" s="56">
        <f>IFERROR(B88/A88,"")</f>
        <v>1.1099999999999999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8">
        <v>15</v>
      </c>
      <c r="B89" s="58">
        <v>64.5</v>
      </c>
      <c r="C89" s="58"/>
      <c r="D89" s="58"/>
      <c r="E89" s="66"/>
      <c r="F89" s="66"/>
      <c r="G89" s="66"/>
      <c r="H89" s="66"/>
      <c r="I89" s="56">
        <f t="shared" ref="I89:I107" si="3">IF(A89&lt;&gt;0,(B89-(B88-D88))/(A89-A88),"")</f>
        <v>10.68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8">
        <v>20</v>
      </c>
      <c r="B90" s="58">
        <v>133.30000000000001</v>
      </c>
      <c r="C90" s="58"/>
      <c r="D90" s="58"/>
      <c r="E90" s="66"/>
      <c r="F90" s="66"/>
      <c r="G90" s="66"/>
      <c r="H90" s="66"/>
      <c r="I90" s="56">
        <f t="shared" si="3"/>
        <v>13.760000000000002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8">
        <v>25</v>
      </c>
      <c r="B91" s="58">
        <v>207</v>
      </c>
      <c r="C91" s="58">
        <v>1</v>
      </c>
      <c r="D91" s="58">
        <v>101.5</v>
      </c>
      <c r="E91" s="66"/>
      <c r="F91" s="66"/>
      <c r="G91" s="66"/>
      <c r="H91" s="66">
        <v>1</v>
      </c>
      <c r="I91" s="56">
        <f t="shared" si="3"/>
        <v>14.739999999999998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8">
        <v>30</v>
      </c>
      <c r="B92" s="58">
        <v>176.8</v>
      </c>
      <c r="C92" s="58"/>
      <c r="D92" s="58"/>
      <c r="E92" s="66"/>
      <c r="F92" s="66"/>
      <c r="G92" s="66"/>
      <c r="H92" s="66"/>
      <c r="I92" s="56">
        <f t="shared" si="3"/>
        <v>14.260000000000002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8">
        <v>35</v>
      </c>
      <c r="B93" s="58">
        <v>241.4</v>
      </c>
      <c r="C93" s="58">
        <v>2</v>
      </c>
      <c r="D93" s="58">
        <v>70</v>
      </c>
      <c r="E93" s="66"/>
      <c r="F93" s="66"/>
      <c r="G93" s="66"/>
      <c r="H93" s="66"/>
      <c r="I93" s="56">
        <f t="shared" si="3"/>
        <v>12.919999999999998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8">
        <v>40</v>
      </c>
      <c r="B94" s="58">
        <v>228.1</v>
      </c>
      <c r="C94" s="58"/>
      <c r="D94" s="58"/>
      <c r="E94" s="66"/>
      <c r="F94" s="66"/>
      <c r="G94" s="66"/>
      <c r="H94" s="66"/>
      <c r="I94" s="56">
        <f t="shared" si="3"/>
        <v>11.339999999999998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8">
        <v>45</v>
      </c>
      <c r="B95" s="58">
        <v>277.2</v>
      </c>
      <c r="C95" s="58">
        <v>3</v>
      </c>
      <c r="D95" s="58">
        <v>59.2</v>
      </c>
      <c r="E95" s="66"/>
      <c r="F95" s="66"/>
      <c r="G95" s="66"/>
      <c r="H95" s="66"/>
      <c r="I95" s="56">
        <f t="shared" si="3"/>
        <v>9.8199999999999985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8">
        <v>50</v>
      </c>
      <c r="B96" s="58">
        <v>260.7</v>
      </c>
      <c r="C96" s="58"/>
      <c r="D96" s="58"/>
      <c r="E96" s="66"/>
      <c r="F96" s="66"/>
      <c r="G96" s="66"/>
      <c r="H96" s="66"/>
      <c r="I96" s="56">
        <f t="shared" si="3"/>
        <v>8.5399999999999974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8">
        <v>55</v>
      </c>
      <c r="B97" s="58">
        <v>297.5</v>
      </c>
      <c r="C97" s="58">
        <v>4</v>
      </c>
      <c r="D97" s="58">
        <v>34.9</v>
      </c>
      <c r="E97" s="66"/>
      <c r="F97" s="66"/>
      <c r="G97" s="66"/>
      <c r="H97" s="66"/>
      <c r="I97" s="56">
        <f t="shared" si="3"/>
        <v>7.3600000000000021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8">
        <v>60</v>
      </c>
      <c r="B98" s="58">
        <v>294</v>
      </c>
      <c r="C98" s="58"/>
      <c r="D98" s="58"/>
      <c r="E98" s="66"/>
      <c r="F98" s="66"/>
      <c r="G98" s="66"/>
      <c r="H98" s="66"/>
      <c r="I98" s="56">
        <f t="shared" si="3"/>
        <v>6.2799999999999958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8">
        <v>65</v>
      </c>
      <c r="B99" s="58">
        <v>320.2</v>
      </c>
      <c r="C99" s="58">
        <v>5</v>
      </c>
      <c r="D99" s="58">
        <v>27.6</v>
      </c>
      <c r="E99" s="66"/>
      <c r="F99" s="66"/>
      <c r="G99" s="66"/>
      <c r="H99" s="66"/>
      <c r="I99" s="56">
        <f t="shared" si="3"/>
        <v>5.2399999999999975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8">
        <v>70</v>
      </c>
      <c r="B100" s="58">
        <v>315.10000000000002</v>
      </c>
      <c r="C100" s="58"/>
      <c r="D100" s="58"/>
      <c r="E100" s="67"/>
      <c r="F100" s="67"/>
      <c r="G100" s="67"/>
      <c r="H100" s="67"/>
      <c r="I100" s="56">
        <f t="shared" si="3"/>
        <v>4.5000000000000115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8">
        <v>75</v>
      </c>
      <c r="B101" s="58">
        <v>336</v>
      </c>
      <c r="C101" s="58"/>
      <c r="D101" s="58"/>
      <c r="E101" s="67"/>
      <c r="F101" s="67"/>
      <c r="G101" s="67"/>
      <c r="H101" s="67"/>
      <c r="I101" s="56">
        <f t="shared" si="3"/>
        <v>4.1799999999999953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8">
        <v>80</v>
      </c>
      <c r="B102" s="58">
        <v>353.8</v>
      </c>
      <c r="C102" s="58">
        <v>6</v>
      </c>
      <c r="D102" s="58">
        <v>353.8</v>
      </c>
      <c r="E102" s="67"/>
      <c r="F102" s="67"/>
      <c r="G102" s="67"/>
      <c r="H102" s="67"/>
      <c r="I102" s="56">
        <f t="shared" si="3"/>
        <v>3.5600000000000023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Merisier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6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73" t="s">
        <v>186</v>
      </c>
      <c r="D112" s="273"/>
      <c r="E112" s="274" t="s">
        <v>187</v>
      </c>
      <c r="F112" s="275"/>
      <c r="G112" s="275"/>
      <c r="H112" s="276"/>
      <c r="I112" s="10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8">
        <v>15</v>
      </c>
      <c r="B114" s="58">
        <v>40</v>
      </c>
      <c r="C114" s="58"/>
      <c r="D114" s="58"/>
      <c r="E114" s="66"/>
      <c r="F114" s="66"/>
      <c r="G114" s="66"/>
      <c r="H114" s="66">
        <v>1</v>
      </c>
      <c r="I114" s="56">
        <f>IFERROR(B114/A114,"")</f>
        <v>2.6666666666666665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8">
        <v>20</v>
      </c>
      <c r="B115" s="58">
        <v>88</v>
      </c>
      <c r="C115" s="58">
        <v>1</v>
      </c>
      <c r="D115" s="58">
        <v>28</v>
      </c>
      <c r="E115" s="66"/>
      <c r="F115" s="66"/>
      <c r="G115" s="66"/>
      <c r="H115" s="66">
        <v>1</v>
      </c>
      <c r="I115" s="56">
        <f t="shared" ref="I115:I133" si="4">IF(A115&lt;&gt;0,(B115-(B114-D114))/(A115-A114),"")</f>
        <v>9.6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8">
        <v>25</v>
      </c>
      <c r="B116" s="58">
        <v>113</v>
      </c>
      <c r="C116" s="58">
        <v>2</v>
      </c>
      <c r="D116" s="58">
        <v>27</v>
      </c>
      <c r="E116" s="66"/>
      <c r="F116" s="66"/>
      <c r="G116" s="66"/>
      <c r="H116" s="66">
        <v>1</v>
      </c>
      <c r="I116" s="56">
        <f t="shared" si="4"/>
        <v>10.6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8">
        <v>31</v>
      </c>
      <c r="B117" s="58">
        <v>155</v>
      </c>
      <c r="C117" s="58">
        <v>3</v>
      </c>
      <c r="D117" s="58">
        <v>36</v>
      </c>
      <c r="E117" s="66"/>
      <c r="F117" s="66"/>
      <c r="G117" s="66"/>
      <c r="H117" s="66"/>
      <c r="I117" s="56">
        <f t="shared" si="4"/>
        <v>11.5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8">
        <v>37</v>
      </c>
      <c r="B118" s="58">
        <v>188</v>
      </c>
      <c r="C118" s="58">
        <v>4</v>
      </c>
      <c r="D118" s="58">
        <v>36</v>
      </c>
      <c r="E118" s="66"/>
      <c r="F118" s="66"/>
      <c r="G118" s="66"/>
      <c r="H118" s="66"/>
      <c r="I118" s="56">
        <f t="shared" si="4"/>
        <v>11.5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8">
        <v>44</v>
      </c>
      <c r="B119" s="58">
        <v>230</v>
      </c>
      <c r="C119" s="58">
        <v>5</v>
      </c>
      <c r="D119" s="58">
        <v>43</v>
      </c>
      <c r="E119" s="66"/>
      <c r="F119" s="66"/>
      <c r="G119" s="66"/>
      <c r="H119" s="66"/>
      <c r="I119" s="56">
        <f t="shared" si="4"/>
        <v>11.142857142857142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8">
        <v>52</v>
      </c>
      <c r="B120" s="58">
        <v>270</v>
      </c>
      <c r="C120" s="58">
        <v>6</v>
      </c>
      <c r="D120" s="58">
        <v>48</v>
      </c>
      <c r="E120" s="66"/>
      <c r="F120" s="66"/>
      <c r="G120" s="66"/>
      <c r="H120" s="66"/>
      <c r="I120" s="56">
        <f t="shared" si="4"/>
        <v>10.375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8">
        <v>60</v>
      </c>
      <c r="B121" s="58">
        <v>297</v>
      </c>
      <c r="C121" s="58">
        <v>7</v>
      </c>
      <c r="D121" s="58">
        <v>47</v>
      </c>
      <c r="E121" s="66"/>
      <c r="F121" s="66"/>
      <c r="G121" s="66"/>
      <c r="H121" s="66"/>
      <c r="I121" s="56">
        <f t="shared" si="4"/>
        <v>9.375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58">
        <v>69</v>
      </c>
      <c r="B122" s="58">
        <v>328</v>
      </c>
      <c r="C122" s="58">
        <v>8</v>
      </c>
      <c r="D122" s="58">
        <v>328</v>
      </c>
      <c r="E122" s="66"/>
      <c r="F122" s="66"/>
      <c r="G122" s="66"/>
      <c r="H122" s="66"/>
      <c r="I122" s="56">
        <f t="shared" si="4"/>
        <v>8.6666666666666661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4"/>
      <c r="F123" s="94"/>
      <c r="G123" s="94"/>
      <c r="H123" s="94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4"/>
      <c r="F124" s="94"/>
      <c r="G124" s="94"/>
      <c r="H124" s="94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4"/>
      <c r="F125" s="94"/>
      <c r="G125" s="94"/>
      <c r="H125" s="94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Douglas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6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73" t="s">
        <v>186</v>
      </c>
      <c r="D138" s="273"/>
      <c r="E138" s="274" t="s">
        <v>187</v>
      </c>
      <c r="F138" s="275"/>
      <c r="G138" s="275"/>
      <c r="H138" s="276"/>
      <c r="I138" s="10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8">
        <v>21</v>
      </c>
      <c r="B140" s="59">
        <v>210</v>
      </c>
      <c r="C140" s="58">
        <v>1</v>
      </c>
      <c r="D140" s="59">
        <v>63</v>
      </c>
      <c r="E140" s="66"/>
      <c r="F140" s="66">
        <v>0.2</v>
      </c>
      <c r="G140" s="66">
        <v>0.4</v>
      </c>
      <c r="H140" s="66">
        <v>0.4</v>
      </c>
      <c r="I140" s="60">
        <f>IFERROR(B140/A140,"")</f>
        <v>10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8">
        <v>28</v>
      </c>
      <c r="B141" s="59">
        <v>280</v>
      </c>
      <c r="C141" s="58">
        <v>2</v>
      </c>
      <c r="D141" s="58">
        <v>64</v>
      </c>
      <c r="E141" s="66"/>
      <c r="F141" s="66">
        <v>0.4</v>
      </c>
      <c r="G141" s="66">
        <v>0.3</v>
      </c>
      <c r="H141" s="66">
        <v>0.3</v>
      </c>
      <c r="I141" s="60">
        <f t="shared" ref="I141:I159" si="5">IF(A141&lt;&gt;0,(B141-(B140-D140))/(A141-A140),"")</f>
        <v>19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8">
        <v>35</v>
      </c>
      <c r="B142" s="59">
        <v>355</v>
      </c>
      <c r="C142" s="58">
        <v>3</v>
      </c>
      <c r="D142" s="58">
        <v>73</v>
      </c>
      <c r="E142" s="66"/>
      <c r="F142" s="66"/>
      <c r="G142" s="66"/>
      <c r="H142" s="66"/>
      <c r="I142" s="60">
        <f t="shared" si="5"/>
        <v>19.857142857142858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8">
        <v>42</v>
      </c>
      <c r="B143" s="59">
        <v>419</v>
      </c>
      <c r="C143" s="58">
        <v>4</v>
      </c>
      <c r="D143" s="58">
        <v>77</v>
      </c>
      <c r="E143" s="66"/>
      <c r="F143" s="66"/>
      <c r="G143" s="66"/>
      <c r="H143" s="66"/>
      <c r="I143" s="60">
        <f t="shared" si="5"/>
        <v>19.571428571428573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8">
        <v>49</v>
      </c>
      <c r="B144" s="59">
        <v>473</v>
      </c>
      <c r="C144" s="58">
        <v>5</v>
      </c>
      <c r="D144" s="58">
        <v>80</v>
      </c>
      <c r="E144" s="66"/>
      <c r="F144" s="66"/>
      <c r="G144" s="66"/>
      <c r="H144" s="66"/>
      <c r="I144" s="60">
        <f t="shared" si="5"/>
        <v>18.714285714285715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8">
        <v>56</v>
      </c>
      <c r="B145" s="59">
        <v>514</v>
      </c>
      <c r="C145" s="58">
        <v>6</v>
      </c>
      <c r="D145" s="58">
        <v>85</v>
      </c>
      <c r="E145" s="66"/>
      <c r="F145" s="66"/>
      <c r="G145" s="66"/>
      <c r="H145" s="66"/>
      <c r="I145" s="60">
        <f t="shared" si="5"/>
        <v>17.285714285714285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8">
        <v>63</v>
      </c>
      <c r="B146" s="59">
        <v>538</v>
      </c>
      <c r="C146" s="58">
        <v>7</v>
      </c>
      <c r="D146" s="58">
        <v>84</v>
      </c>
      <c r="E146" s="66"/>
      <c r="F146" s="66"/>
      <c r="G146" s="66"/>
      <c r="H146" s="66"/>
      <c r="I146" s="60">
        <f t="shared" si="5"/>
        <v>15.571428571428571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8">
        <v>70</v>
      </c>
      <c r="B147" s="59">
        <v>551</v>
      </c>
      <c r="C147" s="58">
        <v>8</v>
      </c>
      <c r="D147" s="59">
        <v>551</v>
      </c>
      <c r="E147" s="66"/>
      <c r="F147" s="66"/>
      <c r="G147" s="66"/>
      <c r="H147" s="66"/>
      <c r="I147" s="60">
        <f>IF(A147&lt;&gt;0,(B147-(B146-D146))/(A147-A146),"")</f>
        <v>13.857142857142858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6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73" t="s">
        <v>186</v>
      </c>
      <c r="D164" s="273"/>
      <c r="E164" s="274" t="s">
        <v>187</v>
      </c>
      <c r="F164" s="275"/>
      <c r="G164" s="275"/>
      <c r="H164" s="276"/>
      <c r="I164" s="10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53"/>
      <c r="C166" s="53"/>
      <c r="D166" s="5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53"/>
      <c r="C167" s="53"/>
      <c r="D167" s="5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53"/>
      <c r="C168" s="53"/>
      <c r="D168" s="5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53"/>
      <c r="C169" s="53"/>
      <c r="D169" s="5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53"/>
      <c r="C170" s="53"/>
      <c r="D170" s="5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53"/>
      <c r="C171" s="53"/>
      <c r="D171" s="5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53"/>
      <c r="C172" s="53"/>
      <c r="D172" s="5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6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73" t="s">
        <v>186</v>
      </c>
      <c r="D190" s="273"/>
      <c r="E190" s="274" t="s">
        <v>187</v>
      </c>
      <c r="F190" s="275"/>
      <c r="G190" s="275"/>
      <c r="H190" s="276"/>
      <c r="I190" s="10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53"/>
      <c r="C192" s="53"/>
      <c r="D192" s="5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53"/>
      <c r="C193" s="53"/>
      <c r="D193" s="5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53"/>
      <c r="C194" s="53"/>
      <c r="D194" s="5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53"/>
      <c r="C195" s="53"/>
      <c r="D195" s="5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53"/>
      <c r="C196" s="53"/>
      <c r="D196" s="5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53"/>
      <c r="C197" s="53"/>
      <c r="D197" s="5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53"/>
      <c r="C198" s="53"/>
      <c r="D198" s="5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6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73" t="s">
        <v>186</v>
      </c>
      <c r="D216" s="273"/>
      <c r="E216" s="274" t="s">
        <v>187</v>
      </c>
      <c r="F216" s="275"/>
      <c r="G216" s="275"/>
      <c r="H216" s="276"/>
      <c r="I216" s="10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8"/>
      <c r="B218" s="58"/>
      <c r="C218" s="58"/>
      <c r="D218" s="58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8"/>
      <c r="B219" s="58"/>
      <c r="C219" s="58"/>
      <c r="D219" s="58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8"/>
      <c r="B220" s="58"/>
      <c r="C220" s="58"/>
      <c r="D220" s="58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5"/>
      <c r="B231" s="63"/>
      <c r="C231" s="95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6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73" t="s">
        <v>186</v>
      </c>
      <c r="D242" s="273"/>
      <c r="E242" s="274" t="s">
        <v>187</v>
      </c>
      <c r="F242" s="275"/>
      <c r="G242" s="275"/>
      <c r="H242" s="276"/>
      <c r="I242" s="10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58"/>
      <c r="D244" s="58"/>
      <c r="E244" s="66"/>
      <c r="F244" s="66"/>
      <c r="G244" s="66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58"/>
      <c r="D245" s="58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8"/>
      <c r="B246" s="58"/>
      <c r="C246" s="58"/>
      <c r="D246" s="58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8"/>
      <c r="B247" s="58"/>
      <c r="C247" s="58"/>
      <c r="D247" s="58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8"/>
      <c r="B248" s="58"/>
      <c r="C248" s="58"/>
      <c r="D248" s="58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8"/>
      <c r="B249" s="58"/>
      <c r="C249" s="58"/>
      <c r="D249" s="58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8"/>
      <c r="B250" s="58"/>
      <c r="C250" s="58"/>
      <c r="D250" s="58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5"/>
      <c r="B257" s="63"/>
      <c r="C257" s="95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6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73" t="s">
        <v>186</v>
      </c>
      <c r="D268" s="273"/>
      <c r="E268" s="274" t="s">
        <v>187</v>
      </c>
      <c r="F268" s="275"/>
      <c r="G268" s="275"/>
      <c r="H268" s="276"/>
      <c r="I268" s="10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53"/>
      <c r="C270" s="53"/>
      <c r="D270" s="5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53"/>
      <c r="C271" s="53"/>
      <c r="D271" s="5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53"/>
      <c r="C272" s="53"/>
      <c r="D272" s="5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53"/>
      <c r="C273" s="53"/>
      <c r="D273" s="5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53"/>
      <c r="C274" s="53"/>
      <c r="D274" s="5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8"/>
      <c r="B275" s="58"/>
      <c r="C275" s="58"/>
      <c r="D275" s="58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8"/>
      <c r="B276" s="58"/>
      <c r="C276" s="58"/>
      <c r="D276" s="58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5"/>
      <c r="B283" s="63"/>
      <c r="C283" s="95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0vR/ItYTgB1fcMl7Lq5IzSneJmj6usEjmnNbQkd5TZPWE4tYJrrlx/mDwIRXIqFquXsTisTOzm+Xq5jhbhAQ/g==" saltValue="IcRi5emByQj2CJ3t//ZvmA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4">
    <dataValidation type="list" allowBlank="1" showInputMessage="1" showErrorMessage="1" sqref="B9:B18">
      <formula1>Essence</formula1>
    </dataValidation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7"/>
      <c r="K1" s="107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287" t="s">
        <v>191</v>
      </c>
      <c r="C2" s="288"/>
      <c r="D2" s="288"/>
      <c r="E2" s="288"/>
      <c r="F2" s="288"/>
      <c r="G2" s="28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286"/>
      <c r="C4" s="286"/>
      <c r="D4" s="286"/>
      <c r="E4" s="286"/>
      <c r="F4" s="286"/>
      <c r="G4" s="28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8" t="s">
        <v>301</v>
      </c>
      <c r="C5" s="108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51"/>
      <c r="C6" s="251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9"/>
      <c r="B7" s="29" t="s">
        <v>300</v>
      </c>
      <c r="C7" s="110" t="s">
        <v>214</v>
      </c>
      <c r="D7" s="249"/>
      <c r="E7" s="111"/>
      <c r="F7" s="29" t="s">
        <v>300</v>
      </c>
      <c r="G7" s="110" t="s">
        <v>215</v>
      </c>
      <c r="H7" s="250"/>
      <c r="I7" s="250"/>
      <c r="J7" s="250"/>
      <c r="K7" s="250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</row>
    <row r="8" spans="1:38" ht="17.25" customHeight="1" x14ac:dyDescent="0.25">
      <c r="A8" s="115">
        <v>1</v>
      </c>
      <c r="B8" s="64">
        <v>0</v>
      </c>
      <c r="C8" s="52" t="s">
        <v>177</v>
      </c>
      <c r="D8" s="25"/>
      <c r="E8" s="115">
        <v>4</v>
      </c>
      <c r="F8" s="64">
        <v>1</v>
      </c>
      <c r="G8" s="112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5">
        <v>2</v>
      </c>
      <c r="B9" s="64">
        <v>0</v>
      </c>
      <c r="C9" s="118" t="s">
        <v>216</v>
      </c>
      <c r="D9" s="25"/>
      <c r="E9" s="115">
        <v>5</v>
      </c>
      <c r="F9" s="64">
        <v>0</v>
      </c>
      <c r="G9" s="113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5">
        <v>3</v>
      </c>
      <c r="B10" s="64">
        <v>0</v>
      </c>
      <c r="C10" s="119" t="s">
        <v>217</v>
      </c>
      <c r="D10" s="25"/>
      <c r="E10" s="5"/>
      <c r="F10" s="116">
        <f>SUM(F7:F9)</f>
        <v>1</v>
      </c>
      <c r="G10" s="114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6">
        <v>0</v>
      </c>
      <c r="C11" s="114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50"/>
      <c r="B13" s="117"/>
      <c r="C13" s="108" t="s">
        <v>274</v>
      </c>
      <c r="D13" s="250"/>
      <c r="E13" s="109"/>
      <c r="F13" s="117"/>
      <c r="G13" s="108" t="s">
        <v>307</v>
      </c>
      <c r="H13" s="250"/>
      <c r="I13" s="250"/>
      <c r="J13" s="250"/>
      <c r="K13" s="250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</row>
    <row r="14" spans="1:38" s="4" customFormat="1" ht="21" customHeight="1" x14ac:dyDescent="0.25">
      <c r="A14" s="250"/>
      <c r="B14" s="117"/>
      <c r="C14" s="108" t="s">
        <v>306</v>
      </c>
      <c r="D14" s="250"/>
      <c r="E14" s="109"/>
      <c r="F14" s="117"/>
      <c r="G14" s="108" t="s">
        <v>299</v>
      </c>
      <c r="H14" s="250"/>
      <c r="I14" s="250"/>
      <c r="J14" s="250"/>
      <c r="K14" s="250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</row>
    <row r="15" spans="1:38" x14ac:dyDescent="0.25">
      <c r="A15" s="25"/>
      <c r="B15" s="29" t="s">
        <v>300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20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20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20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6">
        <f>SUM(B16:B18)</f>
        <v>0</v>
      </c>
      <c r="C19" s="114" t="str">
        <f>IF(SUM(B16:B18)=B8,"OK","ERREUR : corrigez ; le total n'est pas égal à celui de la cellule A8")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100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100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O+4SOX10rzZgfp5GaCnEsrI5deuBv952lnLFIqn6tLHYaerLyRUW9fgoLqxvGPs6Yj91WOqd6Nc9aEOdh6kHkA==" saltValue="ae6eRUeZYd5WtUV5EWPfQ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BV1" zoomScaleNormal="100" workbookViewId="0">
      <selection activeCell="CC4" sqref="CC4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293" t="s">
        <v>176</v>
      </c>
      <c r="C1" s="294"/>
      <c r="D1" s="294"/>
      <c r="E1" s="294"/>
      <c r="F1" s="294"/>
      <c r="G1" s="294"/>
      <c r="H1" s="295"/>
      <c r="I1" s="290" t="str">
        <f>IF('Données projet'!$B$9="","",'Données projet'!$B$9)</f>
        <v>Mélèze d'Europe</v>
      </c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2"/>
      <c r="AD1" s="291" t="str">
        <f>IF('Données projet'!$B$10="","",'Données projet'!$B$10)</f>
        <v>Epicéa commun</v>
      </c>
      <c r="AE1" s="291"/>
      <c r="AF1" s="291"/>
      <c r="AG1" s="291"/>
      <c r="AH1" s="291"/>
      <c r="AI1" s="291"/>
      <c r="AJ1" s="291"/>
      <c r="AK1" s="291"/>
      <c r="AL1" s="291"/>
      <c r="AM1" s="291"/>
      <c r="AN1" s="291"/>
      <c r="AO1" s="291"/>
      <c r="AP1" s="291"/>
      <c r="AQ1" s="291"/>
      <c r="AR1" s="291"/>
      <c r="AS1" s="291"/>
      <c r="AT1" s="291"/>
      <c r="AU1" s="291"/>
      <c r="AV1" s="291"/>
      <c r="AW1" s="291"/>
      <c r="AX1" s="292"/>
      <c r="AY1" s="290" t="str">
        <f>IF('Données projet'!$B$11="","",'Données projet'!$B$11)</f>
        <v>Erable sycomore</v>
      </c>
      <c r="AZ1" s="291"/>
      <c r="BA1" s="291"/>
      <c r="BB1" s="291"/>
      <c r="BC1" s="291"/>
      <c r="BD1" s="291"/>
      <c r="BE1" s="291"/>
      <c r="BF1" s="291"/>
      <c r="BG1" s="291"/>
      <c r="BH1" s="291"/>
      <c r="BI1" s="291"/>
      <c r="BJ1" s="291"/>
      <c r="BK1" s="291"/>
      <c r="BL1" s="291"/>
      <c r="BM1" s="291"/>
      <c r="BN1" s="291"/>
      <c r="BO1" s="291"/>
      <c r="BP1" s="291"/>
      <c r="BQ1" s="291"/>
      <c r="BR1" s="291"/>
      <c r="BS1" s="292"/>
      <c r="BT1" s="290" t="str">
        <f>IF('Données projet'!$B$12="","",'Données projet'!$B$12)</f>
        <v>Merisier</v>
      </c>
      <c r="BU1" s="291"/>
      <c r="BV1" s="291"/>
      <c r="BW1" s="291"/>
      <c r="BX1" s="291"/>
      <c r="BY1" s="291"/>
      <c r="BZ1" s="291"/>
      <c r="CA1" s="291"/>
      <c r="CB1" s="291"/>
      <c r="CC1" s="291"/>
      <c r="CD1" s="291"/>
      <c r="CE1" s="291"/>
      <c r="CF1" s="291"/>
      <c r="CG1" s="291"/>
      <c r="CH1" s="291"/>
      <c r="CI1" s="291"/>
      <c r="CJ1" s="291"/>
      <c r="CK1" s="291"/>
      <c r="CL1" s="291"/>
      <c r="CM1" s="291"/>
      <c r="CN1" s="292"/>
      <c r="CO1" s="290" t="str">
        <f>IF('Données projet'!$B$13="","",'Données projet'!$B$13)</f>
        <v>Douglas</v>
      </c>
      <c r="CP1" s="291"/>
      <c r="CQ1" s="291"/>
      <c r="CR1" s="291"/>
      <c r="CS1" s="291"/>
      <c r="CT1" s="291"/>
      <c r="CU1" s="291"/>
      <c r="CV1" s="291"/>
      <c r="CW1" s="291"/>
      <c r="CX1" s="291"/>
      <c r="CY1" s="291"/>
      <c r="CZ1" s="291"/>
      <c r="DA1" s="291"/>
      <c r="DB1" s="291"/>
      <c r="DC1" s="291"/>
      <c r="DD1" s="291"/>
      <c r="DE1" s="291"/>
      <c r="DF1" s="291"/>
      <c r="DG1" s="291"/>
      <c r="DH1" s="291"/>
      <c r="DI1" s="292"/>
      <c r="DJ1" s="290" t="str">
        <f>IF('Données projet'!$B$14="","",'Données projet'!$B$14)</f>
        <v/>
      </c>
      <c r="DK1" s="291"/>
      <c r="DL1" s="291"/>
      <c r="DM1" s="291"/>
      <c r="DN1" s="291"/>
      <c r="DO1" s="291"/>
      <c r="DP1" s="291"/>
      <c r="DQ1" s="291"/>
      <c r="DR1" s="291"/>
      <c r="DS1" s="291"/>
      <c r="DT1" s="291"/>
      <c r="DU1" s="291"/>
      <c r="DV1" s="291"/>
      <c r="DW1" s="291"/>
      <c r="DX1" s="291"/>
      <c r="DY1" s="291"/>
      <c r="DZ1" s="291"/>
      <c r="EA1" s="291"/>
      <c r="EB1" s="291"/>
      <c r="EC1" s="291"/>
      <c r="ED1" s="292"/>
      <c r="EE1" s="290" t="str">
        <f>IF('Données projet'!$B$15="","",'Données projet'!$B$15)</f>
        <v/>
      </c>
      <c r="EF1" s="291"/>
      <c r="EG1" s="291"/>
      <c r="EH1" s="291"/>
      <c r="EI1" s="291"/>
      <c r="EJ1" s="291"/>
      <c r="EK1" s="291"/>
      <c r="EL1" s="291"/>
      <c r="EM1" s="291"/>
      <c r="EN1" s="291"/>
      <c r="EO1" s="291"/>
      <c r="EP1" s="291"/>
      <c r="EQ1" s="291"/>
      <c r="ER1" s="291"/>
      <c r="ES1" s="291"/>
      <c r="ET1" s="291"/>
      <c r="EU1" s="291"/>
      <c r="EV1" s="291"/>
      <c r="EW1" s="291"/>
      <c r="EX1" s="291"/>
      <c r="EY1" s="292"/>
      <c r="EZ1" s="290" t="str">
        <f>IF('Données projet'!$B$16="","",'Données projet'!$B$16)</f>
        <v/>
      </c>
      <c r="FA1" s="291"/>
      <c r="FB1" s="291"/>
      <c r="FC1" s="291"/>
      <c r="FD1" s="291"/>
      <c r="FE1" s="291"/>
      <c r="FF1" s="291"/>
      <c r="FG1" s="291"/>
      <c r="FH1" s="291"/>
      <c r="FI1" s="291"/>
      <c r="FJ1" s="291"/>
      <c r="FK1" s="291"/>
      <c r="FL1" s="291"/>
      <c r="FM1" s="291"/>
      <c r="FN1" s="291"/>
      <c r="FO1" s="291"/>
      <c r="FP1" s="291"/>
      <c r="FQ1" s="291"/>
      <c r="FR1" s="291"/>
      <c r="FS1" s="291"/>
      <c r="FT1" s="292"/>
      <c r="FU1" s="290" t="str">
        <f>IF('Données projet'!$B$17="","",'Données projet'!$B$17)</f>
        <v/>
      </c>
      <c r="FV1" s="291"/>
      <c r="FW1" s="291"/>
      <c r="FX1" s="291"/>
      <c r="FY1" s="291"/>
      <c r="FZ1" s="291"/>
      <c r="GA1" s="291"/>
      <c r="GB1" s="291"/>
      <c r="GC1" s="291"/>
      <c r="GD1" s="291"/>
      <c r="GE1" s="291"/>
      <c r="GF1" s="291"/>
      <c r="GG1" s="291"/>
      <c r="GH1" s="291"/>
      <c r="GI1" s="291"/>
      <c r="GJ1" s="291"/>
      <c r="GK1" s="291"/>
      <c r="GL1" s="291"/>
      <c r="GM1" s="291"/>
      <c r="GN1" s="291"/>
      <c r="GO1" s="292"/>
      <c r="GP1" s="290" t="str">
        <f>IF('Données projet'!$B$18="","",'Données projet'!$B$18)</f>
        <v/>
      </c>
      <c r="GQ1" s="291"/>
      <c r="GR1" s="291"/>
      <c r="GS1" s="291"/>
      <c r="GT1" s="291"/>
      <c r="GU1" s="291"/>
      <c r="GV1" s="291"/>
      <c r="GW1" s="291"/>
      <c r="GX1" s="291"/>
      <c r="GY1" s="291"/>
      <c r="GZ1" s="291"/>
      <c r="HA1" s="291"/>
      <c r="HB1" s="291"/>
      <c r="HC1" s="291"/>
      <c r="HD1" s="291"/>
      <c r="HE1" s="291"/>
      <c r="HF1" s="291"/>
      <c r="HG1" s="291"/>
      <c r="HH1" s="291"/>
      <c r="HI1" s="291"/>
      <c r="HJ1" s="292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287</v>
      </c>
      <c r="E2" s="6" t="s">
        <v>303</v>
      </c>
      <c r="F2" s="6" t="s">
        <v>302</v>
      </c>
      <c r="G2" s="6" t="s">
        <v>308</v>
      </c>
      <c r="H2" s="69" t="s">
        <v>304</v>
      </c>
      <c r="I2" s="72" t="s">
        <v>303</v>
      </c>
      <c r="J2" s="73" t="s">
        <v>302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308</v>
      </c>
      <c r="R2" s="7" t="s">
        <v>305</v>
      </c>
      <c r="S2" s="7" t="s">
        <v>309</v>
      </c>
      <c r="T2" s="7" t="s">
        <v>310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303</v>
      </c>
      <c r="AE2" s="73" t="s">
        <v>302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308</v>
      </c>
      <c r="AM2" s="7" t="s">
        <v>305</v>
      </c>
      <c r="AN2" s="7" t="s">
        <v>309</v>
      </c>
      <c r="AO2" s="7" t="s">
        <v>310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303</v>
      </c>
      <c r="AZ2" s="73" t="s">
        <v>302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308</v>
      </c>
      <c r="BH2" s="7" t="s">
        <v>305</v>
      </c>
      <c r="BI2" s="7" t="s">
        <v>309</v>
      </c>
      <c r="BJ2" s="7" t="s">
        <v>310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303</v>
      </c>
      <c r="BU2" s="73" t="s">
        <v>302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308</v>
      </c>
      <c r="CC2" s="7" t="s">
        <v>305</v>
      </c>
      <c r="CD2" s="7" t="s">
        <v>309</v>
      </c>
      <c r="CE2" s="7" t="s">
        <v>310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303</v>
      </c>
      <c r="CP2" s="73" t="s">
        <v>302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308</v>
      </c>
      <c r="CX2" s="7" t="s">
        <v>305</v>
      </c>
      <c r="CY2" s="7" t="s">
        <v>309</v>
      </c>
      <c r="CZ2" s="7" t="s">
        <v>310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303</v>
      </c>
      <c r="DK2" s="73" t="s">
        <v>302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308</v>
      </c>
      <c r="DS2" s="7" t="s">
        <v>305</v>
      </c>
      <c r="DT2" s="7" t="s">
        <v>309</v>
      </c>
      <c r="DU2" s="7" t="s">
        <v>310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303</v>
      </c>
      <c r="EF2" s="73" t="s">
        <v>302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308</v>
      </c>
      <c r="EN2" s="7" t="s">
        <v>305</v>
      </c>
      <c r="EO2" s="7" t="s">
        <v>309</v>
      </c>
      <c r="EP2" s="7" t="s">
        <v>310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303</v>
      </c>
      <c r="FA2" s="73" t="s">
        <v>302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308</v>
      </c>
      <c r="FI2" s="7" t="s">
        <v>305</v>
      </c>
      <c r="FJ2" s="7" t="s">
        <v>309</v>
      </c>
      <c r="FK2" s="7" t="s">
        <v>310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303</v>
      </c>
      <c r="FV2" s="73" t="s">
        <v>302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308</v>
      </c>
      <c r="GD2" s="7" t="s">
        <v>305</v>
      </c>
      <c r="GE2" s="7" t="s">
        <v>309</v>
      </c>
      <c r="GF2" s="7" t="s">
        <v>310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303</v>
      </c>
      <c r="GQ2" s="73" t="s">
        <v>302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308</v>
      </c>
      <c r="GY2" s="7" t="s">
        <v>305</v>
      </c>
      <c r="GZ2" s="7" t="s">
        <v>309</v>
      </c>
      <c r="HA2" s="7" t="s">
        <v>310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projet'!$B$9,Paramètres!$A$1:$I$88,3,0)*VLOOKUP('Données projet'!$B$9,Paramètres!$A$1:$I$88,5,0)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175.05987582828078</v>
      </c>
      <c r="T3" s="62">
        <f>IF('Données projet'!E9&gt;30,$R$33-$H$33,LOOKUP('Données projet'!$E$9,$A$3:$A$203,R3:R203)-LOOKUP('Données projet'!$E$9,$A$3:$A$203,$H$3:$H$203))</f>
        <v>268.54782308462387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projet'!$B$9,Paramètres!$A$1:$I$88,7,0))</f>
        <v>0</v>
      </c>
      <c r="X3" s="17">
        <f>IF(ISNA(VLOOKUP(A3,'Données projet'!$A$35:$I$55,6,0)),0%,VLOOKUP(A3,'Données projet'!$A$35:$I$55,6,0)*VLOOKUP('Données projet'!$B$9,Paramètres!$A$1:$I$88,7,0))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projet'!$B$10,Paramètres!$A$1:$I$88,3,0)*VLOOKUP('Données projet'!$B$10,Paramètres!$A$1:$I$88,5,0)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576.61210817354549</v>
      </c>
      <c r="AO3" s="62">
        <f>IF('Données projet'!E10&gt;30,$AM$33-$H$33,LOOKUP('Données projet'!$E$10,$A$3:$A$203,AM3:AM203)-LOOKUP('Données projet'!$E$10,$A$3:$A$203,$H$3:$H$203))</f>
        <v>343.9428747444544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projet'!$B$10,Paramètres!$A$1:$I$88,7,0))</f>
        <v>0</v>
      </c>
      <c r="AS3" s="17">
        <f>IF(ISNA(VLOOKUP(A3,'Données projet'!$A$61:$I$81,6,0)),0%,VLOOKUP(A3,'Données projet'!$A$61:$I$81,6,0)*VLOOKUP('Données projet'!$B$10,Paramètres!$A$1:$I$88,7,0))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projet'!$B$11,Paramètres!$A$1:$I$88,3,0)*VLOOKUP('Données projet'!$B$11,Paramètres!$A$1:$I$88,5,0)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298.38448036212861</v>
      </c>
      <c r="BJ3" s="62">
        <f>IF('Données projet'!E11&gt;30,$BH$33-$H$33,LOOKUP('Données projet'!$E$11,$A$3:$A$203,BH3:BH203)-LOOKUP('Données projet'!$E$11,$A$3:$A$203,$H$3:$H$203))</f>
        <v>270.4445531106897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projet'!$B$11,Paramètres!$A$1:$I$88,7,0))</f>
        <v>0</v>
      </c>
      <c r="BN3" s="17">
        <f>IF(ISNA(VLOOKUP(A3,'Données projet'!$A$87:$I$107,6,0)),0%,VLOOKUP(A3,'Données projet'!$A$87:$I$107,6,0)*VLOOKUP('Données projet'!$B$11,Paramètres!$A$1:$I$88,7,0))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projet'!$B$12,Paramètres!$A$1:$I$88,3,0)*VLOOKUP('Données projet'!$B$12,Paramètres!$A$1:$I$88,5,0)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217.32600829266818</v>
      </c>
      <c r="CE3" s="62">
        <f>IF('Données projet'!E12&gt;30,$CC$33-$H$33,LOOKUP('Données projet'!$E$12,$A$3:$A$203,CC3:CC203)-LOOKUP('Données projet'!$E$12,$A$3:$A$203,$H$3:$H$203))</f>
        <v>208.79744153433245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projet'!$B$12,Paramètres!$A$1:$I$88,7,0))</f>
        <v>0</v>
      </c>
      <c r="CI3" s="17">
        <f>IF(ISNA(VLOOKUP(A3,'Données projet'!$A$113:$I$133,6,0)),0%,VLOOKUP(A3,'Données projet'!$A$113:$I$133,6,0)*VLOOKUP('Données projet'!$B$12,Paramètres!$A$1:$I$88,7,0))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projet'!$B$13,Paramètres!$A$1:$I$88,3,0)*VLOOKUP('Données projet'!$B$13,Paramètres!$A$1:$I$88,5,0)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302.20483575440988</v>
      </c>
      <c r="CZ3" s="62">
        <f>IF('Données projet'!E13&gt;30,$CX$33-$H$33,LOOKUP('Données projet'!$E$13,$A$3:$A$203,CX3:CX203)-LOOKUP('Données projet'!$E$13,$A$3:$A$203,$H$3:$H$203))</f>
        <v>275.32862097158687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projet'!$B$13,Paramètres!$A$1:$I$88,7,0))</f>
        <v>0</v>
      </c>
      <c r="DD3" s="17">
        <f>IF(ISNA(VLOOKUP(A3,'Données projet'!$A$139:$I$159,6,0)),0%,VLOOKUP(A3,'Données projet'!$A$139:$I$159,6,0)*VLOOKUP('Données projet'!$B$13,Paramètres!$A$1:$I$88,7,0))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projet'!$B$14,Paramètres!$A$1:$I$88,3,0)*VLOOKUP('Données projet'!$B$14,Paramètres!$A$1:$I$88,5,0)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projet'!$B$14,Paramètres!$A$1:$I$88,7,0))</f>
        <v>0</v>
      </c>
      <c r="DY3" s="17">
        <f>IF(ISNA(VLOOKUP(A3,'Données projet'!$A$165:$I$185,6,0)),0%,VLOOKUP(A3,'Données projet'!$A$165:$I$185,6,0)*VLOOKUP('Données projet'!$B$14,Paramètres!$A$1:$I$88,7,0))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projet'!$B$15,Paramètres!$A$1:$I$88,3,0)*VLOOKUP('Données projet'!$B$15,Paramètres!$A$1:$I$88,5,0)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projet'!$B$15,Paramètres!$A$1:$I$88,7,0))</f>
        <v>0</v>
      </c>
      <c r="ET3" s="17">
        <f>IF(ISNA(VLOOKUP(A3,'Données projet'!$A$191:$I$211,6,0)),0%,VLOOKUP(A3,'Données projet'!$A$191:$I$211,6,0)*VLOOKUP('Données projet'!$B$15,Paramètres!$A$1:$I$88,7,0))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projet'!$B$16,Paramètres!$A$1:$I$88,3,0)*VLOOKUP('Données projet'!$B$16,Paramètres!$A$1:$I$88,5,0)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projet'!$B$16,Paramètres!$A$1:$I$88,7,0))</f>
        <v>0</v>
      </c>
      <c r="FO3" s="17">
        <f>IF(ISNA(VLOOKUP(A3,'Données projet'!$A$217:$I$237,6,0)),0%,VLOOKUP(A3,'Données projet'!$A$217:$I$237,6,0)*VLOOKUP('Données projet'!$B$16,Paramètres!$A$1:$I$88,7,0))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projet'!$B$17,Paramètres!$A$1:$I$88,3,0)*VLOOKUP('Données projet'!$B$17,Paramètres!$A$1:$I$88,5,0)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projet'!$B$17,Paramètres!$A$1:$I$88,7,0))</f>
        <v>0</v>
      </c>
      <c r="GJ3" s="17">
        <f>IF(ISNA(VLOOKUP(A3,'Données projet'!$A$243:$I$263,6,0)),0%,VLOOKUP(A3,'Données projet'!$A$243:$I$263,6,0)*VLOOKUP('Données projet'!$B$17,Paramètres!$A$1:$I$88,7,0))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projet'!$B$18,Paramètres!$A$1:$I$88,3,0)*VLOOKUP('Données projet'!$B$18,Paramètres!$A$1:$I$88,5,0)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projet'!$B$18,Paramètres!$A$1:$I$88,7,0))</f>
        <v>0</v>
      </c>
      <c r="HE3" s="17">
        <f>IF(ISNA(VLOOKUP(A3,'Données projet'!$A$269:$I$289,6,0)),0%,VLOOKUP(A3,'Données projet'!$A$269:$I$289,6,0)*VLOOKUP('Données projet'!$B$18,Paramètres!$A$1:$I$88,7,0))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6.2222222222222223</v>
      </c>
      <c r="N4" s="14">
        <f>IF('Données projet'!$A$36&gt;35,N3+M4-V3,IF(A4&lt;'Données projet'!$A$36,$K$205^A4,IF(A4='Données projet'!$A$36,'Données projet'!$B$36,N3+M4-V3)))</f>
        <v>1.2997069632623315</v>
      </c>
      <c r="O4" s="14">
        <f>N4*VLOOKUP('Données projet'!$B$9,Paramètres!$A$1:$I$88,3,0)*VLOOKUP('Données projet'!$B$9,Paramètres!$A$1:$I$88,5,0)</f>
        <v>0.81101714507569489</v>
      </c>
      <c r="P4" s="14">
        <f>EXP(-1.0587+0.8836*LN(O4)+0.284)</f>
        <v>0.38297551084354686</v>
      </c>
      <c r="Q4" s="22">
        <f t="shared" ref="Q4:Q34" si="2">(O4+P4)*0.475*44/12</f>
        <v>2.0795372090593456</v>
      </c>
      <c r="R4" s="62">
        <f t="shared" si="0"/>
        <v>295.41287054239268</v>
      </c>
      <c r="S4" s="62">
        <f ca="1">AVERAGE(OFFSET($R$3,0,0,'Données projet'!$E$9+1,1))-AVERAGE(OFFSET($H$3,0,0,'Données projet'!$E$9+1,1))</f>
        <v>175.05987582828078</v>
      </c>
      <c r="T4" s="62">
        <f>$T$3</f>
        <v>268.54782308462387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projet'!$B$9,Paramètres!$A$1:$I$88,7,0))</f>
        <v>0</v>
      </c>
      <c r="X4" s="17">
        <f>IF(ISNA(VLOOKUP(A4,'Données projet'!$A$35:$I$55,6,0)),0%,VLOOKUP(A4,'Données projet'!$A$35:$I$55,6,0)*VLOOKUP('Données projet'!$B$9,Paramètres!$A$1:$I$88,7,0))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projet'!$B$9,Paramètres!$A$1:$I$88,3,0)*0.475*44/12</f>
        <v>0</v>
      </c>
      <c r="AA4" s="23">
        <f>EXP(-LN(2)/25)*AA3+(1-EXP(-LN(2)/25))/(LN(2)/25)*Calculateur!V4*Calculateur!X4*VLOOKUP('Données projet'!$B$9,Paramètres!$A$1:$I$88,3,0)*0.475*44/12</f>
        <v>0</v>
      </c>
      <c r="AB4" s="23">
        <f>EXP(-LN(2)/2)*AB3+(1-EXP(-LN(2)/2))/(LN(2)/2)*V4*Y4*VLOOKUP('Données projet'!$B$9,Paramètres!$A$1:$I$88,3,0)*0.475*44/12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12.133333333333333</v>
      </c>
      <c r="AI4" s="14">
        <f>IF('Données projet'!$A$62&gt;35,AI3+AH4-AQ3,IF(A4&lt;'Données projet'!$A$62,$AF$205^A4,IF(A4='Données projet'!$A$62,'Données projet'!$B$62,AI3+AH4-AQ3)))</f>
        <v>1.2172227089611016</v>
      </c>
      <c r="AJ4" s="14">
        <f>AI4*VLOOKUP('Données projet'!$B$10,Paramètres!$A$1:$I$88,3,0)*VLOOKUP('Données projet'!$B$10,Paramètres!$A$1:$I$88,5,0)</f>
        <v>0.58548412301028985</v>
      </c>
      <c r="AK4" s="14">
        <f>EXP(-1.0587+0.8836*LN(AJ4)+0.284)</f>
        <v>0.28716296385457618</v>
      </c>
      <c r="AL4" s="22">
        <f t="shared" ref="AL4:AL67" si="4">(AJ4+AK4)*0.475*44/12</f>
        <v>1.5198603429563082</v>
      </c>
      <c r="AM4" s="62">
        <f t="shared" ref="AM4:AM67" si="5">AL4+(AD4+AE4)*44/12</f>
        <v>294.85319367628961</v>
      </c>
      <c r="AN4" s="62">
        <f ca="1">AVERAGE(OFFSET($AM$3,0,0,'Données projet'!$E$10+1,1))-AVERAGE(OFFSET($H$3,0,0,'Données projet'!$E$10+1,1))</f>
        <v>576.61210817354549</v>
      </c>
      <c r="AO4" s="62">
        <f>$AO$3</f>
        <v>343.9428747444544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projet'!$B$10,Paramètres!$A$1:$I$88,7,0))</f>
        <v>0</v>
      </c>
      <c r="AS4" s="17">
        <f>IF(ISNA(VLOOKUP(A4,'Données projet'!$A$61:$I$81,6,0)),0%,VLOOKUP(A4,'Données projet'!$A$61:$I$81,6,0)*VLOOKUP('Données projet'!$B$10,Paramètres!$A$1:$I$88,7,0))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projet'!$B$10,Paramètres!$A$1:$I$88,3,0)*0.475*44/12</f>
        <v>0</v>
      </c>
      <c r="AV4" s="23">
        <f>EXP(-LN(2)/25)*AV3+(1-EXP(-LN(2)/25))/(LN(2)/25)*Calculateur!AQ4*Calculateur!AS4*VLOOKUP('Données projet'!$B$10,Paramètres!$A$1:$I$88,3,0)*0.475*44/12</f>
        <v>0</v>
      </c>
      <c r="AW4" s="23">
        <f>EXP(-LN(2)/2)*AW3+(1-EXP(-LN(2)/2))/(LN(2)/2)*AQ4*AT4*VLOOKUP('Données projet'!$B$10,Paramètres!$A$1:$I$88,3,0)*0.475*44/12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1.1099999999999999</v>
      </c>
      <c r="BD4" s="13">
        <f>IF('Données projet'!$A$88&gt;35,BD3+BC4-BL3,IF(A4&lt;'Données projet'!$A$88,$BA$205^A4,IF(A4='Données projet'!$A$88,'Données projet'!$B$88,BD3+BC4-BL3)))</f>
        <v>1.2721323532877689</v>
      </c>
      <c r="BE4" s="14">
        <f>BD4*VLOOKUP('Données projet'!$B$11,Paramètres!$A$1:$I$88,3,0)*VLOOKUP('Données projet'!$B$11,Paramètres!$A$1:$I$88,5,0)</f>
        <v>1.0121085002757488</v>
      </c>
      <c r="BF4" s="14">
        <f>EXP(-1.0587+0.8836*LN(BE4)+0.284)</f>
        <v>0.46576913511432322</v>
      </c>
      <c r="BG4" s="22">
        <f t="shared" ref="BG4:BG67" si="7">(BE4+BF4)*0.475*44/12</f>
        <v>2.5739702149710419</v>
      </c>
      <c r="BH4" s="62">
        <f t="shared" ref="BH4:BH67" si="8">BG4+(AY4+AZ4)*44/12</f>
        <v>295.90730354830436</v>
      </c>
      <c r="BI4" s="62">
        <f ca="1">AVERAGE(OFFSET($BH$3,0,0,'Données projet'!$E$11+1,1))-AVERAGE(OFFSET($H$3,0,0,'Données projet'!$E$11+1,1))</f>
        <v>298.38448036212861</v>
      </c>
      <c r="BJ4" s="62">
        <f>$BJ$3</f>
        <v>270.4445531106897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projet'!$B$11,Paramètres!$A$1:$I$88,7,0))</f>
        <v>0</v>
      </c>
      <c r="BN4" s="17">
        <f>IF(ISNA(VLOOKUP(A4,'Données projet'!$A$87:$I$107,6,0)),0%,VLOOKUP(A4,'Données projet'!$A$87:$I$107,6,0)*VLOOKUP('Données projet'!$B$11,Paramètres!$A$1:$I$88,7,0))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projet'!$B$11,Paramètres!$A$1:$I$88,3,0)*0.475*44/12</f>
        <v>0</v>
      </c>
      <c r="BQ4" s="23">
        <f>EXP(-LN(2)/25)*BQ3+(1-EXP(-LN(2)/25))/(LN(2)/25)*Calculateur!BL4*Calculateur!BN4*VLOOKUP('Données projet'!$B$11,Paramètres!$A$1:$I$88,3,0)*0.475*44/12</f>
        <v>0</v>
      </c>
      <c r="BR4" s="23">
        <f>EXP(-LN(2)/2)*BR3+(1-EXP(-LN(2)/2))/(LN(2)/2)*BL4*BO4*VLOOKUP('Données projet'!$B$11,Paramètres!$A$1:$I$88,3,0)*0.475*44/12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2.6666666666666665</v>
      </c>
      <c r="BY4" s="13">
        <f>IF('Données projet'!$A$114&gt;35,BY3+BX4-CG3,IF(A4&lt;'Données projet'!$A$114,$BV$205^A4,IF(A4='Données projet'!$A$114,'Données projet'!$B$114,BY3+BX4-CG3)))</f>
        <v>1.2788040393997409</v>
      </c>
      <c r="BZ4" s="14">
        <f>BY4*VLOOKUP('Données projet'!$B$12,Paramètres!$A$1:$I$88,3,0)*VLOOKUP('Données projet'!$B$12,Paramètres!$A$1:$I$88,5,0)</f>
        <v>0.99746715073179792</v>
      </c>
      <c r="CA4" s="14">
        <f>EXP(-1.0587+0.8836*LN(BZ4)+0.284)</f>
        <v>0.45981048445793882</v>
      </c>
      <c r="CB4" s="22">
        <f t="shared" ref="CB4:CB67" si="10">(BZ4+CA4)*0.475*44/12</f>
        <v>2.5380918812887914</v>
      </c>
      <c r="CC4" s="62">
        <f t="shared" ref="CC4:CC67" si="11">CB4+(BT4+BU4)*44/12</f>
        <v>295.87142521462209</v>
      </c>
      <c r="CD4" s="62">
        <f ca="1">AVERAGE(OFFSET($CC$3,0,0,'Données projet'!$E$12+1,1))-AVERAGE(OFFSET($H$3,0,0,'Données projet'!$E$12+1,1))</f>
        <v>217.32600829266818</v>
      </c>
      <c r="CE4" s="62">
        <f>$CE$3</f>
        <v>208.79744153433245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projet'!$B$12,Paramètres!$A$1:$I$88,7,0))</f>
        <v>0</v>
      </c>
      <c r="CI4" s="17">
        <f>IF(ISNA(VLOOKUP(A4,'Données projet'!$A$113:$I$133,6,0)),0%,VLOOKUP(A4,'Données projet'!$A$113:$I$133,6,0)*VLOOKUP('Données projet'!$B$12,Paramètres!$A$1:$I$88,7,0))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projet'!$B$12,Paramètres!$A$1:$I$88,3,0)*0.475*44/12</f>
        <v>0</v>
      </c>
      <c r="CL4" s="23">
        <f>EXP(-LN(2)/25)*CL3+(1-EXP(-LN(2)/25))/(LN(2)/25)*Calculateur!CG4*Calculateur!CI4*VLOOKUP('Données projet'!$B$12,Paramètres!$A$1:$I$88,3,0)*0.475*44/12</f>
        <v>0</v>
      </c>
      <c r="CM4" s="23">
        <f>EXP(-LN(2)/2)*CM3+(1-EXP(-LN(2)/2))/(LN(2)/2)*CG4*CJ4*VLOOKUP('Données projet'!$B$12,Paramètres!$A$1:$I$88,3,0)*0.475*44/12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10</v>
      </c>
      <c r="CT4" s="13">
        <f>IF('Données projet'!$A$140&gt;35,CT3+CS4-DB3,IF(A4&lt;'Données projet'!$A$140,$CQ$205^A4,IF(A4='Données projet'!$A$140,'Données projet'!$B$140,CT3+CS4-DB3)))</f>
        <v>1.289976715395158</v>
      </c>
      <c r="CU4" s="18">
        <f>CT4*VLOOKUP('Données projet'!$B$13,Paramètres!$A$1:$I$88,3,0)*VLOOKUP('Données projet'!$B$13,Paramètres!$A$1:$I$88,5,0)</f>
        <v>0.72109698390589339</v>
      </c>
      <c r="CV4" s="14">
        <f>EXP(-1.0587+0.8836*LN(CU4)+0.284)</f>
        <v>0.34520357101002697</v>
      </c>
      <c r="CW4" s="22">
        <f t="shared" ref="CW4:CW67" si="13">(CU4+CV4)*0.475*44/12</f>
        <v>1.8571401331452277</v>
      </c>
      <c r="CX4" s="62">
        <f t="shared" ref="CX4:CX67" si="14">CW4+(CO4+CP4)*44/12</f>
        <v>295.19047346647852</v>
      </c>
      <c r="CY4" s="62">
        <f ca="1">AVERAGE(OFFSET($CX$3,0,0,'Données projet'!$E$13+1,1))-AVERAGE(OFFSET($H$3,0,0,'Données projet'!$E$13+1,1))</f>
        <v>302.20483575440988</v>
      </c>
      <c r="CZ4" s="62">
        <f>$CZ$3</f>
        <v>275.32862097158687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projet'!$B$13,Paramètres!$A$1:$I$88,7,0))</f>
        <v>0</v>
      </c>
      <c r="DD4" s="17">
        <f>IF(ISNA(VLOOKUP(A4,'Données projet'!$A$139:$I$159,6,0)),0%,VLOOKUP(A4,'Données projet'!$A$139:$I$159,6,0)*VLOOKUP('Données projet'!$B$13,Paramètres!$A$1:$I$88,7,0))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projet'!$B$13,Paramètres!$A$1:$I$88,3,0)*0.475*44/12</f>
        <v>0</v>
      </c>
      <c r="DG4" s="23">
        <f>EXP(-LN(2)/25)*DG3+(1-EXP(-LN(2)/25))/(LN(2)/25)*Calculateur!DB4*Calculateur!DD4*VLOOKUP('Données projet'!$B$13,Paramètres!$A$1:$I$88,3,0)*0.475*44/12</f>
        <v>0</v>
      </c>
      <c r="DH4" s="23">
        <f>EXP(-LN(2)/2)*DH3+(1-EXP(-LN(2)/2))/(LN(2)/2)*DB4*DE4*VLOOKUP('Données projet'!$B$13,Paramètres!$A$1:$I$88,3,0)*0.475*44/12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projet'!$B$14,Paramètres!$A$1:$I$88,3,0)*VLOOKUP('Données projet'!$B$14,Paramètres!$A$1:$I$88,5,0)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projet'!$B$14,Paramètres!$A$1:$I$88,7,0))</f>
        <v>0</v>
      </c>
      <c r="DY4" s="17">
        <f>IF(ISNA(VLOOKUP(A4,'Données projet'!$A$165:$I$185,6,0)),0%,VLOOKUP(A4,'Données projet'!$A$165:$I$185,6,0)*VLOOKUP('Données projet'!$B$14,Paramètres!$A$1:$I$88,7,0))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projet'!$B$14,Paramètres!$A$1:$I$88,3,0)*0.475*44/12</f>
        <v>#N/A</v>
      </c>
      <c r="EB4" s="23" t="e">
        <f>EXP(-LN(2)/25)*EB3+(1-EXP(-LN(2)/25))/(LN(2)/25)*Calculateur!DW4*Calculateur!DY4*VLOOKUP('Données projet'!$B$14,Paramètres!$A$1:$I$88,3,0)*0.475*44/12</f>
        <v>#N/A</v>
      </c>
      <c r="EC4" s="23" t="e">
        <f>EXP(-LN(2)/2)*EC3+(1-EXP(-LN(2)/2))/(LN(2)/2)*DW4*DZ4*VLOOKUP('Données projet'!$B$14,Paramètres!$A$1:$I$88,3,0)*0.475*44/12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projet'!$B$15,Paramètres!$A$1:$I$88,3,0)*VLOOKUP('Données projet'!$B$15,Paramètres!$A$1:$I$88,5,0)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projet'!$B$15,Paramètres!$A$1:$I$88,7,0))</f>
        <v>0</v>
      </c>
      <c r="ET4" s="17">
        <f>IF(ISNA(VLOOKUP(A4,'Données projet'!$A$191:$I$211,6,0)),0%,VLOOKUP(A4,'Données projet'!$A$191:$I$211,6,0)*VLOOKUP('Données projet'!$B$15,Paramètres!$A$1:$I$88,7,0))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projet'!$B$15,Paramètres!$A$1:$I$88,3,0)*0.475*44/12</f>
        <v>#N/A</v>
      </c>
      <c r="EW4" s="23" t="e">
        <f>EXP(-LN(2)/25)*EW3+(1-EXP(-LN(2)/25))/(LN(2)/25)*Calculateur!ER4*Calculateur!ET4*VLOOKUP('Données projet'!$B$15,Paramètres!$A$1:$I$88,3,0)*0.475*44/12</f>
        <v>#N/A</v>
      </c>
      <c r="EX4" s="23" t="e">
        <f>EXP(-LN(2)/2)*EX3+(1-EXP(-LN(2)/2))/(LN(2)/2)*ER4*EU4*VLOOKUP('Données projet'!$B$15,Paramètres!$A$1:$I$88,3,0)*0.475*44/12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projet'!$B$16,Paramètres!$A$1:$I$88,3,0)*VLOOKUP('Données projet'!$B$16,Paramètres!$A$1:$I$88,5,0)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projet'!$B$16,Paramètres!$A$1:$I$88,7,0))</f>
        <v>0</v>
      </c>
      <c r="FO4" s="17">
        <f>IF(ISNA(VLOOKUP(A4,'Données projet'!$A$217:$I$237,6,0)),0%,VLOOKUP(A4,'Données projet'!$A$217:$I$237,6,0)*VLOOKUP('Données projet'!$B$16,Paramètres!$A$1:$I$88,7,0))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projet'!$B$16,Paramètres!$A$1:$I$88,3,0)*0.475*44/12</f>
        <v>#N/A</v>
      </c>
      <c r="FR4" s="23" t="e">
        <f>EXP(-LN(2)/25)*FR3+(1-EXP(-LN(2)/25))/(LN(2)/25)*Calculateur!FM4*Calculateur!FO4*VLOOKUP('Données projet'!$B$16,Paramètres!$A$1:$I$88,3,0)*0.475*44/12</f>
        <v>#N/A</v>
      </c>
      <c r="FS4" s="23" t="e">
        <f>EXP(-LN(2)/2)*FS3+(1-EXP(-LN(2)/2))/(LN(2)/2)*FM4*FP4*VLOOKUP('Données projet'!$B$16,Paramètres!$A$1:$I$88,3,0)*0.475*44/12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projet'!$B$17,Paramètres!$A$1:$I$88,3,0)*VLOOKUP('Données projet'!$B$17,Paramètres!$A$1:$I$88,5,0)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projet'!$B$17,Paramètres!$A$1:$I$88,7,0))</f>
        <v>0</v>
      </c>
      <c r="GJ4" s="17">
        <f>IF(ISNA(VLOOKUP(A4,'Données projet'!$A$243:$I$263,6,0)),0%,VLOOKUP(A4,'Données projet'!$A$243:$I$263,6,0)*VLOOKUP('Données projet'!$B$17,Paramètres!$A$1:$I$88,7,0))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projet'!$B$17,Paramètres!$A$1:$I$88,3,0)*0.475*44/12</f>
        <v>#N/A</v>
      </c>
      <c r="GM4" s="23" t="e">
        <f>EXP(-LN(2)/25)*GM3+(1-EXP(-LN(2)/25))/(LN(2)/25)*Calculateur!GH4*Calculateur!GJ4*VLOOKUP('Données projet'!$B$17,Paramètres!$A$1:$I$88,3,0)*0.475*44/12</f>
        <v>#N/A</v>
      </c>
      <c r="GN4" s="23" t="e">
        <f>EXP(-LN(2)/2)*GN3+(1-EXP(-LN(2)/2))/(LN(2)/2)*GH4*GK4*VLOOKUP('Données projet'!$B$17,Paramètres!$A$1:$I$88,3,0)*0.475*44/12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projet'!$B$18,Paramètres!$A$1:$I$88,3,0)*VLOOKUP('Données projet'!$B$18,Paramètres!$A$1:$I$88,5,0)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projet'!$B$18,Paramètres!$A$1:$I$88,7,0))</f>
        <v>0</v>
      </c>
      <c r="HE4" s="17">
        <f>IF(ISNA(VLOOKUP(A4,'Données projet'!$A$269:$I$289,6,0)),0%,VLOOKUP(A4,'Données projet'!$A$269:$I$289,6,0)*VLOOKUP('Données projet'!$B$18,Paramètres!$A$1:$I$88,7,0))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projet'!$B$18,Paramètres!$A$1:$I$88,3,0)*0.475*44/12</f>
        <v>#N/A</v>
      </c>
      <c r="HH4" s="23" t="e">
        <f>EXP(-LN(2)/25)*HH3+(1-EXP(-LN(2)/25))/(LN(2)/25)*Calculateur!HC4*Calculateur!HE4*VLOOKUP('Données projet'!$B$18,Paramètres!$A$1:$I$88,3,0)*0.475*44/12</f>
        <v>#N/A</v>
      </c>
      <c r="HI4" s="23" t="e">
        <f>EXP(-LN(2)/2)*HI3+(1-EXP(-LN(2)/2))/(LN(2)/2)*HC4*HF4*VLOOKUP('Données projet'!$B$18,Paramètres!$A$1:$I$88,3,0)*0.475*44/12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6.2222222222222223</v>
      </c>
      <c r="N5" s="14">
        <f>IF('Données projet'!$A$36&gt;35,N4+M5-V4,IF(A5&lt;'Données projet'!$A$36,$K$205^A5,IF(A5='Données projet'!$A$36,'Données projet'!$B$36,N4+M5-V4)))</f>
        <v>1.6892381903525915</v>
      </c>
      <c r="O5" s="14">
        <f>N5*VLOOKUP('Données projet'!$B$9,Paramètres!$A$1:$I$88,3,0)*VLOOKUP('Données projet'!$B$9,Paramètres!$A$1:$I$88,5,0)</f>
        <v>1.0540846307800171</v>
      </c>
      <c r="P5" s="14">
        <f t="shared" ref="P5:P68" si="33">EXP(-1.0587+0.8836*LN(O5)+0.284)</f>
        <v>0.48279730809434274</v>
      </c>
      <c r="Q5" s="22">
        <f t="shared" si="2"/>
        <v>2.6767360435395098</v>
      </c>
      <c r="R5" s="62">
        <f t="shared" si="0"/>
        <v>296.01006937687282</v>
      </c>
      <c r="S5" s="62">
        <f ca="1">AVERAGE(OFFSET($R$3,0,0,'Données projet'!$E$9+1,1))-AVERAGE(OFFSET($H$3,0,0,'Données projet'!$E$9+1,1))</f>
        <v>175.05987582828078</v>
      </c>
      <c r="T5" s="62">
        <f t="shared" ref="T5:T68" si="34">$T$3</f>
        <v>268.54782308462387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projet'!$B$9,Paramètres!$A$1:$I$88,7,0))</f>
        <v>0</v>
      </c>
      <c r="X5" s="17">
        <f>IF(ISNA(VLOOKUP(A5,'Données projet'!$A$35:$I$55,6,0)),0%,VLOOKUP(A5,'Données projet'!$A$35:$I$55,6,0)*VLOOKUP('Données projet'!$B$9,Paramètres!$A$1:$I$88,7,0))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projet'!$B$9,Paramètres!$A$1:$I$88,3,0)*0.475*44/12</f>
        <v>0</v>
      </c>
      <c r="AA5" s="23">
        <f>EXP(-LN(2)/25)*AA4+(1-EXP(-LN(2)/25))/(LN(2)/25)*Calculateur!V5*Calculateur!X5*VLOOKUP('Données projet'!$B$9,Paramètres!$A$1:$I$88,3,0)*0.475*44/12</f>
        <v>0</v>
      </c>
      <c r="AB5" s="23">
        <f>EXP(-LN(2)/2)*AB4+(1-EXP(-LN(2)/2))/(LN(2)/2)*V5*Y5*VLOOKUP('Données projet'!$B$9,Paramètres!$A$1:$I$88,3,0)*0.475*44/12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12.133333333333333</v>
      </c>
      <c r="AI5" s="14">
        <f>IF('Données projet'!$A$62&gt;35,AI4+AH5-AQ4,IF(A5&lt;'Données projet'!$A$62,$AF$205^A5,IF(A5='Données projet'!$A$62,'Données projet'!$B$62,AI4+AH5-AQ4)))</f>
        <v>1.4816311232106028</v>
      </c>
      <c r="AJ5" s="14">
        <f>AI5*VLOOKUP('Données projet'!$B$10,Paramètres!$A$1:$I$88,3,0)*VLOOKUP('Données projet'!$B$10,Paramètres!$A$1:$I$88,5,0)</f>
        <v>0.71266457026429997</v>
      </c>
      <c r="AK5" s="14">
        <f t="shared" ref="AK5:AK68" si="35">EXP(-1.0587+0.8836*LN(AJ5)+0.284)</f>
        <v>0.3416342469756764</v>
      </c>
      <c r="AL5" s="22">
        <f t="shared" si="4"/>
        <v>1.8362371066929584</v>
      </c>
      <c r="AM5" s="62">
        <f t="shared" si="5"/>
        <v>295.16957044002629</v>
      </c>
      <c r="AN5" s="62">
        <f ca="1">AVERAGE(OFFSET($AM$3,0,0,'Données projet'!$E$10+1,1))-AVERAGE(OFFSET($H$3,0,0,'Données projet'!$E$10+1,1))</f>
        <v>576.61210817354549</v>
      </c>
      <c r="AO5" s="62">
        <f t="shared" ref="AO5:AO68" si="36">$AO$3</f>
        <v>343.9428747444544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projet'!$B$10,Paramètres!$A$1:$I$88,7,0))</f>
        <v>0</v>
      </c>
      <c r="AS5" s="17">
        <f>IF(ISNA(VLOOKUP(A5,'Données projet'!$A$61:$I$81,6,0)),0%,VLOOKUP(A5,'Données projet'!$A$61:$I$81,6,0)*VLOOKUP('Données projet'!$B$10,Paramètres!$A$1:$I$88,7,0))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projet'!$B$10,Paramètres!$A$1:$I$88,3,0)*0.475*44/12</f>
        <v>0</v>
      </c>
      <c r="AV5" s="23">
        <f>EXP(-LN(2)/25)*AV4+(1-EXP(-LN(2)/25))/(LN(2)/25)*Calculateur!AQ5*Calculateur!AS5*VLOOKUP('Données projet'!$B$10,Paramètres!$A$1:$I$88,3,0)*0.475*44/12</f>
        <v>0</v>
      </c>
      <c r="AW5" s="23">
        <f>EXP(-LN(2)/2)*AW4+(1-EXP(-LN(2)/2))/(LN(2)/2)*AQ5*AT5*VLOOKUP('Données projet'!$B$10,Paramètres!$A$1:$I$88,3,0)*0.475*44/12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1.1099999999999999</v>
      </c>
      <c r="BD5" s="13">
        <f>IF('Données projet'!$A$88&gt;35,BD4+BC5-BL4,IF(A5&lt;'Données projet'!$A$88,$BA$205^A5,IF(A5='Données projet'!$A$88,'Données projet'!$B$88,BD4+BC5-BL4)))</f>
        <v>1.6183207242814768</v>
      </c>
      <c r="BE5" s="14">
        <f>BD5*VLOOKUP('Données projet'!$B$11,Paramètres!$A$1:$I$88,3,0)*VLOOKUP('Données projet'!$B$11,Paramètres!$A$1:$I$88,5,0)</f>
        <v>1.2875359682383429</v>
      </c>
      <c r="BF5" s="14">
        <f t="shared" ref="BF5:BF68" si="37">EXP(-1.0587+0.8836*LN(BE5)+0.284)</f>
        <v>0.57614983837086087</v>
      </c>
      <c r="BG5" s="22">
        <f t="shared" si="7"/>
        <v>3.2459194465110297</v>
      </c>
      <c r="BH5" s="62">
        <f t="shared" si="8"/>
        <v>296.57925277984435</v>
      </c>
      <c r="BI5" s="62">
        <f ca="1">AVERAGE(OFFSET($BH$3,0,0,'Données projet'!$E$11+1,1))-AVERAGE(OFFSET($H$3,0,0,'Données projet'!$E$11+1,1))</f>
        <v>298.38448036212861</v>
      </c>
      <c r="BJ5" s="62">
        <f t="shared" ref="BJ5:BJ68" si="38">$BJ$3</f>
        <v>270.4445531106897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projet'!$B$11,Paramètres!$A$1:$I$88,7,0))</f>
        <v>0</v>
      </c>
      <c r="BN5" s="17">
        <f>IF(ISNA(VLOOKUP(A5,'Données projet'!$A$87:$I$107,6,0)),0%,VLOOKUP(A5,'Données projet'!$A$87:$I$107,6,0)*VLOOKUP('Données projet'!$B$11,Paramètres!$A$1:$I$88,7,0))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projet'!$B$11,Paramètres!$A$1:$I$88,3,0)*0.475*44/12</f>
        <v>0</v>
      </c>
      <c r="BQ5" s="23">
        <f>EXP(-LN(2)/25)*BQ4+(1-EXP(-LN(2)/25))/(LN(2)/25)*Calculateur!BL5*Calculateur!BN5*VLOOKUP('Données projet'!$B$11,Paramètres!$A$1:$I$88,3,0)*0.475*44/12</f>
        <v>0</v>
      </c>
      <c r="BR5" s="23">
        <f>EXP(-LN(2)/2)*BR4+(1-EXP(-LN(2)/2))/(LN(2)/2)*BL5*BO5*VLOOKUP('Données projet'!$B$11,Paramètres!$A$1:$I$88,3,0)*0.475*44/12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2.6666666666666665</v>
      </c>
      <c r="BY5" s="13">
        <f>IF('Données projet'!$A$114&gt;35,BY4+BX5-CG4,IF(A5&lt;'Données projet'!$A$114,$BV$205^A5,IF(A5='Données projet'!$A$114,'Données projet'!$B$114,BY4+BX5-CG4)))</f>
        <v>1.6353397711850939</v>
      </c>
      <c r="BZ5" s="14">
        <f>BY5*VLOOKUP('Données projet'!$B$12,Paramètres!$A$1:$I$88,3,0)*VLOOKUP('Données projet'!$B$12,Paramètres!$A$1:$I$88,5,0)</f>
        <v>1.2755650215243732</v>
      </c>
      <c r="CA5" s="14">
        <f t="shared" ref="CA5:CA68" si="39">EXP(-1.0587+0.8836*LN(BZ5)+0.284)</f>
        <v>0.57141400910743001</v>
      </c>
      <c r="CB5" s="22">
        <f t="shared" si="10"/>
        <v>3.2168218116837237</v>
      </c>
      <c r="CC5" s="62">
        <f t="shared" si="11"/>
        <v>296.55015514501702</v>
      </c>
      <c r="CD5" s="62">
        <f ca="1">AVERAGE(OFFSET($CC$3,0,0,'Données projet'!$E$12+1,1))-AVERAGE(OFFSET($H$3,0,0,'Données projet'!$E$12+1,1))</f>
        <v>217.32600829266818</v>
      </c>
      <c r="CE5" s="62">
        <f t="shared" ref="CE5:CE68" si="40">$CE$3</f>
        <v>208.79744153433245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projet'!$B$12,Paramètres!$A$1:$I$88,7,0))</f>
        <v>0</v>
      </c>
      <c r="CI5" s="17">
        <f>IF(ISNA(VLOOKUP(A5,'Données projet'!$A$113:$I$133,6,0)),0%,VLOOKUP(A5,'Données projet'!$A$113:$I$133,6,0)*VLOOKUP('Données projet'!$B$12,Paramètres!$A$1:$I$88,7,0))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projet'!$B$12,Paramètres!$A$1:$I$88,3,0)*0.475*44/12</f>
        <v>0</v>
      </c>
      <c r="CL5" s="23">
        <f>EXP(-LN(2)/25)*CL4+(1-EXP(-LN(2)/25))/(LN(2)/25)*Calculateur!CG5*Calculateur!CI5*VLOOKUP('Données projet'!$B$12,Paramètres!$A$1:$I$88,3,0)*0.475*44/12</f>
        <v>0</v>
      </c>
      <c r="CM5" s="23">
        <f>EXP(-LN(2)/2)*CM4+(1-EXP(-LN(2)/2))/(LN(2)/2)*CG5*CJ5*VLOOKUP('Données projet'!$B$12,Paramètres!$A$1:$I$88,3,0)*0.475*44/12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10</v>
      </c>
      <c r="CT5" s="13">
        <f>IF('Données projet'!$A$140&gt;35,CT4+CS5-DB4,IF(A5&lt;'Données projet'!$A$140,$CQ$205^A5,IF(A5='Données projet'!$A$140,'Données projet'!$B$140,CT4+CS5-DB4)))</f>
        <v>1.6640399262616805</v>
      </c>
      <c r="CU5" s="18">
        <f>CT5*VLOOKUP('Données projet'!$B$13,Paramètres!$A$1:$I$88,3,0)*VLOOKUP('Données projet'!$B$13,Paramètres!$A$1:$I$88,5,0)</f>
        <v>0.93019831878027937</v>
      </c>
      <c r="CV5" s="14">
        <f t="shared" ref="CV5:CV68" si="41">EXP(-1.0587+0.8836*LN(CU5)+0.284)</f>
        <v>0.43230018467776149</v>
      </c>
      <c r="CW5" s="22">
        <f t="shared" si="13"/>
        <v>2.3730182268560873</v>
      </c>
      <c r="CX5" s="62">
        <f t="shared" si="14"/>
        <v>295.70635156018938</v>
      </c>
      <c r="CY5" s="62">
        <f ca="1">AVERAGE(OFFSET($CX$3,0,0,'Données projet'!$E$13+1,1))-AVERAGE(OFFSET($H$3,0,0,'Données projet'!$E$13+1,1))</f>
        <v>302.20483575440988</v>
      </c>
      <c r="CZ5" s="62">
        <f t="shared" ref="CZ5:CZ68" si="42">$CZ$3</f>
        <v>275.32862097158687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projet'!$B$13,Paramètres!$A$1:$I$88,7,0))</f>
        <v>0</v>
      </c>
      <c r="DD5" s="17">
        <f>IF(ISNA(VLOOKUP(A5,'Données projet'!$A$139:$I$159,6,0)),0%,VLOOKUP(A5,'Données projet'!$A$139:$I$159,6,0)*VLOOKUP('Données projet'!$B$13,Paramètres!$A$1:$I$88,7,0))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projet'!$B$13,Paramètres!$A$1:$I$88,3,0)*0.475*44/12</f>
        <v>0</v>
      </c>
      <c r="DG5" s="23">
        <f>EXP(-LN(2)/25)*DG4+(1-EXP(-LN(2)/25))/(LN(2)/25)*Calculateur!DB5*Calculateur!DD5*VLOOKUP('Données projet'!$B$13,Paramètres!$A$1:$I$88,3,0)*0.475*44/12</f>
        <v>0</v>
      </c>
      <c r="DH5" s="23">
        <f>EXP(-LN(2)/2)*DH4+(1-EXP(-LN(2)/2))/(LN(2)/2)*DB5*DE5*VLOOKUP('Données projet'!$B$13,Paramètres!$A$1:$I$88,3,0)*0.475*44/12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projet'!$B$14,Paramètres!$A$1:$I$88,3,0)*VLOOKUP('Données projet'!$B$14,Paramètres!$A$1:$I$88,5,0)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projet'!$B$14,Paramètres!$A$1:$I$88,7,0))</f>
        <v>0</v>
      </c>
      <c r="DY5" s="17">
        <f>IF(ISNA(VLOOKUP(A5,'Données projet'!$A$165:$I$185,6,0)),0%,VLOOKUP(A5,'Données projet'!$A$165:$I$185,6,0)*VLOOKUP('Données projet'!$B$14,Paramètres!$A$1:$I$88,7,0))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projet'!$B$14,Paramètres!$A$1:$I$88,3,0)*0.475*44/12</f>
        <v>#N/A</v>
      </c>
      <c r="EB5" s="23" t="e">
        <f>EXP(-LN(2)/25)*EB4+(1-EXP(-LN(2)/25))/(LN(2)/25)*Calculateur!DW5*Calculateur!DY5*VLOOKUP('Données projet'!$B$14,Paramètres!$A$1:$I$88,3,0)*0.475*44/12</f>
        <v>#N/A</v>
      </c>
      <c r="EC5" s="23" t="e">
        <f>EXP(-LN(2)/2)*EC4+(1-EXP(-LN(2)/2))/(LN(2)/2)*DW5*DZ5*VLOOKUP('Données projet'!$B$14,Paramètres!$A$1:$I$88,3,0)*0.475*44/12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projet'!$B$15,Paramètres!$A$1:$I$88,3,0)*VLOOKUP('Données projet'!$B$15,Paramètres!$A$1:$I$88,5,0)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projet'!$B$15,Paramètres!$A$1:$I$88,7,0))</f>
        <v>0</v>
      </c>
      <c r="ET5" s="17">
        <f>IF(ISNA(VLOOKUP(A5,'Données projet'!$A$191:$I$211,6,0)),0%,VLOOKUP(A5,'Données projet'!$A$191:$I$211,6,0)*VLOOKUP('Données projet'!$B$15,Paramètres!$A$1:$I$88,7,0))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projet'!$B$15,Paramètres!$A$1:$I$88,3,0)*0.475*44/12</f>
        <v>#N/A</v>
      </c>
      <c r="EW5" s="23" t="e">
        <f>EXP(-LN(2)/25)*EW4+(1-EXP(-LN(2)/25))/(LN(2)/25)*Calculateur!ER5*Calculateur!ET5*VLOOKUP('Données projet'!$B$15,Paramètres!$A$1:$I$88,3,0)*0.475*44/12</f>
        <v>#N/A</v>
      </c>
      <c r="EX5" s="23" t="e">
        <f>EXP(-LN(2)/2)*EX4+(1-EXP(-LN(2)/2))/(LN(2)/2)*ER5*EU5*VLOOKUP('Données projet'!$B$15,Paramètres!$A$1:$I$88,3,0)*0.475*44/12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projet'!$B$16,Paramètres!$A$1:$I$88,3,0)*VLOOKUP('Données projet'!$B$16,Paramètres!$A$1:$I$88,5,0)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projet'!$B$16,Paramètres!$A$1:$I$88,7,0))</f>
        <v>0</v>
      </c>
      <c r="FO5" s="17">
        <f>IF(ISNA(VLOOKUP(A5,'Données projet'!$A$217:$I$237,6,0)),0%,VLOOKUP(A5,'Données projet'!$A$217:$I$237,6,0)*VLOOKUP('Données projet'!$B$16,Paramètres!$A$1:$I$88,7,0))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projet'!$B$16,Paramètres!$A$1:$I$88,3,0)*0.475*44/12</f>
        <v>#N/A</v>
      </c>
      <c r="FR5" s="23" t="e">
        <f>EXP(-LN(2)/25)*FR4+(1-EXP(-LN(2)/25))/(LN(2)/25)*Calculateur!FM5*Calculateur!FO5*VLOOKUP('Données projet'!$B$16,Paramètres!$A$1:$I$88,3,0)*0.475*44/12</f>
        <v>#N/A</v>
      </c>
      <c r="FS5" s="23" t="e">
        <f>EXP(-LN(2)/2)*FS4+(1-EXP(-LN(2)/2))/(LN(2)/2)*FM5*FP5*VLOOKUP('Données projet'!$B$16,Paramètres!$A$1:$I$88,3,0)*0.475*44/12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projet'!$B$17,Paramètres!$A$1:$I$88,3,0)*VLOOKUP('Données projet'!$B$17,Paramètres!$A$1:$I$88,5,0)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projet'!$B$17,Paramètres!$A$1:$I$88,7,0))</f>
        <v>0</v>
      </c>
      <c r="GJ5" s="17">
        <f>IF(ISNA(VLOOKUP(A5,'Données projet'!$A$243:$I$263,6,0)),0%,VLOOKUP(A5,'Données projet'!$A$243:$I$263,6,0)*VLOOKUP('Données projet'!$B$17,Paramètres!$A$1:$I$88,7,0))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projet'!$B$17,Paramètres!$A$1:$I$88,3,0)*0.475*44/12</f>
        <v>#N/A</v>
      </c>
      <c r="GM5" s="23" t="e">
        <f>EXP(-LN(2)/25)*GM4+(1-EXP(-LN(2)/25))/(LN(2)/25)*Calculateur!GH5*Calculateur!GJ5*VLOOKUP('Données projet'!$B$17,Paramètres!$A$1:$I$88,3,0)*0.475*44/12</f>
        <v>#N/A</v>
      </c>
      <c r="GN5" s="23" t="e">
        <f>EXP(-LN(2)/2)*GN4+(1-EXP(-LN(2)/2))/(LN(2)/2)*GH5*GK5*VLOOKUP('Données projet'!$B$17,Paramètres!$A$1:$I$88,3,0)*0.475*44/12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projet'!$B$18,Paramètres!$A$1:$I$88,3,0)*VLOOKUP('Données projet'!$B$18,Paramètres!$A$1:$I$88,5,0)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projet'!$B$18,Paramètres!$A$1:$I$88,7,0))</f>
        <v>0</v>
      </c>
      <c r="HE5" s="17">
        <f>IF(ISNA(VLOOKUP(A5,'Données projet'!$A$269:$I$289,6,0)),0%,VLOOKUP(A5,'Données projet'!$A$269:$I$289,6,0)*VLOOKUP('Données projet'!$B$18,Paramètres!$A$1:$I$88,7,0))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projet'!$B$18,Paramètres!$A$1:$I$88,3,0)*0.475*44/12</f>
        <v>#N/A</v>
      </c>
      <c r="HH5" s="23" t="e">
        <f>EXP(-LN(2)/25)*HH4+(1-EXP(-LN(2)/25))/(LN(2)/25)*Calculateur!HC5*Calculateur!HE5*VLOOKUP('Données projet'!$B$18,Paramètres!$A$1:$I$88,3,0)*0.475*44/12</f>
        <v>#N/A</v>
      </c>
      <c r="HI5" s="23" t="e">
        <f>EXP(-LN(2)/2)*HI4+(1-EXP(-LN(2)/2))/(LN(2)/2)*HC5*HF5*VLOOKUP('Données projet'!$B$18,Paramètres!$A$1:$I$88,3,0)*0.475*44/12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6.2222222222222223</v>
      </c>
      <c r="N6" s="14">
        <f>IF('Données projet'!$A$36&gt;35,N5+M6-V5,IF(A6&lt;'Données projet'!$A$36,$K$205^A6,IF(A6='Données projet'!$A$36,'Données projet'!$B$36,N5+M6-V5)))</f>
        <v>2.1955146386099229</v>
      </c>
      <c r="O6" s="14">
        <f>N6*VLOOKUP('Données projet'!$B$9,Paramètres!$A$1:$I$88,3,0)*VLOOKUP('Données projet'!$B$9,Paramètres!$A$1:$I$88,5,0)</f>
        <v>1.3700011344925918</v>
      </c>
      <c r="P6" s="14">
        <f t="shared" si="33"/>
        <v>0.60863745619068288</v>
      </c>
      <c r="Q6" s="22">
        <f t="shared" si="2"/>
        <v>3.4461288787733699</v>
      </c>
      <c r="R6" s="62">
        <f t="shared" si="0"/>
        <v>296.77946221210669</v>
      </c>
      <c r="S6" s="62">
        <f ca="1">AVERAGE(OFFSET($R$3,0,0,'Données projet'!$E$9+1,1))-AVERAGE(OFFSET($H$3,0,0,'Données projet'!$E$9+1,1))</f>
        <v>175.05987582828078</v>
      </c>
      <c r="T6" s="62">
        <f t="shared" si="34"/>
        <v>268.54782308462387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projet'!$B$9,Paramètres!$A$1:$I$88,7,0))</f>
        <v>0</v>
      </c>
      <c r="X6" s="17">
        <f>IF(ISNA(VLOOKUP(A6,'Données projet'!$A$35:$I$55,6,0)),0%,VLOOKUP(A6,'Données projet'!$A$35:$I$55,6,0)*VLOOKUP('Données projet'!$B$9,Paramètres!$A$1:$I$88,7,0))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projet'!$B$9,Paramètres!$A$1:$I$88,3,0)*0.475*44/12</f>
        <v>0</v>
      </c>
      <c r="AA6" s="23">
        <f>EXP(-LN(2)/25)*AA5+(1-EXP(-LN(2)/25))/(LN(2)/25)*Calculateur!V6*Calculateur!X6*VLOOKUP('Données projet'!$B$9,Paramètres!$A$1:$I$88,3,0)*0.475*44/12</f>
        <v>0</v>
      </c>
      <c r="AB6" s="23">
        <f>EXP(-LN(2)/2)*AB5+(1-EXP(-LN(2)/2))/(LN(2)/2)*V6*Y6*VLOOKUP('Données projet'!$B$9,Paramètres!$A$1:$I$88,3,0)*0.475*44/12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12.133333333333333</v>
      </c>
      <c r="AI6" s="14">
        <f>IF('Données projet'!$A$62&gt;35,AI5+AH6-AQ5,IF(A6&lt;'Données projet'!$A$62,$AF$205^A6,IF(A6='Données projet'!$A$62,'Données projet'!$B$62,AI5+AH6-AQ5)))</f>
        <v>1.8034750494754896</v>
      </c>
      <c r="AJ6" s="14">
        <f>AI6*VLOOKUP('Données projet'!$B$10,Paramètres!$A$1:$I$88,3,0)*VLOOKUP('Données projet'!$B$10,Paramètres!$A$1:$I$88,5,0)</f>
        <v>0.86747149879771046</v>
      </c>
      <c r="AK6" s="14">
        <f t="shared" si="35"/>
        <v>0.4064380626944053</v>
      </c>
      <c r="AL6" s="22">
        <f t="shared" si="4"/>
        <v>2.218725819598768</v>
      </c>
      <c r="AM6" s="62">
        <f t="shared" si="5"/>
        <v>295.55205915293209</v>
      </c>
      <c r="AN6" s="62">
        <f ca="1">AVERAGE(OFFSET($AM$3,0,0,'Données projet'!$E$10+1,1))-AVERAGE(OFFSET($H$3,0,0,'Données projet'!$E$10+1,1))</f>
        <v>576.61210817354549</v>
      </c>
      <c r="AO6" s="62">
        <f t="shared" si="36"/>
        <v>343.9428747444544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projet'!$B$10,Paramètres!$A$1:$I$88,7,0))</f>
        <v>0</v>
      </c>
      <c r="AS6" s="17">
        <f>IF(ISNA(VLOOKUP(A6,'Données projet'!$A$61:$I$81,6,0)),0%,VLOOKUP(A6,'Données projet'!$A$61:$I$81,6,0)*VLOOKUP('Données projet'!$B$10,Paramètres!$A$1:$I$88,7,0))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projet'!$B$10,Paramètres!$A$1:$I$88,3,0)*0.475*44/12</f>
        <v>0</v>
      </c>
      <c r="AV6" s="23">
        <f>EXP(-LN(2)/25)*AV5+(1-EXP(-LN(2)/25))/(LN(2)/25)*Calculateur!AQ6*Calculateur!AS6*VLOOKUP('Données projet'!$B$10,Paramètres!$A$1:$I$88,3,0)*0.475*44/12</f>
        <v>0</v>
      </c>
      <c r="AW6" s="23">
        <f>EXP(-LN(2)/2)*AW5+(1-EXP(-LN(2)/2))/(LN(2)/2)*AQ6*AT6*VLOOKUP('Données projet'!$B$10,Paramètres!$A$1:$I$88,3,0)*0.475*44/12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1.1099999999999999</v>
      </c>
      <c r="BD6" s="13">
        <f>IF('Données projet'!$A$88&gt;35,BD5+BC6-BL5,IF(A6&lt;'Données projet'!$A$88,$BA$205^A6,IF(A6='Données projet'!$A$88,'Données projet'!$B$88,BD5+BC6-BL5)))</f>
        <v>2.0587181513545616</v>
      </c>
      <c r="BE6" s="14">
        <f>BD6*VLOOKUP('Données projet'!$B$11,Paramètres!$A$1:$I$88,3,0)*VLOOKUP('Données projet'!$B$11,Paramètres!$A$1:$I$88,5,0)</f>
        <v>1.6379161612176893</v>
      </c>
      <c r="BF6" s="14">
        <f t="shared" si="37"/>
        <v>0.71268920851376738</v>
      </c>
      <c r="BG6" s="22">
        <f t="shared" si="7"/>
        <v>4.0939710189489533</v>
      </c>
      <c r="BH6" s="62">
        <f t="shared" si="8"/>
        <v>297.42730435228225</v>
      </c>
      <c r="BI6" s="62">
        <f ca="1">AVERAGE(OFFSET($BH$3,0,0,'Données projet'!$E$11+1,1))-AVERAGE(OFFSET($H$3,0,0,'Données projet'!$E$11+1,1))</f>
        <v>298.38448036212861</v>
      </c>
      <c r="BJ6" s="62">
        <f t="shared" si="38"/>
        <v>270.4445531106897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projet'!$B$11,Paramètres!$A$1:$I$88,7,0))</f>
        <v>0</v>
      </c>
      <c r="BN6" s="17">
        <f>IF(ISNA(VLOOKUP(A6,'Données projet'!$A$87:$I$107,6,0)),0%,VLOOKUP(A6,'Données projet'!$A$87:$I$107,6,0)*VLOOKUP('Données projet'!$B$11,Paramètres!$A$1:$I$88,7,0))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projet'!$B$11,Paramètres!$A$1:$I$88,3,0)*0.475*44/12</f>
        <v>0</v>
      </c>
      <c r="BQ6" s="23">
        <f>EXP(-LN(2)/25)*BQ5+(1-EXP(-LN(2)/25))/(LN(2)/25)*Calculateur!BL6*Calculateur!BN6*VLOOKUP('Données projet'!$B$11,Paramètres!$A$1:$I$88,3,0)*0.475*44/12</f>
        <v>0</v>
      </c>
      <c r="BR6" s="23">
        <f>EXP(-LN(2)/2)*BR5+(1-EXP(-LN(2)/2))/(LN(2)/2)*BL6*BO6*VLOOKUP('Données projet'!$B$11,Paramètres!$A$1:$I$88,3,0)*0.475*44/12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2.6666666666666665</v>
      </c>
      <c r="BY6" s="13">
        <f>IF('Données projet'!$A$114&gt;35,BY5+BX6-CG5,IF(A6&lt;'Données projet'!$A$114,$BV$205^A6,IF(A6='Données projet'!$A$114,'Données projet'!$B$114,BY5+BX6-CG5)))</f>
        <v>2.0912791051825459</v>
      </c>
      <c r="BZ6" s="14">
        <f>BY6*VLOOKUP('Données projet'!$B$12,Paramètres!$A$1:$I$88,3,0)*VLOOKUP('Données projet'!$B$12,Paramètres!$A$1:$I$88,5,0)</f>
        <v>1.6311977020423858</v>
      </c>
      <c r="CA6" s="14">
        <f t="shared" si="39"/>
        <v>0.71010553443370616</v>
      </c>
      <c r="CB6" s="22">
        <f t="shared" si="10"/>
        <v>4.0777698035291934</v>
      </c>
      <c r="CC6" s="62">
        <f t="shared" si="11"/>
        <v>297.41110313686249</v>
      </c>
      <c r="CD6" s="62">
        <f ca="1">AVERAGE(OFFSET($CC$3,0,0,'Données projet'!$E$12+1,1))-AVERAGE(OFFSET($H$3,0,0,'Données projet'!$E$12+1,1))</f>
        <v>217.32600829266818</v>
      </c>
      <c r="CE6" s="62">
        <f t="shared" si="40"/>
        <v>208.79744153433245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projet'!$B$12,Paramètres!$A$1:$I$88,7,0))</f>
        <v>0</v>
      </c>
      <c r="CI6" s="17">
        <f>IF(ISNA(VLOOKUP(A6,'Données projet'!$A$113:$I$133,6,0)),0%,VLOOKUP(A6,'Données projet'!$A$113:$I$133,6,0)*VLOOKUP('Données projet'!$B$12,Paramètres!$A$1:$I$88,7,0))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projet'!$B$12,Paramètres!$A$1:$I$88,3,0)*0.475*44/12</f>
        <v>0</v>
      </c>
      <c r="CL6" s="23">
        <f>EXP(-LN(2)/25)*CL5+(1-EXP(-LN(2)/25))/(LN(2)/25)*Calculateur!CG6*Calculateur!CI6*VLOOKUP('Données projet'!$B$12,Paramètres!$A$1:$I$88,3,0)*0.475*44/12</f>
        <v>0</v>
      </c>
      <c r="CM6" s="23">
        <f>EXP(-LN(2)/2)*CM5+(1-EXP(-LN(2)/2))/(LN(2)/2)*CG6*CJ6*VLOOKUP('Données projet'!$B$12,Paramètres!$A$1:$I$88,3,0)*0.475*44/12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10</v>
      </c>
      <c r="CT6" s="13">
        <f>IF('Données projet'!$A$140&gt;35,CT5+CS6-DB5,IF(A6&lt;'Données projet'!$A$140,$CQ$205^A6,IF(A6='Données projet'!$A$140,'Données projet'!$B$140,CT5+CS6-DB5)))</f>
        <v>2.1465727583654437</v>
      </c>
      <c r="CU6" s="18">
        <f>CT6*VLOOKUP('Données projet'!$B$13,Paramètres!$A$1:$I$88,3,0)*VLOOKUP('Données projet'!$B$13,Paramètres!$A$1:$I$88,5,0)</f>
        <v>1.199934171926283</v>
      </c>
      <c r="CV6" s="14">
        <f t="shared" si="41"/>
        <v>0.54137171618945512</v>
      </c>
      <c r="CW6" s="22">
        <f t="shared" si="13"/>
        <v>3.0327744218015771</v>
      </c>
      <c r="CX6" s="62">
        <f t="shared" si="14"/>
        <v>296.36610775513492</v>
      </c>
      <c r="CY6" s="62">
        <f ca="1">AVERAGE(OFFSET($CX$3,0,0,'Données projet'!$E$13+1,1))-AVERAGE(OFFSET($H$3,0,0,'Données projet'!$E$13+1,1))</f>
        <v>302.20483575440988</v>
      </c>
      <c r="CZ6" s="62">
        <f t="shared" si="42"/>
        <v>275.32862097158687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projet'!$B$13,Paramètres!$A$1:$I$88,7,0))</f>
        <v>0</v>
      </c>
      <c r="DD6" s="17">
        <f>IF(ISNA(VLOOKUP(A6,'Données projet'!$A$139:$I$159,6,0)),0%,VLOOKUP(A6,'Données projet'!$A$139:$I$159,6,0)*VLOOKUP('Données projet'!$B$13,Paramètres!$A$1:$I$88,7,0))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projet'!$B$13,Paramètres!$A$1:$I$88,3,0)*0.475*44/12</f>
        <v>0</v>
      </c>
      <c r="DG6" s="23">
        <f>EXP(-LN(2)/25)*DG5+(1-EXP(-LN(2)/25))/(LN(2)/25)*Calculateur!DB6*Calculateur!DD6*VLOOKUP('Données projet'!$B$13,Paramètres!$A$1:$I$88,3,0)*0.475*44/12</f>
        <v>0</v>
      </c>
      <c r="DH6" s="23">
        <f>EXP(-LN(2)/2)*DH5+(1-EXP(-LN(2)/2))/(LN(2)/2)*DB6*DE6*VLOOKUP('Données projet'!$B$13,Paramètres!$A$1:$I$88,3,0)*0.475*44/12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projet'!$B$14,Paramètres!$A$1:$I$88,3,0)*VLOOKUP('Données projet'!$B$14,Paramètres!$A$1:$I$88,5,0)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projet'!$B$14,Paramètres!$A$1:$I$88,7,0))</f>
        <v>0</v>
      </c>
      <c r="DY6" s="17">
        <f>IF(ISNA(VLOOKUP(A6,'Données projet'!$A$165:$I$185,6,0)),0%,VLOOKUP(A6,'Données projet'!$A$165:$I$185,6,0)*VLOOKUP('Données projet'!$B$14,Paramètres!$A$1:$I$88,7,0))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projet'!$B$14,Paramètres!$A$1:$I$88,3,0)*0.475*44/12</f>
        <v>#N/A</v>
      </c>
      <c r="EB6" s="23" t="e">
        <f>EXP(-LN(2)/25)*EB5+(1-EXP(-LN(2)/25))/(LN(2)/25)*Calculateur!DW6*Calculateur!DY6*VLOOKUP('Données projet'!$B$14,Paramètres!$A$1:$I$88,3,0)*0.475*44/12</f>
        <v>#N/A</v>
      </c>
      <c r="EC6" s="23" t="e">
        <f>EXP(-LN(2)/2)*EC5+(1-EXP(-LN(2)/2))/(LN(2)/2)*DW6*DZ6*VLOOKUP('Données projet'!$B$14,Paramètres!$A$1:$I$88,3,0)*0.475*44/12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projet'!$B$15,Paramètres!$A$1:$I$88,3,0)*VLOOKUP('Données projet'!$B$15,Paramètres!$A$1:$I$88,5,0)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projet'!$B$15,Paramètres!$A$1:$I$88,7,0))</f>
        <v>0</v>
      </c>
      <c r="ET6" s="17">
        <f>IF(ISNA(VLOOKUP(A6,'Données projet'!$A$191:$I$211,6,0)),0%,VLOOKUP(A6,'Données projet'!$A$191:$I$211,6,0)*VLOOKUP('Données projet'!$B$15,Paramètres!$A$1:$I$88,7,0))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projet'!$B$15,Paramètres!$A$1:$I$88,3,0)*0.475*44/12</f>
        <v>#N/A</v>
      </c>
      <c r="EW6" s="23" t="e">
        <f>EXP(-LN(2)/25)*EW5+(1-EXP(-LN(2)/25))/(LN(2)/25)*Calculateur!ER6*Calculateur!ET6*VLOOKUP('Données projet'!$B$15,Paramètres!$A$1:$I$88,3,0)*0.475*44/12</f>
        <v>#N/A</v>
      </c>
      <c r="EX6" s="23" t="e">
        <f>EXP(-LN(2)/2)*EX5+(1-EXP(-LN(2)/2))/(LN(2)/2)*ER6*EU6*VLOOKUP('Données projet'!$B$15,Paramètres!$A$1:$I$88,3,0)*0.475*44/12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projet'!$B$16,Paramètres!$A$1:$I$88,3,0)*VLOOKUP('Données projet'!$B$16,Paramètres!$A$1:$I$88,5,0)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projet'!$B$16,Paramètres!$A$1:$I$88,7,0))</f>
        <v>0</v>
      </c>
      <c r="FO6" s="17">
        <f>IF(ISNA(VLOOKUP(A6,'Données projet'!$A$217:$I$237,6,0)),0%,VLOOKUP(A6,'Données projet'!$A$217:$I$237,6,0)*VLOOKUP('Données projet'!$B$16,Paramètres!$A$1:$I$88,7,0))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projet'!$B$16,Paramètres!$A$1:$I$88,3,0)*0.475*44/12</f>
        <v>#N/A</v>
      </c>
      <c r="FR6" s="23" t="e">
        <f>EXP(-LN(2)/25)*FR5+(1-EXP(-LN(2)/25))/(LN(2)/25)*Calculateur!FM6*Calculateur!FO6*VLOOKUP('Données projet'!$B$16,Paramètres!$A$1:$I$88,3,0)*0.475*44/12</f>
        <v>#N/A</v>
      </c>
      <c r="FS6" s="23" t="e">
        <f>EXP(-LN(2)/2)*FS5+(1-EXP(-LN(2)/2))/(LN(2)/2)*FM6*FP6*VLOOKUP('Données projet'!$B$16,Paramètres!$A$1:$I$88,3,0)*0.475*44/12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projet'!$B$17,Paramètres!$A$1:$I$88,3,0)*VLOOKUP('Données projet'!$B$17,Paramètres!$A$1:$I$88,5,0)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projet'!$B$17,Paramètres!$A$1:$I$88,7,0))</f>
        <v>0</v>
      </c>
      <c r="GJ6" s="17">
        <f>IF(ISNA(VLOOKUP(A6,'Données projet'!$A$243:$I$263,6,0)),0%,VLOOKUP(A6,'Données projet'!$A$243:$I$263,6,0)*VLOOKUP('Données projet'!$B$17,Paramètres!$A$1:$I$88,7,0))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projet'!$B$17,Paramètres!$A$1:$I$88,3,0)*0.475*44/12</f>
        <v>#N/A</v>
      </c>
      <c r="GM6" s="23" t="e">
        <f>EXP(-LN(2)/25)*GM5+(1-EXP(-LN(2)/25))/(LN(2)/25)*Calculateur!GH6*Calculateur!GJ6*VLOOKUP('Données projet'!$B$17,Paramètres!$A$1:$I$88,3,0)*0.475*44/12</f>
        <v>#N/A</v>
      </c>
      <c r="GN6" s="23" t="e">
        <f>EXP(-LN(2)/2)*GN5+(1-EXP(-LN(2)/2))/(LN(2)/2)*GH6*GK6*VLOOKUP('Données projet'!$B$17,Paramètres!$A$1:$I$88,3,0)*0.475*44/12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projet'!$B$18,Paramètres!$A$1:$I$88,3,0)*VLOOKUP('Données projet'!$B$18,Paramètres!$A$1:$I$88,5,0)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projet'!$B$18,Paramètres!$A$1:$I$88,7,0))</f>
        <v>0</v>
      </c>
      <c r="HE6" s="17">
        <f>IF(ISNA(VLOOKUP(A6,'Données projet'!$A$269:$I$289,6,0)),0%,VLOOKUP(A6,'Données projet'!$A$269:$I$289,6,0)*VLOOKUP('Données projet'!$B$18,Paramètres!$A$1:$I$88,7,0))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projet'!$B$18,Paramètres!$A$1:$I$88,3,0)*0.475*44/12</f>
        <v>#N/A</v>
      </c>
      <c r="HH6" s="23" t="e">
        <f>EXP(-LN(2)/25)*HH5+(1-EXP(-LN(2)/25))/(LN(2)/25)*Calculateur!HC6*Calculateur!HE6*VLOOKUP('Données projet'!$B$18,Paramètres!$A$1:$I$88,3,0)*0.475*44/12</f>
        <v>#N/A</v>
      </c>
      <c r="HI6" s="23" t="e">
        <f>EXP(-LN(2)/2)*HI5+(1-EXP(-LN(2)/2))/(LN(2)/2)*HC6*HF6*VLOOKUP('Données projet'!$B$18,Paramètres!$A$1:$I$88,3,0)*0.475*44/12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6.2222222222222223</v>
      </c>
      <c r="N7" s="14">
        <f>IF('Données projet'!$A$36&gt;35,N6+M7-V6,IF(A7&lt;'Données projet'!$A$36,$K$205^A7,IF(A7='Données projet'!$A$36,'Données projet'!$B$36,N6+M7-V6)))</f>
        <v>2.8535256637456983</v>
      </c>
      <c r="O7" s="14">
        <f>N7*VLOOKUP('Données projet'!$B$9,Paramètres!$A$1:$I$88,3,0)*VLOOKUP('Données projet'!$B$9,Paramètres!$A$1:$I$88,5,0)</f>
        <v>1.7806000141773157</v>
      </c>
      <c r="P7" s="14">
        <f t="shared" si="33"/>
        <v>0.76727758599241935</v>
      </c>
      <c r="Q7" s="22">
        <f t="shared" si="2"/>
        <v>4.4375534869622877</v>
      </c>
      <c r="R7" s="62">
        <f t="shared" si="0"/>
        <v>297.77088682029563</v>
      </c>
      <c r="S7" s="62">
        <f ca="1">AVERAGE(OFFSET($R$3,0,0,'Données projet'!$E$9+1,1))-AVERAGE(OFFSET($H$3,0,0,'Données projet'!$E$9+1,1))</f>
        <v>175.05987582828078</v>
      </c>
      <c r="T7" s="62">
        <f t="shared" si="34"/>
        <v>268.54782308462387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projet'!$B$9,Paramètres!$A$1:$I$88,7,0))</f>
        <v>0</v>
      </c>
      <c r="X7" s="17">
        <f>IF(ISNA(VLOOKUP(A7,'Données projet'!$A$35:$I$55,6,0)),0%,VLOOKUP(A7,'Données projet'!$A$35:$I$55,6,0)*VLOOKUP('Données projet'!$B$9,Paramètres!$A$1:$I$88,7,0))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projet'!$B$9,Paramètres!$A$1:$I$88,3,0)*0.475*44/12</f>
        <v>0</v>
      </c>
      <c r="AA7" s="23">
        <f>EXP(-LN(2)/25)*AA6+(1-EXP(-LN(2)/25))/(LN(2)/25)*Calculateur!V7*Calculateur!X7*VLOOKUP('Données projet'!$B$9,Paramètres!$A$1:$I$88,3,0)*0.475*44/12</f>
        <v>0</v>
      </c>
      <c r="AB7" s="23">
        <f>EXP(-LN(2)/2)*AB6+(1-EXP(-LN(2)/2))/(LN(2)/2)*V7*Y7*VLOOKUP('Données projet'!$B$9,Paramètres!$A$1:$I$88,3,0)*0.475*44/12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12.133333333333333</v>
      </c>
      <c r="AI7" s="14">
        <f>IF('Données projet'!$A$62&gt;35,AI6+AH7-AQ6,IF(A7&lt;'Données projet'!$A$62,$AF$205^A7,IF(A7='Données projet'!$A$62,'Données projet'!$B$62,AI6+AH7-AQ6)))</f>
        <v>2.1952307852663124</v>
      </c>
      <c r="AJ7" s="14">
        <f>AI7*VLOOKUP('Données projet'!$B$10,Paramètres!$A$1:$I$88,3,0)*VLOOKUP('Données projet'!$B$10,Paramètres!$A$1:$I$88,5,0)</f>
        <v>1.0559060077130962</v>
      </c>
      <c r="AK7" s="14">
        <f t="shared" si="35"/>
        <v>0.48353436538972805</v>
      </c>
      <c r="AL7" s="22">
        <f t="shared" si="4"/>
        <v>2.6811919831540849</v>
      </c>
      <c r="AM7" s="62">
        <f t="shared" si="5"/>
        <v>296.01452531648738</v>
      </c>
      <c r="AN7" s="62">
        <f ca="1">AVERAGE(OFFSET($AM$3,0,0,'Données projet'!$E$10+1,1))-AVERAGE(OFFSET($H$3,0,0,'Données projet'!$E$10+1,1))</f>
        <v>576.61210817354549</v>
      </c>
      <c r="AO7" s="62">
        <f t="shared" si="36"/>
        <v>343.9428747444544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projet'!$B$10,Paramètres!$A$1:$I$88,7,0))</f>
        <v>0</v>
      </c>
      <c r="AS7" s="17">
        <f>IF(ISNA(VLOOKUP(A7,'Données projet'!$A$61:$I$81,6,0)),0%,VLOOKUP(A7,'Données projet'!$A$61:$I$81,6,0)*VLOOKUP('Données projet'!$B$10,Paramètres!$A$1:$I$88,7,0))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projet'!$B$10,Paramètres!$A$1:$I$88,3,0)*0.475*44/12</f>
        <v>0</v>
      </c>
      <c r="AV7" s="23">
        <f>EXP(-LN(2)/25)*AV6+(1-EXP(-LN(2)/25))/(LN(2)/25)*Calculateur!AQ7*Calculateur!AS7*VLOOKUP('Données projet'!$B$10,Paramètres!$A$1:$I$88,3,0)*0.475*44/12</f>
        <v>0</v>
      </c>
      <c r="AW7" s="23">
        <f>EXP(-LN(2)/2)*AW6+(1-EXP(-LN(2)/2))/(LN(2)/2)*AQ7*AT7*VLOOKUP('Données projet'!$B$10,Paramètres!$A$1:$I$88,3,0)*0.475*44/12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1.1099999999999999</v>
      </c>
      <c r="BD7" s="13">
        <f>IF('Données projet'!$A$88&gt;35,BD6+BC7-BL6,IF(A7&lt;'Données projet'!$A$88,$BA$205^A7,IF(A7='Données projet'!$A$88,'Données projet'!$B$88,BD6+BC7-BL6)))</f>
        <v>2.6189619666389237</v>
      </c>
      <c r="BE7" s="14">
        <f>BD7*VLOOKUP('Données projet'!$B$11,Paramètres!$A$1:$I$88,3,0)*VLOOKUP('Données projet'!$B$11,Paramètres!$A$1:$I$88,5,0)</f>
        <v>2.0836461406579279</v>
      </c>
      <c r="BF7" s="14">
        <f t="shared" si="37"/>
        <v>0.88158647994800687</v>
      </c>
      <c r="BG7" s="22">
        <f t="shared" si="7"/>
        <v>5.1644468142220035</v>
      </c>
      <c r="BH7" s="62">
        <f t="shared" si="8"/>
        <v>298.49778014755532</v>
      </c>
      <c r="BI7" s="62">
        <f ca="1">AVERAGE(OFFSET($BH$3,0,0,'Données projet'!$E$11+1,1))-AVERAGE(OFFSET($H$3,0,0,'Données projet'!$E$11+1,1))</f>
        <v>298.38448036212861</v>
      </c>
      <c r="BJ7" s="62">
        <f t="shared" si="38"/>
        <v>270.4445531106897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projet'!$B$11,Paramètres!$A$1:$I$88,7,0))</f>
        <v>0</v>
      </c>
      <c r="BN7" s="17">
        <f>IF(ISNA(VLOOKUP(A7,'Données projet'!$A$87:$I$107,6,0)),0%,VLOOKUP(A7,'Données projet'!$A$87:$I$107,6,0)*VLOOKUP('Données projet'!$B$11,Paramètres!$A$1:$I$88,7,0))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projet'!$B$11,Paramètres!$A$1:$I$88,3,0)*0.475*44/12</f>
        <v>0</v>
      </c>
      <c r="BQ7" s="23">
        <f>EXP(-LN(2)/25)*BQ6+(1-EXP(-LN(2)/25))/(LN(2)/25)*Calculateur!BL7*Calculateur!BN7*VLOOKUP('Données projet'!$B$11,Paramètres!$A$1:$I$88,3,0)*0.475*44/12</f>
        <v>0</v>
      </c>
      <c r="BR7" s="23">
        <f>EXP(-LN(2)/2)*BR6+(1-EXP(-LN(2)/2))/(LN(2)/2)*BL7*BO7*VLOOKUP('Données projet'!$B$11,Paramètres!$A$1:$I$88,3,0)*0.475*44/12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2.6666666666666665</v>
      </c>
      <c r="BY7" s="13">
        <f>IF('Données projet'!$A$114&gt;35,BY6+BX7-CG6,IF(A7&lt;'Données projet'!$A$114,$BV$205^A7,IF(A7='Données projet'!$A$114,'Données projet'!$B$114,BY6+BX7-CG6)))</f>
        <v>2.6743361672197152</v>
      </c>
      <c r="BZ7" s="14">
        <f>BY7*VLOOKUP('Données projet'!$B$12,Paramètres!$A$1:$I$88,3,0)*VLOOKUP('Données projet'!$B$12,Paramètres!$A$1:$I$88,5,0)</f>
        <v>2.0859822104313781</v>
      </c>
      <c r="CA7" s="14">
        <f t="shared" si="39"/>
        <v>0.88245976121767966</v>
      </c>
      <c r="CB7" s="22">
        <f t="shared" si="10"/>
        <v>5.1700364339554419</v>
      </c>
      <c r="CC7" s="62">
        <f t="shared" si="11"/>
        <v>298.50336976728875</v>
      </c>
      <c r="CD7" s="62">
        <f ca="1">AVERAGE(OFFSET($CC$3,0,0,'Données projet'!$E$12+1,1))-AVERAGE(OFFSET($H$3,0,0,'Données projet'!$E$12+1,1))</f>
        <v>217.32600829266818</v>
      </c>
      <c r="CE7" s="62">
        <f t="shared" si="40"/>
        <v>208.79744153433245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projet'!$B$12,Paramètres!$A$1:$I$88,7,0))</f>
        <v>0</v>
      </c>
      <c r="CI7" s="17">
        <f>IF(ISNA(VLOOKUP(A7,'Données projet'!$A$113:$I$133,6,0)),0%,VLOOKUP(A7,'Données projet'!$A$113:$I$133,6,0)*VLOOKUP('Données projet'!$B$12,Paramètres!$A$1:$I$88,7,0))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projet'!$B$12,Paramètres!$A$1:$I$88,3,0)*0.475*44/12</f>
        <v>0</v>
      </c>
      <c r="CL7" s="23">
        <f>EXP(-LN(2)/25)*CL6+(1-EXP(-LN(2)/25))/(LN(2)/25)*Calculateur!CG7*Calculateur!CI7*VLOOKUP('Données projet'!$B$12,Paramètres!$A$1:$I$88,3,0)*0.475*44/12</f>
        <v>0</v>
      </c>
      <c r="CM7" s="23">
        <f>EXP(-LN(2)/2)*CM6+(1-EXP(-LN(2)/2))/(LN(2)/2)*CG7*CJ7*VLOOKUP('Données projet'!$B$12,Paramètres!$A$1:$I$88,3,0)*0.475*44/12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10</v>
      </c>
      <c r="CT7" s="13">
        <f>IF('Données projet'!$A$140&gt;35,CT6+CS7-DB6,IF(A7&lt;'Données projet'!$A$140,$CQ$205^A7,IF(A7='Données projet'!$A$140,'Données projet'!$B$140,CT6+CS7-DB6)))</f>
        <v>2.7690288761929791</v>
      </c>
      <c r="CU7" s="18">
        <f>CT7*VLOOKUP('Données projet'!$B$13,Paramètres!$A$1:$I$88,3,0)*VLOOKUP('Données projet'!$B$13,Paramètres!$A$1:$I$88,5,0)</f>
        <v>1.5478871417918754</v>
      </c>
      <c r="CV7" s="14">
        <f t="shared" si="41"/>
        <v>0.67796254889037699</v>
      </c>
      <c r="CW7" s="22">
        <f t="shared" si="13"/>
        <v>3.8766882112715897</v>
      </c>
      <c r="CX7" s="62">
        <f t="shared" si="14"/>
        <v>297.2100215446049</v>
      </c>
      <c r="CY7" s="62">
        <f ca="1">AVERAGE(OFFSET($CX$3,0,0,'Données projet'!$E$13+1,1))-AVERAGE(OFFSET($H$3,0,0,'Données projet'!$E$13+1,1))</f>
        <v>302.20483575440988</v>
      </c>
      <c r="CZ7" s="62">
        <f t="shared" si="42"/>
        <v>275.32862097158687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projet'!$B$13,Paramètres!$A$1:$I$88,7,0))</f>
        <v>0</v>
      </c>
      <c r="DD7" s="17">
        <f>IF(ISNA(VLOOKUP(A7,'Données projet'!$A$139:$I$159,6,0)),0%,VLOOKUP(A7,'Données projet'!$A$139:$I$159,6,0)*VLOOKUP('Données projet'!$B$13,Paramètres!$A$1:$I$88,7,0))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projet'!$B$13,Paramètres!$A$1:$I$88,3,0)*0.475*44/12</f>
        <v>0</v>
      </c>
      <c r="DG7" s="23">
        <f>EXP(-LN(2)/25)*DG6+(1-EXP(-LN(2)/25))/(LN(2)/25)*Calculateur!DB7*Calculateur!DD7*VLOOKUP('Données projet'!$B$13,Paramètres!$A$1:$I$88,3,0)*0.475*44/12</f>
        <v>0</v>
      </c>
      <c r="DH7" s="23">
        <f>EXP(-LN(2)/2)*DH6+(1-EXP(-LN(2)/2))/(LN(2)/2)*DB7*DE7*VLOOKUP('Données projet'!$B$13,Paramètres!$A$1:$I$88,3,0)*0.475*44/12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projet'!$B$14,Paramètres!$A$1:$I$88,3,0)*VLOOKUP('Données projet'!$B$14,Paramètres!$A$1:$I$88,5,0)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projet'!$B$14,Paramètres!$A$1:$I$88,7,0))</f>
        <v>0</v>
      </c>
      <c r="DY7" s="17">
        <f>IF(ISNA(VLOOKUP(A7,'Données projet'!$A$165:$I$185,6,0)),0%,VLOOKUP(A7,'Données projet'!$A$165:$I$185,6,0)*VLOOKUP('Données projet'!$B$14,Paramètres!$A$1:$I$88,7,0))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projet'!$B$14,Paramètres!$A$1:$I$88,3,0)*0.475*44/12</f>
        <v>#N/A</v>
      </c>
      <c r="EB7" s="23" t="e">
        <f>EXP(-LN(2)/25)*EB6+(1-EXP(-LN(2)/25))/(LN(2)/25)*Calculateur!DW7*Calculateur!DY7*VLOOKUP('Données projet'!$B$14,Paramètres!$A$1:$I$88,3,0)*0.475*44/12</f>
        <v>#N/A</v>
      </c>
      <c r="EC7" s="23" t="e">
        <f>EXP(-LN(2)/2)*EC6+(1-EXP(-LN(2)/2))/(LN(2)/2)*DW7*DZ7*VLOOKUP('Données projet'!$B$14,Paramètres!$A$1:$I$88,3,0)*0.475*44/12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projet'!$B$15,Paramètres!$A$1:$I$88,3,0)*VLOOKUP('Données projet'!$B$15,Paramètres!$A$1:$I$88,5,0)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projet'!$B$15,Paramètres!$A$1:$I$88,7,0))</f>
        <v>0</v>
      </c>
      <c r="ET7" s="17">
        <f>IF(ISNA(VLOOKUP(A7,'Données projet'!$A$191:$I$211,6,0)),0%,VLOOKUP(A7,'Données projet'!$A$191:$I$211,6,0)*VLOOKUP('Données projet'!$B$15,Paramètres!$A$1:$I$88,7,0))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projet'!$B$15,Paramètres!$A$1:$I$88,3,0)*0.475*44/12</f>
        <v>#N/A</v>
      </c>
      <c r="EW7" s="23" t="e">
        <f>EXP(-LN(2)/25)*EW6+(1-EXP(-LN(2)/25))/(LN(2)/25)*Calculateur!ER7*Calculateur!ET7*VLOOKUP('Données projet'!$B$15,Paramètres!$A$1:$I$88,3,0)*0.475*44/12</f>
        <v>#N/A</v>
      </c>
      <c r="EX7" s="23" t="e">
        <f>EXP(-LN(2)/2)*EX6+(1-EXP(-LN(2)/2))/(LN(2)/2)*ER7*EU7*VLOOKUP('Données projet'!$B$15,Paramètres!$A$1:$I$88,3,0)*0.475*44/12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projet'!$B$16,Paramètres!$A$1:$I$88,3,0)*VLOOKUP('Données projet'!$B$16,Paramètres!$A$1:$I$88,5,0)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projet'!$B$16,Paramètres!$A$1:$I$88,7,0))</f>
        <v>0</v>
      </c>
      <c r="FO7" s="17">
        <f>IF(ISNA(VLOOKUP(A7,'Données projet'!$A$217:$I$237,6,0)),0%,VLOOKUP(A7,'Données projet'!$A$217:$I$237,6,0)*VLOOKUP('Données projet'!$B$16,Paramètres!$A$1:$I$88,7,0))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projet'!$B$16,Paramètres!$A$1:$I$88,3,0)*0.475*44/12</f>
        <v>#N/A</v>
      </c>
      <c r="FR7" s="23" t="e">
        <f>EXP(-LN(2)/25)*FR6+(1-EXP(-LN(2)/25))/(LN(2)/25)*Calculateur!FM7*Calculateur!FO7*VLOOKUP('Données projet'!$B$16,Paramètres!$A$1:$I$88,3,0)*0.475*44/12</f>
        <v>#N/A</v>
      </c>
      <c r="FS7" s="23" t="e">
        <f>EXP(-LN(2)/2)*FS6+(1-EXP(-LN(2)/2))/(LN(2)/2)*FM7*FP7*VLOOKUP('Données projet'!$B$16,Paramètres!$A$1:$I$88,3,0)*0.475*44/12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projet'!$B$17,Paramètres!$A$1:$I$88,3,0)*VLOOKUP('Données projet'!$B$17,Paramètres!$A$1:$I$88,5,0)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projet'!$B$17,Paramètres!$A$1:$I$88,7,0))</f>
        <v>0</v>
      </c>
      <c r="GJ7" s="17">
        <f>IF(ISNA(VLOOKUP(A7,'Données projet'!$A$243:$I$263,6,0)),0%,VLOOKUP(A7,'Données projet'!$A$243:$I$263,6,0)*VLOOKUP('Données projet'!$B$17,Paramètres!$A$1:$I$88,7,0))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projet'!$B$17,Paramètres!$A$1:$I$88,3,0)*0.475*44/12</f>
        <v>#N/A</v>
      </c>
      <c r="GM7" s="23" t="e">
        <f>EXP(-LN(2)/25)*GM6+(1-EXP(-LN(2)/25))/(LN(2)/25)*Calculateur!GH7*Calculateur!GJ7*VLOOKUP('Données projet'!$B$17,Paramètres!$A$1:$I$88,3,0)*0.475*44/12</f>
        <v>#N/A</v>
      </c>
      <c r="GN7" s="23" t="e">
        <f>EXP(-LN(2)/2)*GN6+(1-EXP(-LN(2)/2))/(LN(2)/2)*GH7*GK7*VLOOKUP('Données projet'!$B$17,Paramètres!$A$1:$I$88,3,0)*0.475*44/12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projet'!$B$18,Paramètres!$A$1:$I$88,3,0)*VLOOKUP('Données projet'!$B$18,Paramètres!$A$1:$I$88,5,0)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projet'!$B$18,Paramètres!$A$1:$I$88,7,0))</f>
        <v>0</v>
      </c>
      <c r="HE7" s="17">
        <f>IF(ISNA(VLOOKUP(A7,'Données projet'!$A$269:$I$289,6,0)),0%,VLOOKUP(A7,'Données projet'!$A$269:$I$289,6,0)*VLOOKUP('Données projet'!$B$18,Paramètres!$A$1:$I$88,7,0))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projet'!$B$18,Paramètres!$A$1:$I$88,3,0)*0.475*44/12</f>
        <v>#N/A</v>
      </c>
      <c r="HH7" s="23" t="e">
        <f>EXP(-LN(2)/25)*HH6+(1-EXP(-LN(2)/25))/(LN(2)/25)*Calculateur!HC7*Calculateur!HE7*VLOOKUP('Données projet'!$B$18,Paramètres!$A$1:$I$88,3,0)*0.475*44/12</f>
        <v>#N/A</v>
      </c>
      <c r="HI7" s="23" t="e">
        <f>EXP(-LN(2)/2)*HI6+(1-EXP(-LN(2)/2))/(LN(2)/2)*HC7*HF7*VLOOKUP('Données projet'!$B$18,Paramètres!$A$1:$I$88,3,0)*0.475*44/12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6.2222222222222223</v>
      </c>
      <c r="N8" s="14">
        <f>IF('Données projet'!$A$36&gt;35,N7+M8-V7,IF(A8&lt;'Données projet'!$A$36,$K$205^A8,IF(A8='Données projet'!$A$36,'Données projet'!$B$36,N7+M8-V7)))</f>
        <v>3.7087471750180505</v>
      </c>
      <c r="O8" s="14">
        <f>N8*VLOOKUP('Données projet'!$B$9,Paramètres!$A$1:$I$88,3,0)*VLOOKUP('Données projet'!$B$9,Paramètres!$A$1:$I$88,5,0)</f>
        <v>2.3142582372112632</v>
      </c>
      <c r="P8" s="14">
        <f t="shared" si="33"/>
        <v>0.96726694681425085</v>
      </c>
      <c r="Q8" s="22">
        <f t="shared" si="2"/>
        <v>5.7153230288444377</v>
      </c>
      <c r="R8" s="62">
        <f t="shared" si="0"/>
        <v>299.04865636217778</v>
      </c>
      <c r="S8" s="62">
        <f ca="1">AVERAGE(OFFSET($R$3,0,0,'Données projet'!$E$9+1,1))-AVERAGE(OFFSET($H$3,0,0,'Données projet'!$E$9+1,1))</f>
        <v>175.05987582828078</v>
      </c>
      <c r="T8" s="62">
        <f t="shared" si="34"/>
        <v>268.54782308462387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projet'!$B$9,Paramètres!$A$1:$I$88,7,0))</f>
        <v>0</v>
      </c>
      <c r="X8" s="17">
        <f>IF(ISNA(VLOOKUP(A8,'Données projet'!$A$35:$I$55,6,0)),0%,VLOOKUP(A8,'Données projet'!$A$35:$I$55,6,0)*VLOOKUP('Données projet'!$B$9,Paramètres!$A$1:$I$88,7,0))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projet'!$B$9,Paramètres!$A$1:$I$88,3,0)*0.475*44/12</f>
        <v>0</v>
      </c>
      <c r="AA8" s="23">
        <f>EXP(-LN(2)/25)*AA7+(1-EXP(-LN(2)/25))/(LN(2)/25)*Calculateur!V8*Calculateur!X8*VLOOKUP('Données projet'!$B$9,Paramètres!$A$1:$I$88,3,0)*0.475*44/12</f>
        <v>0</v>
      </c>
      <c r="AB8" s="23">
        <f>EXP(-LN(2)/2)*AB7+(1-EXP(-LN(2)/2))/(LN(2)/2)*V8*Y8*VLOOKUP('Données projet'!$B$9,Paramètres!$A$1:$I$88,3,0)*0.475*44/12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12.133333333333333</v>
      </c>
      <c r="AI8" s="14">
        <f>IF('Données projet'!$A$62&gt;35,AI7+AH8-AQ7,IF(A8&lt;'Données projet'!$A$62,$AF$205^A8,IF(A8='Données projet'!$A$62,'Données projet'!$B$62,AI7+AH8-AQ7)))</f>
        <v>2.6720847632366671</v>
      </c>
      <c r="AJ8" s="14">
        <f>AI8*VLOOKUP('Données projet'!$B$10,Paramètres!$A$1:$I$88,3,0)*VLOOKUP('Données projet'!$B$10,Paramètres!$A$1:$I$88,5,0)</f>
        <v>1.2852727711168368</v>
      </c>
      <c r="AK8" s="14">
        <f t="shared" si="35"/>
        <v>0.57525488868556551</v>
      </c>
      <c r="AL8" s="22">
        <f t="shared" si="4"/>
        <v>3.2404190074891841</v>
      </c>
      <c r="AM8" s="62">
        <f t="shared" si="5"/>
        <v>296.57375234082252</v>
      </c>
      <c r="AN8" s="62">
        <f ca="1">AVERAGE(OFFSET($AM$3,0,0,'Données projet'!$E$10+1,1))-AVERAGE(OFFSET($H$3,0,0,'Données projet'!$E$10+1,1))</f>
        <v>576.61210817354549</v>
      </c>
      <c r="AO8" s="62">
        <f t="shared" si="36"/>
        <v>343.9428747444544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projet'!$B$10,Paramètres!$A$1:$I$88,7,0))</f>
        <v>0</v>
      </c>
      <c r="AS8" s="17">
        <f>IF(ISNA(VLOOKUP(A8,'Données projet'!$A$61:$I$81,6,0)),0%,VLOOKUP(A8,'Données projet'!$A$61:$I$81,6,0)*VLOOKUP('Données projet'!$B$10,Paramètres!$A$1:$I$88,7,0))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projet'!$B$10,Paramètres!$A$1:$I$88,3,0)*0.475*44/12</f>
        <v>0</v>
      </c>
      <c r="AV8" s="23">
        <f>EXP(-LN(2)/25)*AV7+(1-EXP(-LN(2)/25))/(LN(2)/25)*Calculateur!AQ8*Calculateur!AS8*VLOOKUP('Données projet'!$B$10,Paramètres!$A$1:$I$88,3,0)*0.475*44/12</f>
        <v>0</v>
      </c>
      <c r="AW8" s="23">
        <f>EXP(-LN(2)/2)*AW7+(1-EXP(-LN(2)/2))/(LN(2)/2)*AQ8*AT8*VLOOKUP('Données projet'!$B$10,Paramètres!$A$1:$I$88,3,0)*0.475*44/12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1.1099999999999999</v>
      </c>
      <c r="BD8" s="13">
        <f>IF('Données projet'!$A$88&gt;35,BD7+BC8-BL7,IF(A8&lt;'Données projet'!$A$88,$BA$205^A8,IF(A8='Données projet'!$A$88,'Données projet'!$B$88,BD7+BC8-BL7)))</f>
        <v>3.331666249791537</v>
      </c>
      <c r="BE8" s="14">
        <f>BD8*VLOOKUP('Données projet'!$B$11,Paramètres!$A$1:$I$88,3,0)*VLOOKUP('Données projet'!$B$11,Paramètres!$A$1:$I$88,5,0)</f>
        <v>2.650673668334147</v>
      </c>
      <c r="BF8" s="14">
        <f t="shared" si="37"/>
        <v>1.0905100180313785</v>
      </c>
      <c r="BG8" s="22">
        <f t="shared" si="7"/>
        <v>6.5158949204199574</v>
      </c>
      <c r="BH8" s="62">
        <f t="shared" si="8"/>
        <v>299.84922825375327</v>
      </c>
      <c r="BI8" s="62">
        <f ca="1">AVERAGE(OFFSET($BH$3,0,0,'Données projet'!$E$11+1,1))-AVERAGE(OFFSET($H$3,0,0,'Données projet'!$E$11+1,1))</f>
        <v>298.38448036212861</v>
      </c>
      <c r="BJ8" s="62">
        <f t="shared" si="38"/>
        <v>270.4445531106897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projet'!$B$11,Paramètres!$A$1:$I$88,7,0))</f>
        <v>0</v>
      </c>
      <c r="BN8" s="17">
        <f>IF(ISNA(VLOOKUP(A8,'Données projet'!$A$87:$I$107,6,0)),0%,VLOOKUP(A8,'Données projet'!$A$87:$I$107,6,0)*VLOOKUP('Données projet'!$B$11,Paramètres!$A$1:$I$88,7,0))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projet'!$B$11,Paramètres!$A$1:$I$88,3,0)*0.475*44/12</f>
        <v>0</v>
      </c>
      <c r="BQ8" s="23">
        <f>EXP(-LN(2)/25)*BQ7+(1-EXP(-LN(2)/25))/(LN(2)/25)*Calculateur!BL8*Calculateur!BN8*VLOOKUP('Données projet'!$B$11,Paramètres!$A$1:$I$88,3,0)*0.475*44/12</f>
        <v>0</v>
      </c>
      <c r="BR8" s="23">
        <f>EXP(-LN(2)/2)*BR7+(1-EXP(-LN(2)/2))/(LN(2)/2)*BL8*BO8*VLOOKUP('Données projet'!$B$11,Paramètres!$A$1:$I$88,3,0)*0.475*44/12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2.6666666666666665</v>
      </c>
      <c r="BY8" s="13">
        <f>IF('Données projet'!$A$114&gt;35,BY7+BX8-CG7,IF(A8&lt;'Données projet'!$A$114,$BV$205^A8,IF(A8='Données projet'!$A$114,'Données projet'!$B$114,BY7+BX8-CG7)))</f>
        <v>3.4199518933533928</v>
      </c>
      <c r="BZ8" s="14">
        <f>BY8*VLOOKUP('Données projet'!$B$12,Paramètres!$A$1:$I$88,3,0)*VLOOKUP('Données projet'!$B$12,Paramètres!$A$1:$I$88,5,0)</f>
        <v>2.6675624768156463</v>
      </c>
      <c r="CA8" s="14">
        <f t="shared" si="39"/>
        <v>1.0966471776471767</v>
      </c>
      <c r="CB8" s="22">
        <f t="shared" si="10"/>
        <v>6.5559984815227494</v>
      </c>
      <c r="CC8" s="62">
        <f t="shared" si="11"/>
        <v>299.88933181485606</v>
      </c>
      <c r="CD8" s="62">
        <f ca="1">AVERAGE(OFFSET($CC$3,0,0,'Données projet'!$E$12+1,1))-AVERAGE(OFFSET($H$3,0,0,'Données projet'!$E$12+1,1))</f>
        <v>217.32600829266818</v>
      </c>
      <c r="CE8" s="62">
        <f t="shared" si="40"/>
        <v>208.79744153433245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projet'!$B$12,Paramètres!$A$1:$I$88,7,0))</f>
        <v>0</v>
      </c>
      <c r="CI8" s="17">
        <f>IF(ISNA(VLOOKUP(A8,'Données projet'!$A$113:$I$133,6,0)),0%,VLOOKUP(A8,'Données projet'!$A$113:$I$133,6,0)*VLOOKUP('Données projet'!$B$12,Paramètres!$A$1:$I$88,7,0))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projet'!$B$12,Paramètres!$A$1:$I$88,3,0)*0.475*44/12</f>
        <v>0</v>
      </c>
      <c r="CL8" s="23">
        <f>EXP(-LN(2)/25)*CL7+(1-EXP(-LN(2)/25))/(LN(2)/25)*Calculateur!CG8*Calculateur!CI8*VLOOKUP('Données projet'!$B$12,Paramètres!$A$1:$I$88,3,0)*0.475*44/12</f>
        <v>0</v>
      </c>
      <c r="CM8" s="23">
        <f>EXP(-LN(2)/2)*CM7+(1-EXP(-LN(2)/2))/(LN(2)/2)*CG8*CJ8*VLOOKUP('Données projet'!$B$12,Paramètres!$A$1:$I$88,3,0)*0.475*44/12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10</v>
      </c>
      <c r="CT8" s="13">
        <f>IF('Données projet'!$A$140&gt;35,CT7+CS8-DB7,IF(A8&lt;'Données projet'!$A$140,$CQ$205^A8,IF(A8='Données projet'!$A$140,'Données projet'!$B$140,CT7+CS8-DB7)))</f>
        <v>3.5719827745457646</v>
      </c>
      <c r="CU8" s="18">
        <f>CT8*VLOOKUP('Données projet'!$B$13,Paramètres!$A$1:$I$88,3,0)*VLOOKUP('Données projet'!$B$13,Paramètres!$A$1:$I$88,5,0)</f>
        <v>1.9967383709710824</v>
      </c>
      <c r="CV8" s="14">
        <f t="shared" si="41"/>
        <v>0.84901594219430265</v>
      </c>
      <c r="CW8" s="22">
        <f t="shared" si="13"/>
        <v>4.9563554287630449</v>
      </c>
      <c r="CX8" s="62">
        <f t="shared" si="14"/>
        <v>298.28968876209638</v>
      </c>
      <c r="CY8" s="62">
        <f ca="1">AVERAGE(OFFSET($CX$3,0,0,'Données projet'!$E$13+1,1))-AVERAGE(OFFSET($H$3,0,0,'Données projet'!$E$13+1,1))</f>
        <v>302.20483575440988</v>
      </c>
      <c r="CZ8" s="62">
        <f t="shared" si="42"/>
        <v>275.32862097158687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projet'!$B$13,Paramètres!$A$1:$I$88,7,0))</f>
        <v>0</v>
      </c>
      <c r="DD8" s="17">
        <f>IF(ISNA(VLOOKUP(A8,'Données projet'!$A$139:$I$159,6,0)),0%,VLOOKUP(A8,'Données projet'!$A$139:$I$159,6,0)*VLOOKUP('Données projet'!$B$13,Paramètres!$A$1:$I$88,7,0))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projet'!$B$13,Paramètres!$A$1:$I$88,3,0)*0.475*44/12</f>
        <v>0</v>
      </c>
      <c r="DG8" s="23">
        <f>EXP(-LN(2)/25)*DG7+(1-EXP(-LN(2)/25))/(LN(2)/25)*Calculateur!DB8*Calculateur!DD8*VLOOKUP('Données projet'!$B$13,Paramètres!$A$1:$I$88,3,0)*0.475*44/12</f>
        <v>0</v>
      </c>
      <c r="DH8" s="23">
        <f>EXP(-LN(2)/2)*DH7+(1-EXP(-LN(2)/2))/(LN(2)/2)*DB8*DE8*VLOOKUP('Données projet'!$B$13,Paramètres!$A$1:$I$88,3,0)*0.475*44/12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projet'!$B$14,Paramètres!$A$1:$I$88,3,0)*VLOOKUP('Données projet'!$B$14,Paramètres!$A$1:$I$88,5,0)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projet'!$B$14,Paramètres!$A$1:$I$88,7,0))</f>
        <v>0</v>
      </c>
      <c r="DY8" s="17">
        <f>IF(ISNA(VLOOKUP(A8,'Données projet'!$A$165:$I$185,6,0)),0%,VLOOKUP(A8,'Données projet'!$A$165:$I$185,6,0)*VLOOKUP('Données projet'!$B$14,Paramètres!$A$1:$I$88,7,0))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projet'!$B$14,Paramètres!$A$1:$I$88,3,0)*0.475*44/12</f>
        <v>#N/A</v>
      </c>
      <c r="EB8" s="23" t="e">
        <f>EXP(-LN(2)/25)*EB7+(1-EXP(-LN(2)/25))/(LN(2)/25)*Calculateur!DW8*Calculateur!DY8*VLOOKUP('Données projet'!$B$14,Paramètres!$A$1:$I$88,3,0)*0.475*44/12</f>
        <v>#N/A</v>
      </c>
      <c r="EC8" s="23" t="e">
        <f>EXP(-LN(2)/2)*EC7+(1-EXP(-LN(2)/2))/(LN(2)/2)*DW8*DZ8*VLOOKUP('Données projet'!$B$14,Paramètres!$A$1:$I$88,3,0)*0.475*44/12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projet'!$B$15,Paramètres!$A$1:$I$88,3,0)*VLOOKUP('Données projet'!$B$15,Paramètres!$A$1:$I$88,5,0)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projet'!$B$15,Paramètres!$A$1:$I$88,7,0))</f>
        <v>0</v>
      </c>
      <c r="ET8" s="17">
        <f>IF(ISNA(VLOOKUP(A8,'Données projet'!$A$191:$I$211,6,0)),0%,VLOOKUP(A8,'Données projet'!$A$191:$I$211,6,0)*VLOOKUP('Données projet'!$B$15,Paramètres!$A$1:$I$88,7,0))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projet'!$B$15,Paramètres!$A$1:$I$88,3,0)*0.475*44/12</f>
        <v>#N/A</v>
      </c>
      <c r="EW8" s="23" t="e">
        <f>EXP(-LN(2)/25)*EW7+(1-EXP(-LN(2)/25))/(LN(2)/25)*Calculateur!ER8*Calculateur!ET8*VLOOKUP('Données projet'!$B$15,Paramètres!$A$1:$I$88,3,0)*0.475*44/12</f>
        <v>#N/A</v>
      </c>
      <c r="EX8" s="23" t="e">
        <f>EXP(-LN(2)/2)*EX7+(1-EXP(-LN(2)/2))/(LN(2)/2)*ER8*EU8*VLOOKUP('Données projet'!$B$15,Paramètres!$A$1:$I$88,3,0)*0.475*44/12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projet'!$B$16,Paramètres!$A$1:$I$88,3,0)*VLOOKUP('Données projet'!$B$16,Paramètres!$A$1:$I$88,5,0)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projet'!$B$16,Paramètres!$A$1:$I$88,7,0))</f>
        <v>0</v>
      </c>
      <c r="FO8" s="17">
        <f>IF(ISNA(VLOOKUP(A8,'Données projet'!$A$217:$I$237,6,0)),0%,VLOOKUP(A8,'Données projet'!$A$217:$I$237,6,0)*VLOOKUP('Données projet'!$B$16,Paramètres!$A$1:$I$88,7,0))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projet'!$B$16,Paramètres!$A$1:$I$88,3,0)*0.475*44/12</f>
        <v>#N/A</v>
      </c>
      <c r="FR8" s="23" t="e">
        <f>EXP(-LN(2)/25)*FR7+(1-EXP(-LN(2)/25))/(LN(2)/25)*Calculateur!FM8*Calculateur!FO8*VLOOKUP('Données projet'!$B$16,Paramètres!$A$1:$I$88,3,0)*0.475*44/12</f>
        <v>#N/A</v>
      </c>
      <c r="FS8" s="23" t="e">
        <f>EXP(-LN(2)/2)*FS7+(1-EXP(-LN(2)/2))/(LN(2)/2)*FM8*FP8*VLOOKUP('Données projet'!$B$16,Paramètres!$A$1:$I$88,3,0)*0.475*44/12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projet'!$B$17,Paramètres!$A$1:$I$88,3,0)*VLOOKUP('Données projet'!$B$17,Paramètres!$A$1:$I$88,5,0)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projet'!$B$17,Paramètres!$A$1:$I$88,7,0))</f>
        <v>0</v>
      </c>
      <c r="GJ8" s="17">
        <f>IF(ISNA(VLOOKUP(A8,'Données projet'!$A$243:$I$263,6,0)),0%,VLOOKUP(A8,'Données projet'!$A$243:$I$263,6,0)*VLOOKUP('Données projet'!$B$17,Paramètres!$A$1:$I$88,7,0))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projet'!$B$17,Paramètres!$A$1:$I$88,3,0)*0.475*44/12</f>
        <v>#N/A</v>
      </c>
      <c r="GM8" s="23" t="e">
        <f>EXP(-LN(2)/25)*GM7+(1-EXP(-LN(2)/25))/(LN(2)/25)*Calculateur!GH8*Calculateur!GJ8*VLOOKUP('Données projet'!$B$17,Paramètres!$A$1:$I$88,3,0)*0.475*44/12</f>
        <v>#N/A</v>
      </c>
      <c r="GN8" s="23" t="e">
        <f>EXP(-LN(2)/2)*GN7+(1-EXP(-LN(2)/2))/(LN(2)/2)*GH8*GK8*VLOOKUP('Données projet'!$B$17,Paramètres!$A$1:$I$88,3,0)*0.475*44/12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projet'!$B$18,Paramètres!$A$1:$I$88,3,0)*VLOOKUP('Données projet'!$B$18,Paramètres!$A$1:$I$88,5,0)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projet'!$B$18,Paramètres!$A$1:$I$88,7,0))</f>
        <v>0</v>
      </c>
      <c r="HE8" s="17">
        <f>IF(ISNA(VLOOKUP(A8,'Données projet'!$A$269:$I$289,6,0)),0%,VLOOKUP(A8,'Données projet'!$A$269:$I$289,6,0)*VLOOKUP('Données projet'!$B$18,Paramètres!$A$1:$I$88,7,0))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projet'!$B$18,Paramètres!$A$1:$I$88,3,0)*0.475*44/12</f>
        <v>#N/A</v>
      </c>
      <c r="HH8" s="23" t="e">
        <f>EXP(-LN(2)/25)*HH7+(1-EXP(-LN(2)/25))/(LN(2)/25)*Calculateur!HC8*Calculateur!HE8*VLOOKUP('Données projet'!$B$18,Paramètres!$A$1:$I$88,3,0)*0.475*44/12</f>
        <v>#N/A</v>
      </c>
      <c r="HI8" s="23" t="e">
        <f>EXP(-LN(2)/2)*HI7+(1-EXP(-LN(2)/2))/(LN(2)/2)*HC8*HF8*VLOOKUP('Données projet'!$B$18,Paramètres!$A$1:$I$88,3,0)*0.475*44/12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6.2222222222222223</v>
      </c>
      <c r="N9" s="14">
        <f>IF('Données projet'!$A$36&gt;35,N8+M9-V8,IF(A9&lt;'Données projet'!$A$36,$K$205^A9,IF(A9='Données projet'!$A$36,'Données projet'!$B$36,N8+M9-V8)))</f>
        <v>4.8202845283504612</v>
      </c>
      <c r="O9" s="14">
        <f>N9*VLOOKUP('Données projet'!$B$9,Paramètres!$A$1:$I$88,3,0)*VLOOKUP('Données projet'!$B$9,Paramètres!$A$1:$I$88,5,0)</f>
        <v>3.0078575456906878</v>
      </c>
      <c r="P9" s="14">
        <f t="shared" si="33"/>
        <v>1.2193831326236693</v>
      </c>
      <c r="Q9" s="22">
        <f t="shared" si="2"/>
        <v>7.3624441813975059</v>
      </c>
      <c r="R9" s="62">
        <f t="shared" si="0"/>
        <v>300.69577751473082</v>
      </c>
      <c r="S9" s="62">
        <f ca="1">AVERAGE(OFFSET($R$3,0,0,'Données projet'!$E$9+1,1))-AVERAGE(OFFSET($H$3,0,0,'Données projet'!$E$9+1,1))</f>
        <v>175.05987582828078</v>
      </c>
      <c r="T9" s="62">
        <f t="shared" si="34"/>
        <v>268.54782308462387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projet'!$B$9,Paramètres!$A$1:$I$88,7,0))</f>
        <v>0</v>
      </c>
      <c r="X9" s="17">
        <f>IF(ISNA(VLOOKUP(A9,'Données projet'!$A$35:$I$55,6,0)),0%,VLOOKUP(A9,'Données projet'!$A$35:$I$55,6,0)*VLOOKUP('Données projet'!$B$9,Paramètres!$A$1:$I$88,7,0))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projet'!$B$9,Paramètres!$A$1:$I$88,3,0)*0.475*44/12</f>
        <v>0</v>
      </c>
      <c r="AA9" s="23">
        <f>EXP(-LN(2)/25)*AA8+(1-EXP(-LN(2)/25))/(LN(2)/25)*Calculateur!V9*Calculateur!X9*VLOOKUP('Données projet'!$B$9,Paramètres!$A$1:$I$88,3,0)*0.475*44/12</f>
        <v>0</v>
      </c>
      <c r="AB9" s="23">
        <f>EXP(-LN(2)/2)*AB8+(1-EXP(-LN(2)/2))/(LN(2)/2)*V9*Y9*VLOOKUP('Données projet'!$B$9,Paramètres!$A$1:$I$88,3,0)*0.475*44/12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12.133333333333333</v>
      </c>
      <c r="AI9" s="14">
        <f>IF('Données projet'!$A$62&gt;35,AI8+AH9-AQ8,IF(A9&lt;'Données projet'!$A$62,$AF$205^A9,IF(A9='Données projet'!$A$62,'Données projet'!$B$62,AI8+AH9-AQ8)))</f>
        <v>3.25252225408062</v>
      </c>
      <c r="AJ9" s="14">
        <f>AI9*VLOOKUP('Données projet'!$B$10,Paramètres!$A$1:$I$88,3,0)*VLOOKUP('Données projet'!$B$10,Paramètres!$A$1:$I$88,5,0)</f>
        <v>1.5644632042127784</v>
      </c>
      <c r="AK9" s="14">
        <f t="shared" si="35"/>
        <v>0.68437366740194949</v>
      </c>
      <c r="AL9" s="22">
        <f t="shared" si="4"/>
        <v>3.9167242180623174</v>
      </c>
      <c r="AM9" s="62">
        <f t="shared" si="5"/>
        <v>297.25005755139563</v>
      </c>
      <c r="AN9" s="62">
        <f ca="1">AVERAGE(OFFSET($AM$3,0,0,'Données projet'!$E$10+1,1))-AVERAGE(OFFSET($H$3,0,0,'Données projet'!$E$10+1,1))</f>
        <v>576.61210817354549</v>
      </c>
      <c r="AO9" s="62">
        <f t="shared" si="36"/>
        <v>343.9428747444544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projet'!$B$10,Paramètres!$A$1:$I$88,7,0))</f>
        <v>0</v>
      </c>
      <c r="AS9" s="17">
        <f>IF(ISNA(VLOOKUP(A9,'Données projet'!$A$61:$I$81,6,0)),0%,VLOOKUP(A9,'Données projet'!$A$61:$I$81,6,0)*VLOOKUP('Données projet'!$B$10,Paramètres!$A$1:$I$88,7,0))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projet'!$B$10,Paramètres!$A$1:$I$88,3,0)*0.475*44/12</f>
        <v>0</v>
      </c>
      <c r="AV9" s="23">
        <f>EXP(-LN(2)/25)*AV8+(1-EXP(-LN(2)/25))/(LN(2)/25)*Calculateur!AQ9*Calculateur!AS9*VLOOKUP('Données projet'!$B$10,Paramètres!$A$1:$I$88,3,0)*0.475*44/12</f>
        <v>0</v>
      </c>
      <c r="AW9" s="23">
        <f>EXP(-LN(2)/2)*AW8+(1-EXP(-LN(2)/2))/(LN(2)/2)*AQ9*AT9*VLOOKUP('Données projet'!$B$10,Paramètres!$A$1:$I$88,3,0)*0.475*44/12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1.1099999999999999</v>
      </c>
      <c r="BD9" s="13">
        <f>IF('Données projet'!$A$88&gt;35,BD8+BC9-BL8,IF(A9&lt;'Données projet'!$A$88,$BA$205^A9,IF(A9='Données projet'!$A$88,'Données projet'!$B$88,BD8+BC9-BL8)))</f>
        <v>4.2383204267167436</v>
      </c>
      <c r="BE9" s="14">
        <f>BD9*VLOOKUP('Données projet'!$B$11,Paramètres!$A$1:$I$88,3,0)*VLOOKUP('Données projet'!$B$11,Paramètres!$A$1:$I$88,5,0)</f>
        <v>3.3720077314958417</v>
      </c>
      <c r="BF9" s="14">
        <f t="shared" si="37"/>
        <v>1.3489454823501079</v>
      </c>
      <c r="BG9" s="22">
        <f t="shared" si="7"/>
        <v>8.2223268474483628</v>
      </c>
      <c r="BH9" s="62">
        <f t="shared" si="8"/>
        <v>301.55566018078167</v>
      </c>
      <c r="BI9" s="62">
        <f ca="1">AVERAGE(OFFSET($BH$3,0,0,'Données projet'!$E$11+1,1))-AVERAGE(OFFSET($H$3,0,0,'Données projet'!$E$11+1,1))</f>
        <v>298.38448036212861</v>
      </c>
      <c r="BJ9" s="62">
        <f t="shared" si="38"/>
        <v>270.4445531106897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projet'!$B$11,Paramètres!$A$1:$I$88,7,0))</f>
        <v>0</v>
      </c>
      <c r="BN9" s="17">
        <f>IF(ISNA(VLOOKUP(A9,'Données projet'!$A$87:$I$107,6,0)),0%,VLOOKUP(A9,'Données projet'!$A$87:$I$107,6,0)*VLOOKUP('Données projet'!$B$11,Paramètres!$A$1:$I$88,7,0))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projet'!$B$11,Paramètres!$A$1:$I$88,3,0)*0.475*44/12</f>
        <v>0</v>
      </c>
      <c r="BQ9" s="23">
        <f>EXP(-LN(2)/25)*BQ8+(1-EXP(-LN(2)/25))/(LN(2)/25)*Calculateur!BL9*Calculateur!BN9*VLOOKUP('Données projet'!$B$11,Paramètres!$A$1:$I$88,3,0)*0.475*44/12</f>
        <v>0</v>
      </c>
      <c r="BR9" s="23">
        <f>EXP(-LN(2)/2)*BR8+(1-EXP(-LN(2)/2))/(LN(2)/2)*BL9*BO9*VLOOKUP('Données projet'!$B$11,Paramètres!$A$1:$I$88,3,0)*0.475*44/12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2.6666666666666665</v>
      </c>
      <c r="BY9" s="13">
        <f>IF('Données projet'!$A$114&gt;35,BY8+BX9-CG8,IF(A9&lt;'Données projet'!$A$114,$BV$205^A9,IF(A9='Données projet'!$A$114,'Données projet'!$B$114,BY8+BX9-CG8)))</f>
        <v>4.3734482957731098</v>
      </c>
      <c r="BZ9" s="14">
        <f>BY9*VLOOKUP('Données projet'!$B$12,Paramètres!$A$1:$I$88,3,0)*VLOOKUP('Données projet'!$B$12,Paramètres!$A$1:$I$88,5,0)</f>
        <v>3.4112896707030256</v>
      </c>
      <c r="CA9" s="14">
        <f t="shared" si="39"/>
        <v>1.3628213830192535</v>
      </c>
      <c r="CB9" s="22">
        <f t="shared" si="10"/>
        <v>8.3149100852329703</v>
      </c>
      <c r="CC9" s="62">
        <f t="shared" si="11"/>
        <v>301.64824341856627</v>
      </c>
      <c r="CD9" s="62">
        <f ca="1">AVERAGE(OFFSET($CC$3,0,0,'Données projet'!$E$12+1,1))-AVERAGE(OFFSET($H$3,0,0,'Données projet'!$E$12+1,1))</f>
        <v>217.32600829266818</v>
      </c>
      <c r="CE9" s="62">
        <f t="shared" si="40"/>
        <v>208.79744153433245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projet'!$B$12,Paramètres!$A$1:$I$88,7,0))</f>
        <v>0</v>
      </c>
      <c r="CI9" s="17">
        <f>IF(ISNA(VLOOKUP(A9,'Données projet'!$A$113:$I$133,6,0)),0%,VLOOKUP(A9,'Données projet'!$A$113:$I$133,6,0)*VLOOKUP('Données projet'!$B$12,Paramètres!$A$1:$I$88,7,0))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projet'!$B$12,Paramètres!$A$1:$I$88,3,0)*0.475*44/12</f>
        <v>0</v>
      </c>
      <c r="CL9" s="23">
        <f>EXP(-LN(2)/25)*CL8+(1-EXP(-LN(2)/25))/(LN(2)/25)*Calculateur!CG9*Calculateur!CI9*VLOOKUP('Données projet'!$B$12,Paramètres!$A$1:$I$88,3,0)*0.475*44/12</f>
        <v>0</v>
      </c>
      <c r="CM9" s="23">
        <f>EXP(-LN(2)/2)*CM8+(1-EXP(-LN(2)/2))/(LN(2)/2)*CG9*CJ9*VLOOKUP('Données projet'!$B$12,Paramètres!$A$1:$I$88,3,0)*0.475*44/12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10</v>
      </c>
      <c r="CT9" s="13">
        <f>IF('Données projet'!$A$140&gt;35,CT8+CS9-DB8,IF(A9&lt;'Données projet'!$A$140,$CQ$205^A9,IF(A9='Données projet'!$A$140,'Données projet'!$B$140,CT8+CS9-DB8)))</f>
        <v>4.607774606956629</v>
      </c>
      <c r="CU9" s="18">
        <f>CT9*VLOOKUP('Données projet'!$B$13,Paramètres!$A$1:$I$88,3,0)*VLOOKUP('Données projet'!$B$13,Paramètres!$A$1:$I$88,5,0)</f>
        <v>2.5757460052887557</v>
      </c>
      <c r="CV9" s="14">
        <f t="shared" si="41"/>
        <v>1.0632269751181105</v>
      </c>
      <c r="CW9" s="22">
        <f t="shared" si="13"/>
        <v>6.3378779408752912</v>
      </c>
      <c r="CX9" s="62">
        <f t="shared" si="14"/>
        <v>299.67121127420859</v>
      </c>
      <c r="CY9" s="62">
        <f ca="1">AVERAGE(OFFSET($CX$3,0,0,'Données projet'!$E$13+1,1))-AVERAGE(OFFSET($H$3,0,0,'Données projet'!$E$13+1,1))</f>
        <v>302.20483575440988</v>
      </c>
      <c r="CZ9" s="62">
        <f t="shared" si="42"/>
        <v>275.32862097158687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projet'!$B$13,Paramètres!$A$1:$I$88,7,0))</f>
        <v>0</v>
      </c>
      <c r="DD9" s="17">
        <f>IF(ISNA(VLOOKUP(A9,'Données projet'!$A$139:$I$159,6,0)),0%,VLOOKUP(A9,'Données projet'!$A$139:$I$159,6,0)*VLOOKUP('Données projet'!$B$13,Paramètres!$A$1:$I$88,7,0))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projet'!$B$13,Paramètres!$A$1:$I$88,3,0)*0.475*44/12</f>
        <v>0</v>
      </c>
      <c r="DG9" s="23">
        <f>EXP(-LN(2)/25)*DG8+(1-EXP(-LN(2)/25))/(LN(2)/25)*Calculateur!DB9*Calculateur!DD9*VLOOKUP('Données projet'!$B$13,Paramètres!$A$1:$I$88,3,0)*0.475*44/12</f>
        <v>0</v>
      </c>
      <c r="DH9" s="23">
        <f>EXP(-LN(2)/2)*DH8+(1-EXP(-LN(2)/2))/(LN(2)/2)*DB9*DE9*VLOOKUP('Données projet'!$B$13,Paramètres!$A$1:$I$88,3,0)*0.475*44/12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projet'!$B$14,Paramètres!$A$1:$I$88,3,0)*VLOOKUP('Données projet'!$B$14,Paramètres!$A$1:$I$88,5,0)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projet'!$B$14,Paramètres!$A$1:$I$88,7,0))</f>
        <v>0</v>
      </c>
      <c r="DY9" s="17">
        <f>IF(ISNA(VLOOKUP(A9,'Données projet'!$A$165:$I$185,6,0)),0%,VLOOKUP(A9,'Données projet'!$A$165:$I$185,6,0)*VLOOKUP('Données projet'!$B$14,Paramètres!$A$1:$I$88,7,0))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projet'!$B$14,Paramètres!$A$1:$I$88,3,0)*0.475*44/12</f>
        <v>#N/A</v>
      </c>
      <c r="EB9" s="23" t="e">
        <f>EXP(-LN(2)/25)*EB8+(1-EXP(-LN(2)/25))/(LN(2)/25)*Calculateur!DW9*Calculateur!DY9*VLOOKUP('Données projet'!$B$14,Paramètres!$A$1:$I$88,3,0)*0.475*44/12</f>
        <v>#N/A</v>
      </c>
      <c r="EC9" s="23" t="e">
        <f>EXP(-LN(2)/2)*EC8+(1-EXP(-LN(2)/2))/(LN(2)/2)*DW9*DZ9*VLOOKUP('Données projet'!$B$14,Paramètres!$A$1:$I$88,3,0)*0.475*44/12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projet'!$B$15,Paramètres!$A$1:$I$88,3,0)*VLOOKUP('Données projet'!$B$15,Paramètres!$A$1:$I$88,5,0)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projet'!$B$15,Paramètres!$A$1:$I$88,7,0))</f>
        <v>0</v>
      </c>
      <c r="ET9" s="17">
        <f>IF(ISNA(VLOOKUP(A9,'Données projet'!$A$191:$I$211,6,0)),0%,VLOOKUP(A9,'Données projet'!$A$191:$I$211,6,0)*VLOOKUP('Données projet'!$B$15,Paramètres!$A$1:$I$88,7,0))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projet'!$B$15,Paramètres!$A$1:$I$88,3,0)*0.475*44/12</f>
        <v>#N/A</v>
      </c>
      <c r="EW9" s="23" t="e">
        <f>EXP(-LN(2)/25)*EW8+(1-EXP(-LN(2)/25))/(LN(2)/25)*Calculateur!ER9*Calculateur!ET9*VLOOKUP('Données projet'!$B$15,Paramètres!$A$1:$I$88,3,0)*0.475*44/12</f>
        <v>#N/A</v>
      </c>
      <c r="EX9" s="23" t="e">
        <f>EXP(-LN(2)/2)*EX8+(1-EXP(-LN(2)/2))/(LN(2)/2)*ER9*EU9*VLOOKUP('Données projet'!$B$15,Paramètres!$A$1:$I$88,3,0)*0.475*44/12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projet'!$B$16,Paramètres!$A$1:$I$88,3,0)*VLOOKUP('Données projet'!$B$16,Paramètres!$A$1:$I$88,5,0)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projet'!$B$16,Paramètres!$A$1:$I$88,7,0))</f>
        <v>0</v>
      </c>
      <c r="FO9" s="17">
        <f>IF(ISNA(VLOOKUP(A9,'Données projet'!$A$217:$I$237,6,0)),0%,VLOOKUP(A9,'Données projet'!$A$217:$I$237,6,0)*VLOOKUP('Données projet'!$B$16,Paramètres!$A$1:$I$88,7,0))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projet'!$B$16,Paramètres!$A$1:$I$88,3,0)*0.475*44/12</f>
        <v>#N/A</v>
      </c>
      <c r="FR9" s="23" t="e">
        <f>EXP(-LN(2)/25)*FR8+(1-EXP(-LN(2)/25))/(LN(2)/25)*Calculateur!FM9*Calculateur!FO9*VLOOKUP('Données projet'!$B$16,Paramètres!$A$1:$I$88,3,0)*0.475*44/12</f>
        <v>#N/A</v>
      </c>
      <c r="FS9" s="23" t="e">
        <f>EXP(-LN(2)/2)*FS8+(1-EXP(-LN(2)/2))/(LN(2)/2)*FM9*FP9*VLOOKUP('Données projet'!$B$16,Paramètres!$A$1:$I$88,3,0)*0.475*44/12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projet'!$B$17,Paramètres!$A$1:$I$88,3,0)*VLOOKUP('Données projet'!$B$17,Paramètres!$A$1:$I$88,5,0)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projet'!$B$17,Paramètres!$A$1:$I$88,7,0))</f>
        <v>0</v>
      </c>
      <c r="GJ9" s="17">
        <f>IF(ISNA(VLOOKUP(A9,'Données projet'!$A$243:$I$263,6,0)),0%,VLOOKUP(A9,'Données projet'!$A$243:$I$263,6,0)*VLOOKUP('Données projet'!$B$17,Paramètres!$A$1:$I$88,7,0))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projet'!$B$17,Paramètres!$A$1:$I$88,3,0)*0.475*44/12</f>
        <v>#N/A</v>
      </c>
      <c r="GM9" s="23" t="e">
        <f>EXP(-LN(2)/25)*GM8+(1-EXP(-LN(2)/25))/(LN(2)/25)*Calculateur!GH9*Calculateur!GJ9*VLOOKUP('Données projet'!$B$17,Paramètres!$A$1:$I$88,3,0)*0.475*44/12</f>
        <v>#N/A</v>
      </c>
      <c r="GN9" s="23" t="e">
        <f>EXP(-LN(2)/2)*GN8+(1-EXP(-LN(2)/2))/(LN(2)/2)*GH9*GK9*VLOOKUP('Données projet'!$B$17,Paramètres!$A$1:$I$88,3,0)*0.475*44/12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projet'!$B$18,Paramètres!$A$1:$I$88,3,0)*VLOOKUP('Données projet'!$B$18,Paramètres!$A$1:$I$88,5,0)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projet'!$B$18,Paramètres!$A$1:$I$88,7,0))</f>
        <v>0</v>
      </c>
      <c r="HE9" s="17">
        <f>IF(ISNA(VLOOKUP(A9,'Données projet'!$A$269:$I$289,6,0)),0%,VLOOKUP(A9,'Données projet'!$A$269:$I$289,6,0)*VLOOKUP('Données projet'!$B$18,Paramètres!$A$1:$I$88,7,0))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projet'!$B$18,Paramètres!$A$1:$I$88,3,0)*0.475*44/12</f>
        <v>#N/A</v>
      </c>
      <c r="HH9" s="23" t="e">
        <f>EXP(-LN(2)/25)*HH8+(1-EXP(-LN(2)/25))/(LN(2)/25)*Calculateur!HC9*Calculateur!HE9*VLOOKUP('Données projet'!$B$18,Paramètres!$A$1:$I$88,3,0)*0.475*44/12</f>
        <v>#N/A</v>
      </c>
      <c r="HI9" s="23" t="e">
        <f>EXP(-LN(2)/2)*HI8+(1-EXP(-LN(2)/2))/(LN(2)/2)*HC9*HF9*VLOOKUP('Données projet'!$B$18,Paramètres!$A$1:$I$88,3,0)*0.475*44/12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6.2222222222222223</v>
      </c>
      <c r="N10" s="14">
        <f>IF('Données projet'!$A$36&gt;35,N9+M10-V9,IF(A10&lt;'Données projet'!$A$36,$K$205^A10,IF(A10='Données projet'!$A$36,'Données projet'!$B$36,N9+M10-V9)))</f>
        <v>6.2649573664027773</v>
      </c>
      <c r="O10" s="14">
        <f>N10*VLOOKUP('Données projet'!$B$9,Paramètres!$A$1:$I$88,3,0)*VLOOKUP('Données projet'!$B$9,Paramètres!$A$1:$I$88,5,0)</f>
        <v>3.9093333966353332</v>
      </c>
      <c r="P10" s="14">
        <f t="shared" si="33"/>
        <v>1.5372128955964925</v>
      </c>
      <c r="Q10" s="22">
        <f t="shared" si="2"/>
        <v>9.4860681256370967</v>
      </c>
      <c r="R10" s="62">
        <f t="shared" si="0"/>
        <v>302.81940145897039</v>
      </c>
      <c r="S10" s="62">
        <f ca="1">AVERAGE(OFFSET($R$3,0,0,'Données projet'!$E$9+1,1))-AVERAGE(OFFSET($H$3,0,0,'Données projet'!$E$9+1,1))</f>
        <v>175.05987582828078</v>
      </c>
      <c r="T10" s="62">
        <f t="shared" si="34"/>
        <v>268.54782308462387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projet'!$B$9,Paramètres!$A$1:$I$88,7,0))</f>
        <v>0</v>
      </c>
      <c r="X10" s="17">
        <f>IF(ISNA(VLOOKUP(A10,'Données projet'!$A$35:$I$55,6,0)),0%,VLOOKUP(A10,'Données projet'!$A$35:$I$55,6,0)*VLOOKUP('Données projet'!$B$9,Paramètres!$A$1:$I$88,7,0))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projet'!$B$9,Paramètres!$A$1:$I$88,3,0)*0.475*44/12</f>
        <v>0</v>
      </c>
      <c r="AA10" s="23">
        <f>EXP(-LN(2)/25)*AA9+(1-EXP(-LN(2)/25))/(LN(2)/25)*Calculateur!V10*Calculateur!X10*VLOOKUP('Données projet'!$B$9,Paramètres!$A$1:$I$88,3,0)*0.475*44/12</f>
        <v>0</v>
      </c>
      <c r="AB10" s="23">
        <f>EXP(-LN(2)/2)*AB9+(1-EXP(-LN(2)/2))/(LN(2)/2)*V10*Y10*VLOOKUP('Données projet'!$B$9,Paramètres!$A$1:$I$88,3,0)*0.475*44/12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12.133333333333333</v>
      </c>
      <c r="AI10" s="14">
        <f>IF('Données projet'!$A$62&gt;35,AI9+AH10-AQ9,IF(A10&lt;'Données projet'!$A$62,$AF$205^A10,IF(A10='Données projet'!$A$62,'Données projet'!$B$62,AI9+AH10-AQ9)))</f>
        <v>3.9590439490682807</v>
      </c>
      <c r="AJ10" s="14">
        <f>AI10*VLOOKUP('Données projet'!$B$10,Paramètres!$A$1:$I$88,3,0)*VLOOKUP('Données projet'!$B$10,Paramètres!$A$1:$I$88,5,0)</f>
        <v>1.9043001395018433</v>
      </c>
      <c r="AK10" s="14">
        <f t="shared" si="35"/>
        <v>0.81419093665313247</v>
      </c>
      <c r="AL10" s="22">
        <f t="shared" si="4"/>
        <v>4.7347052909699165</v>
      </c>
      <c r="AM10" s="62">
        <f t="shared" si="5"/>
        <v>298.06803862430326</v>
      </c>
      <c r="AN10" s="62">
        <f ca="1">AVERAGE(OFFSET($AM$3,0,0,'Données projet'!$E$10+1,1))-AVERAGE(OFFSET($H$3,0,0,'Données projet'!$E$10+1,1))</f>
        <v>576.61210817354549</v>
      </c>
      <c r="AO10" s="62">
        <f t="shared" si="36"/>
        <v>343.9428747444544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projet'!$B$10,Paramètres!$A$1:$I$88,7,0))</f>
        <v>0</v>
      </c>
      <c r="AS10" s="17">
        <f>IF(ISNA(VLOOKUP(A10,'Données projet'!$A$61:$I$81,6,0)),0%,VLOOKUP(A10,'Données projet'!$A$61:$I$81,6,0)*VLOOKUP('Données projet'!$B$10,Paramètres!$A$1:$I$88,7,0))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projet'!$B$10,Paramètres!$A$1:$I$88,3,0)*0.475*44/12</f>
        <v>0</v>
      </c>
      <c r="AV10" s="23">
        <f>EXP(-LN(2)/25)*AV9+(1-EXP(-LN(2)/25))/(LN(2)/25)*Calculateur!AQ10*Calculateur!AS10*VLOOKUP('Données projet'!$B$10,Paramètres!$A$1:$I$88,3,0)*0.475*44/12</f>
        <v>0</v>
      </c>
      <c r="AW10" s="23">
        <f>EXP(-LN(2)/2)*AW9+(1-EXP(-LN(2)/2))/(LN(2)/2)*AQ10*AT10*VLOOKUP('Données projet'!$B$10,Paramètres!$A$1:$I$88,3,0)*0.475*44/12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1.1099999999999999</v>
      </c>
      <c r="BD10" s="13">
        <f>IF('Données projet'!$A$88&gt;35,BD9+BC10-BL9,IF(A10&lt;'Données projet'!$A$88,$BA$205^A10,IF(A10='Données projet'!$A$88,'Données projet'!$B$88,BD9+BC10-BL9)))</f>
        <v>5.3917045384267919</v>
      </c>
      <c r="BE10" s="14">
        <f>BD10*VLOOKUP('Données projet'!$B$11,Paramètres!$A$1:$I$88,3,0)*VLOOKUP('Données projet'!$B$11,Paramètres!$A$1:$I$88,5,0)</f>
        <v>4.289640130772356</v>
      </c>
      <c r="BF10" s="14">
        <f t="shared" si="37"/>
        <v>1.6686264997708673</v>
      </c>
      <c r="BG10" s="22">
        <f t="shared" si="7"/>
        <v>10.377314381529446</v>
      </c>
      <c r="BH10" s="62">
        <f t="shared" si="8"/>
        <v>303.71064771486277</v>
      </c>
      <c r="BI10" s="62">
        <f ca="1">AVERAGE(OFFSET($BH$3,0,0,'Données projet'!$E$11+1,1))-AVERAGE(OFFSET($H$3,0,0,'Données projet'!$E$11+1,1))</f>
        <v>298.38448036212861</v>
      </c>
      <c r="BJ10" s="62">
        <f t="shared" si="38"/>
        <v>270.4445531106897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projet'!$B$11,Paramètres!$A$1:$I$88,7,0))</f>
        <v>0</v>
      </c>
      <c r="BN10" s="17">
        <f>IF(ISNA(VLOOKUP(A10,'Données projet'!$A$87:$I$107,6,0)),0%,VLOOKUP(A10,'Données projet'!$A$87:$I$107,6,0)*VLOOKUP('Données projet'!$B$11,Paramètres!$A$1:$I$88,7,0))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projet'!$B$11,Paramètres!$A$1:$I$88,3,0)*0.475*44/12</f>
        <v>0</v>
      </c>
      <c r="BQ10" s="23">
        <f>EXP(-LN(2)/25)*BQ9+(1-EXP(-LN(2)/25))/(LN(2)/25)*Calculateur!BL10*Calculateur!BN10*VLOOKUP('Données projet'!$B$11,Paramètres!$A$1:$I$88,3,0)*0.475*44/12</f>
        <v>0</v>
      </c>
      <c r="BR10" s="23">
        <f>EXP(-LN(2)/2)*BR9+(1-EXP(-LN(2)/2))/(LN(2)/2)*BL10*BO10*VLOOKUP('Données projet'!$B$11,Paramètres!$A$1:$I$88,3,0)*0.475*44/12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2.6666666666666665</v>
      </c>
      <c r="BY10" s="13">
        <f>IF('Données projet'!$A$114&gt;35,BY9+BX10-CG9,IF(A10&lt;'Données projet'!$A$114,$BV$205^A10,IF(A10='Données projet'!$A$114,'Données projet'!$B$114,BY9+BX10-CG9)))</f>
        <v>5.5927833467405659</v>
      </c>
      <c r="BZ10" s="14">
        <f>BY10*VLOOKUP('Données projet'!$B$12,Paramètres!$A$1:$I$88,3,0)*VLOOKUP('Données projet'!$B$12,Paramètres!$A$1:$I$88,5,0)</f>
        <v>4.3623710104576414</v>
      </c>
      <c r="CA10" s="14">
        <f t="shared" si="39"/>
        <v>1.6936004212396314</v>
      </c>
      <c r="CB10" s="22">
        <f t="shared" si="10"/>
        <v>10.54748357687275</v>
      </c>
      <c r="CC10" s="62">
        <f t="shared" si="11"/>
        <v>303.88081691020608</v>
      </c>
      <c r="CD10" s="62">
        <f ca="1">AVERAGE(OFFSET($CC$3,0,0,'Données projet'!$E$12+1,1))-AVERAGE(OFFSET($H$3,0,0,'Données projet'!$E$12+1,1))</f>
        <v>217.32600829266818</v>
      </c>
      <c r="CE10" s="62">
        <f t="shared" si="40"/>
        <v>208.79744153433245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projet'!$B$12,Paramètres!$A$1:$I$88,7,0))</f>
        <v>0</v>
      </c>
      <c r="CI10" s="17">
        <f>IF(ISNA(VLOOKUP(A10,'Données projet'!$A$113:$I$133,6,0)),0%,VLOOKUP(A10,'Données projet'!$A$113:$I$133,6,0)*VLOOKUP('Données projet'!$B$12,Paramètres!$A$1:$I$88,7,0))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projet'!$B$12,Paramètres!$A$1:$I$88,3,0)*0.475*44/12</f>
        <v>0</v>
      </c>
      <c r="CL10" s="23">
        <f>EXP(-LN(2)/25)*CL9+(1-EXP(-LN(2)/25))/(LN(2)/25)*Calculateur!CG10*Calculateur!CI10*VLOOKUP('Données projet'!$B$12,Paramètres!$A$1:$I$88,3,0)*0.475*44/12</f>
        <v>0</v>
      </c>
      <c r="CM10" s="23">
        <f>EXP(-LN(2)/2)*CM9+(1-EXP(-LN(2)/2))/(LN(2)/2)*CG10*CJ10*VLOOKUP('Données projet'!$B$12,Paramètres!$A$1:$I$88,3,0)*0.475*44/12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10</v>
      </c>
      <c r="CT10" s="13">
        <f>IF('Données projet'!$A$140&gt;35,CT9+CS10-DB9,IF(A10&lt;'Données projet'!$A$140,$CQ$205^A10,IF(A10='Données projet'!$A$140,'Données projet'!$B$140,CT9+CS10-DB9)))</f>
        <v>5.9439219527631275</v>
      </c>
      <c r="CU10" s="18">
        <f>CT10*VLOOKUP('Données projet'!$B$13,Paramètres!$A$1:$I$88,3,0)*VLOOKUP('Données projet'!$B$13,Paramètres!$A$1:$I$88,5,0)</f>
        <v>3.3226523715945881</v>
      </c>
      <c r="CV10" s="14">
        <f t="shared" si="41"/>
        <v>1.3314845392621566</v>
      </c>
      <c r="CW10" s="22">
        <f t="shared" si="13"/>
        <v>8.1059551197421627</v>
      </c>
      <c r="CX10" s="62">
        <f t="shared" si="14"/>
        <v>301.43928845307551</v>
      </c>
      <c r="CY10" s="62">
        <f ca="1">AVERAGE(OFFSET($CX$3,0,0,'Données projet'!$E$13+1,1))-AVERAGE(OFFSET($H$3,0,0,'Données projet'!$E$13+1,1))</f>
        <v>302.20483575440988</v>
      </c>
      <c r="CZ10" s="62">
        <f t="shared" si="42"/>
        <v>275.32862097158687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projet'!$B$13,Paramètres!$A$1:$I$88,7,0))</f>
        <v>0</v>
      </c>
      <c r="DD10" s="17">
        <f>IF(ISNA(VLOOKUP(A10,'Données projet'!$A$139:$I$159,6,0)),0%,VLOOKUP(A10,'Données projet'!$A$139:$I$159,6,0)*VLOOKUP('Données projet'!$B$13,Paramètres!$A$1:$I$88,7,0))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projet'!$B$13,Paramètres!$A$1:$I$88,3,0)*0.475*44/12</f>
        <v>0</v>
      </c>
      <c r="DG10" s="23">
        <f>EXP(-LN(2)/25)*DG9+(1-EXP(-LN(2)/25))/(LN(2)/25)*Calculateur!DB10*Calculateur!DD10*VLOOKUP('Données projet'!$B$13,Paramètres!$A$1:$I$88,3,0)*0.475*44/12</f>
        <v>0</v>
      </c>
      <c r="DH10" s="23">
        <f>EXP(-LN(2)/2)*DH9+(1-EXP(-LN(2)/2))/(LN(2)/2)*DB10*DE10*VLOOKUP('Données projet'!$B$13,Paramètres!$A$1:$I$88,3,0)*0.475*44/12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projet'!$B$14,Paramètres!$A$1:$I$88,3,0)*VLOOKUP('Données projet'!$B$14,Paramètres!$A$1:$I$88,5,0)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projet'!$B$14,Paramètres!$A$1:$I$88,7,0))</f>
        <v>0</v>
      </c>
      <c r="DY10" s="17">
        <f>IF(ISNA(VLOOKUP(A10,'Données projet'!$A$165:$I$185,6,0)),0%,VLOOKUP(A10,'Données projet'!$A$165:$I$185,6,0)*VLOOKUP('Données projet'!$B$14,Paramètres!$A$1:$I$88,7,0))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projet'!$B$14,Paramètres!$A$1:$I$88,3,0)*0.475*44/12</f>
        <v>#N/A</v>
      </c>
      <c r="EB10" s="23" t="e">
        <f>EXP(-LN(2)/25)*EB9+(1-EXP(-LN(2)/25))/(LN(2)/25)*Calculateur!DW10*Calculateur!DY10*VLOOKUP('Données projet'!$B$14,Paramètres!$A$1:$I$88,3,0)*0.475*44/12</f>
        <v>#N/A</v>
      </c>
      <c r="EC10" s="23" t="e">
        <f>EXP(-LN(2)/2)*EC9+(1-EXP(-LN(2)/2))/(LN(2)/2)*DW10*DZ10*VLOOKUP('Données projet'!$B$14,Paramètres!$A$1:$I$88,3,0)*0.475*44/12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projet'!$B$15,Paramètres!$A$1:$I$88,3,0)*VLOOKUP('Données projet'!$B$15,Paramètres!$A$1:$I$88,5,0)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projet'!$B$15,Paramètres!$A$1:$I$88,7,0))</f>
        <v>0</v>
      </c>
      <c r="ET10" s="17">
        <f>IF(ISNA(VLOOKUP(A10,'Données projet'!$A$191:$I$211,6,0)),0%,VLOOKUP(A10,'Données projet'!$A$191:$I$211,6,0)*VLOOKUP('Données projet'!$B$15,Paramètres!$A$1:$I$88,7,0))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projet'!$B$15,Paramètres!$A$1:$I$88,3,0)*0.475*44/12</f>
        <v>#N/A</v>
      </c>
      <c r="EW10" s="23" t="e">
        <f>EXP(-LN(2)/25)*EW9+(1-EXP(-LN(2)/25))/(LN(2)/25)*Calculateur!ER10*Calculateur!ET10*VLOOKUP('Données projet'!$B$15,Paramètres!$A$1:$I$88,3,0)*0.475*44/12</f>
        <v>#N/A</v>
      </c>
      <c r="EX10" s="23" t="e">
        <f>EXP(-LN(2)/2)*EX9+(1-EXP(-LN(2)/2))/(LN(2)/2)*ER10*EU10*VLOOKUP('Données projet'!$B$15,Paramètres!$A$1:$I$88,3,0)*0.475*44/12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projet'!$B$16,Paramètres!$A$1:$I$88,3,0)*VLOOKUP('Données projet'!$B$16,Paramètres!$A$1:$I$88,5,0)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projet'!$B$16,Paramètres!$A$1:$I$88,7,0))</f>
        <v>0</v>
      </c>
      <c r="FO10" s="17">
        <f>IF(ISNA(VLOOKUP(A10,'Données projet'!$A$217:$I$237,6,0)),0%,VLOOKUP(A10,'Données projet'!$A$217:$I$237,6,0)*VLOOKUP('Données projet'!$B$16,Paramètres!$A$1:$I$88,7,0))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projet'!$B$16,Paramètres!$A$1:$I$88,3,0)*0.475*44/12</f>
        <v>#N/A</v>
      </c>
      <c r="FR10" s="23" t="e">
        <f>EXP(-LN(2)/25)*FR9+(1-EXP(-LN(2)/25))/(LN(2)/25)*Calculateur!FM10*Calculateur!FO10*VLOOKUP('Données projet'!$B$16,Paramètres!$A$1:$I$88,3,0)*0.475*44/12</f>
        <v>#N/A</v>
      </c>
      <c r="FS10" s="23" t="e">
        <f>EXP(-LN(2)/2)*FS9+(1-EXP(-LN(2)/2))/(LN(2)/2)*FM10*FP10*VLOOKUP('Données projet'!$B$16,Paramètres!$A$1:$I$88,3,0)*0.475*44/12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projet'!$B$17,Paramètres!$A$1:$I$88,3,0)*VLOOKUP('Données projet'!$B$17,Paramètres!$A$1:$I$88,5,0)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projet'!$B$17,Paramètres!$A$1:$I$88,7,0))</f>
        <v>0</v>
      </c>
      <c r="GJ10" s="17">
        <f>IF(ISNA(VLOOKUP(A10,'Données projet'!$A$243:$I$263,6,0)),0%,VLOOKUP(A10,'Données projet'!$A$243:$I$263,6,0)*VLOOKUP('Données projet'!$B$17,Paramètres!$A$1:$I$88,7,0))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projet'!$B$17,Paramètres!$A$1:$I$88,3,0)*0.475*44/12</f>
        <v>#N/A</v>
      </c>
      <c r="GM10" s="23" t="e">
        <f>EXP(-LN(2)/25)*GM9+(1-EXP(-LN(2)/25))/(LN(2)/25)*Calculateur!GH10*Calculateur!GJ10*VLOOKUP('Données projet'!$B$17,Paramètres!$A$1:$I$88,3,0)*0.475*44/12</f>
        <v>#N/A</v>
      </c>
      <c r="GN10" s="23" t="e">
        <f>EXP(-LN(2)/2)*GN9+(1-EXP(-LN(2)/2))/(LN(2)/2)*GH10*GK10*VLOOKUP('Données projet'!$B$17,Paramètres!$A$1:$I$88,3,0)*0.475*44/12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projet'!$B$18,Paramètres!$A$1:$I$88,3,0)*VLOOKUP('Données projet'!$B$18,Paramètres!$A$1:$I$88,5,0)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projet'!$B$18,Paramètres!$A$1:$I$88,7,0))</f>
        <v>0</v>
      </c>
      <c r="HE10" s="17">
        <f>IF(ISNA(VLOOKUP(A10,'Données projet'!$A$269:$I$289,6,0)),0%,VLOOKUP(A10,'Données projet'!$A$269:$I$289,6,0)*VLOOKUP('Données projet'!$B$18,Paramètres!$A$1:$I$88,7,0))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projet'!$B$18,Paramètres!$A$1:$I$88,3,0)*0.475*44/12</f>
        <v>#N/A</v>
      </c>
      <c r="HH10" s="23" t="e">
        <f>EXP(-LN(2)/25)*HH9+(1-EXP(-LN(2)/25))/(LN(2)/25)*Calculateur!HC10*Calculateur!HE10*VLOOKUP('Données projet'!$B$18,Paramètres!$A$1:$I$88,3,0)*0.475*44/12</f>
        <v>#N/A</v>
      </c>
      <c r="HI10" s="23" t="e">
        <f>EXP(-LN(2)/2)*HI9+(1-EXP(-LN(2)/2))/(LN(2)/2)*HC10*HF10*VLOOKUP('Données projet'!$B$18,Paramètres!$A$1:$I$88,3,0)*0.475*44/12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6.2222222222222223</v>
      </c>
      <c r="N11" s="14">
        <f>IF('Données projet'!$A$36&gt;35,N10+M11-V10,IF(A11&lt;'Données projet'!$A$36,$K$205^A11,IF(A11='Données projet'!$A$36,'Données projet'!$B$36,N10+M11-V10)))</f>
        <v>8.1426087136553278</v>
      </c>
      <c r="O11" s="14">
        <f>N11*VLOOKUP('Données projet'!$B$9,Paramètres!$A$1:$I$88,3,0)*VLOOKUP('Données projet'!$B$9,Paramètres!$A$1:$I$88,5,0)</f>
        <v>5.080987837320925</v>
      </c>
      <c r="P11" s="14">
        <f t="shared" si="33"/>
        <v>1.9378843475584122</v>
      </c>
      <c r="Q11" s="22">
        <f t="shared" si="2"/>
        <v>12.224535721998178</v>
      </c>
      <c r="R11" s="62">
        <f t="shared" si="0"/>
        <v>305.55786905533148</v>
      </c>
      <c r="S11" s="62">
        <f ca="1">AVERAGE(OFFSET($R$3,0,0,'Données projet'!$E$9+1,1))-AVERAGE(OFFSET($H$3,0,0,'Données projet'!$E$9+1,1))</f>
        <v>175.05987582828078</v>
      </c>
      <c r="T11" s="62">
        <f t="shared" si="34"/>
        <v>268.54782308462387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projet'!$B$9,Paramètres!$A$1:$I$88,7,0))</f>
        <v>0</v>
      </c>
      <c r="X11" s="17">
        <f>IF(ISNA(VLOOKUP(A11,'Données projet'!$A$35:$I$55,6,0)),0%,VLOOKUP(A11,'Données projet'!$A$35:$I$55,6,0)*VLOOKUP('Données projet'!$B$9,Paramètres!$A$1:$I$88,7,0))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projet'!$B$9,Paramètres!$A$1:$I$88,3,0)*0.475*44/12</f>
        <v>0</v>
      </c>
      <c r="AA11" s="23">
        <f>EXP(-LN(2)/25)*AA10+(1-EXP(-LN(2)/25))/(LN(2)/25)*Calculateur!V11*Calculateur!X11*VLOOKUP('Données projet'!$B$9,Paramètres!$A$1:$I$88,3,0)*0.475*44/12</f>
        <v>0</v>
      </c>
      <c r="AB11" s="23">
        <f>EXP(-LN(2)/2)*AB10+(1-EXP(-LN(2)/2))/(LN(2)/2)*V11*Y11*VLOOKUP('Données projet'!$B$9,Paramètres!$A$1:$I$88,3,0)*0.475*44/12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12.133333333333333</v>
      </c>
      <c r="AI11" s="14">
        <f>IF('Données projet'!$A$62&gt;35,AI10+AH11-AQ10,IF(A11&lt;'Données projet'!$A$62,$AF$205^A11,IF(A11='Données projet'!$A$62,'Données projet'!$B$62,AI10+AH11-AQ10)))</f>
        <v>4.8190382005809509</v>
      </c>
      <c r="AJ11" s="14">
        <f>AI11*VLOOKUP('Données projet'!$B$10,Paramètres!$A$1:$I$88,3,0)*VLOOKUP('Données projet'!$B$10,Paramètres!$A$1:$I$88,5,0)</f>
        <v>2.3179573744794375</v>
      </c>
      <c r="AK11" s="14">
        <f t="shared" si="35"/>
        <v>0.96863294557293911</v>
      </c>
      <c r="AL11" s="22">
        <f t="shared" si="4"/>
        <v>5.7241448074245556</v>
      </c>
      <c r="AM11" s="62">
        <f t="shared" si="5"/>
        <v>299.05747814075789</v>
      </c>
      <c r="AN11" s="62">
        <f ca="1">AVERAGE(OFFSET($AM$3,0,0,'Données projet'!$E$10+1,1))-AVERAGE(OFFSET($H$3,0,0,'Données projet'!$E$10+1,1))</f>
        <v>576.61210817354549</v>
      </c>
      <c r="AO11" s="62">
        <f t="shared" si="36"/>
        <v>343.9428747444544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projet'!$B$10,Paramètres!$A$1:$I$88,7,0))</f>
        <v>0</v>
      </c>
      <c r="AS11" s="17">
        <f>IF(ISNA(VLOOKUP(A11,'Données projet'!$A$61:$I$81,6,0)),0%,VLOOKUP(A11,'Données projet'!$A$61:$I$81,6,0)*VLOOKUP('Données projet'!$B$10,Paramètres!$A$1:$I$88,7,0))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projet'!$B$10,Paramètres!$A$1:$I$88,3,0)*0.475*44/12</f>
        <v>0</v>
      </c>
      <c r="AV11" s="23">
        <f>EXP(-LN(2)/25)*AV10+(1-EXP(-LN(2)/25))/(LN(2)/25)*Calculateur!AQ11*Calculateur!AS11*VLOOKUP('Données projet'!$B$10,Paramètres!$A$1:$I$88,3,0)*0.475*44/12</f>
        <v>0</v>
      </c>
      <c r="AW11" s="23">
        <f>EXP(-LN(2)/2)*AW10+(1-EXP(-LN(2)/2))/(LN(2)/2)*AQ11*AT11*VLOOKUP('Données projet'!$B$10,Paramètres!$A$1:$I$88,3,0)*0.475*44/12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1.1099999999999999</v>
      </c>
      <c r="BD11" s="13">
        <f>IF('Données projet'!$A$88&gt;35,BD10+BC11-BL10,IF(A11&lt;'Données projet'!$A$88,$BA$205^A11,IF(A11='Données projet'!$A$88,'Données projet'!$B$88,BD10+BC11-BL10)))</f>
        <v>6.8589617827012184</v>
      </c>
      <c r="BE11" s="14">
        <f>BD11*VLOOKUP('Données projet'!$B$11,Paramètres!$A$1:$I$88,3,0)*VLOOKUP('Données projet'!$B$11,Paramètres!$A$1:$I$88,5,0)</f>
        <v>5.4569899943170901</v>
      </c>
      <c r="BF11" s="14">
        <f t="shared" si="37"/>
        <v>2.0640674009203073</v>
      </c>
      <c r="BG11" s="22">
        <f t="shared" si="7"/>
        <v>13.0991749633718</v>
      </c>
      <c r="BH11" s="62">
        <f t="shared" si="8"/>
        <v>306.43250829670512</v>
      </c>
      <c r="BI11" s="62">
        <f ca="1">AVERAGE(OFFSET($BH$3,0,0,'Données projet'!$E$11+1,1))-AVERAGE(OFFSET($H$3,0,0,'Données projet'!$E$11+1,1))</f>
        <v>298.38448036212861</v>
      </c>
      <c r="BJ11" s="62">
        <f t="shared" si="38"/>
        <v>270.4445531106897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projet'!$B$11,Paramètres!$A$1:$I$88,7,0))</f>
        <v>0</v>
      </c>
      <c r="BN11" s="17">
        <f>IF(ISNA(VLOOKUP(A11,'Données projet'!$A$87:$I$107,6,0)),0%,VLOOKUP(A11,'Données projet'!$A$87:$I$107,6,0)*VLOOKUP('Données projet'!$B$11,Paramètres!$A$1:$I$88,7,0))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projet'!$B$11,Paramètres!$A$1:$I$88,3,0)*0.475*44/12</f>
        <v>0</v>
      </c>
      <c r="BQ11" s="23">
        <f>EXP(-LN(2)/25)*BQ10+(1-EXP(-LN(2)/25))/(LN(2)/25)*Calculateur!BL11*Calculateur!BN11*VLOOKUP('Données projet'!$B$11,Paramètres!$A$1:$I$88,3,0)*0.475*44/12</f>
        <v>0</v>
      </c>
      <c r="BR11" s="23">
        <f>EXP(-LN(2)/2)*BR10+(1-EXP(-LN(2)/2))/(LN(2)/2)*BL11*BO11*VLOOKUP('Données projet'!$B$11,Paramètres!$A$1:$I$88,3,0)*0.475*44/12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2.6666666666666665</v>
      </c>
      <c r="BY11" s="13">
        <f>IF('Données projet'!$A$114&gt;35,BY10+BX11-CG10,IF(A11&lt;'Données projet'!$A$114,$BV$205^A11,IF(A11='Données projet'!$A$114,'Données projet'!$B$114,BY10+BX11-CG10)))</f>
        <v>7.1520739352994367</v>
      </c>
      <c r="BZ11" s="14">
        <f>BY11*VLOOKUP('Données projet'!$B$12,Paramètres!$A$1:$I$88,3,0)*VLOOKUP('Données projet'!$B$12,Paramètres!$A$1:$I$88,5,0)</f>
        <v>5.5786176695335605</v>
      </c>
      <c r="CA11" s="14">
        <f t="shared" si="39"/>
        <v>2.1046649418345189</v>
      </c>
      <c r="CB11" s="22">
        <f t="shared" si="10"/>
        <v>13.381717214799407</v>
      </c>
      <c r="CC11" s="62">
        <f t="shared" si="11"/>
        <v>306.71505054813269</v>
      </c>
      <c r="CD11" s="62">
        <f ca="1">AVERAGE(OFFSET($CC$3,0,0,'Données projet'!$E$12+1,1))-AVERAGE(OFFSET($H$3,0,0,'Données projet'!$E$12+1,1))</f>
        <v>217.32600829266818</v>
      </c>
      <c r="CE11" s="62">
        <f t="shared" si="40"/>
        <v>208.79744153433245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projet'!$B$12,Paramètres!$A$1:$I$88,7,0))</f>
        <v>0</v>
      </c>
      <c r="CI11" s="17">
        <f>IF(ISNA(VLOOKUP(A11,'Données projet'!$A$113:$I$133,6,0)),0%,VLOOKUP(A11,'Données projet'!$A$113:$I$133,6,0)*VLOOKUP('Données projet'!$B$12,Paramètres!$A$1:$I$88,7,0))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projet'!$B$12,Paramètres!$A$1:$I$88,3,0)*0.475*44/12</f>
        <v>0</v>
      </c>
      <c r="CL11" s="23">
        <f>EXP(-LN(2)/25)*CL10+(1-EXP(-LN(2)/25))/(LN(2)/25)*Calculateur!CG11*Calculateur!CI11*VLOOKUP('Données projet'!$B$12,Paramètres!$A$1:$I$88,3,0)*0.475*44/12</f>
        <v>0</v>
      </c>
      <c r="CM11" s="23">
        <f>EXP(-LN(2)/2)*CM10+(1-EXP(-LN(2)/2))/(LN(2)/2)*CG11*CJ11*VLOOKUP('Données projet'!$B$12,Paramètres!$A$1:$I$88,3,0)*0.475*44/12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10</v>
      </c>
      <c r="CT11" s="13">
        <f>IF('Données projet'!$A$140&gt;35,CT10+CS11-DB10,IF(A11&lt;'Données projet'!$A$140,$CQ$205^A11,IF(A11='Données projet'!$A$140,'Données projet'!$B$140,CT10+CS11-DB10)))</f>
        <v>7.6675209171905525</v>
      </c>
      <c r="CU11" s="18">
        <f>CT11*VLOOKUP('Données projet'!$B$13,Paramètres!$A$1:$I$88,3,0)*VLOOKUP('Données projet'!$B$13,Paramètres!$A$1:$I$88,5,0)</f>
        <v>4.2861441927095187</v>
      </c>
      <c r="CV11" s="14">
        <f t="shared" si="41"/>
        <v>1.6674248488637313</v>
      </c>
      <c r="CW11" s="22">
        <f t="shared" si="13"/>
        <v>10.369132747406743</v>
      </c>
      <c r="CX11" s="62">
        <f t="shared" si="14"/>
        <v>303.70246608074007</v>
      </c>
      <c r="CY11" s="62">
        <f ca="1">AVERAGE(OFFSET($CX$3,0,0,'Données projet'!$E$13+1,1))-AVERAGE(OFFSET($H$3,0,0,'Données projet'!$E$13+1,1))</f>
        <v>302.20483575440988</v>
      </c>
      <c r="CZ11" s="62">
        <f t="shared" si="42"/>
        <v>275.32862097158687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projet'!$B$13,Paramètres!$A$1:$I$88,7,0))</f>
        <v>0</v>
      </c>
      <c r="DD11" s="17">
        <f>IF(ISNA(VLOOKUP(A11,'Données projet'!$A$139:$I$159,6,0)),0%,VLOOKUP(A11,'Données projet'!$A$139:$I$159,6,0)*VLOOKUP('Données projet'!$B$13,Paramètres!$A$1:$I$88,7,0))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projet'!$B$13,Paramètres!$A$1:$I$88,3,0)*0.475*44/12</f>
        <v>0</v>
      </c>
      <c r="DG11" s="23">
        <f>EXP(-LN(2)/25)*DG10+(1-EXP(-LN(2)/25))/(LN(2)/25)*Calculateur!DB11*Calculateur!DD11*VLOOKUP('Données projet'!$B$13,Paramètres!$A$1:$I$88,3,0)*0.475*44/12</f>
        <v>0</v>
      </c>
      <c r="DH11" s="23">
        <f>EXP(-LN(2)/2)*DH10+(1-EXP(-LN(2)/2))/(LN(2)/2)*DB11*DE11*VLOOKUP('Données projet'!$B$13,Paramètres!$A$1:$I$88,3,0)*0.475*44/12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projet'!$B$14,Paramètres!$A$1:$I$88,3,0)*VLOOKUP('Données projet'!$B$14,Paramètres!$A$1:$I$88,5,0)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projet'!$B$14,Paramètres!$A$1:$I$88,7,0))</f>
        <v>0</v>
      </c>
      <c r="DY11" s="17">
        <f>IF(ISNA(VLOOKUP(A11,'Données projet'!$A$165:$I$185,6,0)),0%,VLOOKUP(A11,'Données projet'!$A$165:$I$185,6,0)*VLOOKUP('Données projet'!$B$14,Paramètres!$A$1:$I$88,7,0))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projet'!$B$14,Paramètres!$A$1:$I$88,3,0)*0.475*44/12</f>
        <v>#N/A</v>
      </c>
      <c r="EB11" s="23" t="e">
        <f>EXP(-LN(2)/25)*EB10+(1-EXP(-LN(2)/25))/(LN(2)/25)*Calculateur!DW11*Calculateur!DY11*VLOOKUP('Données projet'!$B$14,Paramètres!$A$1:$I$88,3,0)*0.475*44/12</f>
        <v>#N/A</v>
      </c>
      <c r="EC11" s="23" t="e">
        <f>EXP(-LN(2)/2)*EC10+(1-EXP(-LN(2)/2))/(LN(2)/2)*DW11*DZ11*VLOOKUP('Données projet'!$B$14,Paramètres!$A$1:$I$88,3,0)*0.475*44/12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projet'!$B$15,Paramètres!$A$1:$I$88,3,0)*VLOOKUP('Données projet'!$B$15,Paramètres!$A$1:$I$88,5,0)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projet'!$B$15,Paramètres!$A$1:$I$88,7,0))</f>
        <v>0</v>
      </c>
      <c r="ET11" s="17">
        <f>IF(ISNA(VLOOKUP(A11,'Données projet'!$A$191:$I$211,6,0)),0%,VLOOKUP(A11,'Données projet'!$A$191:$I$211,6,0)*VLOOKUP('Données projet'!$B$15,Paramètres!$A$1:$I$88,7,0))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projet'!$B$15,Paramètres!$A$1:$I$88,3,0)*0.475*44/12</f>
        <v>#N/A</v>
      </c>
      <c r="EW11" s="23" t="e">
        <f>EXP(-LN(2)/25)*EW10+(1-EXP(-LN(2)/25))/(LN(2)/25)*Calculateur!ER11*Calculateur!ET11*VLOOKUP('Données projet'!$B$15,Paramètres!$A$1:$I$88,3,0)*0.475*44/12</f>
        <v>#N/A</v>
      </c>
      <c r="EX11" s="23" t="e">
        <f>EXP(-LN(2)/2)*EX10+(1-EXP(-LN(2)/2))/(LN(2)/2)*ER11*EU11*VLOOKUP('Données projet'!$B$15,Paramètres!$A$1:$I$88,3,0)*0.475*44/12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projet'!$B$16,Paramètres!$A$1:$I$88,3,0)*VLOOKUP('Données projet'!$B$16,Paramètres!$A$1:$I$88,5,0)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projet'!$B$16,Paramètres!$A$1:$I$88,7,0))</f>
        <v>0</v>
      </c>
      <c r="FO11" s="17">
        <f>IF(ISNA(VLOOKUP(A11,'Données projet'!$A$217:$I$237,6,0)),0%,VLOOKUP(A11,'Données projet'!$A$217:$I$237,6,0)*VLOOKUP('Données projet'!$B$16,Paramètres!$A$1:$I$88,7,0))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projet'!$B$16,Paramètres!$A$1:$I$88,3,0)*0.475*44/12</f>
        <v>#N/A</v>
      </c>
      <c r="FR11" s="23" t="e">
        <f>EXP(-LN(2)/25)*FR10+(1-EXP(-LN(2)/25))/(LN(2)/25)*Calculateur!FM11*Calculateur!FO11*VLOOKUP('Données projet'!$B$16,Paramètres!$A$1:$I$88,3,0)*0.475*44/12</f>
        <v>#N/A</v>
      </c>
      <c r="FS11" s="23" t="e">
        <f>EXP(-LN(2)/2)*FS10+(1-EXP(-LN(2)/2))/(LN(2)/2)*FM11*FP11*VLOOKUP('Données projet'!$B$16,Paramètres!$A$1:$I$88,3,0)*0.475*44/12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projet'!$B$17,Paramètres!$A$1:$I$88,3,0)*VLOOKUP('Données projet'!$B$17,Paramètres!$A$1:$I$88,5,0)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projet'!$B$17,Paramètres!$A$1:$I$88,7,0))</f>
        <v>0</v>
      </c>
      <c r="GJ11" s="17">
        <f>IF(ISNA(VLOOKUP(A11,'Données projet'!$A$243:$I$263,6,0)),0%,VLOOKUP(A11,'Données projet'!$A$243:$I$263,6,0)*VLOOKUP('Données projet'!$B$17,Paramètres!$A$1:$I$88,7,0))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projet'!$B$17,Paramètres!$A$1:$I$88,3,0)*0.475*44/12</f>
        <v>#N/A</v>
      </c>
      <c r="GM11" s="23" t="e">
        <f>EXP(-LN(2)/25)*GM10+(1-EXP(-LN(2)/25))/(LN(2)/25)*Calculateur!GH11*Calculateur!GJ11*VLOOKUP('Données projet'!$B$17,Paramètres!$A$1:$I$88,3,0)*0.475*44/12</f>
        <v>#N/A</v>
      </c>
      <c r="GN11" s="23" t="e">
        <f>EXP(-LN(2)/2)*GN10+(1-EXP(-LN(2)/2))/(LN(2)/2)*GH11*GK11*VLOOKUP('Données projet'!$B$17,Paramètres!$A$1:$I$88,3,0)*0.475*44/12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projet'!$B$18,Paramètres!$A$1:$I$88,3,0)*VLOOKUP('Données projet'!$B$18,Paramètres!$A$1:$I$88,5,0)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projet'!$B$18,Paramètres!$A$1:$I$88,7,0))</f>
        <v>0</v>
      </c>
      <c r="HE11" s="17">
        <f>IF(ISNA(VLOOKUP(A11,'Données projet'!$A$269:$I$289,6,0)),0%,VLOOKUP(A11,'Données projet'!$A$269:$I$289,6,0)*VLOOKUP('Données projet'!$B$18,Paramètres!$A$1:$I$88,7,0))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projet'!$B$18,Paramètres!$A$1:$I$88,3,0)*0.475*44/12</f>
        <v>#N/A</v>
      </c>
      <c r="HH11" s="23" t="e">
        <f>EXP(-LN(2)/25)*HH10+(1-EXP(-LN(2)/25))/(LN(2)/25)*Calculateur!HC11*Calculateur!HE11*VLOOKUP('Données projet'!$B$18,Paramètres!$A$1:$I$88,3,0)*0.475*44/12</f>
        <v>#N/A</v>
      </c>
      <c r="HI11" s="23" t="e">
        <f>EXP(-LN(2)/2)*HI10+(1-EXP(-LN(2)/2))/(LN(2)/2)*HC11*HF11*VLOOKUP('Données projet'!$B$18,Paramètres!$A$1:$I$88,3,0)*0.475*44/12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6.2222222222222223</v>
      </c>
      <c r="N12" s="14">
        <f>IF('Données projet'!$A$36&gt;35,N11+M12-V11,IF(A12&lt;'Données projet'!$A$36,$K$205^A12,IF(A12='Données projet'!$A$36,'Données projet'!$B$36,N11+M12-V11)))</f>
        <v>10.583005244258365</v>
      </c>
      <c r="O12" s="14">
        <f>N12*VLOOKUP('Données projet'!$B$9,Paramètres!$A$1:$I$88,3,0)*VLOOKUP('Données projet'!$B$9,Paramètres!$A$1:$I$88,5,0)</f>
        <v>6.6037952724172193</v>
      </c>
      <c r="P12" s="14">
        <f t="shared" si="33"/>
        <v>2.4429900082608067</v>
      </c>
      <c r="Q12" s="22">
        <f t="shared" si="2"/>
        <v>15.75648436384756</v>
      </c>
      <c r="R12" s="62">
        <f t="shared" si="0"/>
        <v>309.08981769718088</v>
      </c>
      <c r="S12" s="62">
        <f ca="1">AVERAGE(OFFSET($R$3,0,0,'Données projet'!$E$9+1,1))-AVERAGE(OFFSET($H$3,0,0,'Données projet'!$E$9+1,1))</f>
        <v>175.05987582828078</v>
      </c>
      <c r="T12" s="62">
        <f t="shared" si="34"/>
        <v>268.54782308462387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projet'!$B$9,Paramètres!$A$1:$I$88,7,0))</f>
        <v>0</v>
      </c>
      <c r="X12" s="17">
        <f>IF(ISNA(VLOOKUP(A12,'Données projet'!$A$35:$I$55,6,0)),0%,VLOOKUP(A12,'Données projet'!$A$35:$I$55,6,0)*VLOOKUP('Données projet'!$B$9,Paramètres!$A$1:$I$88,7,0))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projet'!$B$9,Paramètres!$A$1:$I$88,3,0)*0.475*44/12</f>
        <v>0</v>
      </c>
      <c r="AA12" s="23">
        <f>EXP(-LN(2)/25)*AA11+(1-EXP(-LN(2)/25))/(LN(2)/25)*Calculateur!V12*Calculateur!X12*VLOOKUP('Données projet'!$B$9,Paramètres!$A$1:$I$88,3,0)*0.475*44/12</f>
        <v>0</v>
      </c>
      <c r="AB12" s="23">
        <f>EXP(-LN(2)/2)*AB11+(1-EXP(-LN(2)/2))/(LN(2)/2)*V12*Y12*VLOOKUP('Données projet'!$B$9,Paramètres!$A$1:$I$88,3,0)*0.475*44/12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12.133333333333333</v>
      </c>
      <c r="AI12" s="14">
        <f>IF('Données projet'!$A$62&gt;35,AI11+AH12-AQ11,IF(A12&lt;'Données projet'!$A$62,$AF$205^A12,IF(A12='Données projet'!$A$62,'Données projet'!$B$62,AI11+AH12-AQ11)))</f>
        <v>5.8658427330981775</v>
      </c>
      <c r="AJ12" s="14">
        <f>AI12*VLOOKUP('Données projet'!$B$10,Paramètres!$A$1:$I$88,3,0)*VLOOKUP('Données projet'!$B$10,Paramètres!$A$1:$I$88,5,0)</f>
        <v>2.8214703546202231</v>
      </c>
      <c r="AK12" s="14">
        <f t="shared" si="35"/>
        <v>1.1523707044764466</v>
      </c>
      <c r="AL12" s="22">
        <f t="shared" si="4"/>
        <v>6.9211065112600325</v>
      </c>
      <c r="AM12" s="62">
        <f t="shared" si="5"/>
        <v>300.25443984459332</v>
      </c>
      <c r="AN12" s="62">
        <f ca="1">AVERAGE(OFFSET($AM$3,0,0,'Données projet'!$E$10+1,1))-AVERAGE(OFFSET($H$3,0,0,'Données projet'!$E$10+1,1))</f>
        <v>576.61210817354549</v>
      </c>
      <c r="AO12" s="62">
        <f t="shared" si="36"/>
        <v>343.9428747444544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projet'!$B$10,Paramètres!$A$1:$I$88,7,0))</f>
        <v>0</v>
      </c>
      <c r="AS12" s="17">
        <f>IF(ISNA(VLOOKUP(A12,'Données projet'!$A$61:$I$81,6,0)),0%,VLOOKUP(A12,'Données projet'!$A$61:$I$81,6,0)*VLOOKUP('Données projet'!$B$10,Paramètres!$A$1:$I$88,7,0))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projet'!$B$10,Paramètres!$A$1:$I$88,3,0)*0.475*44/12</f>
        <v>0</v>
      </c>
      <c r="AV12" s="23">
        <f>EXP(-LN(2)/25)*AV11+(1-EXP(-LN(2)/25))/(LN(2)/25)*Calculateur!AQ12*Calculateur!AS12*VLOOKUP('Données projet'!$B$10,Paramètres!$A$1:$I$88,3,0)*0.475*44/12</f>
        <v>0</v>
      </c>
      <c r="AW12" s="23">
        <f>EXP(-LN(2)/2)*AW11+(1-EXP(-LN(2)/2))/(LN(2)/2)*AQ12*AT12*VLOOKUP('Données projet'!$B$10,Paramètres!$A$1:$I$88,3,0)*0.475*44/12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1.1099999999999999</v>
      </c>
      <c r="BD12" s="13">
        <f>IF('Données projet'!$A$88&gt;35,BD11+BC12-BL11,IF(A12&lt;'Données projet'!$A$88,$BA$205^A12,IF(A12='Données projet'!$A$88,'Données projet'!$B$88,BD11+BC12-BL11)))</f>
        <v>8.7255071937385704</v>
      </c>
      <c r="BE12" s="14">
        <f>BD12*VLOOKUP('Données projet'!$B$11,Paramètres!$A$1:$I$88,3,0)*VLOOKUP('Données projet'!$B$11,Paramètres!$A$1:$I$88,5,0)</f>
        <v>6.9420135233384066</v>
      </c>
      <c r="BF12" s="14">
        <f t="shared" si="37"/>
        <v>2.5532222076821487</v>
      </c>
      <c r="BG12" s="22">
        <f t="shared" si="7"/>
        <v>16.5375355648608</v>
      </c>
      <c r="BH12" s="62">
        <f t="shared" si="8"/>
        <v>309.87086889819409</v>
      </c>
      <c r="BI12" s="62">
        <f ca="1">AVERAGE(OFFSET($BH$3,0,0,'Données projet'!$E$11+1,1))-AVERAGE(OFFSET($H$3,0,0,'Données projet'!$E$11+1,1))</f>
        <v>298.38448036212861</v>
      </c>
      <c r="BJ12" s="62">
        <f t="shared" si="38"/>
        <v>270.4445531106897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projet'!$B$11,Paramètres!$A$1:$I$88,7,0))</f>
        <v>0</v>
      </c>
      <c r="BN12" s="17">
        <f>IF(ISNA(VLOOKUP(A12,'Données projet'!$A$87:$I$107,6,0)),0%,VLOOKUP(A12,'Données projet'!$A$87:$I$107,6,0)*VLOOKUP('Données projet'!$B$11,Paramètres!$A$1:$I$88,7,0))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projet'!$B$11,Paramètres!$A$1:$I$88,3,0)*0.475*44/12</f>
        <v>0</v>
      </c>
      <c r="BQ12" s="23">
        <f>EXP(-LN(2)/25)*BQ11+(1-EXP(-LN(2)/25))/(LN(2)/25)*Calculateur!BL12*Calculateur!BN12*VLOOKUP('Données projet'!$B$11,Paramètres!$A$1:$I$88,3,0)*0.475*44/12</f>
        <v>0</v>
      </c>
      <c r="BR12" s="23">
        <f>EXP(-LN(2)/2)*BR11+(1-EXP(-LN(2)/2))/(LN(2)/2)*BL12*BO12*VLOOKUP('Données projet'!$B$11,Paramètres!$A$1:$I$88,3,0)*0.475*44/12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2.6666666666666665</v>
      </c>
      <c r="BY12" s="13">
        <f>IF('Données projet'!$A$114&gt;35,BY11+BX12-CG11,IF(A12&lt;'Données projet'!$A$114,$BV$205^A12,IF(A12='Données projet'!$A$114,'Données projet'!$B$114,BY11+BX12-CG11)))</f>
        <v>9.1461010385465205</v>
      </c>
      <c r="BZ12" s="14">
        <f>BY12*VLOOKUP('Données projet'!$B$12,Paramètres!$A$1:$I$88,3,0)*VLOOKUP('Données projet'!$B$12,Paramètres!$A$1:$I$88,5,0)</f>
        <v>7.1339588100662858</v>
      </c>
      <c r="CA12" s="14">
        <f t="shared" si="39"/>
        <v>2.6155015444227643</v>
      </c>
      <c r="CB12" s="22">
        <f t="shared" si="10"/>
        <v>16.980310117401761</v>
      </c>
      <c r="CC12" s="62">
        <f t="shared" si="11"/>
        <v>310.31364345073507</v>
      </c>
      <c r="CD12" s="62">
        <f ca="1">AVERAGE(OFFSET($CC$3,0,0,'Données projet'!$E$12+1,1))-AVERAGE(OFFSET($H$3,0,0,'Données projet'!$E$12+1,1))</f>
        <v>217.32600829266818</v>
      </c>
      <c r="CE12" s="62">
        <f t="shared" si="40"/>
        <v>208.79744153433245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projet'!$B$12,Paramètres!$A$1:$I$88,7,0))</f>
        <v>0</v>
      </c>
      <c r="CI12" s="17">
        <f>IF(ISNA(VLOOKUP(A12,'Données projet'!$A$113:$I$133,6,0)),0%,VLOOKUP(A12,'Données projet'!$A$113:$I$133,6,0)*VLOOKUP('Données projet'!$B$12,Paramètres!$A$1:$I$88,7,0))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projet'!$B$12,Paramètres!$A$1:$I$88,3,0)*0.475*44/12</f>
        <v>0</v>
      </c>
      <c r="CL12" s="23">
        <f>EXP(-LN(2)/25)*CL11+(1-EXP(-LN(2)/25))/(LN(2)/25)*Calculateur!CG12*Calculateur!CI12*VLOOKUP('Données projet'!$B$12,Paramètres!$A$1:$I$88,3,0)*0.475*44/12</f>
        <v>0</v>
      </c>
      <c r="CM12" s="23">
        <f>EXP(-LN(2)/2)*CM11+(1-EXP(-LN(2)/2))/(LN(2)/2)*CG12*CJ12*VLOOKUP('Données projet'!$B$12,Paramètres!$A$1:$I$88,3,0)*0.475*44/12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10</v>
      </c>
      <c r="CT12" s="13">
        <f>IF('Données projet'!$A$140&gt;35,CT11+CS12-DB11,IF(A12&lt;'Données projet'!$A$140,$CQ$205^A12,IF(A12='Données projet'!$A$140,'Données projet'!$B$140,CT11+CS12-DB11)))</f>
        <v>9.8909234479811374</v>
      </c>
      <c r="CU12" s="18">
        <f>CT12*VLOOKUP('Données projet'!$B$13,Paramètres!$A$1:$I$88,3,0)*VLOOKUP('Données projet'!$B$13,Paramètres!$A$1:$I$88,5,0)</f>
        <v>5.529026207421456</v>
      </c>
      <c r="CV12" s="14">
        <f t="shared" si="41"/>
        <v>2.0881246042473354</v>
      </c>
      <c r="CW12" s="22">
        <f t="shared" si="13"/>
        <v>13.266537663656479</v>
      </c>
      <c r="CX12" s="62">
        <f t="shared" si="14"/>
        <v>306.59987099698981</v>
      </c>
      <c r="CY12" s="62">
        <f ca="1">AVERAGE(OFFSET($CX$3,0,0,'Données projet'!$E$13+1,1))-AVERAGE(OFFSET($H$3,0,0,'Données projet'!$E$13+1,1))</f>
        <v>302.20483575440988</v>
      </c>
      <c r="CZ12" s="62">
        <f t="shared" si="42"/>
        <v>275.32862097158687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projet'!$B$13,Paramètres!$A$1:$I$88,7,0))</f>
        <v>0</v>
      </c>
      <c r="DD12" s="17">
        <f>IF(ISNA(VLOOKUP(A12,'Données projet'!$A$139:$I$159,6,0)),0%,VLOOKUP(A12,'Données projet'!$A$139:$I$159,6,0)*VLOOKUP('Données projet'!$B$13,Paramètres!$A$1:$I$88,7,0))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projet'!$B$13,Paramètres!$A$1:$I$88,3,0)*0.475*44/12</f>
        <v>0</v>
      </c>
      <c r="DG12" s="23">
        <f>EXP(-LN(2)/25)*DG11+(1-EXP(-LN(2)/25))/(LN(2)/25)*Calculateur!DB12*Calculateur!DD12*VLOOKUP('Données projet'!$B$13,Paramètres!$A$1:$I$88,3,0)*0.475*44/12</f>
        <v>0</v>
      </c>
      <c r="DH12" s="23">
        <f>EXP(-LN(2)/2)*DH11+(1-EXP(-LN(2)/2))/(LN(2)/2)*DB12*DE12*VLOOKUP('Données projet'!$B$13,Paramètres!$A$1:$I$88,3,0)*0.475*44/12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projet'!$B$14,Paramètres!$A$1:$I$88,3,0)*VLOOKUP('Données projet'!$B$14,Paramètres!$A$1:$I$88,5,0)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projet'!$B$14,Paramètres!$A$1:$I$88,7,0))</f>
        <v>0</v>
      </c>
      <c r="DY12" s="17">
        <f>IF(ISNA(VLOOKUP(A12,'Données projet'!$A$165:$I$185,6,0)),0%,VLOOKUP(A12,'Données projet'!$A$165:$I$185,6,0)*VLOOKUP('Données projet'!$B$14,Paramètres!$A$1:$I$88,7,0))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projet'!$B$14,Paramètres!$A$1:$I$88,3,0)*0.475*44/12</f>
        <v>#N/A</v>
      </c>
      <c r="EB12" s="23" t="e">
        <f>EXP(-LN(2)/25)*EB11+(1-EXP(-LN(2)/25))/(LN(2)/25)*Calculateur!DW12*Calculateur!DY12*VLOOKUP('Données projet'!$B$14,Paramètres!$A$1:$I$88,3,0)*0.475*44/12</f>
        <v>#N/A</v>
      </c>
      <c r="EC12" s="23" t="e">
        <f>EXP(-LN(2)/2)*EC11+(1-EXP(-LN(2)/2))/(LN(2)/2)*DW12*DZ12*VLOOKUP('Données projet'!$B$14,Paramètres!$A$1:$I$88,3,0)*0.475*44/12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projet'!$B$15,Paramètres!$A$1:$I$88,3,0)*VLOOKUP('Données projet'!$B$15,Paramètres!$A$1:$I$88,5,0)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projet'!$B$15,Paramètres!$A$1:$I$88,7,0))</f>
        <v>0</v>
      </c>
      <c r="ET12" s="17">
        <f>IF(ISNA(VLOOKUP(A12,'Données projet'!$A$191:$I$211,6,0)),0%,VLOOKUP(A12,'Données projet'!$A$191:$I$211,6,0)*VLOOKUP('Données projet'!$B$15,Paramètres!$A$1:$I$88,7,0))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projet'!$B$15,Paramètres!$A$1:$I$88,3,0)*0.475*44/12</f>
        <v>#N/A</v>
      </c>
      <c r="EW12" s="23" t="e">
        <f>EXP(-LN(2)/25)*EW11+(1-EXP(-LN(2)/25))/(LN(2)/25)*Calculateur!ER12*Calculateur!ET12*VLOOKUP('Données projet'!$B$15,Paramètres!$A$1:$I$88,3,0)*0.475*44/12</f>
        <v>#N/A</v>
      </c>
      <c r="EX12" s="23" t="e">
        <f>EXP(-LN(2)/2)*EX11+(1-EXP(-LN(2)/2))/(LN(2)/2)*ER12*EU12*VLOOKUP('Données projet'!$B$15,Paramètres!$A$1:$I$88,3,0)*0.475*44/12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projet'!$B$16,Paramètres!$A$1:$I$88,3,0)*VLOOKUP('Données projet'!$B$16,Paramètres!$A$1:$I$88,5,0)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projet'!$B$16,Paramètres!$A$1:$I$88,7,0))</f>
        <v>0</v>
      </c>
      <c r="FO12" s="17">
        <f>IF(ISNA(VLOOKUP(A12,'Données projet'!$A$217:$I$237,6,0)),0%,VLOOKUP(A12,'Données projet'!$A$217:$I$237,6,0)*VLOOKUP('Données projet'!$B$16,Paramètres!$A$1:$I$88,7,0))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projet'!$B$16,Paramètres!$A$1:$I$88,3,0)*0.475*44/12</f>
        <v>#N/A</v>
      </c>
      <c r="FR12" s="23" t="e">
        <f>EXP(-LN(2)/25)*FR11+(1-EXP(-LN(2)/25))/(LN(2)/25)*Calculateur!FM12*Calculateur!FO12*VLOOKUP('Données projet'!$B$16,Paramètres!$A$1:$I$88,3,0)*0.475*44/12</f>
        <v>#N/A</v>
      </c>
      <c r="FS12" s="23" t="e">
        <f>EXP(-LN(2)/2)*FS11+(1-EXP(-LN(2)/2))/(LN(2)/2)*FM12*FP12*VLOOKUP('Données projet'!$B$16,Paramètres!$A$1:$I$88,3,0)*0.475*44/12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projet'!$B$17,Paramètres!$A$1:$I$88,3,0)*VLOOKUP('Données projet'!$B$17,Paramètres!$A$1:$I$88,5,0)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projet'!$B$17,Paramètres!$A$1:$I$88,7,0))</f>
        <v>0</v>
      </c>
      <c r="GJ12" s="17">
        <f>IF(ISNA(VLOOKUP(A12,'Données projet'!$A$243:$I$263,6,0)),0%,VLOOKUP(A12,'Données projet'!$A$243:$I$263,6,0)*VLOOKUP('Données projet'!$B$17,Paramètres!$A$1:$I$88,7,0))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projet'!$B$17,Paramètres!$A$1:$I$88,3,0)*0.475*44/12</f>
        <v>#N/A</v>
      </c>
      <c r="GM12" s="23" t="e">
        <f>EXP(-LN(2)/25)*GM11+(1-EXP(-LN(2)/25))/(LN(2)/25)*Calculateur!GH12*Calculateur!GJ12*VLOOKUP('Données projet'!$B$17,Paramètres!$A$1:$I$88,3,0)*0.475*44/12</f>
        <v>#N/A</v>
      </c>
      <c r="GN12" s="23" t="e">
        <f>EXP(-LN(2)/2)*GN11+(1-EXP(-LN(2)/2))/(LN(2)/2)*GH12*GK12*VLOOKUP('Données projet'!$B$17,Paramètres!$A$1:$I$88,3,0)*0.475*44/12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projet'!$B$18,Paramètres!$A$1:$I$88,3,0)*VLOOKUP('Données projet'!$B$18,Paramètres!$A$1:$I$88,5,0)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projet'!$B$18,Paramètres!$A$1:$I$88,7,0))</f>
        <v>0</v>
      </c>
      <c r="HE12" s="17">
        <f>IF(ISNA(VLOOKUP(A12,'Données projet'!$A$269:$I$289,6,0)),0%,VLOOKUP(A12,'Données projet'!$A$269:$I$289,6,0)*VLOOKUP('Données projet'!$B$18,Paramètres!$A$1:$I$88,7,0))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projet'!$B$18,Paramètres!$A$1:$I$88,3,0)*0.475*44/12</f>
        <v>#N/A</v>
      </c>
      <c r="HH12" s="23" t="e">
        <f>EXP(-LN(2)/25)*HH11+(1-EXP(-LN(2)/25))/(LN(2)/25)*Calculateur!HC12*Calculateur!HE12*VLOOKUP('Données projet'!$B$18,Paramètres!$A$1:$I$88,3,0)*0.475*44/12</f>
        <v>#N/A</v>
      </c>
      <c r="HI12" s="23" t="e">
        <f>EXP(-LN(2)/2)*HI11+(1-EXP(-LN(2)/2))/(LN(2)/2)*HC12*HF12*VLOOKUP('Données projet'!$B$18,Paramètres!$A$1:$I$88,3,0)*0.475*44/12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6.2222222222222223</v>
      </c>
      <c r="N13" s="14">
        <f>IF('Données projet'!$A$36&gt;35,N12+M13-V12,IF(A13&lt;'Données projet'!$A$36,$K$205^A13,IF(A13='Données projet'!$A$36,'Données projet'!$B$36,N12+M13-V12)))</f>
        <v>13.754805608204368</v>
      </c>
      <c r="O13" s="14">
        <f>N13*VLOOKUP('Données projet'!$B$9,Paramètres!$A$1:$I$88,3,0)*VLOOKUP('Données projet'!$B$9,Paramètres!$A$1:$I$88,5,0)</f>
        <v>8.5829986995195267</v>
      </c>
      <c r="P13" s="14">
        <f t="shared" si="33"/>
        <v>3.0797504443346257</v>
      </c>
      <c r="Q13" s="22">
        <f t="shared" si="2"/>
        <v>20.312621425545984</v>
      </c>
      <c r="R13" s="62">
        <f t="shared" si="0"/>
        <v>313.64595475887927</v>
      </c>
      <c r="S13" s="62">
        <f ca="1">AVERAGE(OFFSET($R$3,0,0,'Données projet'!$E$9+1,1))-AVERAGE(OFFSET($H$3,0,0,'Données projet'!$E$9+1,1))</f>
        <v>175.05987582828078</v>
      </c>
      <c r="T13" s="62">
        <f t="shared" si="34"/>
        <v>268.54782308462387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projet'!$B$9,Paramètres!$A$1:$I$88,7,0))</f>
        <v>0</v>
      </c>
      <c r="X13" s="17">
        <f>IF(ISNA(VLOOKUP(A13,'Données projet'!$A$35:$I$55,6,0)),0%,VLOOKUP(A13,'Données projet'!$A$35:$I$55,6,0)*VLOOKUP('Données projet'!$B$9,Paramètres!$A$1:$I$88,7,0))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projet'!$B$9,Paramètres!$A$1:$I$88,3,0)*0.475*44/12</f>
        <v>0</v>
      </c>
      <c r="AA13" s="23">
        <f>EXP(-LN(2)/25)*AA12+(1-EXP(-LN(2)/25))/(LN(2)/25)*Calculateur!V13*Calculateur!X13*VLOOKUP('Données projet'!$B$9,Paramètres!$A$1:$I$88,3,0)*0.475*44/12</f>
        <v>0</v>
      </c>
      <c r="AB13" s="23">
        <f>EXP(-LN(2)/2)*AB12+(1-EXP(-LN(2)/2))/(LN(2)/2)*V13*Y13*VLOOKUP('Données projet'!$B$9,Paramètres!$A$1:$I$88,3,0)*0.475*44/12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12.133333333333333</v>
      </c>
      <c r="AI13" s="14">
        <f>IF('Données projet'!$A$62&gt;35,AI12+AH13-AQ12,IF(A13&lt;'Données projet'!$A$62,$AF$205^A13,IF(A13='Données projet'!$A$62,'Données projet'!$B$62,AI12+AH13-AQ12)))</f>
        <v>7.1400369819215559</v>
      </c>
      <c r="AJ13" s="14">
        <f>AI13*VLOOKUP('Données projet'!$B$10,Paramètres!$A$1:$I$88,3,0)*VLOOKUP('Données projet'!$B$10,Paramètres!$A$1:$I$88,5,0)</f>
        <v>3.4343577883042684</v>
      </c>
      <c r="AK13" s="14">
        <f t="shared" si="35"/>
        <v>1.3709612568980554</v>
      </c>
      <c r="AL13" s="22">
        <f t="shared" si="4"/>
        <v>8.3692640037273804</v>
      </c>
      <c r="AM13" s="62">
        <f t="shared" si="5"/>
        <v>301.70259733706069</v>
      </c>
      <c r="AN13" s="62">
        <f ca="1">AVERAGE(OFFSET($AM$3,0,0,'Données projet'!$E$10+1,1))-AVERAGE(OFFSET($H$3,0,0,'Données projet'!$E$10+1,1))</f>
        <v>576.61210817354549</v>
      </c>
      <c r="AO13" s="62">
        <f t="shared" si="36"/>
        <v>343.9428747444544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projet'!$B$10,Paramètres!$A$1:$I$88,7,0))</f>
        <v>0</v>
      </c>
      <c r="AS13" s="17">
        <f>IF(ISNA(VLOOKUP(A13,'Données projet'!$A$61:$I$81,6,0)),0%,VLOOKUP(A13,'Données projet'!$A$61:$I$81,6,0)*VLOOKUP('Données projet'!$B$10,Paramètres!$A$1:$I$88,7,0))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projet'!$B$10,Paramètres!$A$1:$I$88,3,0)*0.475*44/12</f>
        <v>0</v>
      </c>
      <c r="AV13" s="23">
        <f>EXP(-LN(2)/25)*AV12+(1-EXP(-LN(2)/25))/(LN(2)/25)*Calculateur!AQ13*Calculateur!AS13*VLOOKUP('Données projet'!$B$10,Paramètres!$A$1:$I$88,3,0)*0.475*44/12</f>
        <v>0</v>
      </c>
      <c r="AW13" s="23">
        <f>EXP(-LN(2)/2)*AW12+(1-EXP(-LN(2)/2))/(LN(2)/2)*AQ13*AT13*VLOOKUP('Données projet'!$B$10,Paramètres!$A$1:$I$88,3,0)*0.475*44/12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>
        <f>VLOOKUP(A13,'Données projet'!$A$87:$I$107,2,0)</f>
        <v>11.1</v>
      </c>
      <c r="BB13" s="13">
        <f>VLOOKUP(A13,'Données projet'!$A$87:$I$107,9,0)</f>
        <v>1.1099999999999999</v>
      </c>
      <c r="BC13" s="13">
        <f t="array" ref="BC13">INDEX(BB:BB,MIN(IF(ISNUMBER(BB13:BB209),ROW(BB13:BB209),"")))</f>
        <v>1.1099999999999999</v>
      </c>
      <c r="BD13" s="13">
        <f>IF('Données projet'!$A$88&gt;35,BD12+BC13-BL12,IF(A13&lt;'Données projet'!$A$88,$BA$205^A13,IF(A13='Données projet'!$A$88,'Données projet'!$B$88,BD12+BC13-BL12)))</f>
        <v>11.1</v>
      </c>
      <c r="BE13" s="14">
        <f>BD13*VLOOKUP('Données projet'!$B$11,Paramètres!$A$1:$I$88,3,0)*VLOOKUP('Données projet'!$B$11,Paramètres!$A$1:$I$88,5,0)</f>
        <v>8.8311599999999988</v>
      </c>
      <c r="BF13" s="14">
        <f t="shared" si="37"/>
        <v>3.1582997914189717</v>
      </c>
      <c r="BG13" s="22">
        <f t="shared" si="7"/>
        <v>20.881642470054704</v>
      </c>
      <c r="BH13" s="62">
        <f t="shared" si="8"/>
        <v>314.21497580338803</v>
      </c>
      <c r="BI13" s="62">
        <f ca="1">AVERAGE(OFFSET($BH$3,0,0,'Données projet'!$E$11+1,1))-AVERAGE(OFFSET($H$3,0,0,'Données projet'!$E$11+1,1))</f>
        <v>298.38448036212861</v>
      </c>
      <c r="BJ13" s="62">
        <f t="shared" si="38"/>
        <v>270.4445531106897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projet'!$B$11,Paramètres!$A$1:$I$88,7,0))</f>
        <v>0</v>
      </c>
      <c r="BN13" s="17">
        <f>IF(ISNA(VLOOKUP(A13,'Données projet'!$A$87:$I$107,6,0)),0%,VLOOKUP(A13,'Données projet'!$A$87:$I$107,6,0)*VLOOKUP('Données projet'!$B$11,Paramètres!$A$1:$I$88,7,0))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projet'!$B$11,Paramètres!$A$1:$I$88,3,0)*0.475*44/12</f>
        <v>0</v>
      </c>
      <c r="BQ13" s="23">
        <f>EXP(-LN(2)/25)*BQ12+(1-EXP(-LN(2)/25))/(LN(2)/25)*Calculateur!BL13*Calculateur!BN13*VLOOKUP('Données projet'!$B$11,Paramètres!$A$1:$I$88,3,0)*0.475*44/12</f>
        <v>0</v>
      </c>
      <c r="BR13" s="23">
        <f>EXP(-LN(2)/2)*BR12+(1-EXP(-LN(2)/2))/(LN(2)/2)*BL13*BO13*VLOOKUP('Données projet'!$B$11,Paramètres!$A$1:$I$88,3,0)*0.475*44/12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2.6666666666666665</v>
      </c>
      <c r="BY13" s="13">
        <f>IF('Données projet'!$A$114&gt;35,BY12+BX13-CG12,IF(A13&lt;'Données projet'!$A$114,$BV$205^A13,IF(A13='Données projet'!$A$114,'Données projet'!$B$114,BY12+BX13-CG12)))</f>
        <v>11.696070952851455</v>
      </c>
      <c r="BZ13" s="14">
        <f>BY13*VLOOKUP('Données projet'!$B$12,Paramètres!$A$1:$I$88,3,0)*VLOOKUP('Données projet'!$B$12,Paramètres!$A$1:$I$88,5,0)</f>
        <v>9.1229353432241354</v>
      </c>
      <c r="CA13" s="14">
        <f t="shared" si="39"/>
        <v>3.2503265450485803</v>
      </c>
      <c r="CB13" s="22">
        <f t="shared" si="10"/>
        <v>21.550097788741649</v>
      </c>
      <c r="CC13" s="62">
        <f t="shared" si="11"/>
        <v>314.88343112207497</v>
      </c>
      <c r="CD13" s="62">
        <f ca="1">AVERAGE(OFFSET($CC$3,0,0,'Données projet'!$E$12+1,1))-AVERAGE(OFFSET($H$3,0,0,'Données projet'!$E$12+1,1))</f>
        <v>217.32600829266818</v>
      </c>
      <c r="CE13" s="62">
        <f t="shared" si="40"/>
        <v>208.79744153433245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projet'!$B$12,Paramètres!$A$1:$I$88,7,0))</f>
        <v>0</v>
      </c>
      <c r="CI13" s="17">
        <f>IF(ISNA(VLOOKUP(A13,'Données projet'!$A$113:$I$133,6,0)),0%,VLOOKUP(A13,'Données projet'!$A$113:$I$133,6,0)*VLOOKUP('Données projet'!$B$12,Paramètres!$A$1:$I$88,7,0))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projet'!$B$12,Paramètres!$A$1:$I$88,3,0)*0.475*44/12</f>
        <v>0</v>
      </c>
      <c r="CL13" s="23">
        <f>EXP(-LN(2)/25)*CL12+(1-EXP(-LN(2)/25))/(LN(2)/25)*Calculateur!CG13*Calculateur!CI13*VLOOKUP('Données projet'!$B$12,Paramètres!$A$1:$I$88,3,0)*0.475*44/12</f>
        <v>0</v>
      </c>
      <c r="CM13" s="23">
        <f>EXP(-LN(2)/2)*CM12+(1-EXP(-LN(2)/2))/(LN(2)/2)*CG13*CJ13*VLOOKUP('Données projet'!$B$12,Paramètres!$A$1:$I$88,3,0)*0.475*44/12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10</v>
      </c>
      <c r="CT13" s="13">
        <f>IF('Données projet'!$A$140&gt;35,CT12+CS13-DB12,IF(A13&lt;'Données projet'!$A$140,$CQ$205^A13,IF(A13='Données projet'!$A$140,'Données projet'!$B$140,CT12+CS13-DB12)))</f>
        <v>12.75906094165166</v>
      </c>
      <c r="CU13" s="18">
        <f>CT13*VLOOKUP('Données projet'!$B$13,Paramètres!$A$1:$I$88,3,0)*VLOOKUP('Données projet'!$B$13,Paramètres!$A$1:$I$88,5,0)</f>
        <v>7.1323150663832777</v>
      </c>
      <c r="CV13" s="14">
        <f t="shared" si="41"/>
        <v>2.6149690439328648</v>
      </c>
      <c r="CW13" s="22">
        <f t="shared" si="13"/>
        <v>16.976519825467278</v>
      </c>
      <c r="CX13" s="62">
        <f t="shared" si="14"/>
        <v>310.30985315880059</v>
      </c>
      <c r="CY13" s="62">
        <f ca="1">AVERAGE(OFFSET($CX$3,0,0,'Données projet'!$E$13+1,1))-AVERAGE(OFFSET($H$3,0,0,'Données projet'!$E$13+1,1))</f>
        <v>302.20483575440988</v>
      </c>
      <c r="CZ13" s="62">
        <f t="shared" si="42"/>
        <v>275.32862097158687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projet'!$B$13,Paramètres!$A$1:$I$88,7,0))</f>
        <v>0</v>
      </c>
      <c r="DD13" s="17">
        <f>IF(ISNA(VLOOKUP(A13,'Données projet'!$A$139:$I$159,6,0)),0%,VLOOKUP(A13,'Données projet'!$A$139:$I$159,6,0)*VLOOKUP('Données projet'!$B$13,Paramètres!$A$1:$I$88,7,0))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projet'!$B$13,Paramètres!$A$1:$I$88,3,0)*0.475*44/12</f>
        <v>0</v>
      </c>
      <c r="DG13" s="23">
        <f>EXP(-LN(2)/25)*DG12+(1-EXP(-LN(2)/25))/(LN(2)/25)*Calculateur!DB13*Calculateur!DD13*VLOOKUP('Données projet'!$B$13,Paramètres!$A$1:$I$88,3,0)*0.475*44/12</f>
        <v>0</v>
      </c>
      <c r="DH13" s="23">
        <f>EXP(-LN(2)/2)*DH12+(1-EXP(-LN(2)/2))/(LN(2)/2)*DB13*DE13*VLOOKUP('Données projet'!$B$13,Paramètres!$A$1:$I$88,3,0)*0.475*44/12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projet'!$B$14,Paramètres!$A$1:$I$88,3,0)*VLOOKUP('Données projet'!$B$14,Paramètres!$A$1:$I$88,5,0)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projet'!$B$14,Paramètres!$A$1:$I$88,7,0))</f>
        <v>0</v>
      </c>
      <c r="DY13" s="17">
        <f>IF(ISNA(VLOOKUP(A13,'Données projet'!$A$165:$I$185,6,0)),0%,VLOOKUP(A13,'Données projet'!$A$165:$I$185,6,0)*VLOOKUP('Données projet'!$B$14,Paramètres!$A$1:$I$88,7,0))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projet'!$B$14,Paramètres!$A$1:$I$88,3,0)*0.475*44/12</f>
        <v>#N/A</v>
      </c>
      <c r="EB13" s="23" t="e">
        <f>EXP(-LN(2)/25)*EB12+(1-EXP(-LN(2)/25))/(LN(2)/25)*Calculateur!DW13*Calculateur!DY13*VLOOKUP('Données projet'!$B$14,Paramètres!$A$1:$I$88,3,0)*0.475*44/12</f>
        <v>#N/A</v>
      </c>
      <c r="EC13" s="23" t="e">
        <f>EXP(-LN(2)/2)*EC12+(1-EXP(-LN(2)/2))/(LN(2)/2)*DW13*DZ13*VLOOKUP('Données projet'!$B$14,Paramètres!$A$1:$I$88,3,0)*0.475*44/12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projet'!$B$15,Paramètres!$A$1:$I$88,3,0)*VLOOKUP('Données projet'!$B$15,Paramètres!$A$1:$I$88,5,0)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projet'!$B$15,Paramètres!$A$1:$I$88,7,0))</f>
        <v>0</v>
      </c>
      <c r="ET13" s="17">
        <f>IF(ISNA(VLOOKUP(A13,'Données projet'!$A$191:$I$211,6,0)),0%,VLOOKUP(A13,'Données projet'!$A$191:$I$211,6,0)*VLOOKUP('Données projet'!$B$15,Paramètres!$A$1:$I$88,7,0))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projet'!$B$15,Paramètres!$A$1:$I$88,3,0)*0.475*44/12</f>
        <v>#N/A</v>
      </c>
      <c r="EW13" s="23" t="e">
        <f>EXP(-LN(2)/25)*EW12+(1-EXP(-LN(2)/25))/(LN(2)/25)*Calculateur!ER13*Calculateur!ET13*VLOOKUP('Données projet'!$B$15,Paramètres!$A$1:$I$88,3,0)*0.475*44/12</f>
        <v>#N/A</v>
      </c>
      <c r="EX13" s="23" t="e">
        <f>EXP(-LN(2)/2)*EX12+(1-EXP(-LN(2)/2))/(LN(2)/2)*ER13*EU13*VLOOKUP('Données projet'!$B$15,Paramètres!$A$1:$I$88,3,0)*0.475*44/12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projet'!$B$16,Paramètres!$A$1:$I$88,3,0)*VLOOKUP('Données projet'!$B$16,Paramètres!$A$1:$I$88,5,0)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projet'!$B$16,Paramètres!$A$1:$I$88,7,0))</f>
        <v>0</v>
      </c>
      <c r="FO13" s="17">
        <f>IF(ISNA(VLOOKUP(A13,'Données projet'!$A$217:$I$237,6,0)),0%,VLOOKUP(A13,'Données projet'!$A$217:$I$237,6,0)*VLOOKUP('Données projet'!$B$16,Paramètres!$A$1:$I$88,7,0))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projet'!$B$16,Paramètres!$A$1:$I$88,3,0)*0.475*44/12</f>
        <v>#N/A</v>
      </c>
      <c r="FR13" s="23" t="e">
        <f>EXP(-LN(2)/25)*FR12+(1-EXP(-LN(2)/25))/(LN(2)/25)*Calculateur!FM13*Calculateur!FO13*VLOOKUP('Données projet'!$B$16,Paramètres!$A$1:$I$88,3,0)*0.475*44/12</f>
        <v>#N/A</v>
      </c>
      <c r="FS13" s="23" t="e">
        <f>EXP(-LN(2)/2)*FS12+(1-EXP(-LN(2)/2))/(LN(2)/2)*FM13*FP13*VLOOKUP('Données projet'!$B$16,Paramètres!$A$1:$I$88,3,0)*0.475*44/12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projet'!$B$17,Paramètres!$A$1:$I$88,3,0)*VLOOKUP('Données projet'!$B$17,Paramètres!$A$1:$I$88,5,0)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projet'!$B$17,Paramètres!$A$1:$I$88,7,0))</f>
        <v>0</v>
      </c>
      <c r="GJ13" s="17">
        <f>IF(ISNA(VLOOKUP(A13,'Données projet'!$A$243:$I$263,6,0)),0%,VLOOKUP(A13,'Données projet'!$A$243:$I$263,6,0)*VLOOKUP('Données projet'!$B$17,Paramètres!$A$1:$I$88,7,0))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projet'!$B$17,Paramètres!$A$1:$I$88,3,0)*0.475*44/12</f>
        <v>#N/A</v>
      </c>
      <c r="GM13" s="23" t="e">
        <f>EXP(-LN(2)/25)*GM12+(1-EXP(-LN(2)/25))/(LN(2)/25)*Calculateur!GH13*Calculateur!GJ13*VLOOKUP('Données projet'!$B$17,Paramètres!$A$1:$I$88,3,0)*0.475*44/12</f>
        <v>#N/A</v>
      </c>
      <c r="GN13" s="23" t="e">
        <f>EXP(-LN(2)/2)*GN12+(1-EXP(-LN(2)/2))/(LN(2)/2)*GH13*GK13*VLOOKUP('Données projet'!$B$17,Paramètres!$A$1:$I$88,3,0)*0.475*44/12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projet'!$B$18,Paramètres!$A$1:$I$88,3,0)*VLOOKUP('Données projet'!$B$18,Paramètres!$A$1:$I$88,5,0)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projet'!$B$18,Paramètres!$A$1:$I$88,7,0))</f>
        <v>0</v>
      </c>
      <c r="HE13" s="17">
        <f>IF(ISNA(VLOOKUP(A13,'Données projet'!$A$269:$I$289,6,0)),0%,VLOOKUP(A13,'Données projet'!$A$269:$I$289,6,0)*VLOOKUP('Données projet'!$B$18,Paramètres!$A$1:$I$88,7,0))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projet'!$B$18,Paramètres!$A$1:$I$88,3,0)*0.475*44/12</f>
        <v>#N/A</v>
      </c>
      <c r="HH13" s="23" t="e">
        <f>EXP(-LN(2)/25)*HH12+(1-EXP(-LN(2)/25))/(LN(2)/25)*Calculateur!HC13*Calculateur!HE13*VLOOKUP('Données projet'!$B$18,Paramètres!$A$1:$I$88,3,0)*0.475*44/12</f>
        <v>#N/A</v>
      </c>
      <c r="HI13" s="23" t="e">
        <f>EXP(-LN(2)/2)*HI12+(1-EXP(-LN(2)/2))/(LN(2)/2)*HC13*HF13*VLOOKUP('Données projet'!$B$18,Paramètres!$A$1:$I$88,3,0)*0.475*44/12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6.2222222222222223</v>
      </c>
      <c r="N14" s="14">
        <f>IF('Données projet'!$A$36&gt;35,N13+M14-V13,IF(A14&lt;'Données projet'!$A$36,$K$205^A14,IF(A14='Données projet'!$A$36,'Données projet'!$B$36,N13+M14-V13)))</f>
        <v>17.877216627302985</v>
      </c>
      <c r="O14" s="14">
        <f>N14*VLOOKUP('Données projet'!$B$9,Paramètres!$A$1:$I$88,3,0)*VLOOKUP('Données projet'!$B$9,Paramètres!$A$1:$I$88,5,0)</f>
        <v>11.155383175437063</v>
      </c>
      <c r="P14" s="14">
        <f t="shared" si="33"/>
        <v>3.8824812083990929</v>
      </c>
      <c r="Q14" s="22">
        <f t="shared" si="2"/>
        <v>26.1909471351813</v>
      </c>
      <c r="R14" s="62">
        <f t="shared" si="0"/>
        <v>319.52428046851463</v>
      </c>
      <c r="S14" s="62">
        <f ca="1">AVERAGE(OFFSET($R$3,0,0,'Données projet'!$E$9+1,1))-AVERAGE(OFFSET($H$3,0,0,'Données projet'!$E$9+1,1))</f>
        <v>175.05987582828078</v>
      </c>
      <c r="T14" s="62">
        <f t="shared" si="34"/>
        <v>268.54782308462387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projet'!$B$9,Paramètres!$A$1:$I$88,7,0))</f>
        <v>0</v>
      </c>
      <c r="X14" s="17">
        <f>IF(ISNA(VLOOKUP(A14,'Données projet'!$A$35:$I$55,6,0)),0%,VLOOKUP(A14,'Données projet'!$A$35:$I$55,6,0)*VLOOKUP('Données projet'!$B$9,Paramètres!$A$1:$I$88,7,0))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projet'!$B$9,Paramètres!$A$1:$I$88,3,0)*0.475*44/12</f>
        <v>0</v>
      </c>
      <c r="AA14" s="23">
        <f>EXP(-LN(2)/25)*AA13+(1-EXP(-LN(2)/25))/(LN(2)/25)*Calculateur!V14*Calculateur!X14*VLOOKUP('Données projet'!$B$9,Paramètres!$A$1:$I$88,3,0)*0.475*44/12</f>
        <v>0</v>
      </c>
      <c r="AB14" s="23">
        <f>EXP(-LN(2)/2)*AB13+(1-EXP(-LN(2)/2))/(LN(2)/2)*V14*Y14*VLOOKUP('Données projet'!$B$9,Paramètres!$A$1:$I$88,3,0)*0.475*44/12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12.133333333333333</v>
      </c>
      <c r="AI14" s="14">
        <f>IF('Données projet'!$A$62&gt;35,AI13+AH14-AQ13,IF(A14&lt;'Données projet'!$A$62,$AF$205^A14,IF(A14='Données projet'!$A$62,'Données projet'!$B$62,AI13+AH14-AQ13)))</f>
        <v>8.6910151572170058</v>
      </c>
      <c r="AJ14" s="14">
        <f>AI14*VLOOKUP('Données projet'!$B$10,Paramètres!$A$1:$I$88,3,0)*VLOOKUP('Données projet'!$B$10,Paramètres!$A$1:$I$88,5,0)</f>
        <v>4.1803782906213796</v>
      </c>
      <c r="AK14" s="14">
        <f t="shared" si="35"/>
        <v>1.6310157491980148</v>
      </c>
      <c r="AL14" s="22">
        <f t="shared" si="4"/>
        <v>10.121511286018778</v>
      </c>
      <c r="AM14" s="62">
        <f t="shared" si="5"/>
        <v>303.45484461935212</v>
      </c>
      <c r="AN14" s="62">
        <f ca="1">AVERAGE(OFFSET($AM$3,0,0,'Données projet'!$E$10+1,1))-AVERAGE(OFFSET($H$3,0,0,'Données projet'!$E$10+1,1))</f>
        <v>576.61210817354549</v>
      </c>
      <c r="AO14" s="62">
        <f t="shared" si="36"/>
        <v>343.9428747444544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projet'!$B$10,Paramètres!$A$1:$I$88,7,0))</f>
        <v>0</v>
      </c>
      <c r="AS14" s="17">
        <f>IF(ISNA(VLOOKUP(A14,'Données projet'!$A$61:$I$81,6,0)),0%,VLOOKUP(A14,'Données projet'!$A$61:$I$81,6,0)*VLOOKUP('Données projet'!$B$10,Paramètres!$A$1:$I$88,7,0))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projet'!$B$10,Paramètres!$A$1:$I$88,3,0)*0.475*44/12</f>
        <v>0</v>
      </c>
      <c r="AV14" s="23">
        <f>EXP(-LN(2)/25)*AV13+(1-EXP(-LN(2)/25))/(LN(2)/25)*Calculateur!AQ14*Calculateur!AS14*VLOOKUP('Données projet'!$B$10,Paramètres!$A$1:$I$88,3,0)*0.475*44/12</f>
        <v>0</v>
      </c>
      <c r="AW14" s="23">
        <f>EXP(-LN(2)/2)*AW13+(1-EXP(-LN(2)/2))/(LN(2)/2)*AQ14*AT14*VLOOKUP('Données projet'!$B$10,Paramètres!$A$1:$I$88,3,0)*0.475*44/12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10.68</v>
      </c>
      <c r="BD14" s="13">
        <f>IF('Données projet'!$A$88&gt;35,BD13+BC14-BL13,IF(A14&lt;'Données projet'!$A$88,$BA$205^A14,IF(A14='Données projet'!$A$88,'Données projet'!$B$88,BD13+BC14-BL13)))</f>
        <v>21.78</v>
      </c>
      <c r="BE14" s="14">
        <f>BD14*VLOOKUP('Données projet'!$B$11,Paramètres!$A$1:$I$88,3,0)*VLOOKUP('Données projet'!$B$11,Paramètres!$A$1:$I$88,5,0)</f>
        <v>17.328168000000002</v>
      </c>
      <c r="BF14" s="14">
        <f t="shared" si="37"/>
        <v>5.7294628302508057</v>
      </c>
      <c r="BG14" s="22">
        <f t="shared" si="7"/>
        <v>40.158707029353486</v>
      </c>
      <c r="BH14" s="62">
        <f t="shared" si="8"/>
        <v>333.49204036268679</v>
      </c>
      <c r="BI14" s="62">
        <f ca="1">AVERAGE(OFFSET($BH$3,0,0,'Données projet'!$E$11+1,1))-AVERAGE(OFFSET($H$3,0,0,'Données projet'!$E$11+1,1))</f>
        <v>298.38448036212861</v>
      </c>
      <c r="BJ14" s="62">
        <f t="shared" si="38"/>
        <v>270.4445531106897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projet'!$B$11,Paramètres!$A$1:$I$88,7,0))</f>
        <v>0</v>
      </c>
      <c r="BN14" s="17">
        <f>IF(ISNA(VLOOKUP(A14,'Données projet'!$A$87:$I$107,6,0)),0%,VLOOKUP(A14,'Données projet'!$A$87:$I$107,6,0)*VLOOKUP('Données projet'!$B$11,Paramètres!$A$1:$I$88,7,0))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projet'!$B$11,Paramètres!$A$1:$I$88,3,0)*0.475*44/12</f>
        <v>0</v>
      </c>
      <c r="BQ14" s="23">
        <f>EXP(-LN(2)/25)*BQ13+(1-EXP(-LN(2)/25))/(LN(2)/25)*Calculateur!BL14*Calculateur!BN14*VLOOKUP('Données projet'!$B$11,Paramètres!$A$1:$I$88,3,0)*0.475*44/12</f>
        <v>0</v>
      </c>
      <c r="BR14" s="23">
        <f>EXP(-LN(2)/2)*BR13+(1-EXP(-LN(2)/2))/(LN(2)/2)*BL14*BO14*VLOOKUP('Données projet'!$B$11,Paramètres!$A$1:$I$88,3,0)*0.475*44/12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2.6666666666666665</v>
      </c>
      <c r="BY14" s="13">
        <f>IF('Données projet'!$A$114&gt;35,BY13+BX14-CG13,IF(A14&lt;'Données projet'!$A$114,$BV$205^A14,IF(A14='Données projet'!$A$114,'Données projet'!$B$114,BY13+BX14-CG13)))</f>
        <v>14.956982779612416</v>
      </c>
      <c r="BZ14" s="14">
        <f>BY14*VLOOKUP('Données projet'!$B$12,Paramètres!$A$1:$I$88,3,0)*VLOOKUP('Données projet'!$B$12,Paramètres!$A$1:$I$88,5,0)</f>
        <v>11.666446568097685</v>
      </c>
      <c r="CA14" s="14">
        <f t="shared" si="39"/>
        <v>4.0392339557111736</v>
      </c>
      <c r="CB14" s="22">
        <f t="shared" si="10"/>
        <v>27.354060245633761</v>
      </c>
      <c r="CC14" s="62">
        <f t="shared" si="11"/>
        <v>320.68739357896709</v>
      </c>
      <c r="CD14" s="62">
        <f ca="1">AVERAGE(OFFSET($CC$3,0,0,'Données projet'!$E$12+1,1))-AVERAGE(OFFSET($H$3,0,0,'Données projet'!$E$12+1,1))</f>
        <v>217.32600829266818</v>
      </c>
      <c r="CE14" s="62">
        <f t="shared" si="40"/>
        <v>208.79744153433245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projet'!$B$12,Paramètres!$A$1:$I$88,7,0))</f>
        <v>0</v>
      </c>
      <c r="CI14" s="17">
        <f>IF(ISNA(VLOOKUP(A14,'Données projet'!$A$113:$I$133,6,0)),0%,VLOOKUP(A14,'Données projet'!$A$113:$I$133,6,0)*VLOOKUP('Données projet'!$B$12,Paramètres!$A$1:$I$88,7,0))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projet'!$B$12,Paramètres!$A$1:$I$88,3,0)*0.475*44/12</f>
        <v>0</v>
      </c>
      <c r="CL14" s="23">
        <f>EXP(-LN(2)/25)*CL13+(1-EXP(-LN(2)/25))/(LN(2)/25)*Calculateur!CG14*Calculateur!CI14*VLOOKUP('Données projet'!$B$12,Paramètres!$A$1:$I$88,3,0)*0.475*44/12</f>
        <v>0</v>
      </c>
      <c r="CM14" s="23">
        <f>EXP(-LN(2)/2)*CM13+(1-EXP(-LN(2)/2))/(LN(2)/2)*CG14*CJ14*VLOOKUP('Données projet'!$B$12,Paramètres!$A$1:$I$88,3,0)*0.475*44/12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10</v>
      </c>
      <c r="CT14" s="13">
        <f>IF('Données projet'!$A$140&gt;35,CT13+CS14-DB13,IF(A14&lt;'Données projet'!$A$140,$CQ$205^A14,IF(A14='Données projet'!$A$140,'Données projet'!$B$140,CT13+CS14-DB13)))</f>
        <v>16.45889152503846</v>
      </c>
      <c r="CU14" s="18">
        <f>CT14*VLOOKUP('Données projet'!$B$13,Paramètres!$A$1:$I$88,3,0)*VLOOKUP('Données projet'!$B$13,Paramètres!$A$1:$I$88,5,0)</f>
        <v>9.2005203624964995</v>
      </c>
      <c r="CV14" s="14">
        <f t="shared" si="41"/>
        <v>3.2747390106980423</v>
      </c>
      <c r="CW14" s="22">
        <f t="shared" si="13"/>
        <v>21.727743408313824</v>
      </c>
      <c r="CX14" s="62">
        <f t="shared" si="14"/>
        <v>315.06107674164713</v>
      </c>
      <c r="CY14" s="62">
        <f ca="1">AVERAGE(OFFSET($CX$3,0,0,'Données projet'!$E$13+1,1))-AVERAGE(OFFSET($H$3,0,0,'Données projet'!$E$13+1,1))</f>
        <v>302.20483575440988</v>
      </c>
      <c r="CZ14" s="62">
        <f t="shared" si="42"/>
        <v>275.32862097158687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projet'!$B$13,Paramètres!$A$1:$I$88,7,0))</f>
        <v>0</v>
      </c>
      <c r="DD14" s="17">
        <f>IF(ISNA(VLOOKUP(A14,'Données projet'!$A$139:$I$159,6,0)),0%,VLOOKUP(A14,'Données projet'!$A$139:$I$159,6,0)*VLOOKUP('Données projet'!$B$13,Paramètres!$A$1:$I$88,7,0))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projet'!$B$13,Paramètres!$A$1:$I$88,3,0)*0.475*44/12</f>
        <v>0</v>
      </c>
      <c r="DG14" s="23">
        <f>EXP(-LN(2)/25)*DG13+(1-EXP(-LN(2)/25))/(LN(2)/25)*Calculateur!DB14*Calculateur!DD14*VLOOKUP('Données projet'!$B$13,Paramètres!$A$1:$I$88,3,0)*0.475*44/12</f>
        <v>0</v>
      </c>
      <c r="DH14" s="23">
        <f>EXP(-LN(2)/2)*DH13+(1-EXP(-LN(2)/2))/(LN(2)/2)*DB14*DE14*VLOOKUP('Données projet'!$B$13,Paramètres!$A$1:$I$88,3,0)*0.475*44/12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projet'!$B$14,Paramètres!$A$1:$I$88,3,0)*VLOOKUP('Données projet'!$B$14,Paramètres!$A$1:$I$88,5,0)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projet'!$B$14,Paramètres!$A$1:$I$88,7,0))</f>
        <v>0</v>
      </c>
      <c r="DY14" s="17">
        <f>IF(ISNA(VLOOKUP(A14,'Données projet'!$A$165:$I$185,6,0)),0%,VLOOKUP(A14,'Données projet'!$A$165:$I$185,6,0)*VLOOKUP('Données projet'!$B$14,Paramètres!$A$1:$I$88,7,0))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projet'!$B$14,Paramètres!$A$1:$I$88,3,0)*0.475*44/12</f>
        <v>#N/A</v>
      </c>
      <c r="EB14" s="23" t="e">
        <f>EXP(-LN(2)/25)*EB13+(1-EXP(-LN(2)/25))/(LN(2)/25)*Calculateur!DW14*Calculateur!DY14*VLOOKUP('Données projet'!$B$14,Paramètres!$A$1:$I$88,3,0)*0.475*44/12</f>
        <v>#N/A</v>
      </c>
      <c r="EC14" s="23" t="e">
        <f>EXP(-LN(2)/2)*EC13+(1-EXP(-LN(2)/2))/(LN(2)/2)*DW14*DZ14*VLOOKUP('Données projet'!$B$14,Paramètres!$A$1:$I$88,3,0)*0.475*44/12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projet'!$B$15,Paramètres!$A$1:$I$88,3,0)*VLOOKUP('Données projet'!$B$15,Paramètres!$A$1:$I$88,5,0)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projet'!$B$15,Paramètres!$A$1:$I$88,7,0))</f>
        <v>0</v>
      </c>
      <c r="ET14" s="17">
        <f>IF(ISNA(VLOOKUP(A14,'Données projet'!$A$191:$I$211,6,0)),0%,VLOOKUP(A14,'Données projet'!$A$191:$I$211,6,0)*VLOOKUP('Données projet'!$B$15,Paramètres!$A$1:$I$88,7,0))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projet'!$B$15,Paramètres!$A$1:$I$88,3,0)*0.475*44/12</f>
        <v>#N/A</v>
      </c>
      <c r="EW14" s="23" t="e">
        <f>EXP(-LN(2)/25)*EW13+(1-EXP(-LN(2)/25))/(LN(2)/25)*Calculateur!ER14*Calculateur!ET14*VLOOKUP('Données projet'!$B$15,Paramètres!$A$1:$I$88,3,0)*0.475*44/12</f>
        <v>#N/A</v>
      </c>
      <c r="EX14" s="23" t="e">
        <f>EXP(-LN(2)/2)*EX13+(1-EXP(-LN(2)/2))/(LN(2)/2)*ER14*EU14*VLOOKUP('Données projet'!$B$15,Paramètres!$A$1:$I$88,3,0)*0.475*44/12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projet'!$B$16,Paramètres!$A$1:$I$88,3,0)*VLOOKUP('Données projet'!$B$16,Paramètres!$A$1:$I$88,5,0)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projet'!$B$16,Paramètres!$A$1:$I$88,7,0))</f>
        <v>0</v>
      </c>
      <c r="FO14" s="17">
        <f>IF(ISNA(VLOOKUP(A14,'Données projet'!$A$217:$I$237,6,0)),0%,VLOOKUP(A14,'Données projet'!$A$217:$I$237,6,0)*VLOOKUP('Données projet'!$B$16,Paramètres!$A$1:$I$88,7,0))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projet'!$B$16,Paramètres!$A$1:$I$88,3,0)*0.475*44/12</f>
        <v>#N/A</v>
      </c>
      <c r="FR14" s="23" t="e">
        <f>EXP(-LN(2)/25)*FR13+(1-EXP(-LN(2)/25))/(LN(2)/25)*Calculateur!FM14*Calculateur!FO14*VLOOKUP('Données projet'!$B$16,Paramètres!$A$1:$I$88,3,0)*0.475*44/12</f>
        <v>#N/A</v>
      </c>
      <c r="FS14" s="23" t="e">
        <f>EXP(-LN(2)/2)*FS13+(1-EXP(-LN(2)/2))/(LN(2)/2)*FM14*FP14*VLOOKUP('Données projet'!$B$16,Paramètres!$A$1:$I$88,3,0)*0.475*44/12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projet'!$B$17,Paramètres!$A$1:$I$88,3,0)*VLOOKUP('Données projet'!$B$17,Paramètres!$A$1:$I$88,5,0)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projet'!$B$17,Paramètres!$A$1:$I$88,7,0))</f>
        <v>0</v>
      </c>
      <c r="GJ14" s="17">
        <f>IF(ISNA(VLOOKUP(A14,'Données projet'!$A$243:$I$263,6,0)),0%,VLOOKUP(A14,'Données projet'!$A$243:$I$263,6,0)*VLOOKUP('Données projet'!$B$17,Paramètres!$A$1:$I$88,7,0))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projet'!$B$17,Paramètres!$A$1:$I$88,3,0)*0.475*44/12</f>
        <v>#N/A</v>
      </c>
      <c r="GM14" s="23" t="e">
        <f>EXP(-LN(2)/25)*GM13+(1-EXP(-LN(2)/25))/(LN(2)/25)*Calculateur!GH14*Calculateur!GJ14*VLOOKUP('Données projet'!$B$17,Paramètres!$A$1:$I$88,3,0)*0.475*44/12</f>
        <v>#N/A</v>
      </c>
      <c r="GN14" s="23" t="e">
        <f>EXP(-LN(2)/2)*GN13+(1-EXP(-LN(2)/2))/(LN(2)/2)*GH14*GK14*VLOOKUP('Données projet'!$B$17,Paramètres!$A$1:$I$88,3,0)*0.475*44/12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projet'!$B$18,Paramètres!$A$1:$I$88,3,0)*VLOOKUP('Données projet'!$B$18,Paramètres!$A$1:$I$88,5,0)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projet'!$B$18,Paramètres!$A$1:$I$88,7,0))</f>
        <v>0</v>
      </c>
      <c r="HE14" s="17">
        <f>IF(ISNA(VLOOKUP(A14,'Données projet'!$A$269:$I$289,6,0)),0%,VLOOKUP(A14,'Données projet'!$A$269:$I$289,6,0)*VLOOKUP('Données projet'!$B$18,Paramètres!$A$1:$I$88,7,0))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projet'!$B$18,Paramètres!$A$1:$I$88,3,0)*0.475*44/12</f>
        <v>#N/A</v>
      </c>
      <c r="HH14" s="23" t="e">
        <f>EXP(-LN(2)/25)*HH13+(1-EXP(-LN(2)/25))/(LN(2)/25)*Calculateur!HC14*Calculateur!HE14*VLOOKUP('Données projet'!$B$18,Paramètres!$A$1:$I$88,3,0)*0.475*44/12</f>
        <v>#N/A</v>
      </c>
      <c r="HI14" s="23" t="e">
        <f>EXP(-LN(2)/2)*HI13+(1-EXP(-LN(2)/2))/(LN(2)/2)*HC14*HF14*VLOOKUP('Données projet'!$B$18,Paramètres!$A$1:$I$88,3,0)*0.475*44/12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6.2222222222222223</v>
      </c>
      <c r="N15" s="14">
        <f>IF('Données projet'!$A$36&gt;35,N14+M15-V14,IF(A15&lt;'Données projet'!$A$36,$K$205^A15,IF(A15='Données projet'!$A$36,'Données projet'!$B$36,N14+M15-V14)))</f>
        <v>23.235142934254824</v>
      </c>
      <c r="O15" s="14">
        <f>N15*VLOOKUP('Données projet'!$B$9,Paramètres!$A$1:$I$88,3,0)*VLOOKUP('Données projet'!$B$9,Paramètres!$A$1:$I$88,5,0)</f>
        <v>14.498729190975009</v>
      </c>
      <c r="P15" s="14">
        <f t="shared" si="33"/>
        <v>4.8944421329010357</v>
      </c>
      <c r="Q15" s="22">
        <f t="shared" si="2"/>
        <v>33.776440055750776</v>
      </c>
      <c r="R15" s="62">
        <f t="shared" si="0"/>
        <v>327.10977338908407</v>
      </c>
      <c r="S15" s="62">
        <f ca="1">AVERAGE(OFFSET($R$3,0,0,'Données projet'!$E$9+1,1))-AVERAGE(OFFSET($H$3,0,0,'Données projet'!$E$9+1,1))</f>
        <v>175.05987582828078</v>
      </c>
      <c r="T15" s="62">
        <f t="shared" si="34"/>
        <v>268.54782308462387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projet'!$B$9,Paramètres!$A$1:$I$88,7,0))</f>
        <v>0</v>
      </c>
      <c r="X15" s="17">
        <f>IF(ISNA(VLOOKUP(A15,'Données projet'!$A$35:$I$55,6,0)),0%,VLOOKUP(A15,'Données projet'!$A$35:$I$55,6,0)*VLOOKUP('Données projet'!$B$9,Paramètres!$A$1:$I$88,7,0))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projet'!$B$9,Paramètres!$A$1:$I$88,3,0)*0.475*44/12</f>
        <v>0</v>
      </c>
      <c r="AA15" s="23">
        <f>EXP(-LN(2)/25)*AA14+(1-EXP(-LN(2)/25))/(LN(2)/25)*Calculateur!V15*Calculateur!X15*VLOOKUP('Données projet'!$B$9,Paramètres!$A$1:$I$88,3,0)*0.475*44/12</f>
        <v>0</v>
      </c>
      <c r="AB15" s="23">
        <f>EXP(-LN(2)/2)*AB14+(1-EXP(-LN(2)/2))/(LN(2)/2)*V15*Y15*VLOOKUP('Données projet'!$B$9,Paramètres!$A$1:$I$88,3,0)*0.475*44/12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12.133333333333333</v>
      </c>
      <c r="AI15" s="14">
        <f>IF('Données projet'!$A$62&gt;35,AI14+AH15-AQ14,IF(A15&lt;'Données projet'!$A$62,$AF$205^A15,IF(A15='Données projet'!$A$62,'Données projet'!$B$62,AI14+AH15-AQ14)))</f>
        <v>10.578901013289679</v>
      </c>
      <c r="AJ15" s="14">
        <f>AI15*VLOOKUP('Données projet'!$B$10,Paramètres!$A$1:$I$88,3,0)*VLOOKUP('Données projet'!$B$10,Paramètres!$A$1:$I$88,5,0)</f>
        <v>5.0884513873923352</v>
      </c>
      <c r="AK15" s="14">
        <f t="shared" si="35"/>
        <v>1.9403993809066298</v>
      </c>
      <c r="AL15" s="22">
        <f t="shared" si="4"/>
        <v>12.241915088120697</v>
      </c>
      <c r="AM15" s="62">
        <f t="shared" si="5"/>
        <v>305.57524842145403</v>
      </c>
      <c r="AN15" s="62">
        <f ca="1">AVERAGE(OFFSET($AM$3,0,0,'Données projet'!$E$10+1,1))-AVERAGE(OFFSET($H$3,0,0,'Données projet'!$E$10+1,1))</f>
        <v>576.61210817354549</v>
      </c>
      <c r="AO15" s="62">
        <f t="shared" si="36"/>
        <v>343.9428747444544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projet'!$B$10,Paramètres!$A$1:$I$88,7,0))</f>
        <v>0</v>
      </c>
      <c r="AS15" s="17">
        <f>IF(ISNA(VLOOKUP(A15,'Données projet'!$A$61:$I$81,6,0)),0%,VLOOKUP(A15,'Données projet'!$A$61:$I$81,6,0)*VLOOKUP('Données projet'!$B$10,Paramètres!$A$1:$I$88,7,0))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projet'!$B$10,Paramètres!$A$1:$I$88,3,0)*0.475*44/12</f>
        <v>0</v>
      </c>
      <c r="AV15" s="23">
        <f>EXP(-LN(2)/25)*AV14+(1-EXP(-LN(2)/25))/(LN(2)/25)*Calculateur!AQ15*Calculateur!AS15*VLOOKUP('Données projet'!$B$10,Paramètres!$A$1:$I$88,3,0)*0.475*44/12</f>
        <v>0</v>
      </c>
      <c r="AW15" s="23">
        <f>EXP(-LN(2)/2)*AW14+(1-EXP(-LN(2)/2))/(LN(2)/2)*AQ15*AT15*VLOOKUP('Données projet'!$B$10,Paramètres!$A$1:$I$88,3,0)*0.475*44/12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10.68</v>
      </c>
      <c r="BD15" s="13">
        <f>IF('Données projet'!$A$88&gt;35,BD14+BC15-BL14,IF(A15&lt;'Données projet'!$A$88,$BA$205^A15,IF(A15='Données projet'!$A$88,'Données projet'!$B$88,BD14+BC15-BL14)))</f>
        <v>32.46</v>
      </c>
      <c r="BE15" s="14">
        <f>BD15*VLOOKUP('Données projet'!$B$11,Paramètres!$A$1:$I$88,3,0)*VLOOKUP('Données projet'!$B$11,Paramètres!$A$1:$I$88,5,0)</f>
        <v>25.825176000000003</v>
      </c>
      <c r="BF15" s="14">
        <f t="shared" si="37"/>
        <v>8.1514246027621944</v>
      </c>
      <c r="BG15" s="22">
        <f t="shared" si="7"/>
        <v>59.175912716477491</v>
      </c>
      <c r="BH15" s="62">
        <f t="shared" si="8"/>
        <v>352.50924604981083</v>
      </c>
      <c r="BI15" s="62">
        <f ca="1">AVERAGE(OFFSET($BH$3,0,0,'Données projet'!$E$11+1,1))-AVERAGE(OFFSET($H$3,0,0,'Données projet'!$E$11+1,1))</f>
        <v>298.38448036212861</v>
      </c>
      <c r="BJ15" s="62">
        <f t="shared" si="38"/>
        <v>270.4445531106897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projet'!$B$11,Paramètres!$A$1:$I$88,7,0))</f>
        <v>0</v>
      </c>
      <c r="BN15" s="17">
        <f>IF(ISNA(VLOOKUP(A15,'Données projet'!$A$87:$I$107,6,0)),0%,VLOOKUP(A15,'Données projet'!$A$87:$I$107,6,0)*VLOOKUP('Données projet'!$B$11,Paramètres!$A$1:$I$88,7,0))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projet'!$B$11,Paramètres!$A$1:$I$88,3,0)*0.475*44/12</f>
        <v>0</v>
      </c>
      <c r="BQ15" s="23">
        <f>EXP(-LN(2)/25)*BQ14+(1-EXP(-LN(2)/25))/(LN(2)/25)*Calculateur!BL15*Calculateur!BN15*VLOOKUP('Données projet'!$B$11,Paramètres!$A$1:$I$88,3,0)*0.475*44/12</f>
        <v>0</v>
      </c>
      <c r="BR15" s="23">
        <f>EXP(-LN(2)/2)*BR14+(1-EXP(-LN(2)/2))/(LN(2)/2)*BL15*BO15*VLOOKUP('Données projet'!$B$11,Paramètres!$A$1:$I$88,3,0)*0.475*44/12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2.6666666666666665</v>
      </c>
      <c r="BY15" s="13">
        <f>IF('Données projet'!$A$114&gt;35,BY14+BX15-CG14,IF(A15&lt;'Données projet'!$A$114,$BV$205^A15,IF(A15='Données projet'!$A$114,'Données projet'!$B$114,BY14+BX15-CG14)))</f>
        <v>19.127049995800721</v>
      </c>
      <c r="BZ15" s="14">
        <f>BY15*VLOOKUP('Données projet'!$B$12,Paramètres!$A$1:$I$88,3,0)*VLOOKUP('Données projet'!$B$12,Paramètres!$A$1:$I$88,5,0)</f>
        <v>14.919098996724562</v>
      </c>
      <c r="CA15" s="14">
        <f t="shared" si="39"/>
        <v>5.019622097301081</v>
      </c>
      <c r="CB15" s="22">
        <f t="shared" si="10"/>
        <v>34.726605905427995</v>
      </c>
      <c r="CC15" s="62">
        <f t="shared" si="11"/>
        <v>328.05993923876133</v>
      </c>
      <c r="CD15" s="62">
        <f ca="1">AVERAGE(OFFSET($CC$3,0,0,'Données projet'!$E$12+1,1))-AVERAGE(OFFSET($H$3,0,0,'Données projet'!$E$12+1,1))</f>
        <v>217.32600829266818</v>
      </c>
      <c r="CE15" s="62">
        <f t="shared" si="40"/>
        <v>208.79744153433245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projet'!$B$12,Paramètres!$A$1:$I$88,7,0))</f>
        <v>0</v>
      </c>
      <c r="CI15" s="17">
        <f>IF(ISNA(VLOOKUP(A15,'Données projet'!$A$113:$I$133,6,0)),0%,VLOOKUP(A15,'Données projet'!$A$113:$I$133,6,0)*VLOOKUP('Données projet'!$B$12,Paramètres!$A$1:$I$88,7,0))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projet'!$B$12,Paramètres!$A$1:$I$88,3,0)*0.475*44/12</f>
        <v>0</v>
      </c>
      <c r="CL15" s="23">
        <f>EXP(-LN(2)/25)*CL14+(1-EXP(-LN(2)/25))/(LN(2)/25)*Calculateur!CG15*Calculateur!CI15*VLOOKUP('Données projet'!$B$12,Paramètres!$A$1:$I$88,3,0)*0.475*44/12</f>
        <v>0</v>
      </c>
      <c r="CM15" s="23">
        <f>EXP(-LN(2)/2)*CM14+(1-EXP(-LN(2)/2))/(LN(2)/2)*CG15*CJ15*VLOOKUP('Données projet'!$B$12,Paramètres!$A$1:$I$88,3,0)*0.475*44/12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10</v>
      </c>
      <c r="CT15" s="13">
        <f>IF('Données projet'!$A$140&gt;35,CT14+CS15-DB14,IF(A15&lt;'Données projet'!$A$140,$CQ$205^A15,IF(A15='Données projet'!$A$140,'Données projet'!$B$140,CT14+CS15-DB14)))</f>
        <v>21.231586828514317</v>
      </c>
      <c r="CU15" s="18">
        <f>CT15*VLOOKUP('Données projet'!$B$13,Paramètres!$A$1:$I$88,3,0)*VLOOKUP('Données projet'!$B$13,Paramètres!$A$1:$I$88,5,0)</f>
        <v>11.868457037139505</v>
      </c>
      <c r="CV15" s="14">
        <f t="shared" si="41"/>
        <v>4.1009722899277703</v>
      </c>
      <c r="CW15" s="22">
        <f t="shared" si="13"/>
        <v>27.813422744642168</v>
      </c>
      <c r="CX15" s="62">
        <f t="shared" si="14"/>
        <v>321.14675607797551</v>
      </c>
      <c r="CY15" s="62">
        <f ca="1">AVERAGE(OFFSET($CX$3,0,0,'Données projet'!$E$13+1,1))-AVERAGE(OFFSET($H$3,0,0,'Données projet'!$E$13+1,1))</f>
        <v>302.20483575440988</v>
      </c>
      <c r="CZ15" s="62">
        <f t="shared" si="42"/>
        <v>275.32862097158687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projet'!$B$13,Paramètres!$A$1:$I$88,7,0))</f>
        <v>0</v>
      </c>
      <c r="DD15" s="17">
        <f>IF(ISNA(VLOOKUP(A15,'Données projet'!$A$139:$I$159,6,0)),0%,VLOOKUP(A15,'Données projet'!$A$139:$I$159,6,0)*VLOOKUP('Données projet'!$B$13,Paramètres!$A$1:$I$88,7,0))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projet'!$B$13,Paramètres!$A$1:$I$88,3,0)*0.475*44/12</f>
        <v>0</v>
      </c>
      <c r="DG15" s="23">
        <f>EXP(-LN(2)/25)*DG14+(1-EXP(-LN(2)/25))/(LN(2)/25)*Calculateur!DB15*Calculateur!DD15*VLOOKUP('Données projet'!$B$13,Paramètres!$A$1:$I$88,3,0)*0.475*44/12</f>
        <v>0</v>
      </c>
      <c r="DH15" s="23">
        <f>EXP(-LN(2)/2)*DH14+(1-EXP(-LN(2)/2))/(LN(2)/2)*DB15*DE15*VLOOKUP('Données projet'!$B$13,Paramètres!$A$1:$I$88,3,0)*0.475*44/12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projet'!$B$14,Paramètres!$A$1:$I$88,3,0)*VLOOKUP('Données projet'!$B$14,Paramètres!$A$1:$I$88,5,0)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projet'!$B$14,Paramètres!$A$1:$I$88,7,0))</f>
        <v>0</v>
      </c>
      <c r="DY15" s="17">
        <f>IF(ISNA(VLOOKUP(A15,'Données projet'!$A$165:$I$185,6,0)),0%,VLOOKUP(A15,'Données projet'!$A$165:$I$185,6,0)*VLOOKUP('Données projet'!$B$14,Paramètres!$A$1:$I$88,7,0))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projet'!$B$14,Paramètres!$A$1:$I$88,3,0)*0.475*44/12</f>
        <v>#N/A</v>
      </c>
      <c r="EB15" s="23" t="e">
        <f>EXP(-LN(2)/25)*EB14+(1-EXP(-LN(2)/25))/(LN(2)/25)*Calculateur!DW15*Calculateur!DY15*VLOOKUP('Données projet'!$B$14,Paramètres!$A$1:$I$88,3,0)*0.475*44/12</f>
        <v>#N/A</v>
      </c>
      <c r="EC15" s="23" t="e">
        <f>EXP(-LN(2)/2)*EC14+(1-EXP(-LN(2)/2))/(LN(2)/2)*DW15*DZ15*VLOOKUP('Données projet'!$B$14,Paramètres!$A$1:$I$88,3,0)*0.475*44/12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projet'!$B$15,Paramètres!$A$1:$I$88,3,0)*VLOOKUP('Données projet'!$B$15,Paramètres!$A$1:$I$88,5,0)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projet'!$B$15,Paramètres!$A$1:$I$88,7,0))</f>
        <v>0</v>
      </c>
      <c r="ET15" s="17">
        <f>IF(ISNA(VLOOKUP(A15,'Données projet'!$A$191:$I$211,6,0)),0%,VLOOKUP(A15,'Données projet'!$A$191:$I$211,6,0)*VLOOKUP('Données projet'!$B$15,Paramètres!$A$1:$I$88,7,0))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projet'!$B$15,Paramètres!$A$1:$I$88,3,0)*0.475*44/12</f>
        <v>#N/A</v>
      </c>
      <c r="EW15" s="23" t="e">
        <f>EXP(-LN(2)/25)*EW14+(1-EXP(-LN(2)/25))/(LN(2)/25)*Calculateur!ER15*Calculateur!ET15*VLOOKUP('Données projet'!$B$15,Paramètres!$A$1:$I$88,3,0)*0.475*44/12</f>
        <v>#N/A</v>
      </c>
      <c r="EX15" s="23" t="e">
        <f>EXP(-LN(2)/2)*EX14+(1-EXP(-LN(2)/2))/(LN(2)/2)*ER15*EU15*VLOOKUP('Données projet'!$B$15,Paramètres!$A$1:$I$88,3,0)*0.475*44/12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projet'!$B$16,Paramètres!$A$1:$I$88,3,0)*VLOOKUP('Données projet'!$B$16,Paramètres!$A$1:$I$88,5,0)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projet'!$B$16,Paramètres!$A$1:$I$88,7,0))</f>
        <v>0</v>
      </c>
      <c r="FO15" s="17">
        <f>IF(ISNA(VLOOKUP(A15,'Données projet'!$A$217:$I$237,6,0)),0%,VLOOKUP(A15,'Données projet'!$A$217:$I$237,6,0)*VLOOKUP('Données projet'!$B$16,Paramètres!$A$1:$I$88,7,0))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projet'!$B$16,Paramètres!$A$1:$I$88,3,0)*0.475*44/12</f>
        <v>#N/A</v>
      </c>
      <c r="FR15" s="23" t="e">
        <f>EXP(-LN(2)/25)*FR14+(1-EXP(-LN(2)/25))/(LN(2)/25)*Calculateur!FM15*Calculateur!FO15*VLOOKUP('Données projet'!$B$16,Paramètres!$A$1:$I$88,3,0)*0.475*44/12</f>
        <v>#N/A</v>
      </c>
      <c r="FS15" s="23" t="e">
        <f>EXP(-LN(2)/2)*FS14+(1-EXP(-LN(2)/2))/(LN(2)/2)*FM15*FP15*VLOOKUP('Données projet'!$B$16,Paramètres!$A$1:$I$88,3,0)*0.475*44/12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projet'!$B$17,Paramètres!$A$1:$I$88,3,0)*VLOOKUP('Données projet'!$B$17,Paramètres!$A$1:$I$88,5,0)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projet'!$B$17,Paramètres!$A$1:$I$88,7,0))</f>
        <v>0</v>
      </c>
      <c r="GJ15" s="17">
        <f>IF(ISNA(VLOOKUP(A15,'Données projet'!$A$243:$I$263,6,0)),0%,VLOOKUP(A15,'Données projet'!$A$243:$I$263,6,0)*VLOOKUP('Données projet'!$B$17,Paramètres!$A$1:$I$88,7,0))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projet'!$B$17,Paramètres!$A$1:$I$88,3,0)*0.475*44/12</f>
        <v>#N/A</v>
      </c>
      <c r="GM15" s="23" t="e">
        <f>EXP(-LN(2)/25)*GM14+(1-EXP(-LN(2)/25))/(LN(2)/25)*Calculateur!GH15*Calculateur!GJ15*VLOOKUP('Données projet'!$B$17,Paramètres!$A$1:$I$88,3,0)*0.475*44/12</f>
        <v>#N/A</v>
      </c>
      <c r="GN15" s="23" t="e">
        <f>EXP(-LN(2)/2)*GN14+(1-EXP(-LN(2)/2))/(LN(2)/2)*GH15*GK15*VLOOKUP('Données projet'!$B$17,Paramètres!$A$1:$I$88,3,0)*0.475*44/12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projet'!$B$18,Paramètres!$A$1:$I$88,3,0)*VLOOKUP('Données projet'!$B$18,Paramètres!$A$1:$I$88,5,0)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projet'!$B$18,Paramètres!$A$1:$I$88,7,0))</f>
        <v>0</v>
      </c>
      <c r="HE15" s="17">
        <f>IF(ISNA(VLOOKUP(A15,'Données projet'!$A$269:$I$289,6,0)),0%,VLOOKUP(A15,'Données projet'!$A$269:$I$289,6,0)*VLOOKUP('Données projet'!$B$18,Paramètres!$A$1:$I$88,7,0))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projet'!$B$18,Paramètres!$A$1:$I$88,3,0)*0.475*44/12</f>
        <v>#N/A</v>
      </c>
      <c r="HH15" s="23" t="e">
        <f>EXP(-LN(2)/25)*HH14+(1-EXP(-LN(2)/25))/(LN(2)/25)*Calculateur!HC15*Calculateur!HE15*VLOOKUP('Données projet'!$B$18,Paramètres!$A$1:$I$88,3,0)*0.475*44/12</f>
        <v>#N/A</v>
      </c>
      <c r="HI15" s="23" t="e">
        <f>EXP(-LN(2)/2)*HI14+(1-EXP(-LN(2)/2))/(LN(2)/2)*HC15*HF15*VLOOKUP('Données projet'!$B$18,Paramètres!$A$1:$I$88,3,0)*0.475*44/12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6.2222222222222223</v>
      </c>
      <c r="N16" s="14">
        <f>IF('Données projet'!$A$36&gt;35,N15+M16-V15,IF(A16&lt;'Données projet'!$A$36,$K$205^A16,IF(A16='Données projet'!$A$36,'Données projet'!$B$36,N15+M16-V15)))</f>
        <v>30.19887706404656</v>
      </c>
      <c r="O16" s="14">
        <f>N16*VLOOKUP('Données projet'!$B$9,Paramètres!$A$1:$I$88,3,0)*VLOOKUP('Données projet'!$B$9,Paramètres!$A$1:$I$88,5,0)</f>
        <v>18.844099287965054</v>
      </c>
      <c r="P16" s="14">
        <f t="shared" si="33"/>
        <v>6.1701686386769925</v>
      </c>
      <c r="Q16" s="22">
        <f t="shared" si="2"/>
        <v>43.566516638901568</v>
      </c>
      <c r="R16" s="62">
        <f t="shared" si="0"/>
        <v>336.8998499722349</v>
      </c>
      <c r="S16" s="62">
        <f ca="1">AVERAGE(OFFSET($R$3,0,0,'Données projet'!$E$9+1,1))-AVERAGE(OFFSET($H$3,0,0,'Données projet'!$E$9+1,1))</f>
        <v>175.05987582828078</v>
      </c>
      <c r="T16" s="62">
        <f t="shared" si="34"/>
        <v>268.54782308462387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projet'!$B$9,Paramètres!$A$1:$I$88,7,0))</f>
        <v>0</v>
      </c>
      <c r="X16" s="17">
        <f>IF(ISNA(VLOOKUP(A16,'Données projet'!$A$35:$I$55,6,0)),0%,VLOOKUP(A16,'Données projet'!$A$35:$I$55,6,0)*VLOOKUP('Données projet'!$B$9,Paramètres!$A$1:$I$88,7,0))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projet'!$B$9,Paramètres!$A$1:$I$88,3,0)*0.475*44/12</f>
        <v>0</v>
      </c>
      <c r="AA16" s="23">
        <f>EXP(-LN(2)/25)*AA15+(1-EXP(-LN(2)/25))/(LN(2)/25)*Calculateur!V16*Calculateur!X16*VLOOKUP('Données projet'!$B$9,Paramètres!$A$1:$I$88,3,0)*0.475*44/12</f>
        <v>0</v>
      </c>
      <c r="AB16" s="23">
        <f>EXP(-LN(2)/2)*AB15+(1-EXP(-LN(2)/2))/(LN(2)/2)*V16*Y16*VLOOKUP('Données projet'!$B$9,Paramètres!$A$1:$I$88,3,0)*0.475*44/12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12.133333333333333</v>
      </c>
      <c r="AI16" s="14">
        <f>IF('Données projet'!$A$62&gt;35,AI15+AH16-AQ15,IF(A16&lt;'Données projet'!$A$62,$AF$205^A16,IF(A16='Données projet'!$A$62,'Données projet'!$B$62,AI15+AH16-AQ15)))</f>
        <v>12.876878549227804</v>
      </c>
      <c r="AJ16" s="14">
        <f>AI16*VLOOKUP('Données projet'!$B$10,Paramètres!$A$1:$I$88,3,0)*VLOOKUP('Données projet'!$B$10,Paramètres!$A$1:$I$88,5,0)</f>
        <v>6.1937785821785738</v>
      </c>
      <c r="AK16" s="14">
        <f t="shared" si="35"/>
        <v>2.3084692831900546</v>
      </c>
      <c r="AL16" s="22">
        <f t="shared" si="4"/>
        <v>14.80808169885036</v>
      </c>
      <c r="AM16" s="62">
        <f t="shared" si="5"/>
        <v>308.14141503218366</v>
      </c>
      <c r="AN16" s="62">
        <f ca="1">AVERAGE(OFFSET($AM$3,0,0,'Données projet'!$E$10+1,1))-AVERAGE(OFFSET($H$3,0,0,'Données projet'!$E$10+1,1))</f>
        <v>576.61210817354549</v>
      </c>
      <c r="AO16" s="62">
        <f t="shared" si="36"/>
        <v>343.9428747444544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projet'!$B$10,Paramètres!$A$1:$I$88,7,0))</f>
        <v>0</v>
      </c>
      <c r="AS16" s="17">
        <f>IF(ISNA(VLOOKUP(A16,'Données projet'!$A$61:$I$81,6,0)),0%,VLOOKUP(A16,'Données projet'!$A$61:$I$81,6,0)*VLOOKUP('Données projet'!$B$10,Paramètres!$A$1:$I$88,7,0))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projet'!$B$10,Paramètres!$A$1:$I$88,3,0)*0.475*44/12</f>
        <v>0</v>
      </c>
      <c r="AV16" s="23">
        <f>EXP(-LN(2)/25)*AV15+(1-EXP(-LN(2)/25))/(LN(2)/25)*Calculateur!AQ16*Calculateur!AS16*VLOOKUP('Données projet'!$B$10,Paramètres!$A$1:$I$88,3,0)*0.475*44/12</f>
        <v>0</v>
      </c>
      <c r="AW16" s="23">
        <f>EXP(-LN(2)/2)*AW15+(1-EXP(-LN(2)/2))/(LN(2)/2)*AQ16*AT16*VLOOKUP('Données projet'!$B$10,Paramètres!$A$1:$I$88,3,0)*0.475*44/12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10.68</v>
      </c>
      <c r="BD16" s="13">
        <f>IF('Données projet'!$A$88&gt;35,BD15+BC16-BL15,IF(A16&lt;'Données projet'!$A$88,$BA$205^A16,IF(A16='Données projet'!$A$88,'Données projet'!$B$88,BD15+BC16-BL15)))</f>
        <v>43.14</v>
      </c>
      <c r="BE16" s="14">
        <f>BD16*VLOOKUP('Données projet'!$B$11,Paramètres!$A$1:$I$88,3,0)*VLOOKUP('Données projet'!$B$11,Paramètres!$A$1:$I$88,5,0)</f>
        <v>34.322184</v>
      </c>
      <c r="BF16" s="14">
        <f t="shared" si="37"/>
        <v>10.480597920580347</v>
      </c>
      <c r="BG16" s="22">
        <f t="shared" si="7"/>
        <v>78.031511845010769</v>
      </c>
      <c r="BH16" s="62">
        <f t="shared" si="8"/>
        <v>371.36484517834407</v>
      </c>
      <c r="BI16" s="62">
        <f ca="1">AVERAGE(OFFSET($BH$3,0,0,'Données projet'!$E$11+1,1))-AVERAGE(OFFSET($H$3,0,0,'Données projet'!$E$11+1,1))</f>
        <v>298.38448036212861</v>
      </c>
      <c r="BJ16" s="62">
        <f t="shared" si="38"/>
        <v>270.4445531106897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projet'!$B$11,Paramètres!$A$1:$I$88,7,0))</f>
        <v>0</v>
      </c>
      <c r="BN16" s="17">
        <f>IF(ISNA(VLOOKUP(A16,'Données projet'!$A$87:$I$107,6,0)),0%,VLOOKUP(A16,'Données projet'!$A$87:$I$107,6,0)*VLOOKUP('Données projet'!$B$11,Paramètres!$A$1:$I$88,7,0))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projet'!$B$11,Paramètres!$A$1:$I$88,3,0)*0.475*44/12</f>
        <v>0</v>
      </c>
      <c r="BQ16" s="23">
        <f>EXP(-LN(2)/25)*BQ15+(1-EXP(-LN(2)/25))/(LN(2)/25)*Calculateur!BL16*Calculateur!BN16*VLOOKUP('Données projet'!$B$11,Paramètres!$A$1:$I$88,3,0)*0.475*44/12</f>
        <v>0</v>
      </c>
      <c r="BR16" s="23">
        <f>EXP(-LN(2)/2)*BR15+(1-EXP(-LN(2)/2))/(LN(2)/2)*BL16*BO16*VLOOKUP('Données projet'!$B$11,Paramètres!$A$1:$I$88,3,0)*0.475*44/12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2.6666666666666665</v>
      </c>
      <c r="BY16" s="13">
        <f>IF('Données projet'!$A$114&gt;35,BY15+BX16-CG15,IF(A16&lt;'Données projet'!$A$114,$BV$205^A16,IF(A16='Données projet'!$A$114,'Données projet'!$B$114,BY15+BX16-CG15)))</f>
        <v>24.459748796430759</v>
      </c>
      <c r="BZ16" s="14">
        <f>BY16*VLOOKUP('Données projet'!$B$12,Paramètres!$A$1:$I$88,3,0)*VLOOKUP('Données projet'!$B$12,Paramètres!$A$1:$I$88,5,0)</f>
        <v>19.078604061215994</v>
      </c>
      <c r="CA16" s="14">
        <f t="shared" si="39"/>
        <v>6.2379664748280286</v>
      </c>
      <c r="CB16" s="22">
        <f t="shared" si="10"/>
        <v>44.093027016943331</v>
      </c>
      <c r="CC16" s="62">
        <f t="shared" si="11"/>
        <v>337.42636035027664</v>
      </c>
      <c r="CD16" s="62">
        <f ca="1">AVERAGE(OFFSET($CC$3,0,0,'Données projet'!$E$12+1,1))-AVERAGE(OFFSET($H$3,0,0,'Données projet'!$E$12+1,1))</f>
        <v>217.32600829266818</v>
      </c>
      <c r="CE16" s="62">
        <f t="shared" si="40"/>
        <v>208.79744153433245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projet'!$B$12,Paramètres!$A$1:$I$88,7,0))</f>
        <v>0</v>
      </c>
      <c r="CI16" s="17">
        <f>IF(ISNA(VLOOKUP(A16,'Données projet'!$A$113:$I$133,6,0)),0%,VLOOKUP(A16,'Données projet'!$A$113:$I$133,6,0)*VLOOKUP('Données projet'!$B$12,Paramètres!$A$1:$I$88,7,0))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projet'!$B$12,Paramètres!$A$1:$I$88,3,0)*0.475*44/12</f>
        <v>0</v>
      </c>
      <c r="CL16" s="23">
        <f>EXP(-LN(2)/25)*CL15+(1-EXP(-LN(2)/25))/(LN(2)/25)*Calculateur!CG16*Calculateur!CI16*VLOOKUP('Données projet'!$B$12,Paramètres!$A$1:$I$88,3,0)*0.475*44/12</f>
        <v>0</v>
      </c>
      <c r="CM16" s="23">
        <f>EXP(-LN(2)/2)*CM15+(1-EXP(-LN(2)/2))/(LN(2)/2)*CG16*CJ16*VLOOKUP('Données projet'!$B$12,Paramètres!$A$1:$I$88,3,0)*0.475*44/12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10</v>
      </c>
      <c r="CT16" s="13">
        <f>IF('Données projet'!$A$140&gt;35,CT15+CS16-DB15,IF(A16&lt;'Données projet'!$A$140,$CQ$205^A16,IF(A16='Données projet'!$A$140,'Données projet'!$B$140,CT15+CS16-DB15)))</f>
        <v>27.388252639673997</v>
      </c>
      <c r="CU16" s="18">
        <f>CT16*VLOOKUP('Données projet'!$B$13,Paramètres!$A$1:$I$88,3,0)*VLOOKUP('Données projet'!$B$13,Paramètres!$A$1:$I$88,5,0)</f>
        <v>15.310033225577765</v>
      </c>
      <c r="CV16" s="14">
        <f t="shared" si="41"/>
        <v>5.1356684205409415</v>
      </c>
      <c r="CW16" s="22">
        <f t="shared" si="13"/>
        <v>35.609597033656748</v>
      </c>
      <c r="CX16" s="62">
        <f t="shared" si="14"/>
        <v>328.94293036699008</v>
      </c>
      <c r="CY16" s="62">
        <f ca="1">AVERAGE(OFFSET($CX$3,0,0,'Données projet'!$E$13+1,1))-AVERAGE(OFFSET($H$3,0,0,'Données projet'!$E$13+1,1))</f>
        <v>302.20483575440988</v>
      </c>
      <c r="CZ16" s="62">
        <f t="shared" si="42"/>
        <v>275.32862097158687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projet'!$B$13,Paramètres!$A$1:$I$88,7,0))</f>
        <v>0</v>
      </c>
      <c r="DD16" s="17">
        <f>IF(ISNA(VLOOKUP(A16,'Données projet'!$A$139:$I$159,6,0)),0%,VLOOKUP(A16,'Données projet'!$A$139:$I$159,6,0)*VLOOKUP('Données projet'!$B$13,Paramètres!$A$1:$I$88,7,0))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projet'!$B$13,Paramètres!$A$1:$I$88,3,0)*0.475*44/12</f>
        <v>0</v>
      </c>
      <c r="DG16" s="23">
        <f>EXP(-LN(2)/25)*DG15+(1-EXP(-LN(2)/25))/(LN(2)/25)*Calculateur!DB16*Calculateur!DD16*VLOOKUP('Données projet'!$B$13,Paramètres!$A$1:$I$88,3,0)*0.475*44/12</f>
        <v>0</v>
      </c>
      <c r="DH16" s="23">
        <f>EXP(-LN(2)/2)*DH15+(1-EXP(-LN(2)/2))/(LN(2)/2)*DB16*DE16*VLOOKUP('Données projet'!$B$13,Paramètres!$A$1:$I$88,3,0)*0.475*44/12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projet'!$B$14,Paramètres!$A$1:$I$88,3,0)*VLOOKUP('Données projet'!$B$14,Paramètres!$A$1:$I$88,5,0)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projet'!$B$14,Paramètres!$A$1:$I$88,7,0))</f>
        <v>0</v>
      </c>
      <c r="DY16" s="17">
        <f>IF(ISNA(VLOOKUP(A16,'Données projet'!$A$165:$I$185,6,0)),0%,VLOOKUP(A16,'Données projet'!$A$165:$I$185,6,0)*VLOOKUP('Données projet'!$B$14,Paramètres!$A$1:$I$88,7,0))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projet'!$B$14,Paramètres!$A$1:$I$88,3,0)*0.475*44/12</f>
        <v>#N/A</v>
      </c>
      <c r="EB16" s="23" t="e">
        <f>EXP(-LN(2)/25)*EB15+(1-EXP(-LN(2)/25))/(LN(2)/25)*Calculateur!DW16*Calculateur!DY16*VLOOKUP('Données projet'!$B$14,Paramètres!$A$1:$I$88,3,0)*0.475*44/12</f>
        <v>#N/A</v>
      </c>
      <c r="EC16" s="23" t="e">
        <f>EXP(-LN(2)/2)*EC15+(1-EXP(-LN(2)/2))/(LN(2)/2)*DW16*DZ16*VLOOKUP('Données projet'!$B$14,Paramètres!$A$1:$I$88,3,0)*0.475*44/12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projet'!$B$15,Paramètres!$A$1:$I$88,3,0)*VLOOKUP('Données projet'!$B$15,Paramètres!$A$1:$I$88,5,0)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projet'!$B$15,Paramètres!$A$1:$I$88,7,0))</f>
        <v>0</v>
      </c>
      <c r="ET16" s="17">
        <f>IF(ISNA(VLOOKUP(A16,'Données projet'!$A$191:$I$211,6,0)),0%,VLOOKUP(A16,'Données projet'!$A$191:$I$211,6,0)*VLOOKUP('Données projet'!$B$15,Paramètres!$A$1:$I$88,7,0))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projet'!$B$15,Paramètres!$A$1:$I$88,3,0)*0.475*44/12</f>
        <v>#N/A</v>
      </c>
      <c r="EW16" s="23" t="e">
        <f>EXP(-LN(2)/25)*EW15+(1-EXP(-LN(2)/25))/(LN(2)/25)*Calculateur!ER16*Calculateur!ET16*VLOOKUP('Données projet'!$B$15,Paramètres!$A$1:$I$88,3,0)*0.475*44/12</f>
        <v>#N/A</v>
      </c>
      <c r="EX16" s="23" t="e">
        <f>EXP(-LN(2)/2)*EX15+(1-EXP(-LN(2)/2))/(LN(2)/2)*ER16*EU16*VLOOKUP('Données projet'!$B$15,Paramètres!$A$1:$I$88,3,0)*0.475*44/12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projet'!$B$16,Paramètres!$A$1:$I$88,3,0)*VLOOKUP('Données projet'!$B$16,Paramètres!$A$1:$I$88,5,0)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projet'!$B$16,Paramètres!$A$1:$I$88,7,0))</f>
        <v>0</v>
      </c>
      <c r="FO16" s="17">
        <f>IF(ISNA(VLOOKUP(A16,'Données projet'!$A$217:$I$237,6,0)),0%,VLOOKUP(A16,'Données projet'!$A$217:$I$237,6,0)*VLOOKUP('Données projet'!$B$16,Paramètres!$A$1:$I$88,7,0))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projet'!$B$16,Paramètres!$A$1:$I$88,3,0)*0.475*44/12</f>
        <v>#N/A</v>
      </c>
      <c r="FR16" s="23" t="e">
        <f>EXP(-LN(2)/25)*FR15+(1-EXP(-LN(2)/25))/(LN(2)/25)*Calculateur!FM16*Calculateur!FO16*VLOOKUP('Données projet'!$B$16,Paramètres!$A$1:$I$88,3,0)*0.475*44/12</f>
        <v>#N/A</v>
      </c>
      <c r="FS16" s="23" t="e">
        <f>EXP(-LN(2)/2)*FS15+(1-EXP(-LN(2)/2))/(LN(2)/2)*FM16*FP16*VLOOKUP('Données projet'!$B$16,Paramètres!$A$1:$I$88,3,0)*0.475*44/12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projet'!$B$17,Paramètres!$A$1:$I$88,3,0)*VLOOKUP('Données projet'!$B$17,Paramètres!$A$1:$I$88,5,0)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projet'!$B$17,Paramètres!$A$1:$I$88,7,0))</f>
        <v>0</v>
      </c>
      <c r="GJ16" s="17">
        <f>IF(ISNA(VLOOKUP(A16,'Données projet'!$A$243:$I$263,6,0)),0%,VLOOKUP(A16,'Données projet'!$A$243:$I$263,6,0)*VLOOKUP('Données projet'!$B$17,Paramètres!$A$1:$I$88,7,0))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projet'!$B$17,Paramètres!$A$1:$I$88,3,0)*0.475*44/12</f>
        <v>#N/A</v>
      </c>
      <c r="GM16" s="23" t="e">
        <f>EXP(-LN(2)/25)*GM15+(1-EXP(-LN(2)/25))/(LN(2)/25)*Calculateur!GH16*Calculateur!GJ16*VLOOKUP('Données projet'!$B$17,Paramètres!$A$1:$I$88,3,0)*0.475*44/12</f>
        <v>#N/A</v>
      </c>
      <c r="GN16" s="23" t="e">
        <f>EXP(-LN(2)/2)*GN15+(1-EXP(-LN(2)/2))/(LN(2)/2)*GH16*GK16*VLOOKUP('Données projet'!$B$17,Paramètres!$A$1:$I$88,3,0)*0.475*44/12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projet'!$B$18,Paramètres!$A$1:$I$88,3,0)*VLOOKUP('Données projet'!$B$18,Paramètres!$A$1:$I$88,5,0)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projet'!$B$18,Paramètres!$A$1:$I$88,7,0))</f>
        <v>0</v>
      </c>
      <c r="HE16" s="17">
        <f>IF(ISNA(VLOOKUP(A16,'Données projet'!$A$269:$I$289,6,0)),0%,VLOOKUP(A16,'Données projet'!$A$269:$I$289,6,0)*VLOOKUP('Données projet'!$B$18,Paramètres!$A$1:$I$88,7,0))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projet'!$B$18,Paramètres!$A$1:$I$88,3,0)*0.475*44/12</f>
        <v>#N/A</v>
      </c>
      <c r="HH16" s="23" t="e">
        <f>EXP(-LN(2)/25)*HH15+(1-EXP(-LN(2)/25))/(LN(2)/25)*Calculateur!HC16*Calculateur!HE16*VLOOKUP('Données projet'!$B$18,Paramètres!$A$1:$I$88,3,0)*0.475*44/12</f>
        <v>#N/A</v>
      </c>
      <c r="HI16" s="23" t="e">
        <f>EXP(-LN(2)/2)*HI15+(1-EXP(-LN(2)/2))/(LN(2)/2)*HC16*HF16*VLOOKUP('Données projet'!$B$18,Paramètres!$A$1:$I$88,3,0)*0.475*44/12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6.2222222222222223</v>
      </c>
      <c r="N17" s="14">
        <f>IF('Données projet'!$A$36&gt;35,N16+M17-V16,IF(A17&lt;'Données projet'!$A$36,$K$205^A17,IF(A17='Données projet'!$A$36,'Données projet'!$B$36,N16+M17-V16)))</f>
        <v>39.249690802844427</v>
      </c>
      <c r="O17" s="14">
        <f>N17*VLOOKUP('Données projet'!$B$9,Paramètres!$A$1:$I$88,3,0)*VLOOKUP('Données projet'!$B$9,Paramètres!$A$1:$I$88,5,0)</f>
        <v>24.491807060974921</v>
      </c>
      <c r="P17" s="14">
        <f t="shared" si="33"/>
        <v>7.7784106944068903</v>
      </c>
      <c r="Q17" s="22">
        <f t="shared" si="2"/>
        <v>56.203962590623313</v>
      </c>
      <c r="R17" s="62">
        <f t="shared" si="0"/>
        <v>349.53729592395661</v>
      </c>
      <c r="S17" s="62">
        <f ca="1">AVERAGE(OFFSET($R$3,0,0,'Données projet'!$E$9+1,1))-AVERAGE(OFFSET($H$3,0,0,'Données projet'!$E$9+1,1))</f>
        <v>175.05987582828078</v>
      </c>
      <c r="T17" s="62">
        <f t="shared" si="34"/>
        <v>268.54782308462387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projet'!$B$9,Paramètres!$A$1:$I$88,7,0))</f>
        <v>0</v>
      </c>
      <c r="X17" s="17">
        <f>IF(ISNA(VLOOKUP(A17,'Données projet'!$A$35:$I$55,6,0)),0%,VLOOKUP(A17,'Données projet'!$A$35:$I$55,6,0)*VLOOKUP('Données projet'!$B$9,Paramètres!$A$1:$I$88,7,0))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projet'!$B$9,Paramètres!$A$1:$I$88,3,0)*0.475*44/12</f>
        <v>0</v>
      </c>
      <c r="AA17" s="23">
        <f>EXP(-LN(2)/25)*AA16+(1-EXP(-LN(2)/25))/(LN(2)/25)*Calculateur!V17*Calculateur!X17*VLOOKUP('Données projet'!$B$9,Paramètres!$A$1:$I$88,3,0)*0.475*44/12</f>
        <v>0</v>
      </c>
      <c r="AB17" s="23">
        <f>EXP(-LN(2)/2)*AB16+(1-EXP(-LN(2)/2))/(LN(2)/2)*V17*Y17*VLOOKUP('Données projet'!$B$9,Paramètres!$A$1:$I$88,3,0)*0.475*44/12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12.133333333333333</v>
      </c>
      <c r="AI17" s="14">
        <f>IF('Données projet'!$A$62&gt;35,AI16+AH17-AQ16,IF(A17&lt;'Données projet'!$A$62,$AF$205^A17,IF(A17='Données projet'!$A$62,'Données projet'!$B$62,AI16+AH17-AQ16)))</f>
        <v>15.67402899065417</v>
      </c>
      <c r="AJ17" s="14">
        <f>AI17*VLOOKUP('Données projet'!$B$10,Paramètres!$A$1:$I$88,3,0)*VLOOKUP('Données projet'!$B$10,Paramètres!$A$1:$I$88,5,0)</f>
        <v>7.539207944504656</v>
      </c>
      <c r="AK17" s="14">
        <f t="shared" si="35"/>
        <v>2.7463575199359607</v>
      </c>
      <c r="AL17" s="22">
        <f t="shared" si="4"/>
        <v>17.914026517234074</v>
      </c>
      <c r="AM17" s="62">
        <f t="shared" si="5"/>
        <v>311.24735985056736</v>
      </c>
      <c r="AN17" s="62">
        <f ca="1">AVERAGE(OFFSET($AM$3,0,0,'Données projet'!$E$10+1,1))-AVERAGE(OFFSET($H$3,0,0,'Données projet'!$E$10+1,1))</f>
        <v>576.61210817354549</v>
      </c>
      <c r="AO17" s="62">
        <f t="shared" si="36"/>
        <v>343.9428747444544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projet'!$B$10,Paramètres!$A$1:$I$88,7,0))</f>
        <v>0</v>
      </c>
      <c r="AS17" s="17">
        <f>IF(ISNA(VLOOKUP(A17,'Données projet'!$A$61:$I$81,6,0)),0%,VLOOKUP(A17,'Données projet'!$A$61:$I$81,6,0)*VLOOKUP('Données projet'!$B$10,Paramètres!$A$1:$I$88,7,0))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projet'!$B$10,Paramètres!$A$1:$I$88,3,0)*0.475*44/12</f>
        <v>0</v>
      </c>
      <c r="AV17" s="23">
        <f>EXP(-LN(2)/25)*AV16+(1-EXP(-LN(2)/25))/(LN(2)/25)*Calculateur!AQ17*Calculateur!AS17*VLOOKUP('Données projet'!$B$10,Paramètres!$A$1:$I$88,3,0)*0.475*44/12</f>
        <v>0</v>
      </c>
      <c r="AW17" s="23">
        <f>EXP(-LN(2)/2)*AW16+(1-EXP(-LN(2)/2))/(LN(2)/2)*AQ17*AT17*VLOOKUP('Données projet'!$B$10,Paramètres!$A$1:$I$88,3,0)*0.475*44/12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10.68</v>
      </c>
      <c r="BD17" s="13">
        <f>IF('Données projet'!$A$88&gt;35,BD16+BC17-BL16,IF(A17&lt;'Données projet'!$A$88,$BA$205^A17,IF(A17='Données projet'!$A$88,'Données projet'!$B$88,BD16+BC17-BL16)))</f>
        <v>53.82</v>
      </c>
      <c r="BE17" s="14">
        <f>BD17*VLOOKUP('Données projet'!$B$11,Paramètres!$A$1:$I$88,3,0)*VLOOKUP('Données projet'!$B$11,Paramètres!$A$1:$I$88,5,0)</f>
        <v>42.819192000000001</v>
      </c>
      <c r="BF17" s="14">
        <f t="shared" si="37"/>
        <v>12.742886505722554</v>
      </c>
      <c r="BG17" s="22">
        <f t="shared" si="7"/>
        <v>96.770620064133439</v>
      </c>
      <c r="BH17" s="62">
        <f t="shared" si="8"/>
        <v>390.10395339746674</v>
      </c>
      <c r="BI17" s="62">
        <f ca="1">AVERAGE(OFFSET($BH$3,0,0,'Données projet'!$E$11+1,1))-AVERAGE(OFFSET($H$3,0,0,'Données projet'!$E$11+1,1))</f>
        <v>298.38448036212861</v>
      </c>
      <c r="BJ17" s="62">
        <f t="shared" si="38"/>
        <v>270.4445531106897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projet'!$B$11,Paramètres!$A$1:$I$88,7,0))</f>
        <v>0</v>
      </c>
      <c r="BN17" s="17">
        <f>IF(ISNA(VLOOKUP(A17,'Données projet'!$A$87:$I$107,6,0)),0%,VLOOKUP(A17,'Données projet'!$A$87:$I$107,6,0)*VLOOKUP('Données projet'!$B$11,Paramètres!$A$1:$I$88,7,0))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projet'!$B$11,Paramètres!$A$1:$I$88,3,0)*0.475*44/12</f>
        <v>0</v>
      </c>
      <c r="BQ17" s="23">
        <f>EXP(-LN(2)/25)*BQ16+(1-EXP(-LN(2)/25))/(LN(2)/25)*Calculateur!BL17*Calculateur!BN17*VLOOKUP('Données projet'!$B$11,Paramètres!$A$1:$I$88,3,0)*0.475*44/12</f>
        <v>0</v>
      </c>
      <c r="BR17" s="23">
        <f>EXP(-LN(2)/2)*BR16+(1-EXP(-LN(2)/2))/(LN(2)/2)*BL17*BO17*VLOOKUP('Données projet'!$B$11,Paramètres!$A$1:$I$88,3,0)*0.475*44/12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2.6666666666666665</v>
      </c>
      <c r="BY17" s="13">
        <f>IF('Données projet'!$A$114&gt;35,BY16+BX17-CG16,IF(A17&lt;'Données projet'!$A$114,$BV$205^A17,IF(A17='Données projet'!$A$114,'Données projet'!$B$114,BY16+BX17-CG16)))</f>
        <v>31.279225563578599</v>
      </c>
      <c r="BZ17" s="14">
        <f>BY17*VLOOKUP('Données projet'!$B$12,Paramètres!$A$1:$I$88,3,0)*VLOOKUP('Données projet'!$B$12,Paramètres!$A$1:$I$88,5,0)</f>
        <v>24.397795939591308</v>
      </c>
      <c r="CA17" s="14">
        <f t="shared" si="39"/>
        <v>7.75202295846145</v>
      </c>
      <c r="CB17" s="22">
        <f t="shared" si="10"/>
        <v>55.994267914108548</v>
      </c>
      <c r="CC17" s="62">
        <f t="shared" si="11"/>
        <v>349.32760124744186</v>
      </c>
      <c r="CD17" s="62">
        <f ca="1">AVERAGE(OFFSET($CC$3,0,0,'Données projet'!$E$12+1,1))-AVERAGE(OFFSET($H$3,0,0,'Données projet'!$E$12+1,1))</f>
        <v>217.32600829266818</v>
      </c>
      <c r="CE17" s="62">
        <f t="shared" si="40"/>
        <v>208.79744153433245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projet'!$B$12,Paramètres!$A$1:$I$88,7,0))</f>
        <v>0</v>
      </c>
      <c r="CI17" s="17">
        <f>IF(ISNA(VLOOKUP(A17,'Données projet'!$A$113:$I$133,6,0)),0%,VLOOKUP(A17,'Données projet'!$A$113:$I$133,6,0)*VLOOKUP('Données projet'!$B$12,Paramètres!$A$1:$I$88,7,0))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projet'!$B$12,Paramètres!$A$1:$I$88,3,0)*0.475*44/12</f>
        <v>0</v>
      </c>
      <c r="CL17" s="23">
        <f>EXP(-LN(2)/25)*CL16+(1-EXP(-LN(2)/25))/(LN(2)/25)*Calculateur!CG17*Calculateur!CI17*VLOOKUP('Données projet'!$B$12,Paramètres!$A$1:$I$88,3,0)*0.475*44/12</f>
        <v>0</v>
      </c>
      <c r="CM17" s="23">
        <f>EXP(-LN(2)/2)*CM16+(1-EXP(-LN(2)/2))/(LN(2)/2)*CG17*CJ17*VLOOKUP('Données projet'!$B$12,Paramètres!$A$1:$I$88,3,0)*0.475*44/12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10</v>
      </c>
      <c r="CT17" s="13">
        <f>IF('Données projet'!$A$140&gt;35,CT16+CS17-DB16,IF(A17&lt;'Données projet'!$A$140,$CQ$205^A17,IF(A17='Données projet'!$A$140,'Données projet'!$B$140,CT16+CS17-DB16)))</f>
        <v>35.330208180539429</v>
      </c>
      <c r="CU17" s="18">
        <f>CT17*VLOOKUP('Données projet'!$B$13,Paramètres!$A$1:$I$88,3,0)*VLOOKUP('Données projet'!$B$13,Paramètres!$A$1:$I$88,5,0)</f>
        <v>19.749586372921542</v>
      </c>
      <c r="CV17" s="14">
        <f t="shared" si="41"/>
        <v>6.4314236383699175</v>
      </c>
      <c r="CW17" s="22">
        <f t="shared" si="13"/>
        <v>45.598592436332616</v>
      </c>
      <c r="CX17" s="62">
        <f t="shared" si="14"/>
        <v>338.93192576966595</v>
      </c>
      <c r="CY17" s="62">
        <f ca="1">AVERAGE(OFFSET($CX$3,0,0,'Données projet'!$E$13+1,1))-AVERAGE(OFFSET($H$3,0,0,'Données projet'!$E$13+1,1))</f>
        <v>302.20483575440988</v>
      </c>
      <c r="CZ17" s="62">
        <f t="shared" si="42"/>
        <v>275.32862097158687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projet'!$B$13,Paramètres!$A$1:$I$88,7,0))</f>
        <v>0</v>
      </c>
      <c r="DD17" s="17">
        <f>IF(ISNA(VLOOKUP(A17,'Données projet'!$A$139:$I$159,6,0)),0%,VLOOKUP(A17,'Données projet'!$A$139:$I$159,6,0)*VLOOKUP('Données projet'!$B$13,Paramètres!$A$1:$I$88,7,0))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projet'!$B$13,Paramètres!$A$1:$I$88,3,0)*0.475*44/12</f>
        <v>0</v>
      </c>
      <c r="DG17" s="23">
        <f>EXP(-LN(2)/25)*DG16+(1-EXP(-LN(2)/25))/(LN(2)/25)*Calculateur!DB17*Calculateur!DD17*VLOOKUP('Données projet'!$B$13,Paramètres!$A$1:$I$88,3,0)*0.475*44/12</f>
        <v>0</v>
      </c>
      <c r="DH17" s="23">
        <f>EXP(-LN(2)/2)*DH16+(1-EXP(-LN(2)/2))/(LN(2)/2)*DB17*DE17*VLOOKUP('Données projet'!$B$13,Paramètres!$A$1:$I$88,3,0)*0.475*44/12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projet'!$B$14,Paramètres!$A$1:$I$88,3,0)*VLOOKUP('Données projet'!$B$14,Paramètres!$A$1:$I$88,5,0)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projet'!$B$14,Paramètres!$A$1:$I$88,7,0))</f>
        <v>0</v>
      </c>
      <c r="DY17" s="17">
        <f>IF(ISNA(VLOOKUP(A17,'Données projet'!$A$165:$I$185,6,0)),0%,VLOOKUP(A17,'Données projet'!$A$165:$I$185,6,0)*VLOOKUP('Données projet'!$B$14,Paramètres!$A$1:$I$88,7,0))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projet'!$B$14,Paramètres!$A$1:$I$88,3,0)*0.475*44/12</f>
        <v>#N/A</v>
      </c>
      <c r="EB17" s="23" t="e">
        <f>EXP(-LN(2)/25)*EB16+(1-EXP(-LN(2)/25))/(LN(2)/25)*Calculateur!DW17*Calculateur!DY17*VLOOKUP('Données projet'!$B$14,Paramètres!$A$1:$I$88,3,0)*0.475*44/12</f>
        <v>#N/A</v>
      </c>
      <c r="EC17" s="23" t="e">
        <f>EXP(-LN(2)/2)*EC16+(1-EXP(-LN(2)/2))/(LN(2)/2)*DW17*DZ17*VLOOKUP('Données projet'!$B$14,Paramètres!$A$1:$I$88,3,0)*0.475*44/12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projet'!$B$15,Paramètres!$A$1:$I$88,3,0)*VLOOKUP('Données projet'!$B$15,Paramètres!$A$1:$I$88,5,0)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projet'!$B$15,Paramètres!$A$1:$I$88,7,0))</f>
        <v>0</v>
      </c>
      <c r="ET17" s="17">
        <f>IF(ISNA(VLOOKUP(A17,'Données projet'!$A$191:$I$211,6,0)),0%,VLOOKUP(A17,'Données projet'!$A$191:$I$211,6,0)*VLOOKUP('Données projet'!$B$15,Paramètres!$A$1:$I$88,7,0))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projet'!$B$15,Paramètres!$A$1:$I$88,3,0)*0.475*44/12</f>
        <v>#N/A</v>
      </c>
      <c r="EW17" s="23" t="e">
        <f>EXP(-LN(2)/25)*EW16+(1-EXP(-LN(2)/25))/(LN(2)/25)*Calculateur!ER17*Calculateur!ET17*VLOOKUP('Données projet'!$B$15,Paramètres!$A$1:$I$88,3,0)*0.475*44/12</f>
        <v>#N/A</v>
      </c>
      <c r="EX17" s="23" t="e">
        <f>EXP(-LN(2)/2)*EX16+(1-EXP(-LN(2)/2))/(LN(2)/2)*ER17*EU17*VLOOKUP('Données projet'!$B$15,Paramètres!$A$1:$I$88,3,0)*0.475*44/12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projet'!$B$16,Paramètres!$A$1:$I$88,3,0)*VLOOKUP('Données projet'!$B$16,Paramètres!$A$1:$I$88,5,0)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projet'!$B$16,Paramètres!$A$1:$I$88,7,0))</f>
        <v>0</v>
      </c>
      <c r="FO17" s="17">
        <f>IF(ISNA(VLOOKUP(A17,'Données projet'!$A$217:$I$237,6,0)),0%,VLOOKUP(A17,'Données projet'!$A$217:$I$237,6,0)*VLOOKUP('Données projet'!$B$16,Paramètres!$A$1:$I$88,7,0))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projet'!$B$16,Paramètres!$A$1:$I$88,3,0)*0.475*44/12</f>
        <v>#N/A</v>
      </c>
      <c r="FR17" s="23" t="e">
        <f>EXP(-LN(2)/25)*FR16+(1-EXP(-LN(2)/25))/(LN(2)/25)*Calculateur!FM17*Calculateur!FO17*VLOOKUP('Données projet'!$B$16,Paramètres!$A$1:$I$88,3,0)*0.475*44/12</f>
        <v>#N/A</v>
      </c>
      <c r="FS17" s="23" t="e">
        <f>EXP(-LN(2)/2)*FS16+(1-EXP(-LN(2)/2))/(LN(2)/2)*FM17*FP17*VLOOKUP('Données projet'!$B$16,Paramètres!$A$1:$I$88,3,0)*0.475*44/12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projet'!$B$17,Paramètres!$A$1:$I$88,3,0)*VLOOKUP('Données projet'!$B$17,Paramètres!$A$1:$I$88,5,0)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projet'!$B$17,Paramètres!$A$1:$I$88,7,0))</f>
        <v>0</v>
      </c>
      <c r="GJ17" s="17">
        <f>IF(ISNA(VLOOKUP(A17,'Données projet'!$A$243:$I$263,6,0)),0%,VLOOKUP(A17,'Données projet'!$A$243:$I$263,6,0)*VLOOKUP('Données projet'!$B$17,Paramètres!$A$1:$I$88,7,0))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projet'!$B$17,Paramètres!$A$1:$I$88,3,0)*0.475*44/12</f>
        <v>#N/A</v>
      </c>
      <c r="GM17" s="23" t="e">
        <f>EXP(-LN(2)/25)*GM16+(1-EXP(-LN(2)/25))/(LN(2)/25)*Calculateur!GH17*Calculateur!GJ17*VLOOKUP('Données projet'!$B$17,Paramètres!$A$1:$I$88,3,0)*0.475*44/12</f>
        <v>#N/A</v>
      </c>
      <c r="GN17" s="23" t="e">
        <f>EXP(-LN(2)/2)*GN16+(1-EXP(-LN(2)/2))/(LN(2)/2)*GH17*GK17*VLOOKUP('Données projet'!$B$17,Paramètres!$A$1:$I$88,3,0)*0.475*44/12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projet'!$B$18,Paramètres!$A$1:$I$88,3,0)*VLOOKUP('Données projet'!$B$18,Paramètres!$A$1:$I$88,5,0)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projet'!$B$18,Paramètres!$A$1:$I$88,7,0))</f>
        <v>0</v>
      </c>
      <c r="HE17" s="17">
        <f>IF(ISNA(VLOOKUP(A17,'Données projet'!$A$269:$I$289,6,0)),0%,VLOOKUP(A17,'Données projet'!$A$269:$I$289,6,0)*VLOOKUP('Données projet'!$B$18,Paramètres!$A$1:$I$88,7,0))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projet'!$B$18,Paramètres!$A$1:$I$88,3,0)*0.475*44/12</f>
        <v>#N/A</v>
      </c>
      <c r="HH17" s="23" t="e">
        <f>EXP(-LN(2)/25)*HH16+(1-EXP(-LN(2)/25))/(LN(2)/25)*Calculateur!HC17*Calculateur!HE17*VLOOKUP('Données projet'!$B$18,Paramètres!$A$1:$I$88,3,0)*0.475*44/12</f>
        <v>#N/A</v>
      </c>
      <c r="HI17" s="23" t="e">
        <f>EXP(-LN(2)/2)*HI16+(1-EXP(-LN(2)/2))/(LN(2)/2)*HC17*HF17*VLOOKUP('Données projet'!$B$18,Paramètres!$A$1:$I$88,3,0)*0.475*44/12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6.2222222222222223</v>
      </c>
      <c r="N18" s="14">
        <f>IF('Données projet'!$A$36&gt;35,N17+M18-V17,IF(A18&lt;'Données projet'!$A$36,$K$205^A18,IF(A18='Données projet'!$A$36,'Données projet'!$B$36,N17+M18-V17)))</f>
        <v>51.013096442350388</v>
      </c>
      <c r="O18" s="14">
        <f>N18*VLOOKUP('Données projet'!$B$9,Paramètres!$A$1:$I$88,3,0)*VLOOKUP('Données projet'!$B$9,Paramètres!$A$1:$I$88,5,0)</f>
        <v>31.832172180026642</v>
      </c>
      <c r="P18" s="14">
        <f t="shared" si="33"/>
        <v>9.8058378099430179</v>
      </c>
      <c r="Q18" s="22">
        <f t="shared" si="2"/>
        <v>72.519534065863823</v>
      </c>
      <c r="R18" s="62">
        <f t="shared" si="0"/>
        <v>365.85286739919712</v>
      </c>
      <c r="S18" s="62">
        <f ca="1">AVERAGE(OFFSET($R$3,0,0,'Données projet'!$E$9+1,1))-AVERAGE(OFFSET($H$3,0,0,'Données projet'!$E$9+1,1))</f>
        <v>175.05987582828078</v>
      </c>
      <c r="T18" s="62">
        <f t="shared" si="34"/>
        <v>268.54782308462387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projet'!$B$9,Paramètres!$A$1:$I$88,7,0))</f>
        <v>0</v>
      </c>
      <c r="X18" s="17">
        <f>IF(ISNA(VLOOKUP(A18,'Données projet'!$A$35:$I$55,6,0)),0%,VLOOKUP(A18,'Données projet'!$A$35:$I$55,6,0)*VLOOKUP('Données projet'!$B$9,Paramètres!$A$1:$I$88,7,0))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projet'!$B$9,Paramètres!$A$1:$I$88,3,0)*0.475*44/12</f>
        <v>0</v>
      </c>
      <c r="AA18" s="23">
        <f>EXP(-LN(2)/25)*AA17+(1-EXP(-LN(2)/25))/(LN(2)/25)*Calculateur!V18*Calculateur!X18*VLOOKUP('Données projet'!$B$9,Paramètres!$A$1:$I$88,3,0)*0.475*44/12</f>
        <v>0</v>
      </c>
      <c r="AB18" s="23">
        <f>EXP(-LN(2)/2)*AB17+(1-EXP(-LN(2)/2))/(LN(2)/2)*V18*Y18*VLOOKUP('Données projet'!$B$9,Paramètres!$A$1:$I$88,3,0)*0.475*44/12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12.133333333333333</v>
      </c>
      <c r="AI18" s="14">
        <f>IF('Données projet'!$A$62&gt;35,AI17+AH18-AQ17,IF(A18&lt;'Données projet'!$A$62,$AF$205^A18,IF(A18='Données projet'!$A$62,'Données projet'!$B$62,AI17+AH18-AQ17)))</f>
        <v>19.078784028338909</v>
      </c>
      <c r="AJ18" s="14">
        <f>AI18*VLOOKUP('Données projet'!$B$10,Paramètres!$A$1:$I$88,3,0)*VLOOKUP('Données projet'!$B$10,Paramètres!$A$1:$I$88,5,0)</f>
        <v>9.1768951176310143</v>
      </c>
      <c r="AK18" s="14">
        <f t="shared" si="35"/>
        <v>3.2673077706652043</v>
      </c>
      <c r="AL18" s="22">
        <f t="shared" si="4"/>
        <v>21.673653363782577</v>
      </c>
      <c r="AM18" s="62">
        <f t="shared" si="5"/>
        <v>315.00698669711591</v>
      </c>
      <c r="AN18" s="62">
        <f ca="1">AVERAGE(OFFSET($AM$3,0,0,'Données projet'!$E$10+1,1))-AVERAGE(OFFSET($H$3,0,0,'Données projet'!$E$10+1,1))</f>
        <v>576.61210817354549</v>
      </c>
      <c r="AO18" s="62">
        <f t="shared" si="36"/>
        <v>343.9428747444544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projet'!$B$10,Paramètres!$A$1:$I$88,7,0))</f>
        <v>0</v>
      </c>
      <c r="AS18" s="17">
        <f>IF(ISNA(VLOOKUP(A18,'Données projet'!$A$61:$I$81,6,0)),0%,VLOOKUP(A18,'Données projet'!$A$61:$I$81,6,0)*VLOOKUP('Données projet'!$B$10,Paramètres!$A$1:$I$88,7,0))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projet'!$B$10,Paramètres!$A$1:$I$88,3,0)*0.475*44/12</f>
        <v>0</v>
      </c>
      <c r="AV18" s="23">
        <f>EXP(-LN(2)/25)*AV17+(1-EXP(-LN(2)/25))/(LN(2)/25)*Calculateur!AQ18*Calculateur!AS18*VLOOKUP('Données projet'!$B$10,Paramètres!$A$1:$I$88,3,0)*0.475*44/12</f>
        <v>0</v>
      </c>
      <c r="AW18" s="23">
        <f>EXP(-LN(2)/2)*AW17+(1-EXP(-LN(2)/2))/(LN(2)/2)*AQ18*AT18*VLOOKUP('Données projet'!$B$10,Paramètres!$A$1:$I$88,3,0)*0.475*44/12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>
        <f>VLOOKUP(A18,'Données projet'!$A$87:$I$107,2,0)</f>
        <v>64.5</v>
      </c>
      <c r="BB18" s="13">
        <f>VLOOKUP(A18,'Données projet'!$A$87:$I$107,9,0)</f>
        <v>10.68</v>
      </c>
      <c r="BC18" s="13">
        <f t="array" ref="BC18">INDEX(BB:BB,MIN(IF(ISNUMBER(BB18:BB214),ROW(BB18:BB214),"")))</f>
        <v>10.68</v>
      </c>
      <c r="BD18" s="13">
        <f>IF('Données projet'!$A$88&gt;35,BD17+BC18-BL17,IF(A18&lt;'Données projet'!$A$88,$BA$205^A18,IF(A18='Données projet'!$A$88,'Données projet'!$B$88,BD17+BC18-BL17)))</f>
        <v>64.5</v>
      </c>
      <c r="BE18" s="14">
        <f>BD18*VLOOKUP('Données projet'!$B$11,Paramètres!$A$1:$I$88,3,0)*VLOOKUP('Données projet'!$B$11,Paramètres!$A$1:$I$88,5,0)</f>
        <v>51.316200000000009</v>
      </c>
      <c r="BF18" s="14">
        <f t="shared" si="37"/>
        <v>14.953158316506878</v>
      </c>
      <c r="BG18" s="22">
        <f t="shared" si="7"/>
        <v>115.41913240124948</v>
      </c>
      <c r="BH18" s="62">
        <f t="shared" si="8"/>
        <v>408.75246573458281</v>
      </c>
      <c r="BI18" s="62">
        <f ca="1">AVERAGE(OFFSET($BH$3,0,0,'Données projet'!$E$11+1,1))-AVERAGE(OFFSET($H$3,0,0,'Données projet'!$E$11+1,1))</f>
        <v>298.38448036212861</v>
      </c>
      <c r="BJ18" s="62">
        <f t="shared" si="38"/>
        <v>270.4445531106897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projet'!$B$11,Paramètres!$A$1:$I$88,7,0))</f>
        <v>0</v>
      </c>
      <c r="BN18" s="17">
        <f>IF(ISNA(VLOOKUP(A18,'Données projet'!$A$87:$I$107,6,0)),0%,VLOOKUP(A18,'Données projet'!$A$87:$I$107,6,0)*VLOOKUP('Données projet'!$B$11,Paramètres!$A$1:$I$88,7,0))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projet'!$B$11,Paramètres!$A$1:$I$88,3,0)*0.475*44/12</f>
        <v>0</v>
      </c>
      <c r="BQ18" s="23">
        <f>EXP(-LN(2)/25)*BQ17+(1-EXP(-LN(2)/25))/(LN(2)/25)*Calculateur!BL18*Calculateur!BN18*VLOOKUP('Données projet'!$B$11,Paramètres!$A$1:$I$88,3,0)*0.475*44/12</f>
        <v>0</v>
      </c>
      <c r="BR18" s="23">
        <f>EXP(-LN(2)/2)*BR17+(1-EXP(-LN(2)/2))/(LN(2)/2)*BL18*BO18*VLOOKUP('Données projet'!$B$11,Paramètres!$A$1:$I$88,3,0)*0.475*44/12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40</v>
      </c>
      <c r="BW18" s="13">
        <f>VLOOKUP(A18,'Données projet'!$A$113:$I$133,9,0)</f>
        <v>2.6666666666666665</v>
      </c>
      <c r="BX18" s="13">
        <f t="array" ref="BX18">INDEX(BW:BW,MIN(IF(ISNUMBER(BW18:BW214),ROW(BW18:BW214),"")))</f>
        <v>2.6666666666666665</v>
      </c>
      <c r="BY18" s="13">
        <f>IF('Données projet'!$A$114&gt;35,BY17+BX18-CG17,IF(A18&lt;'Données projet'!$A$114,$BV$205^A18,IF(A18='Données projet'!$A$114,'Données projet'!$B$114,BY17+BX18-CG17)))</f>
        <v>40</v>
      </c>
      <c r="BZ18" s="14">
        <f>BY18*VLOOKUP('Données projet'!$B$12,Paramètres!$A$1:$I$88,3,0)*VLOOKUP('Données projet'!$B$12,Paramètres!$A$1:$I$88,5,0)</f>
        <v>31.200000000000003</v>
      </c>
      <c r="CA18" s="14">
        <f t="shared" si="39"/>
        <v>9.6335657126419925</v>
      </c>
      <c r="CB18" s="22">
        <f t="shared" si="10"/>
        <v>71.118460282851473</v>
      </c>
      <c r="CC18" s="62">
        <f t="shared" si="11"/>
        <v>364.45179361618477</v>
      </c>
      <c r="CD18" s="62">
        <f ca="1">AVERAGE(OFFSET($CC$3,0,0,'Données projet'!$E$12+1,1))-AVERAGE(OFFSET($H$3,0,0,'Données projet'!$E$12+1,1))</f>
        <v>217.32600829266818</v>
      </c>
      <c r="CE18" s="62">
        <f t="shared" si="40"/>
        <v>208.79744153433245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projet'!$B$12,Paramètres!$A$1:$I$88,7,0))</f>
        <v>0</v>
      </c>
      <c r="CI18" s="17">
        <f>IF(ISNA(VLOOKUP(A18,'Données projet'!$A$113:$I$133,6,0)),0%,VLOOKUP(A18,'Données projet'!$A$113:$I$133,6,0)*VLOOKUP('Données projet'!$B$12,Paramètres!$A$1:$I$88,7,0))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projet'!$B$12,Paramètres!$A$1:$I$88,3,0)*0.475*44/12</f>
        <v>0</v>
      </c>
      <c r="CL18" s="23">
        <f>EXP(-LN(2)/25)*CL17+(1-EXP(-LN(2)/25))/(LN(2)/25)*Calculateur!CG18*Calculateur!CI18*VLOOKUP('Données projet'!$B$12,Paramètres!$A$1:$I$88,3,0)*0.475*44/12</f>
        <v>0</v>
      </c>
      <c r="CM18" s="23">
        <f>EXP(-LN(2)/2)*CM17+(1-EXP(-LN(2)/2))/(LN(2)/2)*CG18*CJ18*VLOOKUP('Données projet'!$B$12,Paramètres!$A$1:$I$88,3,0)*0.475*44/12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10</v>
      </c>
      <c r="CT18" s="13">
        <f>IF('Données projet'!$A$140&gt;35,CT17+CS18-DB17,IF(A18&lt;'Données projet'!$A$140,$CQ$205^A18,IF(A18='Données projet'!$A$140,'Données projet'!$B$140,CT17+CS18-DB17)))</f>
        <v>45.575145902959399</v>
      </c>
      <c r="CU18" s="18">
        <f>CT18*VLOOKUP('Données projet'!$B$13,Paramètres!$A$1:$I$88,3,0)*VLOOKUP('Données projet'!$B$13,Paramètres!$A$1:$I$88,5,0)</f>
        <v>25.476506559754306</v>
      </c>
      <c r="CV18" s="14">
        <f t="shared" si="41"/>
        <v>8.0541044765944179</v>
      </c>
      <c r="CW18" s="22">
        <f t="shared" si="13"/>
        <v>58.399147554974014</v>
      </c>
      <c r="CX18" s="62">
        <f t="shared" si="14"/>
        <v>351.73248088830735</v>
      </c>
      <c r="CY18" s="62">
        <f ca="1">AVERAGE(OFFSET($CX$3,0,0,'Données projet'!$E$13+1,1))-AVERAGE(OFFSET($H$3,0,0,'Données projet'!$E$13+1,1))</f>
        <v>302.20483575440988</v>
      </c>
      <c r="CZ18" s="62">
        <f t="shared" si="42"/>
        <v>275.32862097158687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projet'!$B$13,Paramètres!$A$1:$I$88,7,0))</f>
        <v>0</v>
      </c>
      <c r="DD18" s="17">
        <f>IF(ISNA(VLOOKUP(A18,'Données projet'!$A$139:$I$159,6,0)),0%,VLOOKUP(A18,'Données projet'!$A$139:$I$159,6,0)*VLOOKUP('Données projet'!$B$13,Paramètres!$A$1:$I$88,7,0))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projet'!$B$13,Paramètres!$A$1:$I$88,3,0)*0.475*44/12</f>
        <v>0</v>
      </c>
      <c r="DG18" s="23">
        <f>EXP(-LN(2)/25)*DG17+(1-EXP(-LN(2)/25))/(LN(2)/25)*Calculateur!DB18*Calculateur!DD18*VLOOKUP('Données projet'!$B$13,Paramètres!$A$1:$I$88,3,0)*0.475*44/12</f>
        <v>0</v>
      </c>
      <c r="DH18" s="23">
        <f>EXP(-LN(2)/2)*DH17+(1-EXP(-LN(2)/2))/(LN(2)/2)*DB18*DE18*VLOOKUP('Données projet'!$B$13,Paramètres!$A$1:$I$88,3,0)*0.475*44/12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projet'!$B$14,Paramètres!$A$1:$I$88,3,0)*VLOOKUP('Données projet'!$B$14,Paramètres!$A$1:$I$88,5,0)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projet'!$B$14,Paramètres!$A$1:$I$88,7,0))</f>
        <v>0</v>
      </c>
      <c r="DY18" s="17">
        <f>IF(ISNA(VLOOKUP(A18,'Données projet'!$A$165:$I$185,6,0)),0%,VLOOKUP(A18,'Données projet'!$A$165:$I$185,6,0)*VLOOKUP('Données projet'!$B$14,Paramètres!$A$1:$I$88,7,0))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projet'!$B$14,Paramètres!$A$1:$I$88,3,0)*0.475*44/12</f>
        <v>#N/A</v>
      </c>
      <c r="EB18" s="23" t="e">
        <f>EXP(-LN(2)/25)*EB17+(1-EXP(-LN(2)/25))/(LN(2)/25)*Calculateur!DW18*Calculateur!DY18*VLOOKUP('Données projet'!$B$14,Paramètres!$A$1:$I$88,3,0)*0.475*44/12</f>
        <v>#N/A</v>
      </c>
      <c r="EC18" s="23" t="e">
        <f>EXP(-LN(2)/2)*EC17+(1-EXP(-LN(2)/2))/(LN(2)/2)*DW18*DZ18*VLOOKUP('Données projet'!$B$14,Paramètres!$A$1:$I$88,3,0)*0.475*44/12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projet'!$B$15,Paramètres!$A$1:$I$88,3,0)*VLOOKUP('Données projet'!$B$15,Paramètres!$A$1:$I$88,5,0)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projet'!$B$15,Paramètres!$A$1:$I$88,7,0))</f>
        <v>0</v>
      </c>
      <c r="ET18" s="17">
        <f>IF(ISNA(VLOOKUP(A18,'Données projet'!$A$191:$I$211,6,0)),0%,VLOOKUP(A18,'Données projet'!$A$191:$I$211,6,0)*VLOOKUP('Données projet'!$B$15,Paramètres!$A$1:$I$88,7,0))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projet'!$B$15,Paramètres!$A$1:$I$88,3,0)*0.475*44/12</f>
        <v>#N/A</v>
      </c>
      <c r="EW18" s="23" t="e">
        <f>EXP(-LN(2)/25)*EW17+(1-EXP(-LN(2)/25))/(LN(2)/25)*Calculateur!ER18*Calculateur!ET18*VLOOKUP('Données projet'!$B$15,Paramètres!$A$1:$I$88,3,0)*0.475*44/12</f>
        <v>#N/A</v>
      </c>
      <c r="EX18" s="23" t="e">
        <f>EXP(-LN(2)/2)*EX17+(1-EXP(-LN(2)/2))/(LN(2)/2)*ER18*EU18*VLOOKUP('Données projet'!$B$15,Paramètres!$A$1:$I$88,3,0)*0.475*44/12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projet'!$B$16,Paramètres!$A$1:$I$88,3,0)*VLOOKUP('Données projet'!$B$16,Paramètres!$A$1:$I$88,5,0)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projet'!$B$16,Paramètres!$A$1:$I$88,7,0))</f>
        <v>0</v>
      </c>
      <c r="FO18" s="17">
        <f>IF(ISNA(VLOOKUP(A18,'Données projet'!$A$217:$I$237,6,0)),0%,VLOOKUP(A18,'Données projet'!$A$217:$I$237,6,0)*VLOOKUP('Données projet'!$B$16,Paramètres!$A$1:$I$88,7,0))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projet'!$B$16,Paramètres!$A$1:$I$88,3,0)*0.475*44/12</f>
        <v>#N/A</v>
      </c>
      <c r="FR18" s="23" t="e">
        <f>EXP(-LN(2)/25)*FR17+(1-EXP(-LN(2)/25))/(LN(2)/25)*Calculateur!FM18*Calculateur!FO18*VLOOKUP('Données projet'!$B$16,Paramètres!$A$1:$I$88,3,0)*0.475*44/12</f>
        <v>#N/A</v>
      </c>
      <c r="FS18" s="23" t="e">
        <f>EXP(-LN(2)/2)*FS17+(1-EXP(-LN(2)/2))/(LN(2)/2)*FM18*FP18*VLOOKUP('Données projet'!$B$16,Paramètres!$A$1:$I$88,3,0)*0.475*44/12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projet'!$B$17,Paramètres!$A$1:$I$88,3,0)*VLOOKUP('Données projet'!$B$17,Paramètres!$A$1:$I$88,5,0)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projet'!$B$17,Paramètres!$A$1:$I$88,7,0))</f>
        <v>0</v>
      </c>
      <c r="GJ18" s="17">
        <f>IF(ISNA(VLOOKUP(A18,'Données projet'!$A$243:$I$263,6,0)),0%,VLOOKUP(A18,'Données projet'!$A$243:$I$263,6,0)*VLOOKUP('Données projet'!$B$17,Paramètres!$A$1:$I$88,7,0))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projet'!$B$17,Paramètres!$A$1:$I$88,3,0)*0.475*44/12</f>
        <v>#N/A</v>
      </c>
      <c r="GM18" s="23" t="e">
        <f>EXP(-LN(2)/25)*GM17+(1-EXP(-LN(2)/25))/(LN(2)/25)*Calculateur!GH18*Calculateur!GJ18*VLOOKUP('Données projet'!$B$17,Paramètres!$A$1:$I$88,3,0)*0.475*44/12</f>
        <v>#N/A</v>
      </c>
      <c r="GN18" s="23" t="e">
        <f>EXP(-LN(2)/2)*GN17+(1-EXP(-LN(2)/2))/(LN(2)/2)*GH18*GK18*VLOOKUP('Données projet'!$B$17,Paramètres!$A$1:$I$88,3,0)*0.475*44/12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projet'!$B$18,Paramètres!$A$1:$I$88,3,0)*VLOOKUP('Données projet'!$B$18,Paramètres!$A$1:$I$88,5,0)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projet'!$B$18,Paramètres!$A$1:$I$88,7,0))</f>
        <v>0</v>
      </c>
      <c r="HE18" s="17">
        <f>IF(ISNA(VLOOKUP(A18,'Données projet'!$A$269:$I$289,6,0)),0%,VLOOKUP(A18,'Données projet'!$A$269:$I$289,6,0)*VLOOKUP('Données projet'!$B$18,Paramètres!$A$1:$I$88,7,0))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projet'!$B$18,Paramètres!$A$1:$I$88,3,0)*0.475*44/12</f>
        <v>#N/A</v>
      </c>
      <c r="HH18" s="23" t="e">
        <f>EXP(-LN(2)/25)*HH17+(1-EXP(-LN(2)/25))/(LN(2)/25)*Calculateur!HC18*Calculateur!HE18*VLOOKUP('Données projet'!$B$18,Paramètres!$A$1:$I$88,3,0)*0.475*44/12</f>
        <v>#N/A</v>
      </c>
      <c r="HI18" s="23" t="e">
        <f>EXP(-LN(2)/2)*HI17+(1-EXP(-LN(2)/2))/(LN(2)/2)*HC18*HF18*VLOOKUP('Données projet'!$B$18,Paramètres!$A$1:$I$88,3,0)*0.475*44/12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6.2222222222222223</v>
      </c>
      <c r="N19" s="14">
        <f>IF('Données projet'!$A$36&gt;35,N18+M19-V18,IF(A19&lt;'Données projet'!$A$36,$K$205^A19,IF(A19='Données projet'!$A$36,'Données projet'!$B$36,N18+M19-V18)))</f>
        <v>66.302076663695672</v>
      </c>
      <c r="O19" s="14">
        <f>N19*VLOOKUP('Données projet'!$B$9,Paramètres!$A$1:$I$88,3,0)*VLOOKUP('Données projet'!$B$9,Paramètres!$A$1:$I$88,5,0)</f>
        <v>41.372495838146101</v>
      </c>
      <c r="P19" s="14">
        <f t="shared" si="33"/>
        <v>12.361709728704412</v>
      </c>
      <c r="Q19" s="22">
        <f t="shared" si="2"/>
        <v>93.587074695597963</v>
      </c>
      <c r="R19" s="62">
        <f t="shared" si="0"/>
        <v>386.92040802893126</v>
      </c>
      <c r="S19" s="62">
        <f ca="1">AVERAGE(OFFSET($R$3,0,0,'Données projet'!$E$9+1,1))-AVERAGE(OFFSET($H$3,0,0,'Données projet'!$E$9+1,1))</f>
        <v>175.05987582828078</v>
      </c>
      <c r="T19" s="62">
        <f t="shared" si="34"/>
        <v>268.54782308462387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projet'!$B$9,Paramètres!$A$1:$I$88,7,0))</f>
        <v>0</v>
      </c>
      <c r="X19" s="17">
        <f>IF(ISNA(VLOOKUP(A19,'Données projet'!$A$35:$I$55,6,0)),0%,VLOOKUP(A19,'Données projet'!$A$35:$I$55,6,0)*VLOOKUP('Données projet'!$B$9,Paramètres!$A$1:$I$88,7,0))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projet'!$B$9,Paramètres!$A$1:$I$88,3,0)*0.475*44/12</f>
        <v>0</v>
      </c>
      <c r="AA19" s="23">
        <f>EXP(-LN(2)/25)*AA18+(1-EXP(-LN(2)/25))/(LN(2)/25)*Calculateur!V19*Calculateur!X19*VLOOKUP('Données projet'!$B$9,Paramètres!$A$1:$I$88,3,0)*0.475*44/12</f>
        <v>0</v>
      </c>
      <c r="AB19" s="23">
        <f>EXP(-LN(2)/2)*AB18+(1-EXP(-LN(2)/2))/(LN(2)/2)*V19*Y19*VLOOKUP('Données projet'!$B$9,Paramètres!$A$1:$I$88,3,0)*0.475*44/12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12.133333333333333</v>
      </c>
      <c r="AI19" s="14">
        <f>IF('Données projet'!$A$62&gt;35,AI18+AH19-AQ18,IF(A19&lt;'Données projet'!$A$62,$AF$205^A19,IF(A19='Données projet'!$A$62,'Données projet'!$B$62,AI18+AH19-AQ18)))</f>
        <v>23.223129178658489</v>
      </c>
      <c r="AJ19" s="14">
        <f>AI19*VLOOKUP('Données projet'!$B$10,Paramètres!$A$1:$I$88,3,0)*VLOOKUP('Données projet'!$B$10,Paramètres!$A$1:$I$88,5,0)</f>
        <v>11.170325134934734</v>
      </c>
      <c r="AK19" s="14">
        <f t="shared" si="35"/>
        <v>3.8870758780517987</v>
      </c>
      <c r="AL19" s="22">
        <f t="shared" si="4"/>
        <v>26.22497343095154</v>
      </c>
      <c r="AM19" s="62">
        <f t="shared" si="5"/>
        <v>319.55830676428485</v>
      </c>
      <c r="AN19" s="62">
        <f ca="1">AVERAGE(OFFSET($AM$3,0,0,'Données projet'!$E$10+1,1))-AVERAGE(OFFSET($H$3,0,0,'Données projet'!$E$10+1,1))</f>
        <v>576.61210817354549</v>
      </c>
      <c r="AO19" s="62">
        <f t="shared" si="36"/>
        <v>343.9428747444544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projet'!$B$10,Paramètres!$A$1:$I$88,7,0))</f>
        <v>0</v>
      </c>
      <c r="AS19" s="17">
        <f>IF(ISNA(VLOOKUP(A19,'Données projet'!$A$61:$I$81,6,0)),0%,VLOOKUP(A19,'Données projet'!$A$61:$I$81,6,0)*VLOOKUP('Données projet'!$B$10,Paramètres!$A$1:$I$88,7,0))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projet'!$B$10,Paramètres!$A$1:$I$88,3,0)*0.475*44/12</f>
        <v>0</v>
      </c>
      <c r="AV19" s="23">
        <f>EXP(-LN(2)/25)*AV18+(1-EXP(-LN(2)/25))/(LN(2)/25)*Calculateur!AQ19*Calculateur!AS19*VLOOKUP('Données projet'!$B$10,Paramètres!$A$1:$I$88,3,0)*0.475*44/12</f>
        <v>0</v>
      </c>
      <c r="AW19" s="23">
        <f>EXP(-LN(2)/2)*AW18+(1-EXP(-LN(2)/2))/(LN(2)/2)*AQ19*AT19*VLOOKUP('Données projet'!$B$10,Paramètres!$A$1:$I$88,3,0)*0.475*44/12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13.760000000000002</v>
      </c>
      <c r="BD19" s="13">
        <f>IF('Données projet'!$A$88&gt;35,BD18+BC19-BL18,IF(A19&lt;'Données projet'!$A$88,$BA$205^A19,IF(A19='Données projet'!$A$88,'Données projet'!$B$88,BD18+BC19-BL18)))</f>
        <v>78.260000000000005</v>
      </c>
      <c r="BE19" s="14">
        <f>BD19*VLOOKUP('Données projet'!$B$11,Paramètres!$A$1:$I$88,3,0)*VLOOKUP('Données projet'!$B$11,Paramètres!$A$1:$I$88,5,0)</f>
        <v>62.263656000000012</v>
      </c>
      <c r="BF19" s="14">
        <f t="shared" si="37"/>
        <v>17.739352894036266</v>
      </c>
      <c r="BG19" s="22">
        <f t="shared" si="7"/>
        <v>139.33857382377983</v>
      </c>
      <c r="BH19" s="62">
        <f t="shared" si="8"/>
        <v>432.67190715711314</v>
      </c>
      <c r="BI19" s="62">
        <f ca="1">AVERAGE(OFFSET($BH$3,0,0,'Données projet'!$E$11+1,1))-AVERAGE(OFFSET($H$3,0,0,'Données projet'!$E$11+1,1))</f>
        <v>298.38448036212861</v>
      </c>
      <c r="BJ19" s="62">
        <f t="shared" si="38"/>
        <v>270.4445531106897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projet'!$B$11,Paramètres!$A$1:$I$88,7,0))</f>
        <v>0</v>
      </c>
      <c r="BN19" s="17">
        <f>IF(ISNA(VLOOKUP(A19,'Données projet'!$A$87:$I$107,6,0)),0%,VLOOKUP(A19,'Données projet'!$A$87:$I$107,6,0)*VLOOKUP('Données projet'!$B$11,Paramètres!$A$1:$I$88,7,0))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projet'!$B$11,Paramètres!$A$1:$I$88,3,0)*0.475*44/12</f>
        <v>0</v>
      </c>
      <c r="BQ19" s="23">
        <f>EXP(-LN(2)/25)*BQ18+(1-EXP(-LN(2)/25))/(LN(2)/25)*Calculateur!BL19*Calculateur!BN19*VLOOKUP('Données projet'!$B$11,Paramètres!$A$1:$I$88,3,0)*0.475*44/12</f>
        <v>0</v>
      </c>
      <c r="BR19" s="23">
        <f>EXP(-LN(2)/2)*BR18+(1-EXP(-LN(2)/2))/(LN(2)/2)*BL19*BO19*VLOOKUP('Données projet'!$B$11,Paramètres!$A$1:$I$88,3,0)*0.475*44/12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9.6</v>
      </c>
      <c r="BY19" s="13">
        <f>IF('Données projet'!$A$114&gt;35,BY18+BX19-CG18,IF(A19&lt;'Données projet'!$A$114,$BV$205^A19,IF(A19='Données projet'!$A$114,'Données projet'!$B$114,BY18+BX19-CG18)))</f>
        <v>49.6</v>
      </c>
      <c r="BZ19" s="14">
        <f>BY19*VLOOKUP('Données projet'!$B$12,Paramètres!$A$1:$I$88,3,0)*VLOOKUP('Données projet'!$B$12,Paramètres!$A$1:$I$88,5,0)</f>
        <v>38.688000000000002</v>
      </c>
      <c r="CA19" s="14">
        <f t="shared" si="39"/>
        <v>11.650229083154354</v>
      </c>
      <c r="CB19" s="22">
        <f t="shared" si="10"/>
        <v>87.672415653160499</v>
      </c>
      <c r="CC19" s="62">
        <f t="shared" si="11"/>
        <v>381.00574898649381</v>
      </c>
      <c r="CD19" s="62">
        <f ca="1">AVERAGE(OFFSET($CC$3,0,0,'Données projet'!$E$12+1,1))-AVERAGE(OFFSET($H$3,0,0,'Données projet'!$E$12+1,1))</f>
        <v>217.32600829266818</v>
      </c>
      <c r="CE19" s="62">
        <f t="shared" si="40"/>
        <v>208.79744153433245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projet'!$B$12,Paramètres!$A$1:$I$88,7,0))</f>
        <v>0</v>
      </c>
      <c r="CI19" s="17">
        <f>IF(ISNA(VLOOKUP(A19,'Données projet'!$A$113:$I$133,6,0)),0%,VLOOKUP(A19,'Données projet'!$A$113:$I$133,6,0)*VLOOKUP('Données projet'!$B$12,Paramètres!$A$1:$I$88,7,0))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projet'!$B$12,Paramètres!$A$1:$I$88,3,0)*0.475*44/12</f>
        <v>0</v>
      </c>
      <c r="CL19" s="23">
        <f>EXP(-LN(2)/25)*CL18+(1-EXP(-LN(2)/25))/(LN(2)/25)*Calculateur!CG19*Calculateur!CI19*VLOOKUP('Données projet'!$B$12,Paramètres!$A$1:$I$88,3,0)*0.475*44/12</f>
        <v>0</v>
      </c>
      <c r="CM19" s="23">
        <f>EXP(-LN(2)/2)*CM18+(1-EXP(-LN(2)/2))/(LN(2)/2)*CG19*CJ19*VLOOKUP('Données projet'!$B$12,Paramètres!$A$1:$I$88,3,0)*0.475*44/12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10</v>
      </c>
      <c r="CT19" s="13">
        <f>IF('Données projet'!$A$140&gt;35,CT18+CS19-DB18,IF(A19&lt;'Données projet'!$A$140,$CQ$205^A19,IF(A19='Données projet'!$A$140,'Données projet'!$B$140,CT18+CS19-DB18)))</f>
        <v>58.790877015554649</v>
      </c>
      <c r="CU19" s="18">
        <f>CT19*VLOOKUP('Données projet'!$B$13,Paramètres!$A$1:$I$88,3,0)*VLOOKUP('Données projet'!$B$13,Paramètres!$A$1:$I$88,5,0)</f>
        <v>32.864100251695049</v>
      </c>
      <c r="CV19" s="14">
        <f t="shared" si="41"/>
        <v>10.086195929139501</v>
      </c>
      <c r="CW19" s="22">
        <f t="shared" si="13"/>
        <v>74.805099181620164</v>
      </c>
      <c r="CX19" s="62">
        <f t="shared" si="14"/>
        <v>368.13843251495348</v>
      </c>
      <c r="CY19" s="62">
        <f ca="1">AVERAGE(OFFSET($CX$3,0,0,'Données projet'!$E$13+1,1))-AVERAGE(OFFSET($H$3,0,0,'Données projet'!$E$13+1,1))</f>
        <v>302.20483575440988</v>
      </c>
      <c r="CZ19" s="62">
        <f t="shared" si="42"/>
        <v>275.32862097158687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projet'!$B$13,Paramètres!$A$1:$I$88,7,0))</f>
        <v>0</v>
      </c>
      <c r="DD19" s="17">
        <f>IF(ISNA(VLOOKUP(A19,'Données projet'!$A$139:$I$159,6,0)),0%,VLOOKUP(A19,'Données projet'!$A$139:$I$159,6,0)*VLOOKUP('Données projet'!$B$13,Paramètres!$A$1:$I$88,7,0))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projet'!$B$13,Paramètres!$A$1:$I$88,3,0)*0.475*44/12</f>
        <v>0</v>
      </c>
      <c r="DG19" s="23">
        <f>EXP(-LN(2)/25)*DG18+(1-EXP(-LN(2)/25))/(LN(2)/25)*Calculateur!DB19*Calculateur!DD19*VLOOKUP('Données projet'!$B$13,Paramètres!$A$1:$I$88,3,0)*0.475*44/12</f>
        <v>0</v>
      </c>
      <c r="DH19" s="23">
        <f>EXP(-LN(2)/2)*DH18+(1-EXP(-LN(2)/2))/(LN(2)/2)*DB19*DE19*VLOOKUP('Données projet'!$B$13,Paramètres!$A$1:$I$88,3,0)*0.475*44/12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projet'!$B$14,Paramètres!$A$1:$I$88,3,0)*VLOOKUP('Données projet'!$B$14,Paramètres!$A$1:$I$88,5,0)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projet'!$B$14,Paramètres!$A$1:$I$88,7,0))</f>
        <v>0</v>
      </c>
      <c r="DY19" s="17">
        <f>IF(ISNA(VLOOKUP(A19,'Données projet'!$A$165:$I$185,6,0)),0%,VLOOKUP(A19,'Données projet'!$A$165:$I$185,6,0)*VLOOKUP('Données projet'!$B$14,Paramètres!$A$1:$I$88,7,0))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projet'!$B$14,Paramètres!$A$1:$I$88,3,0)*0.475*44/12</f>
        <v>#N/A</v>
      </c>
      <c r="EB19" s="23" t="e">
        <f>EXP(-LN(2)/25)*EB18+(1-EXP(-LN(2)/25))/(LN(2)/25)*Calculateur!DW19*Calculateur!DY19*VLOOKUP('Données projet'!$B$14,Paramètres!$A$1:$I$88,3,0)*0.475*44/12</f>
        <v>#N/A</v>
      </c>
      <c r="EC19" s="23" t="e">
        <f>EXP(-LN(2)/2)*EC18+(1-EXP(-LN(2)/2))/(LN(2)/2)*DW19*DZ19*VLOOKUP('Données projet'!$B$14,Paramètres!$A$1:$I$88,3,0)*0.475*44/12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projet'!$B$15,Paramètres!$A$1:$I$88,3,0)*VLOOKUP('Données projet'!$B$15,Paramètres!$A$1:$I$88,5,0)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projet'!$B$15,Paramètres!$A$1:$I$88,7,0))</f>
        <v>0</v>
      </c>
      <c r="ET19" s="17">
        <f>IF(ISNA(VLOOKUP(A19,'Données projet'!$A$191:$I$211,6,0)),0%,VLOOKUP(A19,'Données projet'!$A$191:$I$211,6,0)*VLOOKUP('Données projet'!$B$15,Paramètres!$A$1:$I$88,7,0))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projet'!$B$15,Paramètres!$A$1:$I$88,3,0)*0.475*44/12</f>
        <v>#N/A</v>
      </c>
      <c r="EW19" s="23" t="e">
        <f>EXP(-LN(2)/25)*EW18+(1-EXP(-LN(2)/25))/(LN(2)/25)*Calculateur!ER19*Calculateur!ET19*VLOOKUP('Données projet'!$B$15,Paramètres!$A$1:$I$88,3,0)*0.475*44/12</f>
        <v>#N/A</v>
      </c>
      <c r="EX19" s="23" t="e">
        <f>EXP(-LN(2)/2)*EX18+(1-EXP(-LN(2)/2))/(LN(2)/2)*ER19*EU19*VLOOKUP('Données projet'!$B$15,Paramètres!$A$1:$I$88,3,0)*0.475*44/12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projet'!$B$16,Paramètres!$A$1:$I$88,3,0)*VLOOKUP('Données projet'!$B$16,Paramètres!$A$1:$I$88,5,0)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projet'!$B$16,Paramètres!$A$1:$I$88,7,0))</f>
        <v>0</v>
      </c>
      <c r="FO19" s="17">
        <f>IF(ISNA(VLOOKUP(A19,'Données projet'!$A$217:$I$237,6,0)),0%,VLOOKUP(A19,'Données projet'!$A$217:$I$237,6,0)*VLOOKUP('Données projet'!$B$16,Paramètres!$A$1:$I$88,7,0))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projet'!$B$16,Paramètres!$A$1:$I$88,3,0)*0.475*44/12</f>
        <v>#N/A</v>
      </c>
      <c r="FR19" s="23" t="e">
        <f>EXP(-LN(2)/25)*FR18+(1-EXP(-LN(2)/25))/(LN(2)/25)*Calculateur!FM19*Calculateur!FO19*VLOOKUP('Données projet'!$B$16,Paramètres!$A$1:$I$88,3,0)*0.475*44/12</f>
        <v>#N/A</v>
      </c>
      <c r="FS19" s="23" t="e">
        <f>EXP(-LN(2)/2)*FS18+(1-EXP(-LN(2)/2))/(LN(2)/2)*FM19*FP19*VLOOKUP('Données projet'!$B$16,Paramètres!$A$1:$I$88,3,0)*0.475*44/12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projet'!$B$17,Paramètres!$A$1:$I$88,3,0)*VLOOKUP('Données projet'!$B$17,Paramètres!$A$1:$I$88,5,0)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projet'!$B$17,Paramètres!$A$1:$I$88,7,0))</f>
        <v>0</v>
      </c>
      <c r="GJ19" s="17">
        <f>IF(ISNA(VLOOKUP(A19,'Données projet'!$A$243:$I$263,6,0)),0%,VLOOKUP(A19,'Données projet'!$A$243:$I$263,6,0)*VLOOKUP('Données projet'!$B$17,Paramètres!$A$1:$I$88,7,0))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projet'!$B$17,Paramètres!$A$1:$I$88,3,0)*0.475*44/12</f>
        <v>#N/A</v>
      </c>
      <c r="GM19" s="23" t="e">
        <f>EXP(-LN(2)/25)*GM18+(1-EXP(-LN(2)/25))/(LN(2)/25)*Calculateur!GH19*Calculateur!GJ19*VLOOKUP('Données projet'!$B$17,Paramètres!$A$1:$I$88,3,0)*0.475*44/12</f>
        <v>#N/A</v>
      </c>
      <c r="GN19" s="23" t="e">
        <f>EXP(-LN(2)/2)*GN18+(1-EXP(-LN(2)/2))/(LN(2)/2)*GH19*GK19*VLOOKUP('Données projet'!$B$17,Paramètres!$A$1:$I$88,3,0)*0.475*44/12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projet'!$B$18,Paramètres!$A$1:$I$88,3,0)*VLOOKUP('Données projet'!$B$18,Paramètres!$A$1:$I$88,5,0)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projet'!$B$18,Paramètres!$A$1:$I$88,7,0))</f>
        <v>0</v>
      </c>
      <c r="HE19" s="17">
        <f>IF(ISNA(VLOOKUP(A19,'Données projet'!$A$269:$I$289,6,0)),0%,VLOOKUP(A19,'Données projet'!$A$269:$I$289,6,0)*VLOOKUP('Données projet'!$B$18,Paramètres!$A$1:$I$88,7,0))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projet'!$B$18,Paramètres!$A$1:$I$88,3,0)*0.475*44/12</f>
        <v>#N/A</v>
      </c>
      <c r="HH19" s="23" t="e">
        <f>EXP(-LN(2)/25)*HH18+(1-EXP(-LN(2)/25))/(LN(2)/25)*Calculateur!HC19*Calculateur!HE19*VLOOKUP('Données projet'!$B$18,Paramètres!$A$1:$I$88,3,0)*0.475*44/12</f>
        <v>#N/A</v>
      </c>
      <c r="HI19" s="23" t="e">
        <f>EXP(-LN(2)/2)*HI18+(1-EXP(-LN(2)/2))/(LN(2)/2)*HC19*HF19*VLOOKUP('Données projet'!$B$18,Paramètres!$A$1:$I$88,3,0)*0.475*44/12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6.2222222222222223</v>
      </c>
      <c r="N20" s="14">
        <f>IF('Données projet'!$A$36&gt;35,N19+M20-V19,IF(A20&lt;'Données projet'!$A$36,$K$205^A20,IF(A20='Données projet'!$A$36,'Données projet'!$B$36,N19+M20-V19)))</f>
        <v>86.1732707185582</v>
      </c>
      <c r="O20" s="14">
        <f>N20*VLOOKUP('Données projet'!$B$9,Paramètres!$A$1:$I$88,3,0)*VLOOKUP('Données projet'!$B$9,Paramètres!$A$1:$I$88,5,0)</f>
        <v>53.772120928380318</v>
      </c>
      <c r="P20" s="14">
        <f t="shared" si="33"/>
        <v>15.583764526657339</v>
      </c>
      <c r="Q20" s="22">
        <f t="shared" si="2"/>
        <v>120.79483383419057</v>
      </c>
      <c r="R20" s="62">
        <f t="shared" si="0"/>
        <v>414.12816716752388</v>
      </c>
      <c r="S20" s="62">
        <f ca="1">AVERAGE(OFFSET($R$3,0,0,'Données projet'!$E$9+1,1))-AVERAGE(OFFSET($H$3,0,0,'Données projet'!$E$9+1,1))</f>
        <v>175.05987582828078</v>
      </c>
      <c r="T20" s="62">
        <f t="shared" si="34"/>
        <v>268.54782308462387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projet'!$B$9,Paramètres!$A$1:$I$88,7,0))</f>
        <v>0</v>
      </c>
      <c r="X20" s="17">
        <f>IF(ISNA(VLOOKUP(A20,'Données projet'!$A$35:$I$55,6,0)),0%,VLOOKUP(A20,'Données projet'!$A$35:$I$55,6,0)*VLOOKUP('Données projet'!$B$9,Paramètres!$A$1:$I$88,7,0))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projet'!$B$9,Paramètres!$A$1:$I$88,3,0)*0.475*44/12</f>
        <v>0</v>
      </c>
      <c r="AA20" s="23">
        <f>EXP(-LN(2)/25)*AA19+(1-EXP(-LN(2)/25))/(LN(2)/25)*Calculateur!V20*Calculateur!X20*VLOOKUP('Données projet'!$B$9,Paramètres!$A$1:$I$88,3,0)*0.475*44/12</f>
        <v>0</v>
      </c>
      <c r="AB20" s="23">
        <f>EXP(-LN(2)/2)*AB19+(1-EXP(-LN(2)/2))/(LN(2)/2)*V20*Y20*VLOOKUP('Données projet'!$B$9,Paramètres!$A$1:$I$88,3,0)*0.475*44/12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12.133333333333333</v>
      </c>
      <c r="AI20" s="14">
        <f>IF('Données projet'!$A$62&gt;35,AI19+AH20-AQ19,IF(A20&lt;'Données projet'!$A$62,$AF$205^A20,IF(A20='Données projet'!$A$62,'Données projet'!$B$62,AI19+AH20-AQ19)))</f>
        <v>28.267720209400288</v>
      </c>
      <c r="AJ20" s="14">
        <f>AI20*VLOOKUP('Données projet'!$B$10,Paramètres!$A$1:$I$88,3,0)*VLOOKUP('Données projet'!$B$10,Paramètres!$A$1:$I$88,5,0)</f>
        <v>13.59677342072154</v>
      </c>
      <c r="AK20" s="14">
        <f t="shared" si="35"/>
        <v>4.6244063743820414</v>
      </c>
      <c r="AL20" s="22">
        <f t="shared" si="4"/>
        <v>31.735221476472066</v>
      </c>
      <c r="AM20" s="62">
        <f t="shared" si="5"/>
        <v>325.06855480980539</v>
      </c>
      <c r="AN20" s="62">
        <f ca="1">AVERAGE(OFFSET($AM$3,0,0,'Données projet'!$E$10+1,1))-AVERAGE(OFFSET($H$3,0,0,'Données projet'!$E$10+1,1))</f>
        <v>576.61210817354549</v>
      </c>
      <c r="AO20" s="62">
        <f t="shared" si="36"/>
        <v>343.9428747444544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projet'!$B$10,Paramètres!$A$1:$I$88,7,0))</f>
        <v>0</v>
      </c>
      <c r="AS20" s="17">
        <f>IF(ISNA(VLOOKUP(A20,'Données projet'!$A$61:$I$81,6,0)),0%,VLOOKUP(A20,'Données projet'!$A$61:$I$81,6,0)*VLOOKUP('Données projet'!$B$10,Paramètres!$A$1:$I$88,7,0))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projet'!$B$10,Paramètres!$A$1:$I$88,3,0)*0.475*44/12</f>
        <v>0</v>
      </c>
      <c r="AV20" s="23">
        <f>EXP(-LN(2)/25)*AV19+(1-EXP(-LN(2)/25))/(LN(2)/25)*Calculateur!AQ20*Calculateur!AS20*VLOOKUP('Données projet'!$B$10,Paramètres!$A$1:$I$88,3,0)*0.475*44/12</f>
        <v>0</v>
      </c>
      <c r="AW20" s="23">
        <f>EXP(-LN(2)/2)*AW19+(1-EXP(-LN(2)/2))/(LN(2)/2)*AQ20*AT20*VLOOKUP('Données projet'!$B$10,Paramètres!$A$1:$I$88,3,0)*0.475*44/12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13.760000000000002</v>
      </c>
      <c r="BD20" s="13">
        <f>IF('Données projet'!$A$88&gt;35,BD19+BC20-BL19,IF(A20&lt;'Données projet'!$A$88,$BA$205^A20,IF(A20='Données projet'!$A$88,'Données projet'!$B$88,BD19+BC20-BL19)))</f>
        <v>92.02000000000001</v>
      </c>
      <c r="BE20" s="14">
        <f>BD20*VLOOKUP('Données projet'!$B$11,Paramètres!$A$1:$I$88,3,0)*VLOOKUP('Données projet'!$B$11,Paramètres!$A$1:$I$88,5,0)</f>
        <v>73.211112000000014</v>
      </c>
      <c r="BF20" s="14">
        <f t="shared" si="37"/>
        <v>20.468796348022103</v>
      </c>
      <c r="BG20" s="22">
        <f t="shared" si="7"/>
        <v>163.15917370613849</v>
      </c>
      <c r="BH20" s="62">
        <f t="shared" si="8"/>
        <v>456.49250703947177</v>
      </c>
      <c r="BI20" s="62">
        <f ca="1">AVERAGE(OFFSET($BH$3,0,0,'Données projet'!$E$11+1,1))-AVERAGE(OFFSET($H$3,0,0,'Données projet'!$E$11+1,1))</f>
        <v>298.38448036212861</v>
      </c>
      <c r="BJ20" s="62">
        <f t="shared" si="38"/>
        <v>270.4445531106897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projet'!$B$11,Paramètres!$A$1:$I$88,7,0))</f>
        <v>0</v>
      </c>
      <c r="BN20" s="17">
        <f>IF(ISNA(VLOOKUP(A20,'Données projet'!$A$87:$I$107,6,0)),0%,VLOOKUP(A20,'Données projet'!$A$87:$I$107,6,0)*VLOOKUP('Données projet'!$B$11,Paramètres!$A$1:$I$88,7,0))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projet'!$B$11,Paramètres!$A$1:$I$88,3,0)*0.475*44/12</f>
        <v>0</v>
      </c>
      <c r="BQ20" s="23">
        <f>EXP(-LN(2)/25)*BQ19+(1-EXP(-LN(2)/25))/(LN(2)/25)*Calculateur!BL20*Calculateur!BN20*VLOOKUP('Données projet'!$B$11,Paramètres!$A$1:$I$88,3,0)*0.475*44/12</f>
        <v>0</v>
      </c>
      <c r="BR20" s="23">
        <f>EXP(-LN(2)/2)*BR19+(1-EXP(-LN(2)/2))/(LN(2)/2)*BL20*BO20*VLOOKUP('Données projet'!$B$11,Paramètres!$A$1:$I$88,3,0)*0.475*44/12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9.6</v>
      </c>
      <c r="BY20" s="13">
        <f>IF('Données projet'!$A$114&gt;35,BY19+BX20-CG19,IF(A20&lt;'Données projet'!$A$114,$BV$205^A20,IF(A20='Données projet'!$A$114,'Données projet'!$B$114,BY19+BX20-CG19)))</f>
        <v>59.2</v>
      </c>
      <c r="BZ20" s="14">
        <f>BY20*VLOOKUP('Données projet'!$B$12,Paramètres!$A$1:$I$88,3,0)*VLOOKUP('Données projet'!$B$12,Paramètres!$A$1:$I$88,5,0)</f>
        <v>46.176000000000002</v>
      </c>
      <c r="CA20" s="14">
        <f t="shared" si="39"/>
        <v>13.621668778540489</v>
      </c>
      <c r="CB20" s="22">
        <f t="shared" si="10"/>
        <v>104.14760645595801</v>
      </c>
      <c r="CC20" s="62">
        <f t="shared" si="11"/>
        <v>397.48093978929131</v>
      </c>
      <c r="CD20" s="62">
        <f ca="1">AVERAGE(OFFSET($CC$3,0,0,'Données projet'!$E$12+1,1))-AVERAGE(OFFSET($H$3,0,0,'Données projet'!$E$12+1,1))</f>
        <v>217.32600829266818</v>
      </c>
      <c r="CE20" s="62">
        <f t="shared" si="40"/>
        <v>208.79744153433245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projet'!$B$12,Paramètres!$A$1:$I$88,7,0))</f>
        <v>0</v>
      </c>
      <c r="CI20" s="17">
        <f>IF(ISNA(VLOOKUP(A20,'Données projet'!$A$113:$I$133,6,0)),0%,VLOOKUP(A20,'Données projet'!$A$113:$I$133,6,0)*VLOOKUP('Données projet'!$B$12,Paramètres!$A$1:$I$88,7,0))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projet'!$B$12,Paramètres!$A$1:$I$88,3,0)*0.475*44/12</f>
        <v>0</v>
      </c>
      <c r="CL20" s="23">
        <f>EXP(-LN(2)/25)*CL19+(1-EXP(-LN(2)/25))/(LN(2)/25)*Calculateur!CG20*Calculateur!CI20*VLOOKUP('Données projet'!$B$12,Paramètres!$A$1:$I$88,3,0)*0.475*44/12</f>
        <v>0</v>
      </c>
      <c r="CM20" s="23">
        <f>EXP(-LN(2)/2)*CM19+(1-EXP(-LN(2)/2))/(LN(2)/2)*CG20*CJ20*VLOOKUP('Données projet'!$B$12,Paramètres!$A$1:$I$88,3,0)*0.475*44/12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10</v>
      </c>
      <c r="CT20" s="13">
        <f>IF('Données projet'!$A$140&gt;35,CT19+CS20-DB19,IF(A20&lt;'Données projet'!$A$140,$CQ$205^A20,IF(A20='Données projet'!$A$140,'Données projet'!$B$140,CT19+CS20-DB19)))</f>
        <v>75.838862427725871</v>
      </c>
      <c r="CU20" s="18">
        <f>CT20*VLOOKUP('Données projet'!$B$13,Paramètres!$A$1:$I$88,3,0)*VLOOKUP('Données projet'!$B$13,Paramètres!$A$1:$I$88,5,0)</f>
        <v>42.393924097098761</v>
      </c>
      <c r="CV20" s="14">
        <f t="shared" si="41"/>
        <v>12.630994372698538</v>
      </c>
      <c r="CW20" s="22">
        <f t="shared" si="13"/>
        <v>95.835066334896965</v>
      </c>
      <c r="CX20" s="62">
        <f t="shared" si="14"/>
        <v>389.16839966823028</v>
      </c>
      <c r="CY20" s="62">
        <f ca="1">AVERAGE(OFFSET($CX$3,0,0,'Données projet'!$E$13+1,1))-AVERAGE(OFFSET($H$3,0,0,'Données projet'!$E$13+1,1))</f>
        <v>302.20483575440988</v>
      </c>
      <c r="CZ20" s="62">
        <f t="shared" si="42"/>
        <v>275.32862097158687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projet'!$B$13,Paramètres!$A$1:$I$88,7,0))</f>
        <v>0</v>
      </c>
      <c r="DD20" s="17">
        <f>IF(ISNA(VLOOKUP(A20,'Données projet'!$A$139:$I$159,6,0)),0%,VLOOKUP(A20,'Données projet'!$A$139:$I$159,6,0)*VLOOKUP('Données projet'!$B$13,Paramètres!$A$1:$I$88,7,0))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projet'!$B$13,Paramètres!$A$1:$I$88,3,0)*0.475*44/12</f>
        <v>0</v>
      </c>
      <c r="DG20" s="23">
        <f>EXP(-LN(2)/25)*DG19+(1-EXP(-LN(2)/25))/(LN(2)/25)*Calculateur!DB20*Calculateur!DD20*VLOOKUP('Données projet'!$B$13,Paramètres!$A$1:$I$88,3,0)*0.475*44/12</f>
        <v>0</v>
      </c>
      <c r="DH20" s="23">
        <f>EXP(-LN(2)/2)*DH19+(1-EXP(-LN(2)/2))/(LN(2)/2)*DB20*DE20*VLOOKUP('Données projet'!$B$13,Paramètres!$A$1:$I$88,3,0)*0.475*44/12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projet'!$B$14,Paramètres!$A$1:$I$88,3,0)*VLOOKUP('Données projet'!$B$14,Paramètres!$A$1:$I$88,5,0)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projet'!$B$14,Paramètres!$A$1:$I$88,7,0))</f>
        <v>0</v>
      </c>
      <c r="DY20" s="17">
        <f>IF(ISNA(VLOOKUP(A20,'Données projet'!$A$165:$I$185,6,0)),0%,VLOOKUP(A20,'Données projet'!$A$165:$I$185,6,0)*VLOOKUP('Données projet'!$B$14,Paramètres!$A$1:$I$88,7,0))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projet'!$B$14,Paramètres!$A$1:$I$88,3,0)*0.475*44/12</f>
        <v>#N/A</v>
      </c>
      <c r="EB20" s="23" t="e">
        <f>EXP(-LN(2)/25)*EB19+(1-EXP(-LN(2)/25))/(LN(2)/25)*Calculateur!DW20*Calculateur!DY20*VLOOKUP('Données projet'!$B$14,Paramètres!$A$1:$I$88,3,0)*0.475*44/12</f>
        <v>#N/A</v>
      </c>
      <c r="EC20" s="23" t="e">
        <f>EXP(-LN(2)/2)*EC19+(1-EXP(-LN(2)/2))/(LN(2)/2)*DW20*DZ20*VLOOKUP('Données projet'!$B$14,Paramètres!$A$1:$I$88,3,0)*0.475*44/12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projet'!$B$15,Paramètres!$A$1:$I$88,3,0)*VLOOKUP('Données projet'!$B$15,Paramètres!$A$1:$I$88,5,0)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projet'!$B$15,Paramètres!$A$1:$I$88,7,0))</f>
        <v>0</v>
      </c>
      <c r="ET20" s="17">
        <f>IF(ISNA(VLOOKUP(A20,'Données projet'!$A$191:$I$211,6,0)),0%,VLOOKUP(A20,'Données projet'!$A$191:$I$211,6,0)*VLOOKUP('Données projet'!$B$15,Paramètres!$A$1:$I$88,7,0))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projet'!$B$15,Paramètres!$A$1:$I$88,3,0)*0.475*44/12</f>
        <v>#N/A</v>
      </c>
      <c r="EW20" s="23" t="e">
        <f>EXP(-LN(2)/25)*EW19+(1-EXP(-LN(2)/25))/(LN(2)/25)*Calculateur!ER20*Calculateur!ET20*VLOOKUP('Données projet'!$B$15,Paramètres!$A$1:$I$88,3,0)*0.475*44/12</f>
        <v>#N/A</v>
      </c>
      <c r="EX20" s="23" t="e">
        <f>EXP(-LN(2)/2)*EX19+(1-EXP(-LN(2)/2))/(LN(2)/2)*ER20*EU20*VLOOKUP('Données projet'!$B$15,Paramètres!$A$1:$I$88,3,0)*0.475*44/12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projet'!$B$16,Paramètres!$A$1:$I$88,3,0)*VLOOKUP('Données projet'!$B$16,Paramètres!$A$1:$I$88,5,0)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projet'!$B$16,Paramètres!$A$1:$I$88,7,0))</f>
        <v>0</v>
      </c>
      <c r="FO20" s="17">
        <f>IF(ISNA(VLOOKUP(A20,'Données projet'!$A$217:$I$237,6,0)),0%,VLOOKUP(A20,'Données projet'!$A$217:$I$237,6,0)*VLOOKUP('Données projet'!$B$16,Paramètres!$A$1:$I$88,7,0))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projet'!$B$16,Paramètres!$A$1:$I$88,3,0)*0.475*44/12</f>
        <v>#N/A</v>
      </c>
      <c r="FR20" s="23" t="e">
        <f>EXP(-LN(2)/25)*FR19+(1-EXP(-LN(2)/25))/(LN(2)/25)*Calculateur!FM20*Calculateur!FO20*VLOOKUP('Données projet'!$B$16,Paramètres!$A$1:$I$88,3,0)*0.475*44/12</f>
        <v>#N/A</v>
      </c>
      <c r="FS20" s="23" t="e">
        <f>EXP(-LN(2)/2)*FS19+(1-EXP(-LN(2)/2))/(LN(2)/2)*FM20*FP20*VLOOKUP('Données projet'!$B$16,Paramètres!$A$1:$I$88,3,0)*0.475*44/12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projet'!$B$17,Paramètres!$A$1:$I$88,3,0)*VLOOKUP('Données projet'!$B$17,Paramètres!$A$1:$I$88,5,0)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projet'!$B$17,Paramètres!$A$1:$I$88,7,0))</f>
        <v>0</v>
      </c>
      <c r="GJ20" s="17">
        <f>IF(ISNA(VLOOKUP(A20,'Données projet'!$A$243:$I$263,6,0)),0%,VLOOKUP(A20,'Données projet'!$A$243:$I$263,6,0)*VLOOKUP('Données projet'!$B$17,Paramètres!$A$1:$I$88,7,0))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projet'!$B$17,Paramètres!$A$1:$I$88,3,0)*0.475*44/12</f>
        <v>#N/A</v>
      </c>
      <c r="GM20" s="23" t="e">
        <f>EXP(-LN(2)/25)*GM19+(1-EXP(-LN(2)/25))/(LN(2)/25)*Calculateur!GH20*Calculateur!GJ20*VLOOKUP('Données projet'!$B$17,Paramètres!$A$1:$I$88,3,0)*0.475*44/12</f>
        <v>#N/A</v>
      </c>
      <c r="GN20" s="23" t="e">
        <f>EXP(-LN(2)/2)*GN19+(1-EXP(-LN(2)/2))/(LN(2)/2)*GH20*GK20*VLOOKUP('Données projet'!$B$17,Paramètres!$A$1:$I$88,3,0)*0.475*44/12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projet'!$B$18,Paramètres!$A$1:$I$88,3,0)*VLOOKUP('Données projet'!$B$18,Paramètres!$A$1:$I$88,5,0)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projet'!$B$18,Paramètres!$A$1:$I$88,7,0))</f>
        <v>0</v>
      </c>
      <c r="HE20" s="17">
        <f>IF(ISNA(VLOOKUP(A20,'Données projet'!$A$269:$I$289,6,0)),0%,VLOOKUP(A20,'Données projet'!$A$269:$I$289,6,0)*VLOOKUP('Données projet'!$B$18,Paramètres!$A$1:$I$88,7,0))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projet'!$B$18,Paramètres!$A$1:$I$88,3,0)*0.475*44/12</f>
        <v>#N/A</v>
      </c>
      <c r="HH20" s="23" t="e">
        <f>EXP(-LN(2)/25)*HH19+(1-EXP(-LN(2)/25))/(LN(2)/25)*Calculateur!HC20*Calculateur!HE20*VLOOKUP('Données projet'!$B$18,Paramètres!$A$1:$I$88,3,0)*0.475*44/12</f>
        <v>#N/A</v>
      </c>
      <c r="HI20" s="23" t="e">
        <f>EXP(-LN(2)/2)*HI19+(1-EXP(-LN(2)/2))/(LN(2)/2)*HC20*HF20*VLOOKUP('Données projet'!$B$18,Paramètres!$A$1:$I$88,3,0)*0.475*44/12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112</v>
      </c>
      <c r="L21" s="13">
        <f>VLOOKUP(A21,'Données projet'!$A$35:$I$55,9,0)</f>
        <v>6.2222222222222223</v>
      </c>
      <c r="M21" s="13">
        <f t="array" ref="M21">INDEX(L:L,MIN(IF(ISNUMBER(L21:L217),ROW(L21:L217),"")))</f>
        <v>6.2222222222222223</v>
      </c>
      <c r="N21" s="14">
        <f>IF('Données projet'!$A$36&gt;35,N20+M21-V20,IF(A21&lt;'Données projet'!$A$36,$K$205^A21,IF(A21='Données projet'!$A$36,'Données projet'!$B$36,N20+M21-V20)))</f>
        <v>112</v>
      </c>
      <c r="O21" s="14">
        <f>N21*VLOOKUP('Données projet'!$B$9,Paramètres!$A$1:$I$88,3,0)*VLOOKUP('Données projet'!$B$9,Paramètres!$A$1:$I$88,5,0)</f>
        <v>69.888000000000005</v>
      </c>
      <c r="P21" s="14">
        <f t="shared" si="33"/>
        <v>19.645641432461961</v>
      </c>
      <c r="Q21" s="22">
        <f t="shared" si="2"/>
        <v>155.93775882820458</v>
      </c>
      <c r="R21" s="62">
        <f t="shared" si="0"/>
        <v>449.27109216153792</v>
      </c>
      <c r="S21" s="62">
        <f ca="1">AVERAGE(OFFSET($R$3,0,0,'Données projet'!$E$9+1,1))-AVERAGE(OFFSET($H$3,0,0,'Données projet'!$E$9+1,1))</f>
        <v>175.05987582828078</v>
      </c>
      <c r="T21" s="62">
        <f t="shared" si="34"/>
        <v>268.54782308462387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20</v>
      </c>
      <c r="W21" s="17">
        <f>IF(ISNA(VLOOKUP(A21,'Données projet'!$A$35:$I$55,5,0)),0%,VLOOKUP(A21,'Données projet'!$A$35:$I$55,5,0)*VLOOKUP('Données projet'!$B$9,Paramètres!$A$1:$I$88,7,0))</f>
        <v>0</v>
      </c>
      <c r="X21" s="17">
        <f>IF(ISNA(VLOOKUP(A21,'Données projet'!$A$35:$I$55,6,0)),0%,VLOOKUP(A21,'Données projet'!$A$35:$I$55,6,0)*VLOOKUP('Données projet'!$B$9,Paramètres!$A$1:$I$88,7,0))</f>
        <v>0</v>
      </c>
      <c r="Y21" s="17">
        <f>IF(ISNA(VLOOKUP(A21,'Données projet'!$A$35:$I$55,7,0)),0%,VLOOKUP(A21,'Données projet'!$A$35:$I$55,7,0))</f>
        <v>0.5</v>
      </c>
      <c r="Z21" s="23">
        <f>EXP(-LN(2)/35)*Z20+(1-EXP(-LN(2)/35))/(LN(2)/35)*V21*W21*VLOOKUP('Données projet'!$B$9,Paramètres!$A$1:$I$88,3,0)*0.475*44/12</f>
        <v>0</v>
      </c>
      <c r="AA21" s="23">
        <f>EXP(-LN(2)/25)*AA20+(1-EXP(-LN(2)/25))/(LN(2)/25)*Calculateur!V21*Calculateur!X21*VLOOKUP('Données projet'!$B$9,Paramètres!$A$1:$I$88,3,0)*0.475*44/12</f>
        <v>0</v>
      </c>
      <c r="AB21" s="23">
        <f>EXP(-LN(2)/2)*AB20+(1-EXP(-LN(2)/2))/(LN(2)/2)*V21*Y21*VLOOKUP('Données projet'!$B$9,Paramètres!$A$1:$I$88,3,0)*0.475*44/12</f>
        <v>7.0651295365651476</v>
      </c>
      <c r="AC21" s="24">
        <f t="shared" si="3"/>
        <v>7.0651295365651476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12.133333333333333</v>
      </c>
      <c r="AI21" s="14">
        <f>IF('Données projet'!$A$62&gt;35,AI20+AH21-AQ20,IF(A21&lt;'Données projet'!$A$62,$AF$205^A21,IF(A21='Données projet'!$A$62,'Données projet'!$B$62,AI20+AH21-AQ20)))</f>
        <v>34.408110969440699</v>
      </c>
      <c r="AJ21" s="14">
        <f>AI21*VLOOKUP('Données projet'!$B$10,Paramètres!$A$1:$I$88,3,0)*VLOOKUP('Données projet'!$B$10,Paramètres!$A$1:$I$88,5,0)</f>
        <v>16.550301376300975</v>
      </c>
      <c r="AK21" s="14">
        <f t="shared" si="35"/>
        <v>5.5015993992233305</v>
      </c>
      <c r="AL21" s="22">
        <f t="shared" si="4"/>
        <v>38.407060517371498</v>
      </c>
      <c r="AM21" s="62">
        <f t="shared" si="5"/>
        <v>331.74039385070483</v>
      </c>
      <c r="AN21" s="62">
        <f ca="1">AVERAGE(OFFSET($AM$3,0,0,'Données projet'!$E$10+1,1))-AVERAGE(OFFSET($H$3,0,0,'Données projet'!$E$10+1,1))</f>
        <v>576.61210817354549</v>
      </c>
      <c r="AO21" s="62">
        <f t="shared" si="36"/>
        <v>343.9428747444544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projet'!$B$10,Paramètres!$A$1:$I$88,7,0))</f>
        <v>0</v>
      </c>
      <c r="AS21" s="17">
        <f>IF(ISNA(VLOOKUP(A21,'Données projet'!$A$61:$I$81,6,0)),0%,VLOOKUP(A21,'Données projet'!$A$61:$I$81,6,0)*VLOOKUP('Données projet'!$B$10,Paramètres!$A$1:$I$88,7,0))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projet'!$B$10,Paramètres!$A$1:$I$88,3,0)*0.475*44/12</f>
        <v>0</v>
      </c>
      <c r="AV21" s="23">
        <f>EXP(-LN(2)/25)*AV20+(1-EXP(-LN(2)/25))/(LN(2)/25)*Calculateur!AQ21*Calculateur!AS21*VLOOKUP('Données projet'!$B$10,Paramètres!$A$1:$I$88,3,0)*0.475*44/12</f>
        <v>0</v>
      </c>
      <c r="AW21" s="23">
        <f>EXP(-LN(2)/2)*AW20+(1-EXP(-LN(2)/2))/(LN(2)/2)*AQ21*AT21*VLOOKUP('Données projet'!$B$10,Paramètres!$A$1:$I$88,3,0)*0.475*44/12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13.760000000000002</v>
      </c>
      <c r="BD21" s="13">
        <f>IF('Données projet'!$A$88&gt;35,BD20+BC21-BL20,IF(A21&lt;'Données projet'!$A$88,$BA$205^A21,IF(A21='Données projet'!$A$88,'Données projet'!$B$88,BD20+BC21-BL20)))</f>
        <v>105.78000000000002</v>
      </c>
      <c r="BE21" s="14">
        <f>BD21*VLOOKUP('Données projet'!$B$11,Paramètres!$A$1:$I$88,3,0)*VLOOKUP('Données projet'!$B$11,Paramètres!$A$1:$I$88,5,0)</f>
        <v>84.158568000000017</v>
      </c>
      <c r="BF21" s="14">
        <f t="shared" si="37"/>
        <v>23.15095738591862</v>
      </c>
      <c r="BG21" s="22">
        <f t="shared" si="7"/>
        <v>186.89742338047495</v>
      </c>
      <c r="BH21" s="62">
        <f t="shared" si="8"/>
        <v>480.23075671380826</v>
      </c>
      <c r="BI21" s="62">
        <f ca="1">AVERAGE(OFFSET($BH$3,0,0,'Données projet'!$E$11+1,1))-AVERAGE(OFFSET($H$3,0,0,'Données projet'!$E$11+1,1))</f>
        <v>298.38448036212861</v>
      </c>
      <c r="BJ21" s="62">
        <f t="shared" si="38"/>
        <v>270.4445531106897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projet'!$B$11,Paramètres!$A$1:$I$88,7,0))</f>
        <v>0</v>
      </c>
      <c r="BN21" s="17">
        <f>IF(ISNA(VLOOKUP(A21,'Données projet'!$A$87:$I$107,6,0)),0%,VLOOKUP(A21,'Données projet'!$A$87:$I$107,6,0)*VLOOKUP('Données projet'!$B$11,Paramètres!$A$1:$I$88,7,0))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projet'!$B$11,Paramètres!$A$1:$I$88,3,0)*0.475*44/12</f>
        <v>0</v>
      </c>
      <c r="BQ21" s="23">
        <f>EXP(-LN(2)/25)*BQ20+(1-EXP(-LN(2)/25))/(LN(2)/25)*Calculateur!BL21*Calculateur!BN21*VLOOKUP('Données projet'!$B$11,Paramètres!$A$1:$I$88,3,0)*0.475*44/12</f>
        <v>0</v>
      </c>
      <c r="BR21" s="23">
        <f>EXP(-LN(2)/2)*BR20+(1-EXP(-LN(2)/2))/(LN(2)/2)*BL21*BO21*VLOOKUP('Données projet'!$B$11,Paramètres!$A$1:$I$88,3,0)*0.475*44/12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9.6</v>
      </c>
      <c r="BY21" s="13">
        <f>IF('Données projet'!$A$114&gt;35,BY20+BX21-CG20,IF(A21&lt;'Données projet'!$A$114,$BV$205^A21,IF(A21='Données projet'!$A$114,'Données projet'!$B$114,BY20+BX21-CG20)))</f>
        <v>68.8</v>
      </c>
      <c r="BZ21" s="14">
        <f>BY21*VLOOKUP('Données projet'!$B$12,Paramètres!$A$1:$I$88,3,0)*VLOOKUP('Données projet'!$B$12,Paramètres!$A$1:$I$88,5,0)</f>
        <v>53.664000000000001</v>
      </c>
      <c r="CA21" s="14">
        <f t="shared" si="39"/>
        <v>15.556073979202782</v>
      </c>
      <c r="CB21" s="22">
        <f t="shared" si="10"/>
        <v>120.55829551377816</v>
      </c>
      <c r="CC21" s="62">
        <f t="shared" si="11"/>
        <v>413.89162884711146</v>
      </c>
      <c r="CD21" s="62">
        <f ca="1">AVERAGE(OFFSET($CC$3,0,0,'Données projet'!$E$12+1,1))-AVERAGE(OFFSET($H$3,0,0,'Données projet'!$E$12+1,1))</f>
        <v>217.32600829266818</v>
      </c>
      <c r="CE21" s="62">
        <f t="shared" si="40"/>
        <v>208.79744153433245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projet'!$B$12,Paramètres!$A$1:$I$88,7,0))</f>
        <v>0</v>
      </c>
      <c r="CI21" s="17">
        <f>IF(ISNA(VLOOKUP(A21,'Données projet'!$A$113:$I$133,6,0)),0%,VLOOKUP(A21,'Données projet'!$A$113:$I$133,6,0)*VLOOKUP('Données projet'!$B$12,Paramètres!$A$1:$I$88,7,0))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projet'!$B$12,Paramètres!$A$1:$I$88,3,0)*0.475*44/12</f>
        <v>0</v>
      </c>
      <c r="CL21" s="23">
        <f>EXP(-LN(2)/25)*CL20+(1-EXP(-LN(2)/25))/(LN(2)/25)*Calculateur!CG21*Calculateur!CI21*VLOOKUP('Données projet'!$B$12,Paramètres!$A$1:$I$88,3,0)*0.475*44/12</f>
        <v>0</v>
      </c>
      <c r="CM21" s="23">
        <f>EXP(-LN(2)/2)*CM20+(1-EXP(-LN(2)/2))/(LN(2)/2)*CG21*CJ21*VLOOKUP('Données projet'!$B$12,Paramètres!$A$1:$I$88,3,0)*0.475*44/12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10</v>
      </c>
      <c r="CT21" s="13">
        <f>IF('Données projet'!$A$140&gt;35,CT20+CS21-DB20,IF(A21&lt;'Données projet'!$A$140,$CQ$205^A21,IF(A21='Données projet'!$A$140,'Données projet'!$B$140,CT20+CS21-DB20)))</f>
        <v>97.830366653823091</v>
      </c>
      <c r="CU21" s="18">
        <f>CT21*VLOOKUP('Données projet'!$B$13,Paramètres!$A$1:$I$88,3,0)*VLOOKUP('Données projet'!$B$13,Paramètres!$A$1:$I$88,5,0)</f>
        <v>54.687174959487109</v>
      </c>
      <c r="CV21" s="14">
        <f t="shared" si="41"/>
        <v>15.817858384271306</v>
      </c>
      <c r="CW21" s="22">
        <f t="shared" si="13"/>
        <v>122.79626640704589</v>
      </c>
      <c r="CX21" s="62">
        <f t="shared" si="14"/>
        <v>416.12959974037921</v>
      </c>
      <c r="CY21" s="62">
        <f ca="1">AVERAGE(OFFSET($CX$3,0,0,'Données projet'!$E$13+1,1))-AVERAGE(OFFSET($H$3,0,0,'Données projet'!$E$13+1,1))</f>
        <v>302.20483575440988</v>
      </c>
      <c r="CZ21" s="62">
        <f t="shared" si="42"/>
        <v>275.32862097158687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projet'!$B$13,Paramètres!$A$1:$I$88,7,0))</f>
        <v>0</v>
      </c>
      <c r="DD21" s="17">
        <f>IF(ISNA(VLOOKUP(A21,'Données projet'!$A$139:$I$159,6,0)),0%,VLOOKUP(A21,'Données projet'!$A$139:$I$159,6,0)*VLOOKUP('Données projet'!$B$13,Paramètres!$A$1:$I$88,7,0))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projet'!$B$13,Paramètres!$A$1:$I$88,3,0)*0.475*44/12</f>
        <v>0</v>
      </c>
      <c r="DG21" s="23">
        <f>EXP(-LN(2)/25)*DG20+(1-EXP(-LN(2)/25))/(LN(2)/25)*Calculateur!DB21*Calculateur!DD21*VLOOKUP('Données projet'!$B$13,Paramètres!$A$1:$I$88,3,0)*0.475*44/12</f>
        <v>0</v>
      </c>
      <c r="DH21" s="23">
        <f>EXP(-LN(2)/2)*DH20+(1-EXP(-LN(2)/2))/(LN(2)/2)*DB21*DE21*VLOOKUP('Données projet'!$B$13,Paramètres!$A$1:$I$88,3,0)*0.475*44/12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projet'!$B$14,Paramètres!$A$1:$I$88,3,0)*VLOOKUP('Données projet'!$B$14,Paramètres!$A$1:$I$88,5,0)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projet'!$B$14,Paramètres!$A$1:$I$88,7,0))</f>
        <v>0</v>
      </c>
      <c r="DY21" s="17">
        <f>IF(ISNA(VLOOKUP(A21,'Données projet'!$A$165:$I$185,6,0)),0%,VLOOKUP(A21,'Données projet'!$A$165:$I$185,6,0)*VLOOKUP('Données projet'!$B$14,Paramètres!$A$1:$I$88,7,0))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projet'!$B$14,Paramètres!$A$1:$I$88,3,0)*0.475*44/12</f>
        <v>#N/A</v>
      </c>
      <c r="EB21" s="23" t="e">
        <f>EXP(-LN(2)/25)*EB20+(1-EXP(-LN(2)/25))/(LN(2)/25)*Calculateur!DW21*Calculateur!DY21*VLOOKUP('Données projet'!$B$14,Paramètres!$A$1:$I$88,3,0)*0.475*44/12</f>
        <v>#N/A</v>
      </c>
      <c r="EC21" s="23" t="e">
        <f>EXP(-LN(2)/2)*EC20+(1-EXP(-LN(2)/2))/(LN(2)/2)*DW21*DZ21*VLOOKUP('Données projet'!$B$14,Paramètres!$A$1:$I$88,3,0)*0.475*44/12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projet'!$B$15,Paramètres!$A$1:$I$88,3,0)*VLOOKUP('Données projet'!$B$15,Paramètres!$A$1:$I$88,5,0)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projet'!$B$15,Paramètres!$A$1:$I$88,7,0))</f>
        <v>0</v>
      </c>
      <c r="ET21" s="17">
        <f>IF(ISNA(VLOOKUP(A21,'Données projet'!$A$191:$I$211,6,0)),0%,VLOOKUP(A21,'Données projet'!$A$191:$I$211,6,0)*VLOOKUP('Données projet'!$B$15,Paramètres!$A$1:$I$88,7,0))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projet'!$B$15,Paramètres!$A$1:$I$88,3,0)*0.475*44/12</f>
        <v>#N/A</v>
      </c>
      <c r="EW21" s="23" t="e">
        <f>EXP(-LN(2)/25)*EW20+(1-EXP(-LN(2)/25))/(LN(2)/25)*Calculateur!ER21*Calculateur!ET21*VLOOKUP('Données projet'!$B$15,Paramètres!$A$1:$I$88,3,0)*0.475*44/12</f>
        <v>#N/A</v>
      </c>
      <c r="EX21" s="23" t="e">
        <f>EXP(-LN(2)/2)*EX20+(1-EXP(-LN(2)/2))/(LN(2)/2)*ER21*EU21*VLOOKUP('Données projet'!$B$15,Paramètres!$A$1:$I$88,3,0)*0.475*44/12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projet'!$B$16,Paramètres!$A$1:$I$88,3,0)*VLOOKUP('Données projet'!$B$16,Paramètres!$A$1:$I$88,5,0)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projet'!$B$16,Paramètres!$A$1:$I$88,7,0))</f>
        <v>0</v>
      </c>
      <c r="FO21" s="17">
        <f>IF(ISNA(VLOOKUP(A21,'Données projet'!$A$217:$I$237,6,0)),0%,VLOOKUP(A21,'Données projet'!$A$217:$I$237,6,0)*VLOOKUP('Données projet'!$B$16,Paramètres!$A$1:$I$88,7,0))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projet'!$B$16,Paramètres!$A$1:$I$88,3,0)*0.475*44/12</f>
        <v>#N/A</v>
      </c>
      <c r="FR21" s="23" t="e">
        <f>EXP(-LN(2)/25)*FR20+(1-EXP(-LN(2)/25))/(LN(2)/25)*Calculateur!FM21*Calculateur!FO21*VLOOKUP('Données projet'!$B$16,Paramètres!$A$1:$I$88,3,0)*0.475*44/12</f>
        <v>#N/A</v>
      </c>
      <c r="FS21" s="23" t="e">
        <f>EXP(-LN(2)/2)*FS20+(1-EXP(-LN(2)/2))/(LN(2)/2)*FM21*FP21*VLOOKUP('Données projet'!$B$16,Paramètres!$A$1:$I$88,3,0)*0.475*44/12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projet'!$B$17,Paramètres!$A$1:$I$88,3,0)*VLOOKUP('Données projet'!$B$17,Paramètres!$A$1:$I$88,5,0)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projet'!$B$17,Paramètres!$A$1:$I$88,7,0))</f>
        <v>0</v>
      </c>
      <c r="GJ21" s="17">
        <f>IF(ISNA(VLOOKUP(A21,'Données projet'!$A$243:$I$263,6,0)),0%,VLOOKUP(A21,'Données projet'!$A$243:$I$263,6,0)*VLOOKUP('Données projet'!$B$17,Paramètres!$A$1:$I$88,7,0))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projet'!$B$17,Paramètres!$A$1:$I$88,3,0)*0.475*44/12</f>
        <v>#N/A</v>
      </c>
      <c r="GM21" s="23" t="e">
        <f>EXP(-LN(2)/25)*GM20+(1-EXP(-LN(2)/25))/(LN(2)/25)*Calculateur!GH21*Calculateur!GJ21*VLOOKUP('Données projet'!$B$17,Paramètres!$A$1:$I$88,3,0)*0.475*44/12</f>
        <v>#N/A</v>
      </c>
      <c r="GN21" s="23" t="e">
        <f>EXP(-LN(2)/2)*GN20+(1-EXP(-LN(2)/2))/(LN(2)/2)*GH21*GK21*VLOOKUP('Données projet'!$B$17,Paramètres!$A$1:$I$88,3,0)*0.475*44/12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projet'!$B$18,Paramètres!$A$1:$I$88,3,0)*VLOOKUP('Données projet'!$B$18,Paramètres!$A$1:$I$88,5,0)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projet'!$B$18,Paramètres!$A$1:$I$88,7,0))</f>
        <v>0</v>
      </c>
      <c r="HE21" s="17">
        <f>IF(ISNA(VLOOKUP(A21,'Données projet'!$A$269:$I$289,6,0)),0%,VLOOKUP(A21,'Données projet'!$A$269:$I$289,6,0)*VLOOKUP('Données projet'!$B$18,Paramètres!$A$1:$I$88,7,0))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projet'!$B$18,Paramètres!$A$1:$I$88,3,0)*0.475*44/12</f>
        <v>#N/A</v>
      </c>
      <c r="HH21" s="23" t="e">
        <f>EXP(-LN(2)/25)*HH20+(1-EXP(-LN(2)/25))/(LN(2)/25)*Calculateur!HC21*Calculateur!HE21*VLOOKUP('Données projet'!$B$18,Paramètres!$A$1:$I$88,3,0)*0.475*44/12</f>
        <v>#N/A</v>
      </c>
      <c r="HI21" s="23" t="e">
        <f>EXP(-LN(2)/2)*HI20+(1-EXP(-LN(2)/2))/(LN(2)/2)*HC21*HF21*VLOOKUP('Données projet'!$B$18,Paramètres!$A$1:$I$88,3,0)*0.475*44/12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18</v>
      </c>
      <c r="N22" s="14">
        <f>IF('Données projet'!$A$36&gt;35,N21+M22-V21,IF(A22&lt;'Données projet'!$A$36,$K$205^A22,IF(A22='Données projet'!$A$36,'Données projet'!$B$36,N21+M22-V21)))</f>
        <v>110</v>
      </c>
      <c r="O22" s="14">
        <f>N22*VLOOKUP('Données projet'!$B$9,Paramètres!$A$1:$I$88,3,0)*VLOOKUP('Données projet'!$B$9,Paramètres!$A$1:$I$88,5,0)</f>
        <v>68.64</v>
      </c>
      <c r="P22" s="14">
        <f t="shared" si="33"/>
        <v>19.335336956640202</v>
      </c>
      <c r="Q22" s="22">
        <f t="shared" si="2"/>
        <v>153.22371186614836</v>
      </c>
      <c r="R22" s="62">
        <f t="shared" si="0"/>
        <v>446.55704519948165</v>
      </c>
      <c r="S22" s="62">
        <f ca="1">AVERAGE(OFFSET($R$3,0,0,'Données projet'!$E$9+1,1))-AVERAGE(OFFSET($H$3,0,0,'Données projet'!$E$9+1,1))</f>
        <v>175.05987582828078</v>
      </c>
      <c r="T22" s="62">
        <f t="shared" si="34"/>
        <v>268.54782308462387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projet'!$B$9,Paramètres!$A$1:$I$88,7,0))</f>
        <v>0</v>
      </c>
      <c r="X22" s="17">
        <f>IF(ISNA(VLOOKUP(A22,'Données projet'!$A$35:$I$55,6,0)),0%,VLOOKUP(A22,'Données projet'!$A$35:$I$55,6,0)*VLOOKUP('Données projet'!$B$9,Paramètres!$A$1:$I$88,7,0))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projet'!$B$9,Paramètres!$A$1:$I$88,3,0)*0.475*44/12</f>
        <v>0</v>
      </c>
      <c r="AA22" s="23">
        <f>EXP(-LN(2)/25)*AA21+(1-EXP(-LN(2)/25))/(LN(2)/25)*Calculateur!V22*Calculateur!X22*VLOOKUP('Données projet'!$B$9,Paramètres!$A$1:$I$88,3,0)*0.475*44/12</f>
        <v>0</v>
      </c>
      <c r="AB22" s="23">
        <f>EXP(-LN(2)/2)*AB21+(1-EXP(-LN(2)/2))/(LN(2)/2)*V22*Y22*VLOOKUP('Données projet'!$B$9,Paramètres!$A$1:$I$88,3,0)*0.475*44/12</f>
        <v>4.9958010052665864</v>
      </c>
      <c r="AC22" s="24">
        <f t="shared" si="3"/>
        <v>4.9958010052665864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12.133333333333333</v>
      </c>
      <c r="AI22" s="14">
        <f>IF('Données projet'!$A$62&gt;35,AI21+AH22-AQ21,IF(A22&lt;'Données projet'!$A$62,$AF$205^A22,IF(A22='Données projet'!$A$62,'Données projet'!$B$62,AI21+AH22-AQ21)))</f>
        <v>41.882334044456805</v>
      </c>
      <c r="AJ22" s="14">
        <f>AI22*VLOOKUP('Données projet'!$B$10,Paramètres!$A$1:$I$88,3,0)*VLOOKUP('Données projet'!$B$10,Paramètres!$A$1:$I$88,5,0)</f>
        <v>20.145402675383721</v>
      </c>
      <c r="AK22" s="14">
        <f t="shared" si="35"/>
        <v>6.5451851544035513</v>
      </c>
      <c r="AL22" s="22">
        <f t="shared" si="4"/>
        <v>46.486107136879497</v>
      </c>
      <c r="AM22" s="62">
        <f t="shared" si="5"/>
        <v>339.81944047021284</v>
      </c>
      <c r="AN22" s="62">
        <f ca="1">AVERAGE(OFFSET($AM$3,0,0,'Données projet'!$E$10+1,1))-AVERAGE(OFFSET($H$3,0,0,'Données projet'!$E$10+1,1))</f>
        <v>576.61210817354549</v>
      </c>
      <c r="AO22" s="62">
        <f t="shared" si="36"/>
        <v>343.9428747444544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projet'!$B$10,Paramètres!$A$1:$I$88,7,0))</f>
        <v>0</v>
      </c>
      <c r="AS22" s="17">
        <f>IF(ISNA(VLOOKUP(A22,'Données projet'!$A$61:$I$81,6,0)),0%,VLOOKUP(A22,'Données projet'!$A$61:$I$81,6,0)*VLOOKUP('Données projet'!$B$10,Paramètres!$A$1:$I$88,7,0))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projet'!$B$10,Paramètres!$A$1:$I$88,3,0)*0.475*44/12</f>
        <v>0</v>
      </c>
      <c r="AV22" s="23">
        <f>EXP(-LN(2)/25)*AV21+(1-EXP(-LN(2)/25))/(LN(2)/25)*Calculateur!AQ22*Calculateur!AS22*VLOOKUP('Données projet'!$B$10,Paramètres!$A$1:$I$88,3,0)*0.475*44/12</f>
        <v>0</v>
      </c>
      <c r="AW22" s="23">
        <f>EXP(-LN(2)/2)*AW21+(1-EXP(-LN(2)/2))/(LN(2)/2)*AQ22*AT22*VLOOKUP('Données projet'!$B$10,Paramètres!$A$1:$I$88,3,0)*0.475*44/12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13.760000000000002</v>
      </c>
      <c r="BD22" s="13">
        <f>IF('Données projet'!$A$88&gt;35,BD21+BC22-BL21,IF(A22&lt;'Données projet'!$A$88,$BA$205^A22,IF(A22='Données projet'!$A$88,'Données projet'!$B$88,BD21+BC22-BL21)))</f>
        <v>119.54000000000002</v>
      </c>
      <c r="BE22" s="14">
        <f>BD22*VLOOKUP('Données projet'!$B$11,Paramètres!$A$1:$I$88,3,0)*VLOOKUP('Données projet'!$B$11,Paramètres!$A$1:$I$88,5,0)</f>
        <v>95.106024000000019</v>
      </c>
      <c r="BF22" s="14">
        <f t="shared" si="37"/>
        <v>25.792692267172022</v>
      </c>
      <c r="BG22" s="22">
        <f t="shared" si="7"/>
        <v>210.56526416532461</v>
      </c>
      <c r="BH22" s="62">
        <f t="shared" si="8"/>
        <v>503.89859749865792</v>
      </c>
      <c r="BI22" s="62">
        <f ca="1">AVERAGE(OFFSET($BH$3,0,0,'Données projet'!$E$11+1,1))-AVERAGE(OFFSET($H$3,0,0,'Données projet'!$E$11+1,1))</f>
        <v>298.38448036212861</v>
      </c>
      <c r="BJ22" s="62">
        <f t="shared" si="38"/>
        <v>270.4445531106897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projet'!$B$11,Paramètres!$A$1:$I$88,7,0))</f>
        <v>0</v>
      </c>
      <c r="BN22" s="17">
        <f>IF(ISNA(VLOOKUP(A22,'Données projet'!$A$87:$I$107,6,0)),0%,VLOOKUP(A22,'Données projet'!$A$87:$I$107,6,0)*VLOOKUP('Données projet'!$B$11,Paramètres!$A$1:$I$88,7,0))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projet'!$B$11,Paramètres!$A$1:$I$88,3,0)*0.475*44/12</f>
        <v>0</v>
      </c>
      <c r="BQ22" s="23">
        <f>EXP(-LN(2)/25)*BQ21+(1-EXP(-LN(2)/25))/(LN(2)/25)*Calculateur!BL22*Calculateur!BN22*VLOOKUP('Données projet'!$B$11,Paramètres!$A$1:$I$88,3,0)*0.475*44/12</f>
        <v>0</v>
      </c>
      <c r="BR22" s="23">
        <f>EXP(-LN(2)/2)*BR21+(1-EXP(-LN(2)/2))/(LN(2)/2)*BL22*BO22*VLOOKUP('Données projet'!$B$11,Paramètres!$A$1:$I$88,3,0)*0.475*44/12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9.6</v>
      </c>
      <c r="BY22" s="13">
        <f>IF('Données projet'!$A$114&gt;35,BY21+BX22-CG21,IF(A22&lt;'Données projet'!$A$114,$BV$205^A22,IF(A22='Données projet'!$A$114,'Données projet'!$B$114,BY21+BX22-CG21)))</f>
        <v>78.399999999999991</v>
      </c>
      <c r="BZ22" s="14">
        <f>BY22*VLOOKUP('Données projet'!$B$12,Paramètres!$A$1:$I$88,3,0)*VLOOKUP('Données projet'!$B$12,Paramètres!$A$1:$I$88,5,0)</f>
        <v>61.151999999999994</v>
      </c>
      <c r="CA22" s="14">
        <f t="shared" si="39"/>
        <v>17.459207591071255</v>
      </c>
      <c r="CB22" s="22">
        <f t="shared" si="10"/>
        <v>136.9145198877824</v>
      </c>
      <c r="CC22" s="62">
        <f t="shared" si="11"/>
        <v>430.24785322111575</v>
      </c>
      <c r="CD22" s="62">
        <f ca="1">AVERAGE(OFFSET($CC$3,0,0,'Données projet'!$E$12+1,1))-AVERAGE(OFFSET($H$3,0,0,'Données projet'!$E$12+1,1))</f>
        <v>217.32600829266818</v>
      </c>
      <c r="CE22" s="62">
        <f t="shared" si="40"/>
        <v>208.79744153433245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projet'!$B$12,Paramètres!$A$1:$I$88,7,0))</f>
        <v>0</v>
      </c>
      <c r="CI22" s="17">
        <f>IF(ISNA(VLOOKUP(A22,'Données projet'!$A$113:$I$133,6,0)),0%,VLOOKUP(A22,'Données projet'!$A$113:$I$133,6,0)*VLOOKUP('Données projet'!$B$12,Paramètres!$A$1:$I$88,7,0))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projet'!$B$12,Paramètres!$A$1:$I$88,3,0)*0.475*44/12</f>
        <v>0</v>
      </c>
      <c r="CL22" s="23">
        <f>EXP(-LN(2)/25)*CL21+(1-EXP(-LN(2)/25))/(LN(2)/25)*Calculateur!CG22*Calculateur!CI22*VLOOKUP('Données projet'!$B$12,Paramètres!$A$1:$I$88,3,0)*0.475*44/12</f>
        <v>0</v>
      </c>
      <c r="CM22" s="23">
        <f>EXP(-LN(2)/2)*CM21+(1-EXP(-LN(2)/2))/(LN(2)/2)*CG22*CJ22*VLOOKUP('Données projet'!$B$12,Paramètres!$A$1:$I$88,3,0)*0.475*44/12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10</v>
      </c>
      <c r="CT22" s="13">
        <f>IF('Données projet'!$A$140&gt;35,CT21+CS22-DB21,IF(A22&lt;'Données projet'!$A$140,$CQ$205^A22,IF(A22='Données projet'!$A$140,'Données projet'!$B$140,CT21+CS22-DB21)))</f>
        <v>126.1988950420027</v>
      </c>
      <c r="CU22" s="18">
        <f>CT22*VLOOKUP('Données projet'!$B$13,Paramètres!$A$1:$I$88,3,0)*VLOOKUP('Données projet'!$B$13,Paramètres!$A$1:$I$88,5,0)</f>
        <v>70.545182328479513</v>
      </c>
      <c r="CV22" s="14">
        <f t="shared" si="41"/>
        <v>19.808784366626785</v>
      </c>
      <c r="CW22" s="22">
        <f t="shared" si="13"/>
        <v>157.36649199397678</v>
      </c>
      <c r="CX22" s="62">
        <f t="shared" si="14"/>
        <v>450.69982532731012</v>
      </c>
      <c r="CY22" s="62">
        <f ca="1">AVERAGE(OFFSET($CX$3,0,0,'Données projet'!$E$13+1,1))-AVERAGE(OFFSET($H$3,0,0,'Données projet'!$E$13+1,1))</f>
        <v>302.20483575440988</v>
      </c>
      <c r="CZ22" s="62">
        <f t="shared" si="42"/>
        <v>275.32862097158687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projet'!$B$13,Paramètres!$A$1:$I$88,7,0))</f>
        <v>0</v>
      </c>
      <c r="DD22" s="17">
        <f>IF(ISNA(VLOOKUP(A22,'Données projet'!$A$139:$I$159,6,0)),0%,VLOOKUP(A22,'Données projet'!$A$139:$I$159,6,0)*VLOOKUP('Données projet'!$B$13,Paramètres!$A$1:$I$88,7,0))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projet'!$B$13,Paramètres!$A$1:$I$88,3,0)*0.475*44/12</f>
        <v>0</v>
      </c>
      <c r="DG22" s="23">
        <f>EXP(-LN(2)/25)*DG21+(1-EXP(-LN(2)/25))/(LN(2)/25)*Calculateur!DB22*Calculateur!DD22*VLOOKUP('Données projet'!$B$13,Paramètres!$A$1:$I$88,3,0)*0.475*44/12</f>
        <v>0</v>
      </c>
      <c r="DH22" s="23">
        <f>EXP(-LN(2)/2)*DH21+(1-EXP(-LN(2)/2))/(LN(2)/2)*DB22*DE22*VLOOKUP('Données projet'!$B$13,Paramètres!$A$1:$I$88,3,0)*0.475*44/12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projet'!$B$14,Paramètres!$A$1:$I$88,3,0)*VLOOKUP('Données projet'!$B$14,Paramètres!$A$1:$I$88,5,0)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projet'!$B$14,Paramètres!$A$1:$I$88,7,0))</f>
        <v>0</v>
      </c>
      <c r="DY22" s="17">
        <f>IF(ISNA(VLOOKUP(A22,'Données projet'!$A$165:$I$185,6,0)),0%,VLOOKUP(A22,'Données projet'!$A$165:$I$185,6,0)*VLOOKUP('Données projet'!$B$14,Paramètres!$A$1:$I$88,7,0))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projet'!$B$14,Paramètres!$A$1:$I$88,3,0)*0.475*44/12</f>
        <v>#N/A</v>
      </c>
      <c r="EB22" s="23" t="e">
        <f>EXP(-LN(2)/25)*EB21+(1-EXP(-LN(2)/25))/(LN(2)/25)*Calculateur!DW22*Calculateur!DY22*VLOOKUP('Données projet'!$B$14,Paramètres!$A$1:$I$88,3,0)*0.475*44/12</f>
        <v>#N/A</v>
      </c>
      <c r="EC22" s="23" t="e">
        <f>EXP(-LN(2)/2)*EC21+(1-EXP(-LN(2)/2))/(LN(2)/2)*DW22*DZ22*VLOOKUP('Données projet'!$B$14,Paramètres!$A$1:$I$88,3,0)*0.475*44/12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projet'!$B$15,Paramètres!$A$1:$I$88,3,0)*VLOOKUP('Données projet'!$B$15,Paramètres!$A$1:$I$88,5,0)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projet'!$B$15,Paramètres!$A$1:$I$88,7,0))</f>
        <v>0</v>
      </c>
      <c r="ET22" s="17">
        <f>IF(ISNA(VLOOKUP(A22,'Données projet'!$A$191:$I$211,6,0)),0%,VLOOKUP(A22,'Données projet'!$A$191:$I$211,6,0)*VLOOKUP('Données projet'!$B$15,Paramètres!$A$1:$I$88,7,0))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projet'!$B$15,Paramètres!$A$1:$I$88,3,0)*0.475*44/12</f>
        <v>#N/A</v>
      </c>
      <c r="EW22" s="23" t="e">
        <f>EXP(-LN(2)/25)*EW21+(1-EXP(-LN(2)/25))/(LN(2)/25)*Calculateur!ER22*Calculateur!ET22*VLOOKUP('Données projet'!$B$15,Paramètres!$A$1:$I$88,3,0)*0.475*44/12</f>
        <v>#N/A</v>
      </c>
      <c r="EX22" s="23" t="e">
        <f>EXP(-LN(2)/2)*EX21+(1-EXP(-LN(2)/2))/(LN(2)/2)*ER22*EU22*VLOOKUP('Données projet'!$B$15,Paramètres!$A$1:$I$88,3,0)*0.475*44/12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projet'!$B$16,Paramètres!$A$1:$I$88,3,0)*VLOOKUP('Données projet'!$B$16,Paramètres!$A$1:$I$88,5,0)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projet'!$B$16,Paramètres!$A$1:$I$88,7,0))</f>
        <v>0</v>
      </c>
      <c r="FO22" s="17">
        <f>IF(ISNA(VLOOKUP(A22,'Données projet'!$A$217:$I$237,6,0)),0%,VLOOKUP(A22,'Données projet'!$A$217:$I$237,6,0)*VLOOKUP('Données projet'!$B$16,Paramètres!$A$1:$I$88,7,0))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projet'!$B$16,Paramètres!$A$1:$I$88,3,0)*0.475*44/12</f>
        <v>#N/A</v>
      </c>
      <c r="FR22" s="23" t="e">
        <f>EXP(-LN(2)/25)*FR21+(1-EXP(-LN(2)/25))/(LN(2)/25)*Calculateur!FM22*Calculateur!FO22*VLOOKUP('Données projet'!$B$16,Paramètres!$A$1:$I$88,3,0)*0.475*44/12</f>
        <v>#N/A</v>
      </c>
      <c r="FS22" s="23" t="e">
        <f>EXP(-LN(2)/2)*FS21+(1-EXP(-LN(2)/2))/(LN(2)/2)*FM22*FP22*VLOOKUP('Données projet'!$B$16,Paramètres!$A$1:$I$88,3,0)*0.475*44/12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projet'!$B$17,Paramètres!$A$1:$I$88,3,0)*VLOOKUP('Données projet'!$B$17,Paramètres!$A$1:$I$88,5,0)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projet'!$B$17,Paramètres!$A$1:$I$88,7,0))</f>
        <v>0</v>
      </c>
      <c r="GJ22" s="17">
        <f>IF(ISNA(VLOOKUP(A22,'Données projet'!$A$243:$I$263,6,0)),0%,VLOOKUP(A22,'Données projet'!$A$243:$I$263,6,0)*VLOOKUP('Données projet'!$B$17,Paramètres!$A$1:$I$88,7,0))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projet'!$B$17,Paramètres!$A$1:$I$88,3,0)*0.475*44/12</f>
        <v>#N/A</v>
      </c>
      <c r="GM22" s="23" t="e">
        <f>EXP(-LN(2)/25)*GM21+(1-EXP(-LN(2)/25))/(LN(2)/25)*Calculateur!GH22*Calculateur!GJ22*VLOOKUP('Données projet'!$B$17,Paramètres!$A$1:$I$88,3,0)*0.475*44/12</f>
        <v>#N/A</v>
      </c>
      <c r="GN22" s="23" t="e">
        <f>EXP(-LN(2)/2)*GN21+(1-EXP(-LN(2)/2))/(LN(2)/2)*GH22*GK22*VLOOKUP('Données projet'!$B$17,Paramètres!$A$1:$I$88,3,0)*0.475*44/12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projet'!$B$18,Paramètres!$A$1:$I$88,3,0)*VLOOKUP('Données projet'!$B$18,Paramètres!$A$1:$I$88,5,0)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projet'!$B$18,Paramètres!$A$1:$I$88,7,0))</f>
        <v>0</v>
      </c>
      <c r="HE22" s="17">
        <f>IF(ISNA(VLOOKUP(A22,'Données projet'!$A$269:$I$289,6,0)),0%,VLOOKUP(A22,'Données projet'!$A$269:$I$289,6,0)*VLOOKUP('Données projet'!$B$18,Paramètres!$A$1:$I$88,7,0))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projet'!$B$18,Paramètres!$A$1:$I$88,3,0)*0.475*44/12</f>
        <v>#N/A</v>
      </c>
      <c r="HH22" s="23" t="e">
        <f>EXP(-LN(2)/25)*HH21+(1-EXP(-LN(2)/25))/(LN(2)/25)*Calculateur!HC22*Calculateur!HE22*VLOOKUP('Données projet'!$B$18,Paramètres!$A$1:$I$88,3,0)*0.475*44/12</f>
        <v>#N/A</v>
      </c>
      <c r="HI22" s="23" t="e">
        <f>EXP(-LN(2)/2)*HI21+(1-EXP(-LN(2)/2))/(LN(2)/2)*HC22*HF22*VLOOKUP('Données projet'!$B$18,Paramètres!$A$1:$I$88,3,0)*0.475*44/12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18</v>
      </c>
      <c r="N23" s="14">
        <f>IF('Données projet'!$A$36&gt;35,N22+M23-V22,IF(A23&lt;'Données projet'!$A$36,$K$205^A23,IF(A23='Données projet'!$A$36,'Données projet'!$B$36,N22+M23-V22)))</f>
        <v>128</v>
      </c>
      <c r="O23" s="14">
        <f>N23*VLOOKUP('Données projet'!$B$9,Paramètres!$A$1:$I$88,3,0)*VLOOKUP('Données projet'!$B$9,Paramètres!$A$1:$I$88,5,0)</f>
        <v>79.872</v>
      </c>
      <c r="P23" s="14">
        <f t="shared" si="33"/>
        <v>22.105884547145418</v>
      </c>
      <c r="Q23" s="22">
        <f t="shared" si="2"/>
        <v>177.61148225294494</v>
      </c>
      <c r="R23" s="62">
        <f t="shared" si="0"/>
        <v>470.94481558627825</v>
      </c>
      <c r="S23" s="62">
        <f ca="1">AVERAGE(OFFSET($R$3,0,0,'Données projet'!$E$9+1,1))-AVERAGE(OFFSET($H$3,0,0,'Données projet'!$E$9+1,1))</f>
        <v>175.05987582828078</v>
      </c>
      <c r="T23" s="62">
        <f t="shared" si="34"/>
        <v>268.54782308462387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projet'!$B$9,Paramètres!$A$1:$I$88,7,0))</f>
        <v>0</v>
      </c>
      <c r="X23" s="78">
        <f>IF(ISNA(VLOOKUP(A23,'Données projet'!$A$35:$I$55,6,0)),0%,VLOOKUP(A23,'Données projet'!$A$35:$I$55,6,0)*VLOOKUP('Données projet'!$B$9,Paramètres!$A$1:$I$88,7,0))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projet'!$B$9,Paramètres!$A$1:$I$88,3,0)*0.475*44/12</f>
        <v>0</v>
      </c>
      <c r="AA23" s="23">
        <f>EXP(-LN(2)/25)*AA22+(1-EXP(-LN(2)/25))/(LN(2)/25)*Calculateur!V23*Calculateur!X23*VLOOKUP('Données projet'!$B$9,Paramètres!$A$1:$I$88,3,0)*0.475*44/12</f>
        <v>0</v>
      </c>
      <c r="AB23" s="23">
        <f>EXP(-LN(2)/2)*AB22+(1-EXP(-LN(2)/2))/(LN(2)/2)*V23*Y23*VLOOKUP('Données projet'!$B$9,Paramètres!$A$1:$I$88,3,0)*0.475*44/12</f>
        <v>3.5325647682825747</v>
      </c>
      <c r="AC23" s="24">
        <f t="shared" si="3"/>
        <v>3.5325647682825747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12.133333333333333</v>
      </c>
      <c r="AI23" s="14">
        <f>IF('Données projet'!$A$62&gt;35,AI22+AH23-AQ22,IF(A23&lt;'Données projet'!$A$62,$AF$205^A23,IF(A23='Données projet'!$A$62,'Données projet'!$B$62,AI22+AH23-AQ22)))</f>
        <v>50.980128103207491</v>
      </c>
      <c r="AJ23" s="14">
        <f>AI23*VLOOKUP('Données projet'!$B$10,Paramètres!$A$1:$I$88,3,0)*VLOOKUP('Données projet'!$B$10,Paramètres!$A$1:$I$88,5,0)</f>
        <v>24.5214416176428</v>
      </c>
      <c r="AK23" s="14">
        <f t="shared" si="35"/>
        <v>7.786726294806626</v>
      </c>
      <c r="AL23" s="22">
        <f t="shared" si="4"/>
        <v>56.270059114182743</v>
      </c>
      <c r="AM23" s="62">
        <f t="shared" si="5"/>
        <v>349.60339244751606</v>
      </c>
      <c r="AN23" s="62">
        <f ca="1">AVERAGE(OFFSET($AM$3,0,0,'Données projet'!$E$10+1,1))-AVERAGE(OFFSET($H$3,0,0,'Données projet'!$E$10+1,1))</f>
        <v>576.61210817354549</v>
      </c>
      <c r="AO23" s="62">
        <f t="shared" si="36"/>
        <v>343.9428747444544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projet'!$B$10,Paramètres!$A$1:$I$88,7,0))</f>
        <v>0</v>
      </c>
      <c r="AS23" s="17">
        <f>IF(ISNA(VLOOKUP(A23,'Données projet'!$A$61:$I$81,6,0)),0%,VLOOKUP(A23,'Données projet'!$A$61:$I$81,6,0)*VLOOKUP('Données projet'!$B$10,Paramètres!$A$1:$I$88,7,0))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projet'!$B$10,Paramètres!$A$1:$I$88,3,0)*0.475*44/12</f>
        <v>0</v>
      </c>
      <c r="AV23" s="23">
        <f>EXP(-LN(2)/25)*AV22+(1-EXP(-LN(2)/25))/(LN(2)/25)*Calculateur!AQ23*Calculateur!AS23*VLOOKUP('Données projet'!$B$10,Paramètres!$A$1:$I$88,3,0)*0.475*44/12</f>
        <v>0</v>
      </c>
      <c r="AW23" s="23">
        <f>EXP(-LN(2)/2)*AW22+(1-EXP(-LN(2)/2))/(LN(2)/2)*AQ23*AT23*VLOOKUP('Données projet'!$B$10,Paramètres!$A$1:$I$88,3,0)*0.475*44/12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133.30000000000001</v>
      </c>
      <c r="BB23" s="13">
        <f>VLOOKUP(A23,'Données projet'!$A$87:$I$107,9,0)</f>
        <v>13.760000000000002</v>
      </c>
      <c r="BC23" s="13">
        <f t="array" ref="BC23">INDEX(BB:BB,MIN(IF(ISNUMBER(BB23:BB219),ROW(BB23:BB219),"")))</f>
        <v>13.760000000000002</v>
      </c>
      <c r="BD23" s="13">
        <f>IF('Données projet'!$A$88&gt;35,BD22+BC23-BL22,IF(A23&lt;'Données projet'!$A$88,$BA$205^A23,IF(A23='Données projet'!$A$88,'Données projet'!$B$88,BD22+BC23-BL22)))</f>
        <v>133.30000000000001</v>
      </c>
      <c r="BE23" s="14">
        <f>BD23*VLOOKUP('Données projet'!$B$11,Paramètres!$A$1:$I$88,3,0)*VLOOKUP('Données projet'!$B$11,Paramètres!$A$1:$I$88,5,0)</f>
        <v>106.05348000000001</v>
      </c>
      <c r="BF23" s="14">
        <f t="shared" si="37"/>
        <v>28.39918570347135</v>
      </c>
      <c r="BG23" s="22">
        <f t="shared" si="7"/>
        <v>234.1717261002126</v>
      </c>
      <c r="BH23" s="62">
        <f t="shared" si="8"/>
        <v>527.50505943354597</v>
      </c>
      <c r="BI23" s="62">
        <f ca="1">AVERAGE(OFFSET($BH$3,0,0,'Données projet'!$E$11+1,1))-AVERAGE(OFFSET($H$3,0,0,'Données projet'!$E$11+1,1))</f>
        <v>298.38448036212861</v>
      </c>
      <c r="BJ23" s="62">
        <f t="shared" si="38"/>
        <v>270.4445531106897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projet'!$B$11,Paramètres!$A$1:$I$88,7,0))</f>
        <v>0</v>
      </c>
      <c r="BN23" s="17">
        <f>IF(ISNA(VLOOKUP(A23,'Données projet'!$A$87:$I$107,6,0)),0%,VLOOKUP(A23,'Données projet'!$A$87:$I$107,6,0)*VLOOKUP('Données projet'!$B$11,Paramètres!$A$1:$I$88,7,0))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projet'!$B$11,Paramètres!$A$1:$I$88,3,0)*0.475*44/12</f>
        <v>0</v>
      </c>
      <c r="BQ23" s="23">
        <f>EXP(-LN(2)/25)*BQ22+(1-EXP(-LN(2)/25))/(LN(2)/25)*Calculateur!BL23*Calculateur!BN23*VLOOKUP('Données projet'!$B$11,Paramètres!$A$1:$I$88,3,0)*0.475*44/12</f>
        <v>0</v>
      </c>
      <c r="BR23" s="23">
        <f>EXP(-LN(2)/2)*BR22+(1-EXP(-LN(2)/2))/(LN(2)/2)*BL23*BO23*VLOOKUP('Données projet'!$B$11,Paramètres!$A$1:$I$88,3,0)*0.475*44/12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88</v>
      </c>
      <c r="BW23" s="13">
        <f>VLOOKUP(A23,'Données projet'!$A$113:$I$133,9,0)</f>
        <v>9.6</v>
      </c>
      <c r="BX23" s="13">
        <f t="array" ref="BX23">INDEX(BW:BW,MIN(IF(ISNUMBER(BW23:BW219),ROW(BW23:BW219),"")))</f>
        <v>9.6</v>
      </c>
      <c r="BY23" s="13">
        <f>IF('Données projet'!$A$114&gt;35,BY22+BX23-CG22,IF(A23&lt;'Données projet'!$A$114,$BV$205^A23,IF(A23='Données projet'!$A$114,'Données projet'!$B$114,BY22+BX23-CG22)))</f>
        <v>87.999999999999986</v>
      </c>
      <c r="BZ23" s="14">
        <f>BY23*VLOOKUP('Données projet'!$B$12,Paramètres!$A$1:$I$88,3,0)*VLOOKUP('Données projet'!$B$12,Paramètres!$A$1:$I$88,5,0)</f>
        <v>68.639999999999986</v>
      </c>
      <c r="CA23" s="14">
        <f t="shared" si="39"/>
        <v>19.335336956640202</v>
      </c>
      <c r="CB23" s="22">
        <f t="shared" si="10"/>
        <v>153.22371186614834</v>
      </c>
      <c r="CC23" s="62">
        <f t="shared" si="11"/>
        <v>446.55704519948165</v>
      </c>
      <c r="CD23" s="62">
        <f ca="1">AVERAGE(OFFSET($CC$3,0,0,'Données projet'!$E$12+1,1))-AVERAGE(OFFSET($H$3,0,0,'Données projet'!$E$12+1,1))</f>
        <v>217.32600829266818</v>
      </c>
      <c r="CE23" s="62">
        <f t="shared" si="40"/>
        <v>208.79744153433245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28</v>
      </c>
      <c r="CH23" s="17">
        <f>IF(ISNA(VLOOKUP(A23,'Données projet'!$A$113:$I$133,5,0)),0%,VLOOKUP(A23,'Données projet'!$A$113:$I$133,5,0)*VLOOKUP('Données projet'!$B$12,Paramètres!$A$1:$I$88,7,0))</f>
        <v>0</v>
      </c>
      <c r="CI23" s="17">
        <f>IF(ISNA(VLOOKUP(A23,'Données projet'!$A$113:$I$133,6,0)),0%,VLOOKUP(A23,'Données projet'!$A$113:$I$133,6,0)*VLOOKUP('Données projet'!$B$12,Paramètres!$A$1:$I$88,7,0))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projet'!$B$12,Paramètres!$A$1:$I$88,3,0)*0.475*44/12</f>
        <v>0</v>
      </c>
      <c r="CL23" s="23">
        <f>EXP(-LN(2)/25)*CL22+(1-EXP(-LN(2)/25))/(LN(2)/25)*Calculateur!CG23*Calculateur!CI23*VLOOKUP('Données projet'!$B$12,Paramètres!$A$1:$I$88,3,0)*0.475*44/12</f>
        <v>0</v>
      </c>
      <c r="CM23" s="23">
        <f>EXP(-LN(2)/2)*CM22+(1-EXP(-LN(2)/2))/(LN(2)/2)*CG23*CJ23*VLOOKUP('Données projet'!$B$12,Paramètres!$A$1:$I$88,3,0)*0.475*44/12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10</v>
      </c>
      <c r="CT23" s="13">
        <f>IF('Données projet'!$A$140&gt;35,CT22+CS23-DB22,IF(A23&lt;'Données projet'!$A$140,$CQ$205^A23,IF(A23='Données projet'!$A$140,'Données projet'!$B$140,CT22+CS23-DB22)))</f>
        <v>162.79363611278094</v>
      </c>
      <c r="CU23" s="18">
        <f>CT23*VLOOKUP('Données projet'!$B$13,Paramètres!$A$1:$I$88,3,0)*VLOOKUP('Données projet'!$B$13,Paramètres!$A$1:$I$88,5,0)</f>
        <v>91.001642587044557</v>
      </c>
      <c r="CV23" s="14">
        <f t="shared" si="41"/>
        <v>24.806641237456894</v>
      </c>
      <c r="CW23" s="22">
        <f t="shared" si="13"/>
        <v>201.69942766100667</v>
      </c>
      <c r="CX23" s="62">
        <f t="shared" si="14"/>
        <v>495.03276099433998</v>
      </c>
      <c r="CY23" s="62">
        <f ca="1">AVERAGE(OFFSET($CX$3,0,0,'Données projet'!$E$13+1,1))-AVERAGE(OFFSET($H$3,0,0,'Données projet'!$E$13+1,1))</f>
        <v>302.20483575440988</v>
      </c>
      <c r="CZ23" s="62">
        <f t="shared" si="42"/>
        <v>275.32862097158687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projet'!$B$13,Paramètres!$A$1:$I$88,7,0))</f>
        <v>0</v>
      </c>
      <c r="DD23" s="17">
        <f>IF(ISNA(VLOOKUP(A23,'Données projet'!$A$139:$I$159,6,0)),0%,VLOOKUP(A23,'Données projet'!$A$139:$I$159,6,0)*VLOOKUP('Données projet'!$B$13,Paramètres!$A$1:$I$88,7,0))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projet'!$B$13,Paramètres!$A$1:$I$88,3,0)*0.475*44/12</f>
        <v>0</v>
      </c>
      <c r="DG23" s="23">
        <f>EXP(-LN(2)/25)*DG22+(1-EXP(-LN(2)/25))/(LN(2)/25)*Calculateur!DB23*Calculateur!DD23*VLOOKUP('Données projet'!$B$13,Paramètres!$A$1:$I$88,3,0)*0.475*44/12</f>
        <v>0</v>
      </c>
      <c r="DH23" s="23">
        <f>EXP(-LN(2)/2)*DH22+(1-EXP(-LN(2)/2))/(LN(2)/2)*DB23*DE23*VLOOKUP('Données projet'!$B$13,Paramètres!$A$1:$I$88,3,0)*0.475*44/12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projet'!$B$14,Paramètres!$A$1:$I$88,3,0)*VLOOKUP('Données projet'!$B$14,Paramètres!$A$1:$I$88,5,0)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projet'!$B$14,Paramètres!$A$1:$I$88,7,0))</f>
        <v>0</v>
      </c>
      <c r="DY23" s="17">
        <f>IF(ISNA(VLOOKUP(A23,'Données projet'!$A$165:$I$185,6,0)),0%,VLOOKUP(A23,'Données projet'!$A$165:$I$185,6,0)*VLOOKUP('Données projet'!$B$14,Paramètres!$A$1:$I$88,7,0))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projet'!$B$14,Paramètres!$A$1:$I$88,3,0)*0.475*44/12</f>
        <v>#N/A</v>
      </c>
      <c r="EB23" s="23" t="e">
        <f>EXP(-LN(2)/25)*EB22+(1-EXP(-LN(2)/25))/(LN(2)/25)*Calculateur!DW23*Calculateur!DY23*VLOOKUP('Données projet'!$B$14,Paramètres!$A$1:$I$88,3,0)*0.475*44/12</f>
        <v>#N/A</v>
      </c>
      <c r="EC23" s="23" t="e">
        <f>EXP(-LN(2)/2)*EC22+(1-EXP(-LN(2)/2))/(LN(2)/2)*DW23*DZ23*VLOOKUP('Données projet'!$B$14,Paramètres!$A$1:$I$88,3,0)*0.475*44/12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projet'!$B$15,Paramètres!$A$1:$I$88,3,0)*VLOOKUP('Données projet'!$B$15,Paramètres!$A$1:$I$88,5,0)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projet'!$B$15,Paramètres!$A$1:$I$88,7,0))</f>
        <v>0</v>
      </c>
      <c r="ET23" s="17">
        <f>IF(ISNA(VLOOKUP(A23,'Données projet'!$A$191:$I$211,6,0)),0%,VLOOKUP(A23,'Données projet'!$A$191:$I$211,6,0)*VLOOKUP('Données projet'!$B$15,Paramètres!$A$1:$I$88,7,0))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projet'!$B$15,Paramètres!$A$1:$I$88,3,0)*0.475*44/12</f>
        <v>#N/A</v>
      </c>
      <c r="EW23" s="23" t="e">
        <f>EXP(-LN(2)/25)*EW22+(1-EXP(-LN(2)/25))/(LN(2)/25)*Calculateur!ER23*Calculateur!ET23*VLOOKUP('Données projet'!$B$15,Paramètres!$A$1:$I$88,3,0)*0.475*44/12</f>
        <v>#N/A</v>
      </c>
      <c r="EX23" s="23" t="e">
        <f>EXP(-LN(2)/2)*EX22+(1-EXP(-LN(2)/2))/(LN(2)/2)*ER23*EU23*VLOOKUP('Données projet'!$B$15,Paramètres!$A$1:$I$88,3,0)*0.475*44/12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projet'!$B$16,Paramètres!$A$1:$I$88,3,0)*VLOOKUP('Données projet'!$B$16,Paramètres!$A$1:$I$88,5,0)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projet'!$B$16,Paramètres!$A$1:$I$88,7,0))</f>
        <v>0</v>
      </c>
      <c r="FO23" s="17">
        <f>IF(ISNA(VLOOKUP(A23,'Données projet'!$A$217:$I$237,6,0)),0%,VLOOKUP(A23,'Données projet'!$A$217:$I$237,6,0)*VLOOKUP('Données projet'!$B$16,Paramètres!$A$1:$I$88,7,0))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projet'!$B$16,Paramètres!$A$1:$I$88,3,0)*0.475*44/12</f>
        <v>#N/A</v>
      </c>
      <c r="FR23" s="23" t="e">
        <f>EXP(-LN(2)/25)*FR22+(1-EXP(-LN(2)/25))/(LN(2)/25)*Calculateur!FM23*Calculateur!FO23*VLOOKUP('Données projet'!$B$16,Paramètres!$A$1:$I$88,3,0)*0.475*44/12</f>
        <v>#N/A</v>
      </c>
      <c r="FS23" s="23" t="e">
        <f>EXP(-LN(2)/2)*FS22+(1-EXP(-LN(2)/2))/(LN(2)/2)*FM23*FP23*VLOOKUP('Données projet'!$B$16,Paramètres!$A$1:$I$88,3,0)*0.475*44/12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projet'!$B$17,Paramètres!$A$1:$I$88,3,0)*VLOOKUP('Données projet'!$B$17,Paramètres!$A$1:$I$88,5,0)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projet'!$B$17,Paramètres!$A$1:$I$88,7,0))</f>
        <v>0</v>
      </c>
      <c r="GJ23" s="17">
        <f>IF(ISNA(VLOOKUP(A23,'Données projet'!$A$243:$I$263,6,0)),0%,VLOOKUP(A23,'Données projet'!$A$243:$I$263,6,0)*VLOOKUP('Données projet'!$B$17,Paramètres!$A$1:$I$88,7,0))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projet'!$B$17,Paramètres!$A$1:$I$88,3,0)*0.475*44/12</f>
        <v>#N/A</v>
      </c>
      <c r="GM23" s="23" t="e">
        <f>EXP(-LN(2)/25)*GM22+(1-EXP(-LN(2)/25))/(LN(2)/25)*Calculateur!GH23*Calculateur!GJ23*VLOOKUP('Données projet'!$B$17,Paramètres!$A$1:$I$88,3,0)*0.475*44/12</f>
        <v>#N/A</v>
      </c>
      <c r="GN23" s="23" t="e">
        <f>EXP(-LN(2)/2)*GN22+(1-EXP(-LN(2)/2))/(LN(2)/2)*GH23*GK23*VLOOKUP('Données projet'!$B$17,Paramètres!$A$1:$I$88,3,0)*0.475*44/12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projet'!$B$18,Paramètres!$A$1:$I$88,3,0)*VLOOKUP('Données projet'!$B$18,Paramètres!$A$1:$I$88,5,0)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projet'!$B$18,Paramètres!$A$1:$I$88,7,0))</f>
        <v>0</v>
      </c>
      <c r="HE23" s="17">
        <f>IF(ISNA(VLOOKUP(A23,'Données projet'!$A$269:$I$289,6,0)),0%,VLOOKUP(A23,'Données projet'!$A$269:$I$289,6,0)*VLOOKUP('Données projet'!$B$18,Paramètres!$A$1:$I$88,7,0))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projet'!$B$18,Paramètres!$A$1:$I$88,3,0)*0.475*44/12</f>
        <v>#N/A</v>
      </c>
      <c r="HH23" s="23" t="e">
        <f>EXP(-LN(2)/25)*HH22+(1-EXP(-LN(2)/25))/(LN(2)/25)*Calculateur!HC23*Calculateur!HE23*VLOOKUP('Données projet'!$B$18,Paramètres!$A$1:$I$88,3,0)*0.475*44/12</f>
        <v>#N/A</v>
      </c>
      <c r="HI23" s="23" t="e">
        <f>EXP(-LN(2)/2)*HI22+(1-EXP(-LN(2)/2))/(LN(2)/2)*HC23*HF23*VLOOKUP('Données projet'!$B$18,Paramètres!$A$1:$I$88,3,0)*0.475*44/12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146</v>
      </c>
      <c r="L24" s="13">
        <f>VLOOKUP(A24,'Données projet'!$A$35:$I$55,9,0)</f>
        <v>18</v>
      </c>
      <c r="M24" s="13">
        <f t="array" ref="M24">INDEX(L:L,MIN(IF(ISNUMBER(L24:L220),ROW(L24:L220),"")))</f>
        <v>18</v>
      </c>
      <c r="N24" s="14">
        <f>IF('Données projet'!$A$36&gt;35,N23+M24-V23,IF(A24&lt;'Données projet'!$A$36,$K$205^A24,IF(A24='Données projet'!$A$36,'Données projet'!$B$36,N23+M24-V23)))</f>
        <v>146</v>
      </c>
      <c r="O24" s="14">
        <f>N24*VLOOKUP('Données projet'!$B$9,Paramètres!$A$1:$I$88,3,0)*VLOOKUP('Données projet'!$B$9,Paramètres!$A$1:$I$88,5,0)</f>
        <v>91.103999999999999</v>
      </c>
      <c r="P24" s="14">
        <f t="shared" si="33"/>
        <v>24.831293984707884</v>
      </c>
      <c r="Q24" s="22">
        <f t="shared" si="2"/>
        <v>201.92063702336623</v>
      </c>
      <c r="R24" s="62">
        <f t="shared" si="0"/>
        <v>495.25397035669954</v>
      </c>
      <c r="S24" s="62">
        <f ca="1">AVERAGE(OFFSET($R$3,0,0,'Données projet'!$E$9+1,1))-AVERAGE(OFFSET($H$3,0,0,'Données projet'!$E$9+1,1))</f>
        <v>175.05987582828078</v>
      </c>
      <c r="T24" s="62">
        <f t="shared" si="34"/>
        <v>268.54782308462387</v>
      </c>
      <c r="U24" s="16">
        <f>IF(ISNA(VLOOKUP(A24,'Données projet'!$A$35:$I$55,3,0)),0,VLOOKUP(A24,'Données projet'!$A$35:$I$55,3,0))</f>
        <v>2</v>
      </c>
      <c r="V24" s="16">
        <f>IF(ISNA(VLOOKUP(A24,'Données projet'!$A$35:$I$55,4,0)),0,VLOOKUP(A24,'Données projet'!$A$35:$I$55,4,0))</f>
        <v>26</v>
      </c>
      <c r="W24" s="17">
        <f>IF(ISNA(VLOOKUP(A24,'Données projet'!$A$35:$I$55,5,0)),0%,VLOOKUP(A24,'Données projet'!$A$35:$I$55,5,0)*VLOOKUP('Données projet'!$B$9,Paramètres!$A$1:$I$88,7,0))</f>
        <v>0</v>
      </c>
      <c r="X24" s="17">
        <f>IF(ISNA(VLOOKUP(A24,'Données projet'!$A$35:$I$55,6,0)),0%,VLOOKUP(A24,'Données projet'!$A$35:$I$55,6,0)*VLOOKUP('Données projet'!$B$9,Paramètres!$A$1:$I$88,7,0))</f>
        <v>0</v>
      </c>
      <c r="Y24" s="17">
        <f>IF(ISNA(VLOOKUP(A24,'Données projet'!$A$35:$I$55,7,0)),0%,VLOOKUP(A24,'Données projet'!$A$35:$I$55,7,0))</f>
        <v>0.5</v>
      </c>
      <c r="Z24" s="23">
        <f>EXP(-LN(2)/35)*Z23+(1-EXP(-LN(2)/35))/(LN(2)/35)*V24*W24*VLOOKUP('Données projet'!$B$9,Paramètres!$A$1:$I$88,3,0)*0.475*44/12</f>
        <v>0</v>
      </c>
      <c r="AA24" s="23">
        <f>EXP(-LN(2)/25)*AA23+(1-EXP(-LN(2)/25))/(LN(2)/25)*Calculateur!V24*Calculateur!X24*VLOOKUP('Données projet'!$B$9,Paramètres!$A$1:$I$88,3,0)*0.475*44/12</f>
        <v>0</v>
      </c>
      <c r="AB24" s="23">
        <f>EXP(-LN(2)/2)*AB23+(1-EXP(-LN(2)/2))/(LN(2)/2)*V24*Y24*VLOOKUP('Données projet'!$B$9,Paramètres!$A$1:$I$88,3,0)*0.475*44/12</f>
        <v>11.682568900167986</v>
      </c>
      <c r="AC24" s="24">
        <f t="shared" si="3"/>
        <v>11.682568900167986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12.133333333333333</v>
      </c>
      <c r="AI24" s="14">
        <f>IF('Données projet'!$A$62&gt;35,AI23+AH24-AQ23,IF(A24&lt;'Données projet'!$A$62,$AF$205^A24,IF(A24='Données projet'!$A$62,'Données projet'!$B$62,AI23+AH24-AQ23)))</f>
        <v>62.054169632970201</v>
      </c>
      <c r="AJ24" s="14">
        <f>AI24*VLOOKUP('Données projet'!$B$10,Paramètres!$A$1:$I$88,3,0)*VLOOKUP('Données projet'!$B$10,Paramètres!$A$1:$I$88,5,0)</f>
        <v>29.848055593458668</v>
      </c>
      <c r="AK24" s="14">
        <f t="shared" si="35"/>
        <v>9.2637725228352696</v>
      </c>
      <c r="AL24" s="22">
        <f t="shared" si="4"/>
        <v>68.11976730254527</v>
      </c>
      <c r="AM24" s="62">
        <f t="shared" si="5"/>
        <v>361.45310063587857</v>
      </c>
      <c r="AN24" s="62">
        <f ca="1">AVERAGE(OFFSET($AM$3,0,0,'Données projet'!$E$10+1,1))-AVERAGE(OFFSET($H$3,0,0,'Données projet'!$E$10+1,1))</f>
        <v>576.61210817354549</v>
      </c>
      <c r="AO24" s="62">
        <f t="shared" si="36"/>
        <v>343.9428747444544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projet'!$B$10,Paramètres!$A$1:$I$88,7,0))</f>
        <v>0</v>
      </c>
      <c r="AS24" s="17">
        <f>IF(ISNA(VLOOKUP(A24,'Données projet'!$A$61:$I$81,6,0)),0%,VLOOKUP(A24,'Données projet'!$A$61:$I$81,6,0)*VLOOKUP('Données projet'!$B$10,Paramètres!$A$1:$I$88,7,0))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projet'!$B$10,Paramètres!$A$1:$I$88,3,0)*0.475*44/12</f>
        <v>0</v>
      </c>
      <c r="AV24" s="23">
        <f>EXP(-LN(2)/25)*AV23+(1-EXP(-LN(2)/25))/(LN(2)/25)*Calculateur!AQ24*Calculateur!AS24*VLOOKUP('Données projet'!$B$10,Paramètres!$A$1:$I$88,3,0)*0.475*44/12</f>
        <v>0</v>
      </c>
      <c r="AW24" s="23">
        <f>EXP(-LN(2)/2)*AW23+(1-EXP(-LN(2)/2))/(LN(2)/2)*AQ24*AT24*VLOOKUP('Données projet'!$B$10,Paramètres!$A$1:$I$88,3,0)*0.475*44/12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14.739999999999998</v>
      </c>
      <c r="BD24" s="13">
        <f>IF('Données projet'!$A$88&gt;35,BD23+BC24-BL23,IF(A24&lt;'Données projet'!$A$88,$BA$205^A24,IF(A24='Données projet'!$A$88,'Données projet'!$B$88,BD23+BC24-BL23)))</f>
        <v>148.04000000000002</v>
      </c>
      <c r="BE24" s="14">
        <f>BD24*VLOOKUP('Données projet'!$B$11,Paramètres!$A$1:$I$88,3,0)*VLOOKUP('Données projet'!$B$11,Paramètres!$A$1:$I$88,5,0)</f>
        <v>117.78062400000003</v>
      </c>
      <c r="BF24" s="14">
        <f t="shared" si="37"/>
        <v>31.156805236849074</v>
      </c>
      <c r="BG24" s="22">
        <f t="shared" si="7"/>
        <v>259.39935592084555</v>
      </c>
      <c r="BH24" s="62">
        <f t="shared" si="8"/>
        <v>552.73268925417892</v>
      </c>
      <c r="BI24" s="62">
        <f ca="1">AVERAGE(OFFSET($BH$3,0,0,'Données projet'!$E$11+1,1))-AVERAGE(OFFSET($H$3,0,0,'Données projet'!$E$11+1,1))</f>
        <v>298.38448036212861</v>
      </c>
      <c r="BJ24" s="62">
        <f t="shared" si="38"/>
        <v>270.4445531106897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projet'!$B$11,Paramètres!$A$1:$I$88,7,0))</f>
        <v>0</v>
      </c>
      <c r="BN24" s="17">
        <f>IF(ISNA(VLOOKUP(A24,'Données projet'!$A$87:$I$107,6,0)),0%,VLOOKUP(A24,'Données projet'!$A$87:$I$107,6,0)*VLOOKUP('Données projet'!$B$11,Paramètres!$A$1:$I$88,7,0))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projet'!$B$11,Paramètres!$A$1:$I$88,3,0)*0.475*44/12</f>
        <v>0</v>
      </c>
      <c r="BQ24" s="23">
        <f>EXP(-LN(2)/25)*BQ23+(1-EXP(-LN(2)/25))/(LN(2)/25)*Calculateur!BL24*Calculateur!BN24*VLOOKUP('Données projet'!$B$11,Paramètres!$A$1:$I$88,3,0)*0.475*44/12</f>
        <v>0</v>
      </c>
      <c r="BR24" s="23">
        <f>EXP(-LN(2)/2)*BR23+(1-EXP(-LN(2)/2))/(LN(2)/2)*BL24*BO24*VLOOKUP('Données projet'!$B$11,Paramètres!$A$1:$I$88,3,0)*0.475*44/12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10.6</v>
      </c>
      <c r="BY24" s="13">
        <f>IF('Données projet'!$A$114&gt;35,BY23+BX24-CG23,IF(A24&lt;'Données projet'!$A$114,$BV$205^A24,IF(A24='Données projet'!$A$114,'Données projet'!$B$114,BY23+BX24-CG23)))</f>
        <v>70.59999999999998</v>
      </c>
      <c r="BZ24" s="14">
        <f>BY24*VLOOKUP('Données projet'!$B$12,Paramètres!$A$1:$I$88,3,0)*VLOOKUP('Données projet'!$B$12,Paramètres!$A$1:$I$88,5,0)</f>
        <v>55.067999999999984</v>
      </c>
      <c r="CA24" s="14">
        <f t="shared" si="39"/>
        <v>15.915148294580479</v>
      </c>
      <c r="CB24" s="22">
        <f t="shared" si="10"/>
        <v>123.62898327972762</v>
      </c>
      <c r="CC24" s="62">
        <f t="shared" si="11"/>
        <v>416.96231661306092</v>
      </c>
      <c r="CD24" s="62">
        <f ca="1">AVERAGE(OFFSET($CC$3,0,0,'Données projet'!$E$12+1,1))-AVERAGE(OFFSET($H$3,0,0,'Données projet'!$E$12+1,1))</f>
        <v>217.32600829266818</v>
      </c>
      <c r="CE24" s="62">
        <f t="shared" si="40"/>
        <v>208.79744153433245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projet'!$B$12,Paramètres!$A$1:$I$88,7,0))</f>
        <v>0</v>
      </c>
      <c r="CI24" s="17">
        <f>IF(ISNA(VLOOKUP(A24,'Données projet'!$A$113:$I$133,6,0)),0%,VLOOKUP(A24,'Données projet'!$A$113:$I$133,6,0)*VLOOKUP('Données projet'!$B$12,Paramètres!$A$1:$I$88,7,0))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projet'!$B$12,Paramètres!$A$1:$I$88,3,0)*0.475*44/12</f>
        <v>0</v>
      </c>
      <c r="CL24" s="23">
        <f>EXP(-LN(2)/25)*CL23+(1-EXP(-LN(2)/25))/(LN(2)/25)*Calculateur!CG24*Calculateur!CI24*VLOOKUP('Données projet'!$B$12,Paramètres!$A$1:$I$88,3,0)*0.475*44/12</f>
        <v>0</v>
      </c>
      <c r="CM24" s="23">
        <f>EXP(-LN(2)/2)*CM23+(1-EXP(-LN(2)/2))/(LN(2)/2)*CG24*CJ24*VLOOKUP('Données projet'!$B$12,Paramètres!$A$1:$I$88,3,0)*0.475*44/12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>
        <f>VLOOKUP(A24,'Données projet'!$A$139:$I$159,2,0)</f>
        <v>210</v>
      </c>
      <c r="CR24" s="13">
        <f>VLOOKUP(A24,'Données projet'!$A$139:$I$159,9,0)</f>
        <v>10</v>
      </c>
      <c r="CS24" s="13">
        <f t="array" ref="CS24">INDEX(CR:CR,MIN(IF(ISNUMBER(CR24:CR220),ROW(CR24:CR220),"")))</f>
        <v>10</v>
      </c>
      <c r="CT24" s="13">
        <f>IF('Données projet'!$A$140&gt;35,CT23+CS24-DB23,IF(A24&lt;'Données projet'!$A$140,$CQ$205^A24,IF(A24='Données projet'!$A$140,'Données projet'!$B$140,CT23+CS24-DB23)))</f>
        <v>210</v>
      </c>
      <c r="CU24" s="18">
        <f>CT24*VLOOKUP('Données projet'!$B$13,Paramètres!$A$1:$I$88,3,0)*VLOOKUP('Données projet'!$B$13,Paramètres!$A$1:$I$88,5,0)</f>
        <v>117.39</v>
      </c>
      <c r="CV24" s="14">
        <f t="shared" si="41"/>
        <v>31.065482772413461</v>
      </c>
      <c r="CW24" s="22">
        <f t="shared" si="13"/>
        <v>258.55996582862014</v>
      </c>
      <c r="CX24" s="62">
        <f t="shared" si="14"/>
        <v>551.89329916195345</v>
      </c>
      <c r="CY24" s="62">
        <f ca="1">AVERAGE(OFFSET($CX$3,0,0,'Données projet'!$E$13+1,1))-AVERAGE(OFFSET($H$3,0,0,'Données projet'!$E$13+1,1))</f>
        <v>302.20483575440988</v>
      </c>
      <c r="CZ24" s="62">
        <f t="shared" si="42"/>
        <v>275.32862097158687</v>
      </c>
      <c r="DA24" s="16">
        <f>IF(ISNA(VLOOKUP(A24,'Données projet'!$A$139:$I$159,3,0)),0,VLOOKUP(A24,'Données projet'!$A$139:$I$159,3,0))</f>
        <v>1</v>
      </c>
      <c r="DB24" s="16">
        <f>IF(ISNA(VLOOKUP(A24,'Données projet'!$A$139:$I$159,4,0)),0,VLOOKUP(A24,'Données projet'!$A$139:$I$159,4,0))</f>
        <v>63</v>
      </c>
      <c r="DC24" s="17">
        <f>IF(ISNA(VLOOKUP(A24,'Données projet'!$A$139:$I$159,5,0)),0%,VLOOKUP(A24,'Données projet'!$A$139:$I$159,5,0)*VLOOKUP('Données projet'!$B$13,Paramètres!$A$1:$I$88,7,0))</f>
        <v>0</v>
      </c>
      <c r="DD24" s="17">
        <f>IF(ISNA(VLOOKUP(A24,'Données projet'!$A$139:$I$159,6,0)),0%,VLOOKUP(A24,'Données projet'!$A$139:$I$159,6,0)*VLOOKUP('Données projet'!$B$13,Paramètres!$A$1:$I$88,7,0))</f>
        <v>0.11000000000000001</v>
      </c>
      <c r="DE24" s="17">
        <f>IF(ISNA(VLOOKUP(A24,'Données projet'!$A$139:$I$159,7,0)),0%,VLOOKUP(A24,'Données projet'!$A$139:$I$159,7,0))</f>
        <v>0.4</v>
      </c>
      <c r="DF24" s="23">
        <f>EXP(-LN(2)/35)*DF23+(1-EXP(-LN(2)/35))/(LN(2)/35)*DB24*DC24*VLOOKUP('Données projet'!$B$13,Paramètres!$A$1:$I$88,3,0)*0.475*44/12</f>
        <v>0</v>
      </c>
      <c r="DG24" s="23">
        <f>EXP(-LN(2)/25)*DG23+(1-EXP(-LN(2)/25))/(LN(2)/25)*Calculateur!DB24*Calculateur!DD24*VLOOKUP('Données projet'!$B$13,Paramètres!$A$1:$I$88,3,0)*0.475*44/12</f>
        <v>5.1187042890261756</v>
      </c>
      <c r="DH24" s="23">
        <f>EXP(-LN(2)/2)*DH23+(1-EXP(-LN(2)/2))/(LN(2)/2)*DB24*DE24*VLOOKUP('Données projet'!$B$13,Paramètres!$A$1:$I$88,3,0)*0.475*44/12</f>
        <v>15.949529928795821</v>
      </c>
      <c r="DI24" s="24">
        <f t="shared" si="15"/>
        <v>21.068234217821995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projet'!$B$14,Paramètres!$A$1:$I$88,3,0)*VLOOKUP('Données projet'!$B$14,Paramètres!$A$1:$I$88,5,0)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projet'!$B$14,Paramètres!$A$1:$I$88,7,0))</f>
        <v>0</v>
      </c>
      <c r="DY24" s="17">
        <f>IF(ISNA(VLOOKUP(A24,'Données projet'!$A$165:$I$185,6,0)),0%,VLOOKUP(A24,'Données projet'!$A$165:$I$185,6,0)*VLOOKUP('Données projet'!$B$14,Paramètres!$A$1:$I$88,7,0))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projet'!$B$14,Paramètres!$A$1:$I$88,3,0)*0.475*44/12</f>
        <v>#N/A</v>
      </c>
      <c r="EB24" s="23" t="e">
        <f>EXP(-LN(2)/25)*EB23+(1-EXP(-LN(2)/25))/(LN(2)/25)*Calculateur!DW24*Calculateur!DY24*VLOOKUP('Données projet'!$B$14,Paramètres!$A$1:$I$88,3,0)*0.475*44/12</f>
        <v>#N/A</v>
      </c>
      <c r="EC24" s="23" t="e">
        <f>EXP(-LN(2)/2)*EC23+(1-EXP(-LN(2)/2))/(LN(2)/2)*DW24*DZ24*VLOOKUP('Données projet'!$B$14,Paramètres!$A$1:$I$88,3,0)*0.475*44/12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projet'!$B$15,Paramètres!$A$1:$I$88,3,0)*VLOOKUP('Données projet'!$B$15,Paramètres!$A$1:$I$88,5,0)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projet'!$B$15,Paramètres!$A$1:$I$88,7,0))</f>
        <v>0</v>
      </c>
      <c r="ET24" s="17">
        <f>IF(ISNA(VLOOKUP(A24,'Données projet'!$A$191:$I$211,6,0)),0%,VLOOKUP(A24,'Données projet'!$A$191:$I$211,6,0)*VLOOKUP('Données projet'!$B$15,Paramètres!$A$1:$I$88,7,0))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projet'!$B$15,Paramètres!$A$1:$I$88,3,0)*0.475*44/12</f>
        <v>#N/A</v>
      </c>
      <c r="EW24" s="23" t="e">
        <f>EXP(-LN(2)/25)*EW23+(1-EXP(-LN(2)/25))/(LN(2)/25)*Calculateur!ER24*Calculateur!ET24*VLOOKUP('Données projet'!$B$15,Paramètres!$A$1:$I$88,3,0)*0.475*44/12</f>
        <v>#N/A</v>
      </c>
      <c r="EX24" s="23" t="e">
        <f>EXP(-LN(2)/2)*EX23+(1-EXP(-LN(2)/2))/(LN(2)/2)*ER24*EU24*VLOOKUP('Données projet'!$B$15,Paramètres!$A$1:$I$88,3,0)*0.475*44/12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projet'!$B$16,Paramètres!$A$1:$I$88,3,0)*VLOOKUP('Données projet'!$B$16,Paramètres!$A$1:$I$88,5,0)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projet'!$B$16,Paramètres!$A$1:$I$88,7,0))</f>
        <v>0</v>
      </c>
      <c r="FO24" s="17">
        <f>IF(ISNA(VLOOKUP(A24,'Données projet'!$A$217:$I$237,6,0)),0%,VLOOKUP(A24,'Données projet'!$A$217:$I$237,6,0)*VLOOKUP('Données projet'!$B$16,Paramètres!$A$1:$I$88,7,0))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projet'!$B$16,Paramètres!$A$1:$I$88,3,0)*0.475*44/12</f>
        <v>#N/A</v>
      </c>
      <c r="FR24" s="23" t="e">
        <f>EXP(-LN(2)/25)*FR23+(1-EXP(-LN(2)/25))/(LN(2)/25)*Calculateur!FM24*Calculateur!FO24*VLOOKUP('Données projet'!$B$16,Paramètres!$A$1:$I$88,3,0)*0.475*44/12</f>
        <v>#N/A</v>
      </c>
      <c r="FS24" s="23" t="e">
        <f>EXP(-LN(2)/2)*FS23+(1-EXP(-LN(2)/2))/(LN(2)/2)*FM24*FP24*VLOOKUP('Données projet'!$B$16,Paramètres!$A$1:$I$88,3,0)*0.475*44/12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projet'!$B$17,Paramètres!$A$1:$I$88,3,0)*VLOOKUP('Données projet'!$B$17,Paramètres!$A$1:$I$88,5,0)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projet'!$B$17,Paramètres!$A$1:$I$88,7,0))</f>
        <v>0</v>
      </c>
      <c r="GJ24" s="17">
        <f>IF(ISNA(VLOOKUP(A24,'Données projet'!$A$243:$I$263,6,0)),0%,VLOOKUP(A24,'Données projet'!$A$243:$I$263,6,0)*VLOOKUP('Données projet'!$B$17,Paramètres!$A$1:$I$88,7,0))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projet'!$B$17,Paramètres!$A$1:$I$88,3,0)*0.475*44/12</f>
        <v>#N/A</v>
      </c>
      <c r="GM24" s="23" t="e">
        <f>EXP(-LN(2)/25)*GM23+(1-EXP(-LN(2)/25))/(LN(2)/25)*Calculateur!GH24*Calculateur!GJ24*VLOOKUP('Données projet'!$B$17,Paramètres!$A$1:$I$88,3,0)*0.475*44/12</f>
        <v>#N/A</v>
      </c>
      <c r="GN24" s="23" t="e">
        <f>EXP(-LN(2)/2)*GN23+(1-EXP(-LN(2)/2))/(LN(2)/2)*GH24*GK24*VLOOKUP('Données projet'!$B$17,Paramètres!$A$1:$I$88,3,0)*0.475*44/12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projet'!$B$18,Paramètres!$A$1:$I$88,3,0)*VLOOKUP('Données projet'!$B$18,Paramètres!$A$1:$I$88,5,0)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projet'!$B$18,Paramètres!$A$1:$I$88,7,0))</f>
        <v>0</v>
      </c>
      <c r="HE24" s="17">
        <f>IF(ISNA(VLOOKUP(A24,'Données projet'!$A$269:$I$289,6,0)),0%,VLOOKUP(A24,'Données projet'!$A$269:$I$289,6,0)*VLOOKUP('Données projet'!$B$18,Paramètres!$A$1:$I$88,7,0))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projet'!$B$18,Paramètres!$A$1:$I$88,3,0)*0.475*44/12</f>
        <v>#N/A</v>
      </c>
      <c r="HH24" s="23" t="e">
        <f>EXP(-LN(2)/25)*HH23+(1-EXP(-LN(2)/25))/(LN(2)/25)*Calculateur!HC24*Calculateur!HE24*VLOOKUP('Données projet'!$B$18,Paramètres!$A$1:$I$88,3,0)*0.475*44/12</f>
        <v>#N/A</v>
      </c>
      <c r="HI24" s="23" t="e">
        <f>EXP(-LN(2)/2)*HI23+(1-EXP(-LN(2)/2))/(LN(2)/2)*HC24*HF24*VLOOKUP('Données projet'!$B$18,Paramètres!$A$1:$I$88,3,0)*0.475*44/12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</v>
      </c>
      <c r="N25" s="14">
        <f>IF('Données projet'!$A$36&gt;35,N24+M25-V24,IF(A25&lt;'Données projet'!$A$36,$K$205^A25,IF(A25='Données projet'!$A$36,'Données projet'!$B$36,N24+M25-V24)))</f>
        <v>136</v>
      </c>
      <c r="O25" s="14">
        <f>N25*VLOOKUP('Données projet'!$B$9,Paramètres!$A$1:$I$88,3,0)*VLOOKUP('Données projet'!$B$9,Paramètres!$A$1:$I$88,5,0)</f>
        <v>84.864000000000004</v>
      </c>
      <c r="P25" s="14">
        <f t="shared" si="33"/>
        <v>23.322341364766192</v>
      </c>
      <c r="Q25" s="22">
        <f t="shared" si="2"/>
        <v>188.42454454363443</v>
      </c>
      <c r="R25" s="62">
        <f t="shared" si="0"/>
        <v>481.75787787696777</v>
      </c>
      <c r="S25" s="62">
        <f ca="1">AVERAGE(OFFSET($R$3,0,0,'Données projet'!$E$9+1,1))-AVERAGE(OFFSET($H$3,0,0,'Données projet'!$E$9+1,1))</f>
        <v>175.05987582828078</v>
      </c>
      <c r="T25" s="62">
        <f t="shared" si="34"/>
        <v>268.54782308462387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projet'!$B$9,Paramètres!$A$1:$I$88,7,0))</f>
        <v>0</v>
      </c>
      <c r="X25" s="17">
        <f>IF(ISNA(VLOOKUP(A25,'Données projet'!$A$35:$I$55,6,0)),0%,VLOOKUP(A25,'Données projet'!$A$35:$I$55,6,0)*VLOOKUP('Données projet'!$B$9,Paramètres!$A$1:$I$88,7,0))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projet'!$B$9,Paramètres!$A$1:$I$88,3,0)*0.475*44/12</f>
        <v>0</v>
      </c>
      <c r="AA25" s="23">
        <f>EXP(-LN(2)/25)*AA24+(1-EXP(-LN(2)/25))/(LN(2)/25)*Calculateur!V25*Calculateur!X25*VLOOKUP('Données projet'!$B$9,Paramètres!$A$1:$I$88,3,0)*0.475*44/12</f>
        <v>0</v>
      </c>
      <c r="AB25" s="23">
        <f>EXP(-LN(2)/2)*AB24+(1-EXP(-LN(2)/2))/(LN(2)/2)*V25*Y25*VLOOKUP('Données projet'!$B$9,Paramètres!$A$1:$I$88,3,0)*0.475*44/12</f>
        <v>8.2608236909878503</v>
      </c>
      <c r="AC25" s="24">
        <f t="shared" si="3"/>
        <v>8.2608236909878503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12.133333333333333</v>
      </c>
      <c r="AI25" s="14">
        <f>IF('Données projet'!$A$62&gt;35,AI24+AH25-AQ24,IF(A25&lt;'Données projet'!$A$62,$AF$205^A25,IF(A25='Données projet'!$A$62,'Données projet'!$B$62,AI24+AH25-AQ24)))</f>
        <v>75.533744462975733</v>
      </c>
      <c r="AJ25" s="14">
        <f>AI25*VLOOKUP('Données projet'!$B$10,Paramètres!$A$1:$I$88,3,0)*VLOOKUP('Données projet'!$B$10,Paramètres!$A$1:$I$88,5,0)</f>
        <v>36.331731086691327</v>
      </c>
      <c r="AK25" s="14">
        <f t="shared" si="35"/>
        <v>11.020996257705102</v>
      </c>
      <c r="AL25" s="22">
        <f t="shared" si="4"/>
        <v>82.47266679149044</v>
      </c>
      <c r="AM25" s="62">
        <f t="shared" si="5"/>
        <v>375.80600012482375</v>
      </c>
      <c r="AN25" s="62">
        <f ca="1">AVERAGE(OFFSET($AM$3,0,0,'Données projet'!$E$10+1,1))-AVERAGE(OFFSET($H$3,0,0,'Données projet'!$E$10+1,1))</f>
        <v>576.61210817354549</v>
      </c>
      <c r="AO25" s="62">
        <f t="shared" si="36"/>
        <v>343.9428747444544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projet'!$B$10,Paramètres!$A$1:$I$88,7,0))</f>
        <v>0</v>
      </c>
      <c r="AS25" s="17">
        <f>IF(ISNA(VLOOKUP(A25,'Données projet'!$A$61:$I$81,6,0)),0%,VLOOKUP(A25,'Données projet'!$A$61:$I$81,6,0)*VLOOKUP('Données projet'!$B$10,Paramètres!$A$1:$I$88,7,0))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projet'!$B$10,Paramètres!$A$1:$I$88,3,0)*0.475*44/12</f>
        <v>0</v>
      </c>
      <c r="AV25" s="23">
        <f>EXP(-LN(2)/25)*AV24+(1-EXP(-LN(2)/25))/(LN(2)/25)*Calculateur!AQ25*Calculateur!AS25*VLOOKUP('Données projet'!$B$10,Paramètres!$A$1:$I$88,3,0)*0.475*44/12</f>
        <v>0</v>
      </c>
      <c r="AW25" s="23">
        <f>EXP(-LN(2)/2)*AW24+(1-EXP(-LN(2)/2))/(LN(2)/2)*AQ25*AT25*VLOOKUP('Données projet'!$B$10,Paramètres!$A$1:$I$88,3,0)*0.475*44/12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14.739999999999998</v>
      </c>
      <c r="BD25" s="13">
        <f>IF('Données projet'!$A$88&gt;35,BD24+BC25-BL24,IF(A25&lt;'Données projet'!$A$88,$BA$205^A25,IF(A25='Données projet'!$A$88,'Données projet'!$B$88,BD24+BC25-BL24)))</f>
        <v>162.78000000000003</v>
      </c>
      <c r="BE25" s="14">
        <f>BD25*VLOOKUP('Données projet'!$B$11,Paramètres!$A$1:$I$88,3,0)*VLOOKUP('Données projet'!$B$11,Paramètres!$A$1:$I$88,5,0)</f>
        <v>129.50776800000003</v>
      </c>
      <c r="BF25" s="14">
        <f t="shared" si="37"/>
        <v>33.882593869257711</v>
      </c>
      <c r="BG25" s="22">
        <f t="shared" si="7"/>
        <v>284.57154692229051</v>
      </c>
      <c r="BH25" s="62">
        <f t="shared" si="8"/>
        <v>577.90488025562377</v>
      </c>
      <c r="BI25" s="62">
        <f ca="1">AVERAGE(OFFSET($BH$3,0,0,'Données projet'!$E$11+1,1))-AVERAGE(OFFSET($H$3,0,0,'Données projet'!$E$11+1,1))</f>
        <v>298.38448036212861</v>
      </c>
      <c r="BJ25" s="62">
        <f t="shared" si="38"/>
        <v>270.4445531106897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projet'!$B$11,Paramètres!$A$1:$I$88,7,0))</f>
        <v>0</v>
      </c>
      <c r="BN25" s="17">
        <f>IF(ISNA(VLOOKUP(A25,'Données projet'!$A$87:$I$107,6,0)),0%,VLOOKUP(A25,'Données projet'!$A$87:$I$107,6,0)*VLOOKUP('Données projet'!$B$11,Paramètres!$A$1:$I$88,7,0))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projet'!$B$11,Paramètres!$A$1:$I$88,3,0)*0.475*44/12</f>
        <v>0</v>
      </c>
      <c r="BQ25" s="23">
        <f>EXP(-LN(2)/25)*BQ24+(1-EXP(-LN(2)/25))/(LN(2)/25)*Calculateur!BL25*Calculateur!BN25*VLOOKUP('Données projet'!$B$11,Paramètres!$A$1:$I$88,3,0)*0.475*44/12</f>
        <v>0</v>
      </c>
      <c r="BR25" s="23">
        <f>EXP(-LN(2)/2)*BR24+(1-EXP(-LN(2)/2))/(LN(2)/2)*BL25*BO25*VLOOKUP('Données projet'!$B$11,Paramètres!$A$1:$I$88,3,0)*0.475*44/12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10.6</v>
      </c>
      <c r="BY25" s="13">
        <f>IF('Données projet'!$A$114&gt;35,BY24+BX25-CG24,IF(A25&lt;'Données projet'!$A$114,$BV$205^A25,IF(A25='Données projet'!$A$114,'Données projet'!$B$114,BY24+BX25-CG24)))</f>
        <v>81.199999999999974</v>
      </c>
      <c r="BZ25" s="14">
        <f>BY25*VLOOKUP('Données projet'!$B$12,Paramètres!$A$1:$I$88,3,0)*VLOOKUP('Données projet'!$B$12,Paramètres!$A$1:$I$88,5,0)</f>
        <v>63.335999999999984</v>
      </c>
      <c r="CA25" s="14">
        <f t="shared" si="39"/>
        <v>18.009040022946227</v>
      </c>
      <c r="CB25" s="22">
        <f t="shared" si="10"/>
        <v>141.67594470663133</v>
      </c>
      <c r="CC25" s="62">
        <f t="shared" si="11"/>
        <v>435.00927803996467</v>
      </c>
      <c r="CD25" s="62">
        <f ca="1">AVERAGE(OFFSET($CC$3,0,0,'Données projet'!$E$12+1,1))-AVERAGE(OFFSET($H$3,0,0,'Données projet'!$E$12+1,1))</f>
        <v>217.32600829266818</v>
      </c>
      <c r="CE25" s="62">
        <f t="shared" si="40"/>
        <v>208.79744153433245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projet'!$B$12,Paramètres!$A$1:$I$88,7,0))</f>
        <v>0</v>
      </c>
      <c r="CI25" s="17">
        <f>IF(ISNA(VLOOKUP(A25,'Données projet'!$A$113:$I$133,6,0)),0%,VLOOKUP(A25,'Données projet'!$A$113:$I$133,6,0)*VLOOKUP('Données projet'!$B$12,Paramètres!$A$1:$I$88,7,0))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projet'!$B$12,Paramètres!$A$1:$I$88,3,0)*0.475*44/12</f>
        <v>0</v>
      </c>
      <c r="CL25" s="23">
        <f>EXP(-LN(2)/25)*CL24+(1-EXP(-LN(2)/25))/(LN(2)/25)*Calculateur!CG25*Calculateur!CI25*VLOOKUP('Données projet'!$B$12,Paramètres!$A$1:$I$88,3,0)*0.475*44/12</f>
        <v>0</v>
      </c>
      <c r="CM25" s="23">
        <f>EXP(-LN(2)/2)*CM24+(1-EXP(-LN(2)/2))/(LN(2)/2)*CG25*CJ25*VLOOKUP('Données projet'!$B$12,Paramètres!$A$1:$I$88,3,0)*0.475*44/12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19</v>
      </c>
      <c r="CT25" s="13">
        <f>IF('Données projet'!$A$140&gt;35,CT24+CS25-DB24,IF(A25&lt;'Données projet'!$A$140,$CQ$205^A25,IF(A25='Données projet'!$A$140,'Données projet'!$B$140,CT24+CS25-DB24)))</f>
        <v>166</v>
      </c>
      <c r="CU25" s="18">
        <f>CT25*VLOOKUP('Données projet'!$B$13,Paramètres!$A$1:$I$88,3,0)*VLOOKUP('Données projet'!$B$13,Paramètres!$A$1:$I$88,5,0)</f>
        <v>92.793999999999997</v>
      </c>
      <c r="CV25" s="14">
        <f t="shared" si="41"/>
        <v>25.237866858098691</v>
      </c>
      <c r="CW25" s="22">
        <f t="shared" si="13"/>
        <v>205.57216811118852</v>
      </c>
      <c r="CX25" s="62">
        <f t="shared" si="14"/>
        <v>498.90550144452186</v>
      </c>
      <c r="CY25" s="62">
        <f ca="1">AVERAGE(OFFSET($CX$3,0,0,'Données projet'!$E$13+1,1))-AVERAGE(OFFSET($H$3,0,0,'Données projet'!$E$13+1,1))</f>
        <v>302.20483575440988</v>
      </c>
      <c r="CZ25" s="62">
        <f t="shared" si="42"/>
        <v>275.32862097158687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projet'!$B$13,Paramètres!$A$1:$I$88,7,0))</f>
        <v>0</v>
      </c>
      <c r="DD25" s="17">
        <f>IF(ISNA(VLOOKUP(A25,'Données projet'!$A$139:$I$159,6,0)),0%,VLOOKUP(A25,'Données projet'!$A$139:$I$159,6,0)*VLOOKUP('Données projet'!$B$13,Paramètres!$A$1:$I$88,7,0))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projet'!$B$13,Paramètres!$A$1:$I$88,3,0)*0.475*44/12</f>
        <v>0</v>
      </c>
      <c r="DG25" s="23">
        <f>EXP(-LN(2)/25)*DG24+(1-EXP(-LN(2)/25))/(LN(2)/25)*Calculateur!DB25*Calculateur!DD25*VLOOKUP('Données projet'!$B$13,Paramètres!$A$1:$I$88,3,0)*0.475*44/12</f>
        <v>4.9787330510617949</v>
      </c>
      <c r="DH25" s="23">
        <f>EXP(-LN(2)/2)*DH24+(1-EXP(-LN(2)/2))/(LN(2)/2)*DB25*DE25*VLOOKUP('Données projet'!$B$13,Paramètres!$A$1:$I$88,3,0)*0.475*44/12</f>
        <v>11.278020769389318</v>
      </c>
      <c r="DI25" s="24">
        <f t="shared" si="15"/>
        <v>16.256753820451113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projet'!$B$14,Paramètres!$A$1:$I$88,3,0)*VLOOKUP('Données projet'!$B$14,Paramètres!$A$1:$I$88,5,0)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projet'!$B$14,Paramètres!$A$1:$I$88,7,0))</f>
        <v>0</v>
      </c>
      <c r="DY25" s="17">
        <f>IF(ISNA(VLOOKUP(A25,'Données projet'!$A$165:$I$185,6,0)),0%,VLOOKUP(A25,'Données projet'!$A$165:$I$185,6,0)*VLOOKUP('Données projet'!$B$14,Paramètres!$A$1:$I$88,7,0))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projet'!$B$14,Paramètres!$A$1:$I$88,3,0)*0.475*44/12</f>
        <v>#N/A</v>
      </c>
      <c r="EB25" s="23" t="e">
        <f>EXP(-LN(2)/25)*EB24+(1-EXP(-LN(2)/25))/(LN(2)/25)*Calculateur!DW25*Calculateur!DY25*VLOOKUP('Données projet'!$B$14,Paramètres!$A$1:$I$88,3,0)*0.475*44/12</f>
        <v>#N/A</v>
      </c>
      <c r="EC25" s="23" t="e">
        <f>EXP(-LN(2)/2)*EC24+(1-EXP(-LN(2)/2))/(LN(2)/2)*DW25*DZ25*VLOOKUP('Données projet'!$B$14,Paramètres!$A$1:$I$88,3,0)*0.475*44/12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projet'!$B$15,Paramètres!$A$1:$I$88,3,0)*VLOOKUP('Données projet'!$B$15,Paramètres!$A$1:$I$88,5,0)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projet'!$B$15,Paramètres!$A$1:$I$88,7,0))</f>
        <v>0</v>
      </c>
      <c r="ET25" s="17">
        <f>IF(ISNA(VLOOKUP(A25,'Données projet'!$A$191:$I$211,6,0)),0%,VLOOKUP(A25,'Données projet'!$A$191:$I$211,6,0)*VLOOKUP('Données projet'!$B$15,Paramètres!$A$1:$I$88,7,0))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projet'!$B$15,Paramètres!$A$1:$I$88,3,0)*0.475*44/12</f>
        <v>#N/A</v>
      </c>
      <c r="EW25" s="23" t="e">
        <f>EXP(-LN(2)/25)*EW24+(1-EXP(-LN(2)/25))/(LN(2)/25)*Calculateur!ER25*Calculateur!ET25*VLOOKUP('Données projet'!$B$15,Paramètres!$A$1:$I$88,3,0)*0.475*44/12</f>
        <v>#N/A</v>
      </c>
      <c r="EX25" s="23" t="e">
        <f>EXP(-LN(2)/2)*EX24+(1-EXP(-LN(2)/2))/(LN(2)/2)*ER25*EU25*VLOOKUP('Données projet'!$B$15,Paramètres!$A$1:$I$88,3,0)*0.475*44/12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projet'!$B$16,Paramètres!$A$1:$I$88,3,0)*VLOOKUP('Données projet'!$B$16,Paramètres!$A$1:$I$88,5,0)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projet'!$B$16,Paramètres!$A$1:$I$88,7,0))</f>
        <v>0</v>
      </c>
      <c r="FO25" s="17">
        <f>IF(ISNA(VLOOKUP(A25,'Données projet'!$A$217:$I$237,6,0)),0%,VLOOKUP(A25,'Données projet'!$A$217:$I$237,6,0)*VLOOKUP('Données projet'!$B$16,Paramètres!$A$1:$I$88,7,0))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projet'!$B$16,Paramètres!$A$1:$I$88,3,0)*0.475*44/12</f>
        <v>#N/A</v>
      </c>
      <c r="FR25" s="23" t="e">
        <f>EXP(-LN(2)/25)*FR24+(1-EXP(-LN(2)/25))/(LN(2)/25)*Calculateur!FM25*Calculateur!FO25*VLOOKUP('Données projet'!$B$16,Paramètres!$A$1:$I$88,3,0)*0.475*44/12</f>
        <v>#N/A</v>
      </c>
      <c r="FS25" s="23" t="e">
        <f>EXP(-LN(2)/2)*FS24+(1-EXP(-LN(2)/2))/(LN(2)/2)*FM25*FP25*VLOOKUP('Données projet'!$B$16,Paramètres!$A$1:$I$88,3,0)*0.475*44/12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projet'!$B$17,Paramètres!$A$1:$I$88,3,0)*VLOOKUP('Données projet'!$B$17,Paramètres!$A$1:$I$88,5,0)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projet'!$B$17,Paramètres!$A$1:$I$88,7,0))</f>
        <v>0</v>
      </c>
      <c r="GJ25" s="17">
        <f>IF(ISNA(VLOOKUP(A25,'Données projet'!$A$243:$I$263,6,0)),0%,VLOOKUP(A25,'Données projet'!$A$243:$I$263,6,0)*VLOOKUP('Données projet'!$B$17,Paramètres!$A$1:$I$88,7,0))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projet'!$B$17,Paramètres!$A$1:$I$88,3,0)*0.475*44/12</f>
        <v>#N/A</v>
      </c>
      <c r="GM25" s="23" t="e">
        <f>EXP(-LN(2)/25)*GM24+(1-EXP(-LN(2)/25))/(LN(2)/25)*Calculateur!GH25*Calculateur!GJ25*VLOOKUP('Données projet'!$B$17,Paramètres!$A$1:$I$88,3,0)*0.475*44/12</f>
        <v>#N/A</v>
      </c>
      <c r="GN25" s="23" t="e">
        <f>EXP(-LN(2)/2)*GN24+(1-EXP(-LN(2)/2))/(LN(2)/2)*GH25*GK25*VLOOKUP('Données projet'!$B$17,Paramètres!$A$1:$I$88,3,0)*0.475*44/12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projet'!$B$18,Paramètres!$A$1:$I$88,3,0)*VLOOKUP('Données projet'!$B$18,Paramètres!$A$1:$I$88,5,0)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projet'!$B$18,Paramètres!$A$1:$I$88,7,0))</f>
        <v>0</v>
      </c>
      <c r="HE25" s="17">
        <f>IF(ISNA(VLOOKUP(A25,'Données projet'!$A$269:$I$289,6,0)),0%,VLOOKUP(A25,'Données projet'!$A$269:$I$289,6,0)*VLOOKUP('Données projet'!$B$18,Paramètres!$A$1:$I$88,7,0))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projet'!$B$18,Paramètres!$A$1:$I$88,3,0)*0.475*44/12</f>
        <v>#N/A</v>
      </c>
      <c r="HH25" s="23" t="e">
        <f>EXP(-LN(2)/25)*HH24+(1-EXP(-LN(2)/25))/(LN(2)/25)*Calculateur!HC25*Calculateur!HE25*VLOOKUP('Données projet'!$B$18,Paramètres!$A$1:$I$88,3,0)*0.475*44/12</f>
        <v>#N/A</v>
      </c>
      <c r="HI25" s="23" t="e">
        <f>EXP(-LN(2)/2)*HI24+(1-EXP(-LN(2)/2))/(LN(2)/2)*HC25*HF25*VLOOKUP('Données projet'!$B$18,Paramètres!$A$1:$I$88,3,0)*0.475*44/12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</v>
      </c>
      <c r="N26" s="14">
        <f>IF('Données projet'!$A$36&gt;35,N25+M26-V25,IF(A26&lt;'Données projet'!$A$36,$K$205^A26,IF(A26='Données projet'!$A$36,'Données projet'!$B$36,N25+M26-V25)))</f>
        <v>152</v>
      </c>
      <c r="O26" s="14">
        <f>N26*VLOOKUP('Données projet'!$B$9,Paramètres!$A$1:$I$88,3,0)*VLOOKUP('Données projet'!$B$9,Paramètres!$A$1:$I$88,5,0)</f>
        <v>94.847999999999999</v>
      </c>
      <c r="P26" s="14">
        <f t="shared" si="33"/>
        <v>25.730851751939202</v>
      </c>
      <c r="Q26" s="22">
        <f t="shared" si="2"/>
        <v>210.0081668012941</v>
      </c>
      <c r="R26" s="62">
        <f t="shared" si="0"/>
        <v>503.34150013462738</v>
      </c>
      <c r="S26" s="62">
        <f ca="1">AVERAGE(OFFSET($R$3,0,0,'Données projet'!$E$9+1,1))-AVERAGE(OFFSET($H$3,0,0,'Données projet'!$E$9+1,1))</f>
        <v>175.05987582828078</v>
      </c>
      <c r="T26" s="62">
        <f t="shared" si="34"/>
        <v>268.54782308462387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projet'!$B$9,Paramètres!$A$1:$I$88,7,0))</f>
        <v>0</v>
      </c>
      <c r="X26" s="17">
        <f>IF(ISNA(VLOOKUP(A26,'Données projet'!$A$35:$I$55,6,0)),0%,VLOOKUP(A26,'Données projet'!$A$35:$I$55,6,0)*VLOOKUP('Données projet'!$B$9,Paramètres!$A$1:$I$88,7,0))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projet'!$B$9,Paramètres!$A$1:$I$88,3,0)*0.475*44/12</f>
        <v>0</v>
      </c>
      <c r="AA26" s="23">
        <f>EXP(-LN(2)/25)*AA25+(1-EXP(-LN(2)/25))/(LN(2)/25)*Calculateur!V26*Calculateur!X26*VLOOKUP('Données projet'!$B$9,Paramètres!$A$1:$I$88,3,0)*0.475*44/12</f>
        <v>0</v>
      </c>
      <c r="AB26" s="23">
        <f>EXP(-LN(2)/2)*AB25+(1-EXP(-LN(2)/2))/(LN(2)/2)*V26*Y26*VLOOKUP('Données projet'!$B$9,Paramètres!$A$1:$I$88,3,0)*0.475*44/12</f>
        <v>5.841284450083994</v>
      </c>
      <c r="AC26" s="24">
        <f t="shared" si="3"/>
        <v>5.841284450083994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12.133333333333333</v>
      </c>
      <c r="AI26" s="14">
        <f>IF('Données projet'!$A$62&gt;35,AI25+AH26-AQ25,IF(A26&lt;'Données projet'!$A$62,$AF$205^A26,IF(A26='Données projet'!$A$62,'Données projet'!$B$62,AI25+AH26-AQ25)))</f>
        <v>91.941389053198918</v>
      </c>
      <c r="AJ26" s="14">
        <f>AI26*VLOOKUP('Données projet'!$B$10,Paramètres!$A$1:$I$88,3,0)*VLOOKUP('Données projet'!$B$10,Paramètres!$A$1:$I$88,5,0)</f>
        <v>44.223808134588687</v>
      </c>
      <c r="AK26" s="14">
        <f t="shared" si="35"/>
        <v>13.111543727239008</v>
      </c>
      <c r="AL26" s="22">
        <f t="shared" si="4"/>
        <v>99.859071159349909</v>
      </c>
      <c r="AM26" s="62">
        <f t="shared" si="5"/>
        <v>393.19240449268324</v>
      </c>
      <c r="AN26" s="62">
        <f ca="1">AVERAGE(OFFSET($AM$3,0,0,'Données projet'!$E$10+1,1))-AVERAGE(OFFSET($H$3,0,0,'Données projet'!$E$10+1,1))</f>
        <v>576.61210817354549</v>
      </c>
      <c r="AO26" s="62">
        <f t="shared" si="36"/>
        <v>343.9428747444544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projet'!$B$10,Paramètres!$A$1:$I$88,7,0))</f>
        <v>0</v>
      </c>
      <c r="AS26" s="17">
        <f>IF(ISNA(VLOOKUP(A26,'Données projet'!$A$61:$I$81,6,0)),0%,VLOOKUP(A26,'Données projet'!$A$61:$I$81,6,0)*VLOOKUP('Données projet'!$B$10,Paramètres!$A$1:$I$88,7,0))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projet'!$B$10,Paramètres!$A$1:$I$88,3,0)*0.475*44/12</f>
        <v>0</v>
      </c>
      <c r="AV26" s="23">
        <f>EXP(-LN(2)/25)*AV25+(1-EXP(-LN(2)/25))/(LN(2)/25)*Calculateur!AQ26*Calculateur!AS26*VLOOKUP('Données projet'!$B$10,Paramètres!$A$1:$I$88,3,0)*0.475*44/12</f>
        <v>0</v>
      </c>
      <c r="AW26" s="23">
        <f>EXP(-LN(2)/2)*AW25+(1-EXP(-LN(2)/2))/(LN(2)/2)*AQ26*AT26*VLOOKUP('Données projet'!$B$10,Paramètres!$A$1:$I$88,3,0)*0.475*44/12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14.739999999999998</v>
      </c>
      <c r="BD26" s="13">
        <f>IF('Données projet'!$A$88&gt;35,BD25+BC26-BL25,IF(A26&lt;'Données projet'!$A$88,$BA$205^A26,IF(A26='Données projet'!$A$88,'Données projet'!$B$88,BD25+BC26-BL25)))</f>
        <v>177.52000000000004</v>
      </c>
      <c r="BE26" s="14">
        <f>BD26*VLOOKUP('Données projet'!$B$11,Paramètres!$A$1:$I$88,3,0)*VLOOKUP('Données projet'!$B$11,Paramètres!$A$1:$I$88,5,0)</f>
        <v>141.23491200000004</v>
      </c>
      <c r="BF26" s="14">
        <f t="shared" si="37"/>
        <v>36.579761734476683</v>
      </c>
      <c r="BG26" s="22">
        <f t="shared" si="7"/>
        <v>309.69389008754689</v>
      </c>
      <c r="BH26" s="62">
        <f t="shared" si="8"/>
        <v>603.0272234208802</v>
      </c>
      <c r="BI26" s="62">
        <f ca="1">AVERAGE(OFFSET($BH$3,0,0,'Données projet'!$E$11+1,1))-AVERAGE(OFFSET($H$3,0,0,'Données projet'!$E$11+1,1))</f>
        <v>298.38448036212861</v>
      </c>
      <c r="BJ26" s="62">
        <f t="shared" si="38"/>
        <v>270.4445531106897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projet'!$B$11,Paramètres!$A$1:$I$88,7,0))</f>
        <v>0</v>
      </c>
      <c r="BN26" s="17">
        <f>IF(ISNA(VLOOKUP(A26,'Données projet'!$A$87:$I$107,6,0)),0%,VLOOKUP(A26,'Données projet'!$A$87:$I$107,6,0)*VLOOKUP('Données projet'!$B$11,Paramètres!$A$1:$I$88,7,0))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projet'!$B$11,Paramètres!$A$1:$I$88,3,0)*0.475*44/12</f>
        <v>0</v>
      </c>
      <c r="BQ26" s="23">
        <f>EXP(-LN(2)/25)*BQ25+(1-EXP(-LN(2)/25))/(LN(2)/25)*Calculateur!BL26*Calculateur!BN26*VLOOKUP('Données projet'!$B$11,Paramètres!$A$1:$I$88,3,0)*0.475*44/12</f>
        <v>0</v>
      </c>
      <c r="BR26" s="23">
        <f>EXP(-LN(2)/2)*BR25+(1-EXP(-LN(2)/2))/(LN(2)/2)*BL26*BO26*VLOOKUP('Données projet'!$B$11,Paramètres!$A$1:$I$88,3,0)*0.475*44/12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10.6</v>
      </c>
      <c r="BY26" s="13">
        <f>IF('Données projet'!$A$114&gt;35,BY25+BX26-CG25,IF(A26&lt;'Données projet'!$A$114,$BV$205^A26,IF(A26='Données projet'!$A$114,'Données projet'!$B$114,BY25+BX26-CG25)))</f>
        <v>91.799999999999969</v>
      </c>
      <c r="BZ26" s="14">
        <f>BY26*VLOOKUP('Données projet'!$B$12,Paramètres!$A$1:$I$88,3,0)*VLOOKUP('Données projet'!$B$12,Paramètres!$A$1:$I$88,5,0)</f>
        <v>71.603999999999985</v>
      </c>
      <c r="CA26" s="14">
        <f t="shared" si="39"/>
        <v>20.071260561992585</v>
      </c>
      <c r="CB26" s="22">
        <f t="shared" si="10"/>
        <v>159.66774547880371</v>
      </c>
      <c r="CC26" s="62">
        <f t="shared" si="11"/>
        <v>453.00107881213705</v>
      </c>
      <c r="CD26" s="62">
        <f ca="1">AVERAGE(OFFSET($CC$3,0,0,'Données projet'!$E$12+1,1))-AVERAGE(OFFSET($H$3,0,0,'Données projet'!$E$12+1,1))</f>
        <v>217.32600829266818</v>
      </c>
      <c r="CE26" s="62">
        <f t="shared" si="40"/>
        <v>208.79744153433245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projet'!$B$12,Paramètres!$A$1:$I$88,7,0))</f>
        <v>0</v>
      </c>
      <c r="CI26" s="17">
        <f>IF(ISNA(VLOOKUP(A26,'Données projet'!$A$113:$I$133,6,0)),0%,VLOOKUP(A26,'Données projet'!$A$113:$I$133,6,0)*VLOOKUP('Données projet'!$B$12,Paramètres!$A$1:$I$88,7,0))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projet'!$B$12,Paramètres!$A$1:$I$88,3,0)*0.475*44/12</f>
        <v>0</v>
      </c>
      <c r="CL26" s="23">
        <f>EXP(-LN(2)/25)*CL25+(1-EXP(-LN(2)/25))/(LN(2)/25)*Calculateur!CG26*Calculateur!CI26*VLOOKUP('Données projet'!$B$12,Paramètres!$A$1:$I$88,3,0)*0.475*44/12</f>
        <v>0</v>
      </c>
      <c r="CM26" s="23">
        <f>EXP(-LN(2)/2)*CM25+(1-EXP(-LN(2)/2))/(LN(2)/2)*CG26*CJ26*VLOOKUP('Données projet'!$B$12,Paramètres!$A$1:$I$88,3,0)*0.475*44/12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19</v>
      </c>
      <c r="CT26" s="13">
        <f>IF('Données projet'!$A$140&gt;35,CT25+CS26-DB25,IF(A26&lt;'Données projet'!$A$140,$CQ$205^A26,IF(A26='Données projet'!$A$140,'Données projet'!$B$140,CT25+CS26-DB25)))</f>
        <v>185</v>
      </c>
      <c r="CU26" s="18">
        <f>CT26*VLOOKUP('Données projet'!$B$13,Paramètres!$A$1:$I$88,3,0)*VLOOKUP('Données projet'!$B$13,Paramètres!$A$1:$I$88,5,0)</f>
        <v>103.41500000000001</v>
      </c>
      <c r="CV26" s="14">
        <f t="shared" si="41"/>
        <v>27.773977384564439</v>
      </c>
      <c r="CW26" s="22">
        <f t="shared" si="13"/>
        <v>228.48746894478305</v>
      </c>
      <c r="CX26" s="62">
        <f t="shared" si="14"/>
        <v>521.82080227811639</v>
      </c>
      <c r="CY26" s="62">
        <f ca="1">AVERAGE(OFFSET($CX$3,0,0,'Données projet'!$E$13+1,1))-AVERAGE(OFFSET($H$3,0,0,'Données projet'!$E$13+1,1))</f>
        <v>302.20483575440988</v>
      </c>
      <c r="CZ26" s="62">
        <f t="shared" si="42"/>
        <v>275.32862097158687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projet'!$B$13,Paramètres!$A$1:$I$88,7,0))</f>
        <v>0</v>
      </c>
      <c r="DD26" s="17">
        <f>IF(ISNA(VLOOKUP(A26,'Données projet'!$A$139:$I$159,6,0)),0%,VLOOKUP(A26,'Données projet'!$A$139:$I$159,6,0)*VLOOKUP('Données projet'!$B$13,Paramètres!$A$1:$I$88,7,0))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projet'!$B$13,Paramètres!$A$1:$I$88,3,0)*0.475*44/12</f>
        <v>0</v>
      </c>
      <c r="DG26" s="23">
        <f>EXP(-LN(2)/25)*DG25+(1-EXP(-LN(2)/25))/(LN(2)/25)*Calculateur!DB26*Calculateur!DD26*VLOOKUP('Données projet'!$B$13,Paramètres!$A$1:$I$88,3,0)*0.475*44/12</f>
        <v>4.8425893339603183</v>
      </c>
      <c r="DH26" s="23">
        <f>EXP(-LN(2)/2)*DH25+(1-EXP(-LN(2)/2))/(LN(2)/2)*DB26*DE26*VLOOKUP('Données projet'!$B$13,Paramètres!$A$1:$I$88,3,0)*0.475*44/12</f>
        <v>7.9747649643979113</v>
      </c>
      <c r="DI26" s="24">
        <f t="shared" si="15"/>
        <v>12.817354298358229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projet'!$B$14,Paramètres!$A$1:$I$88,3,0)*VLOOKUP('Données projet'!$B$14,Paramètres!$A$1:$I$88,5,0)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projet'!$B$14,Paramètres!$A$1:$I$88,7,0))</f>
        <v>0</v>
      </c>
      <c r="DY26" s="17">
        <f>IF(ISNA(VLOOKUP(A26,'Données projet'!$A$165:$I$185,6,0)),0%,VLOOKUP(A26,'Données projet'!$A$165:$I$185,6,0)*VLOOKUP('Données projet'!$B$14,Paramètres!$A$1:$I$88,7,0))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projet'!$B$14,Paramètres!$A$1:$I$88,3,0)*0.475*44/12</f>
        <v>#N/A</v>
      </c>
      <c r="EB26" s="23" t="e">
        <f>EXP(-LN(2)/25)*EB25+(1-EXP(-LN(2)/25))/(LN(2)/25)*Calculateur!DW26*Calculateur!DY26*VLOOKUP('Données projet'!$B$14,Paramètres!$A$1:$I$88,3,0)*0.475*44/12</f>
        <v>#N/A</v>
      </c>
      <c r="EC26" s="23" t="e">
        <f>EXP(-LN(2)/2)*EC25+(1-EXP(-LN(2)/2))/(LN(2)/2)*DW26*DZ26*VLOOKUP('Données projet'!$B$14,Paramètres!$A$1:$I$88,3,0)*0.475*44/12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projet'!$B$15,Paramètres!$A$1:$I$88,3,0)*VLOOKUP('Données projet'!$B$15,Paramètres!$A$1:$I$88,5,0)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projet'!$B$15,Paramètres!$A$1:$I$88,7,0))</f>
        <v>0</v>
      </c>
      <c r="ET26" s="17">
        <f>IF(ISNA(VLOOKUP(A26,'Données projet'!$A$191:$I$211,6,0)),0%,VLOOKUP(A26,'Données projet'!$A$191:$I$211,6,0)*VLOOKUP('Données projet'!$B$15,Paramètres!$A$1:$I$88,7,0))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projet'!$B$15,Paramètres!$A$1:$I$88,3,0)*0.475*44/12</f>
        <v>#N/A</v>
      </c>
      <c r="EW26" s="23" t="e">
        <f>EXP(-LN(2)/25)*EW25+(1-EXP(-LN(2)/25))/(LN(2)/25)*Calculateur!ER26*Calculateur!ET26*VLOOKUP('Données projet'!$B$15,Paramètres!$A$1:$I$88,3,0)*0.475*44/12</f>
        <v>#N/A</v>
      </c>
      <c r="EX26" s="23" t="e">
        <f>EXP(-LN(2)/2)*EX25+(1-EXP(-LN(2)/2))/(LN(2)/2)*ER26*EU26*VLOOKUP('Données projet'!$B$15,Paramètres!$A$1:$I$88,3,0)*0.475*44/12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projet'!$B$16,Paramètres!$A$1:$I$88,3,0)*VLOOKUP('Données projet'!$B$16,Paramètres!$A$1:$I$88,5,0)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projet'!$B$16,Paramètres!$A$1:$I$88,7,0))</f>
        <v>0</v>
      </c>
      <c r="FO26" s="17">
        <f>IF(ISNA(VLOOKUP(A26,'Données projet'!$A$217:$I$237,6,0)),0%,VLOOKUP(A26,'Données projet'!$A$217:$I$237,6,0)*VLOOKUP('Données projet'!$B$16,Paramètres!$A$1:$I$88,7,0))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projet'!$B$16,Paramètres!$A$1:$I$88,3,0)*0.475*44/12</f>
        <v>#N/A</v>
      </c>
      <c r="FR26" s="23" t="e">
        <f>EXP(-LN(2)/25)*FR25+(1-EXP(-LN(2)/25))/(LN(2)/25)*Calculateur!FM26*Calculateur!FO26*VLOOKUP('Données projet'!$B$16,Paramètres!$A$1:$I$88,3,0)*0.475*44/12</f>
        <v>#N/A</v>
      </c>
      <c r="FS26" s="23" t="e">
        <f>EXP(-LN(2)/2)*FS25+(1-EXP(-LN(2)/2))/(LN(2)/2)*FM26*FP26*VLOOKUP('Données projet'!$B$16,Paramètres!$A$1:$I$88,3,0)*0.475*44/12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projet'!$B$17,Paramètres!$A$1:$I$88,3,0)*VLOOKUP('Données projet'!$B$17,Paramètres!$A$1:$I$88,5,0)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projet'!$B$17,Paramètres!$A$1:$I$88,7,0))</f>
        <v>0</v>
      </c>
      <c r="GJ26" s="17">
        <f>IF(ISNA(VLOOKUP(A26,'Données projet'!$A$243:$I$263,6,0)),0%,VLOOKUP(A26,'Données projet'!$A$243:$I$263,6,0)*VLOOKUP('Données projet'!$B$17,Paramètres!$A$1:$I$88,7,0))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projet'!$B$17,Paramètres!$A$1:$I$88,3,0)*0.475*44/12</f>
        <v>#N/A</v>
      </c>
      <c r="GM26" s="23" t="e">
        <f>EXP(-LN(2)/25)*GM25+(1-EXP(-LN(2)/25))/(LN(2)/25)*Calculateur!GH26*Calculateur!GJ26*VLOOKUP('Données projet'!$B$17,Paramètres!$A$1:$I$88,3,0)*0.475*44/12</f>
        <v>#N/A</v>
      </c>
      <c r="GN26" s="23" t="e">
        <f>EXP(-LN(2)/2)*GN25+(1-EXP(-LN(2)/2))/(LN(2)/2)*GH26*GK26*VLOOKUP('Données projet'!$B$17,Paramètres!$A$1:$I$88,3,0)*0.475*44/12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projet'!$B$18,Paramètres!$A$1:$I$88,3,0)*VLOOKUP('Données projet'!$B$18,Paramètres!$A$1:$I$88,5,0)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projet'!$B$18,Paramètres!$A$1:$I$88,7,0))</f>
        <v>0</v>
      </c>
      <c r="HE26" s="17">
        <f>IF(ISNA(VLOOKUP(A26,'Données projet'!$A$269:$I$289,6,0)),0%,VLOOKUP(A26,'Données projet'!$A$269:$I$289,6,0)*VLOOKUP('Données projet'!$B$18,Paramètres!$A$1:$I$88,7,0))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projet'!$B$18,Paramètres!$A$1:$I$88,3,0)*0.475*44/12</f>
        <v>#N/A</v>
      </c>
      <c r="HH26" s="23" t="e">
        <f>EXP(-LN(2)/25)*HH25+(1-EXP(-LN(2)/25))/(LN(2)/25)*Calculateur!HC26*Calculateur!HE26*VLOOKUP('Données projet'!$B$18,Paramètres!$A$1:$I$88,3,0)*0.475*44/12</f>
        <v>#N/A</v>
      </c>
      <c r="HI26" s="23" t="e">
        <f>EXP(-LN(2)/2)*HI25+(1-EXP(-LN(2)/2))/(LN(2)/2)*HC26*HF26*VLOOKUP('Données projet'!$B$18,Paramètres!$A$1:$I$88,3,0)*0.475*44/12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168</v>
      </c>
      <c r="L27" s="13">
        <f>VLOOKUP(A27,'Données projet'!$A$35:$I$55,9,0)</f>
        <v>16</v>
      </c>
      <c r="M27" s="13">
        <f t="array" ref="M27">INDEX(L:L,MIN(IF(ISNUMBER(L27:L223),ROW(L27:L223),"")))</f>
        <v>16</v>
      </c>
      <c r="N27" s="14">
        <f>IF('Données projet'!$A$36&gt;35,N26+M27-V26,IF(A27&lt;'Données projet'!$A$36,$K$205^A27,IF(A27='Données projet'!$A$36,'Données projet'!$B$36,N26+M27-V26)))</f>
        <v>168</v>
      </c>
      <c r="O27" s="14">
        <f>N27*VLOOKUP('Données projet'!$B$9,Paramètres!$A$1:$I$88,3,0)*VLOOKUP('Données projet'!$B$9,Paramètres!$A$1:$I$88,5,0)</f>
        <v>104.83200000000001</v>
      </c>
      <c r="P27" s="14">
        <f t="shared" si="33"/>
        <v>28.109974371137717</v>
      </c>
      <c r="Q27" s="22">
        <f t="shared" si="2"/>
        <v>231.54060536306486</v>
      </c>
      <c r="R27" s="62">
        <f t="shared" si="0"/>
        <v>524.87393869639823</v>
      </c>
      <c r="S27" s="62">
        <f ca="1">AVERAGE(OFFSET($R$3,0,0,'Données projet'!$E$9+1,1))-AVERAGE(OFFSET($H$3,0,0,'Données projet'!$E$9+1,1))</f>
        <v>175.05987582828078</v>
      </c>
      <c r="T27" s="62">
        <f t="shared" si="34"/>
        <v>268.54782308462387</v>
      </c>
      <c r="U27" s="16">
        <f>IF(ISNA(VLOOKUP(A27,'Données projet'!$A$35:$I$55,3,0)),0,VLOOKUP(A27,'Données projet'!$A$35:$I$55,3,0))</f>
        <v>3</v>
      </c>
      <c r="V27" s="16">
        <f>IF(ISNA(VLOOKUP(A27,'Données projet'!$A$35:$I$55,4,0)),0,VLOOKUP(A27,'Données projet'!$A$35:$I$55,4,0))</f>
        <v>29</v>
      </c>
      <c r="W27" s="17">
        <f>IF(ISNA(VLOOKUP(A27,'Données projet'!$A$35:$I$55,5,0)),0%,VLOOKUP(A27,'Données projet'!$A$35:$I$55,5,0)*VLOOKUP('Données projet'!$B$9,Paramètres!$A$1:$I$88,7,0))</f>
        <v>0</v>
      </c>
      <c r="X27" s="17">
        <f>IF(ISNA(VLOOKUP(A27,'Données projet'!$A$35:$I$55,6,0)),0%,VLOOKUP(A27,'Données projet'!$A$35:$I$55,6,0)*VLOOKUP('Données projet'!$B$9,Paramètres!$A$1:$I$88,7,0))</f>
        <v>0.12</v>
      </c>
      <c r="Y27" s="17">
        <f>IF(ISNA(VLOOKUP(A27,'Données projet'!$A$35:$I$55,7,0)),0%,VLOOKUP(A27,'Données projet'!$A$35:$I$55,7,0))</f>
        <v>0.4</v>
      </c>
      <c r="Z27" s="23">
        <f>EXP(-LN(2)/35)*Z26+(1-EXP(-LN(2)/35))/(LN(2)/35)*V27*W27*VLOOKUP('Données projet'!$B$9,Paramètres!$A$1:$I$88,3,0)*0.475*44/12</f>
        <v>0</v>
      </c>
      <c r="AA27" s="23">
        <f>EXP(-LN(2)/25)*AA26+(1-EXP(-LN(2)/25))/(LN(2)/25)*Calculateur!V27*Calculateur!X27*VLOOKUP('Données projet'!$B$9,Paramètres!$A$1:$I$88,3,0)*0.475*44/12</f>
        <v>2.8693189853314944</v>
      </c>
      <c r="AB27" s="23">
        <f>EXP(-LN(2)/2)*AB26+(1-EXP(-LN(2)/2))/(LN(2)/2)*V27*Y27*VLOOKUP('Données projet'!$B$9,Paramètres!$A$1:$I$88,3,0)*0.475*44/12</f>
        <v>12.325962107909497</v>
      </c>
      <c r="AC27" s="24">
        <f t="shared" si="3"/>
        <v>15.195281093240991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12.133333333333333</v>
      </c>
      <c r="AI27" s="14">
        <f>IF('Données projet'!$A$62&gt;35,AI26+AH27-AQ26,IF(A27&lt;'Données projet'!$A$62,$AF$205^A27,IF(A27='Données projet'!$A$62,'Données projet'!$B$62,AI26+AH27-AQ26)))</f>
        <v>111.91314664898138</v>
      </c>
      <c r="AJ27" s="14">
        <f>AI27*VLOOKUP('Données projet'!$B$10,Paramètres!$A$1:$I$88,3,0)*VLOOKUP('Données projet'!$B$10,Paramètres!$A$1:$I$88,5,0)</f>
        <v>53.830223538160048</v>
      </c>
      <c r="AK27" s="14">
        <f t="shared" si="35"/>
        <v>15.598642345161077</v>
      </c>
      <c r="AL27" s="22">
        <f t="shared" si="4"/>
        <v>120.92194141345094</v>
      </c>
      <c r="AM27" s="62">
        <f t="shared" si="5"/>
        <v>414.25527474678427</v>
      </c>
      <c r="AN27" s="62">
        <f ca="1">AVERAGE(OFFSET($AM$3,0,0,'Données projet'!$E$10+1,1))-AVERAGE(OFFSET($H$3,0,0,'Données projet'!$E$10+1,1))</f>
        <v>576.61210817354549</v>
      </c>
      <c r="AO27" s="62">
        <f t="shared" si="36"/>
        <v>343.9428747444544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projet'!$B$10,Paramètres!$A$1:$I$88,7,0))</f>
        <v>0</v>
      </c>
      <c r="AS27" s="17">
        <f>IF(ISNA(VLOOKUP(A27,'Données projet'!$A$61:$I$81,6,0)),0%,VLOOKUP(A27,'Données projet'!$A$61:$I$81,6,0)*VLOOKUP('Données projet'!$B$10,Paramètres!$A$1:$I$88,7,0))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projet'!$B$10,Paramètres!$A$1:$I$88,3,0)*0.475*44/12</f>
        <v>0</v>
      </c>
      <c r="AV27" s="23">
        <f>EXP(-LN(2)/25)*AV26+(1-EXP(-LN(2)/25))/(LN(2)/25)*Calculateur!AQ27*Calculateur!AS27*VLOOKUP('Données projet'!$B$10,Paramètres!$A$1:$I$88,3,0)*0.475*44/12</f>
        <v>0</v>
      </c>
      <c r="AW27" s="23">
        <f>EXP(-LN(2)/2)*AW26+(1-EXP(-LN(2)/2))/(LN(2)/2)*AQ27*AT27*VLOOKUP('Données projet'!$B$10,Paramètres!$A$1:$I$88,3,0)*0.475*44/12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14.739999999999998</v>
      </c>
      <c r="BD27" s="13">
        <f>IF('Données projet'!$A$88&gt;35,BD26+BC27-BL26,IF(A27&lt;'Données projet'!$A$88,$BA$205^A27,IF(A27='Données projet'!$A$88,'Données projet'!$B$88,BD26+BC27-BL26)))</f>
        <v>192.26000000000005</v>
      </c>
      <c r="BE27" s="14">
        <f>BD27*VLOOKUP('Données projet'!$B$11,Paramètres!$A$1:$I$88,3,0)*VLOOKUP('Données projet'!$B$11,Paramètres!$A$1:$I$88,5,0)</f>
        <v>152.96205600000005</v>
      </c>
      <c r="BF27" s="14">
        <f t="shared" si="37"/>
        <v>39.250955479756051</v>
      </c>
      <c r="BG27" s="22">
        <f t="shared" si="7"/>
        <v>334.77099499390852</v>
      </c>
      <c r="BH27" s="62">
        <f t="shared" si="8"/>
        <v>628.10432832724177</v>
      </c>
      <c r="BI27" s="62">
        <f ca="1">AVERAGE(OFFSET($BH$3,0,0,'Données projet'!$E$11+1,1))-AVERAGE(OFFSET($H$3,0,0,'Données projet'!$E$11+1,1))</f>
        <v>298.38448036212861</v>
      </c>
      <c r="BJ27" s="62">
        <f t="shared" si="38"/>
        <v>270.4445531106897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projet'!$B$11,Paramètres!$A$1:$I$88,7,0))</f>
        <v>0</v>
      </c>
      <c r="BN27" s="17">
        <f>IF(ISNA(VLOOKUP(A27,'Données projet'!$A$87:$I$107,6,0)),0%,VLOOKUP(A27,'Données projet'!$A$87:$I$107,6,0)*VLOOKUP('Données projet'!$B$11,Paramètres!$A$1:$I$88,7,0))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projet'!$B$11,Paramètres!$A$1:$I$88,3,0)*0.475*44/12</f>
        <v>0</v>
      </c>
      <c r="BQ27" s="23">
        <f>EXP(-LN(2)/25)*BQ26+(1-EXP(-LN(2)/25))/(LN(2)/25)*Calculateur!BL27*Calculateur!BN27*VLOOKUP('Données projet'!$B$11,Paramètres!$A$1:$I$88,3,0)*0.475*44/12</f>
        <v>0</v>
      </c>
      <c r="BR27" s="23">
        <f>EXP(-LN(2)/2)*BR26+(1-EXP(-LN(2)/2))/(LN(2)/2)*BL27*BO27*VLOOKUP('Données projet'!$B$11,Paramètres!$A$1:$I$88,3,0)*0.475*44/12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10.6</v>
      </c>
      <c r="BY27" s="13">
        <f>IF('Données projet'!$A$114&gt;35,BY26+BX27-CG26,IF(A27&lt;'Données projet'!$A$114,$BV$205^A27,IF(A27='Données projet'!$A$114,'Données projet'!$B$114,BY26+BX27-CG26)))</f>
        <v>102.39999999999996</v>
      </c>
      <c r="BZ27" s="14">
        <f>BY27*VLOOKUP('Données projet'!$B$12,Paramètres!$A$1:$I$88,3,0)*VLOOKUP('Données projet'!$B$12,Paramètres!$A$1:$I$88,5,0)</f>
        <v>79.871999999999971</v>
      </c>
      <c r="CA27" s="14">
        <f t="shared" si="39"/>
        <v>22.105884547145401</v>
      </c>
      <c r="CB27" s="22">
        <f t="shared" si="10"/>
        <v>177.61148225294485</v>
      </c>
      <c r="CC27" s="62">
        <f t="shared" si="11"/>
        <v>470.9448155862782</v>
      </c>
      <c r="CD27" s="62">
        <f ca="1">AVERAGE(OFFSET($CC$3,0,0,'Données projet'!$E$12+1,1))-AVERAGE(OFFSET($H$3,0,0,'Données projet'!$E$12+1,1))</f>
        <v>217.32600829266818</v>
      </c>
      <c r="CE27" s="62">
        <f t="shared" si="40"/>
        <v>208.79744153433245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projet'!$B$12,Paramètres!$A$1:$I$88,7,0))</f>
        <v>0</v>
      </c>
      <c r="CI27" s="17">
        <f>IF(ISNA(VLOOKUP(A27,'Données projet'!$A$113:$I$133,6,0)),0%,VLOOKUP(A27,'Données projet'!$A$113:$I$133,6,0)*VLOOKUP('Données projet'!$B$12,Paramètres!$A$1:$I$88,7,0))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projet'!$B$12,Paramètres!$A$1:$I$88,3,0)*0.475*44/12</f>
        <v>0</v>
      </c>
      <c r="CL27" s="23">
        <f>EXP(-LN(2)/25)*CL26+(1-EXP(-LN(2)/25))/(LN(2)/25)*Calculateur!CG27*Calculateur!CI27*VLOOKUP('Données projet'!$B$12,Paramètres!$A$1:$I$88,3,0)*0.475*44/12</f>
        <v>0</v>
      </c>
      <c r="CM27" s="23">
        <f>EXP(-LN(2)/2)*CM26+(1-EXP(-LN(2)/2))/(LN(2)/2)*CG27*CJ27*VLOOKUP('Données projet'!$B$12,Paramètres!$A$1:$I$88,3,0)*0.475*44/12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19</v>
      </c>
      <c r="CT27" s="13">
        <f>IF('Données projet'!$A$140&gt;35,CT26+CS27-DB26,IF(A27&lt;'Données projet'!$A$140,$CQ$205^A27,IF(A27='Données projet'!$A$140,'Données projet'!$B$140,CT26+CS27-DB26)))</f>
        <v>204</v>
      </c>
      <c r="CU27" s="18">
        <f>CT27*VLOOKUP('Données projet'!$B$13,Paramètres!$A$1:$I$88,3,0)*VLOOKUP('Données projet'!$B$13,Paramètres!$A$1:$I$88,5,0)</f>
        <v>114.036</v>
      </c>
      <c r="CV27" s="14">
        <f t="shared" si="41"/>
        <v>30.279894261296121</v>
      </c>
      <c r="CW27" s="22">
        <f t="shared" si="13"/>
        <v>251.35018250509077</v>
      </c>
      <c r="CX27" s="62">
        <f t="shared" si="14"/>
        <v>544.68351583842411</v>
      </c>
      <c r="CY27" s="62">
        <f ca="1">AVERAGE(OFFSET($CX$3,0,0,'Données projet'!$E$13+1,1))-AVERAGE(OFFSET($H$3,0,0,'Données projet'!$E$13+1,1))</f>
        <v>302.20483575440988</v>
      </c>
      <c r="CZ27" s="62">
        <f t="shared" si="42"/>
        <v>275.32862097158687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projet'!$B$13,Paramètres!$A$1:$I$88,7,0))</f>
        <v>0</v>
      </c>
      <c r="DD27" s="17">
        <f>IF(ISNA(VLOOKUP(A27,'Données projet'!$A$139:$I$159,6,0)),0%,VLOOKUP(A27,'Données projet'!$A$139:$I$159,6,0)*VLOOKUP('Données projet'!$B$13,Paramètres!$A$1:$I$88,7,0))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projet'!$B$13,Paramètres!$A$1:$I$88,3,0)*0.475*44/12</f>
        <v>0</v>
      </c>
      <c r="DG27" s="23">
        <f>EXP(-LN(2)/25)*DG26+(1-EXP(-LN(2)/25))/(LN(2)/25)*Calculateur!DB27*Calculateur!DD27*VLOOKUP('Données projet'!$B$13,Paramètres!$A$1:$I$88,3,0)*0.475*44/12</f>
        <v>4.7101684739624678</v>
      </c>
      <c r="DH27" s="23">
        <f>EXP(-LN(2)/2)*DH26+(1-EXP(-LN(2)/2))/(LN(2)/2)*DB27*DE27*VLOOKUP('Données projet'!$B$13,Paramètres!$A$1:$I$88,3,0)*0.475*44/12</f>
        <v>5.63901038469466</v>
      </c>
      <c r="DI27" s="24">
        <f t="shared" si="15"/>
        <v>10.349178858657128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projet'!$B$14,Paramètres!$A$1:$I$88,3,0)*VLOOKUP('Données projet'!$B$14,Paramètres!$A$1:$I$88,5,0)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projet'!$B$14,Paramètres!$A$1:$I$88,7,0))</f>
        <v>0</v>
      </c>
      <c r="DY27" s="17">
        <f>IF(ISNA(VLOOKUP(A27,'Données projet'!$A$165:$I$185,6,0)),0%,VLOOKUP(A27,'Données projet'!$A$165:$I$185,6,0)*VLOOKUP('Données projet'!$B$14,Paramètres!$A$1:$I$88,7,0))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projet'!$B$14,Paramètres!$A$1:$I$88,3,0)*0.475*44/12</f>
        <v>#N/A</v>
      </c>
      <c r="EB27" s="23" t="e">
        <f>EXP(-LN(2)/25)*EB26+(1-EXP(-LN(2)/25))/(LN(2)/25)*Calculateur!DW27*Calculateur!DY27*VLOOKUP('Données projet'!$B$14,Paramètres!$A$1:$I$88,3,0)*0.475*44/12</f>
        <v>#N/A</v>
      </c>
      <c r="EC27" s="23" t="e">
        <f>EXP(-LN(2)/2)*EC26+(1-EXP(-LN(2)/2))/(LN(2)/2)*DW27*DZ27*VLOOKUP('Données projet'!$B$14,Paramètres!$A$1:$I$88,3,0)*0.475*44/12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projet'!$B$15,Paramètres!$A$1:$I$88,3,0)*VLOOKUP('Données projet'!$B$15,Paramètres!$A$1:$I$88,5,0)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projet'!$B$15,Paramètres!$A$1:$I$88,7,0))</f>
        <v>0</v>
      </c>
      <c r="ET27" s="17">
        <f>IF(ISNA(VLOOKUP(A27,'Données projet'!$A$191:$I$211,6,0)),0%,VLOOKUP(A27,'Données projet'!$A$191:$I$211,6,0)*VLOOKUP('Données projet'!$B$15,Paramètres!$A$1:$I$88,7,0))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projet'!$B$15,Paramètres!$A$1:$I$88,3,0)*0.475*44/12</f>
        <v>#N/A</v>
      </c>
      <c r="EW27" s="23" t="e">
        <f>EXP(-LN(2)/25)*EW26+(1-EXP(-LN(2)/25))/(LN(2)/25)*Calculateur!ER27*Calculateur!ET27*VLOOKUP('Données projet'!$B$15,Paramètres!$A$1:$I$88,3,0)*0.475*44/12</f>
        <v>#N/A</v>
      </c>
      <c r="EX27" s="23" t="e">
        <f>EXP(-LN(2)/2)*EX26+(1-EXP(-LN(2)/2))/(LN(2)/2)*ER27*EU27*VLOOKUP('Données projet'!$B$15,Paramètres!$A$1:$I$88,3,0)*0.475*44/12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projet'!$B$16,Paramètres!$A$1:$I$88,3,0)*VLOOKUP('Données projet'!$B$16,Paramètres!$A$1:$I$88,5,0)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projet'!$B$16,Paramètres!$A$1:$I$88,7,0))</f>
        <v>0</v>
      </c>
      <c r="FO27" s="17">
        <f>IF(ISNA(VLOOKUP(A27,'Données projet'!$A$217:$I$237,6,0)),0%,VLOOKUP(A27,'Données projet'!$A$217:$I$237,6,0)*VLOOKUP('Données projet'!$B$16,Paramètres!$A$1:$I$88,7,0))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projet'!$B$16,Paramètres!$A$1:$I$88,3,0)*0.475*44/12</f>
        <v>#N/A</v>
      </c>
      <c r="FR27" s="23" t="e">
        <f>EXP(-LN(2)/25)*FR26+(1-EXP(-LN(2)/25))/(LN(2)/25)*Calculateur!FM27*Calculateur!FO27*VLOOKUP('Données projet'!$B$16,Paramètres!$A$1:$I$88,3,0)*0.475*44/12</f>
        <v>#N/A</v>
      </c>
      <c r="FS27" s="23" t="e">
        <f>EXP(-LN(2)/2)*FS26+(1-EXP(-LN(2)/2))/(LN(2)/2)*FM27*FP27*VLOOKUP('Données projet'!$B$16,Paramètres!$A$1:$I$88,3,0)*0.475*44/12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projet'!$B$17,Paramètres!$A$1:$I$88,3,0)*VLOOKUP('Données projet'!$B$17,Paramètres!$A$1:$I$88,5,0)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projet'!$B$17,Paramètres!$A$1:$I$88,7,0))</f>
        <v>0</v>
      </c>
      <c r="GJ27" s="17">
        <f>IF(ISNA(VLOOKUP(A27,'Données projet'!$A$243:$I$263,6,0)),0%,VLOOKUP(A27,'Données projet'!$A$243:$I$263,6,0)*VLOOKUP('Données projet'!$B$17,Paramètres!$A$1:$I$88,7,0))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projet'!$B$17,Paramètres!$A$1:$I$88,3,0)*0.475*44/12</f>
        <v>#N/A</v>
      </c>
      <c r="GM27" s="23" t="e">
        <f>EXP(-LN(2)/25)*GM26+(1-EXP(-LN(2)/25))/(LN(2)/25)*Calculateur!GH27*Calculateur!GJ27*VLOOKUP('Données projet'!$B$17,Paramètres!$A$1:$I$88,3,0)*0.475*44/12</f>
        <v>#N/A</v>
      </c>
      <c r="GN27" s="23" t="e">
        <f>EXP(-LN(2)/2)*GN26+(1-EXP(-LN(2)/2))/(LN(2)/2)*GH27*GK27*VLOOKUP('Données projet'!$B$17,Paramètres!$A$1:$I$88,3,0)*0.475*44/12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projet'!$B$18,Paramètres!$A$1:$I$88,3,0)*VLOOKUP('Données projet'!$B$18,Paramètres!$A$1:$I$88,5,0)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projet'!$B$18,Paramètres!$A$1:$I$88,7,0))</f>
        <v>0</v>
      </c>
      <c r="HE27" s="17">
        <f>IF(ISNA(VLOOKUP(A27,'Données projet'!$A$269:$I$289,6,0)),0%,VLOOKUP(A27,'Données projet'!$A$269:$I$289,6,0)*VLOOKUP('Données projet'!$B$18,Paramètres!$A$1:$I$88,7,0))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projet'!$B$18,Paramètres!$A$1:$I$88,3,0)*0.475*44/12</f>
        <v>#N/A</v>
      </c>
      <c r="HH27" s="23" t="e">
        <f>EXP(-LN(2)/25)*HH26+(1-EXP(-LN(2)/25))/(LN(2)/25)*Calculateur!HC27*Calculateur!HE27*VLOOKUP('Données projet'!$B$18,Paramètres!$A$1:$I$88,3,0)*0.475*44/12</f>
        <v>#N/A</v>
      </c>
      <c r="HI27" s="23" t="e">
        <f>EXP(-LN(2)/2)*HI26+(1-EXP(-LN(2)/2))/(LN(2)/2)*HC27*HF27*VLOOKUP('Données projet'!$B$18,Paramètres!$A$1:$I$88,3,0)*0.475*44/12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14.166666666666666</v>
      </c>
      <c r="N28" s="14">
        <f>IF('Données projet'!$A$36&gt;35,N27+M28-V27,IF(A28&lt;'Données projet'!$A$36,$K$205^A28,IF(A28='Données projet'!$A$36,'Données projet'!$B$36,N27+M28-V27)))</f>
        <v>153.16666666666666</v>
      </c>
      <c r="O28" s="14">
        <f>N28*VLOOKUP('Données projet'!$B$9,Paramètres!$A$1:$I$88,3,0)*VLOOKUP('Données projet'!$B$9,Paramètres!$A$1:$I$88,5,0)</f>
        <v>95.575999999999993</v>
      </c>
      <c r="P28" s="14">
        <f t="shared" si="33"/>
        <v>25.905281107545633</v>
      </c>
      <c r="Q28" s="22">
        <f t="shared" si="2"/>
        <v>211.57989792897527</v>
      </c>
      <c r="R28" s="62">
        <f t="shared" si="0"/>
        <v>504.91323126230861</v>
      </c>
      <c r="S28" s="62">
        <f ca="1">AVERAGE(OFFSET($R$3,0,0,'Données projet'!$E$9+1,1))-AVERAGE(OFFSET($H$3,0,0,'Données projet'!$E$9+1,1))</f>
        <v>175.05987582828078</v>
      </c>
      <c r="T28" s="62">
        <f t="shared" si="34"/>
        <v>268.54782308462387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projet'!$B$9,Paramètres!$A$1:$I$88,7,0))</f>
        <v>0</v>
      </c>
      <c r="X28" s="17">
        <f>IF(ISNA(VLOOKUP(A28,'Données projet'!$A$35:$I$55,6,0)),0%,VLOOKUP(A28,'Données projet'!$A$35:$I$55,6,0)*VLOOKUP('Données projet'!$B$9,Paramètres!$A$1:$I$88,7,0))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projet'!$B$9,Paramètres!$A$1:$I$88,3,0)*0.475*44/12</f>
        <v>0</v>
      </c>
      <c r="AA28" s="23">
        <f>EXP(-LN(2)/25)*AA27+(1-EXP(-LN(2)/25))/(LN(2)/25)*Calculateur!V28*Calculateur!X28*VLOOKUP('Données projet'!$B$9,Paramètres!$A$1:$I$88,3,0)*0.475*44/12</f>
        <v>2.7908573067866773</v>
      </c>
      <c r="AB28" s="23">
        <f>EXP(-LN(2)/2)*AB27+(1-EXP(-LN(2)/2))/(LN(2)/2)*V28*Y28*VLOOKUP('Données projet'!$B$9,Paramètres!$A$1:$I$88,3,0)*0.475*44/12</f>
        <v>8.7157713911512378</v>
      </c>
      <c r="AC28" s="24">
        <f t="shared" si="3"/>
        <v>11.506628697937915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12.133333333333333</v>
      </c>
      <c r="AI28" s="14">
        <f>IF('Données projet'!$A$62&gt;35,AI27+AH28-AQ27,IF(A28&lt;'Données projet'!$A$62,$AF$205^A28,IF(A28='Données projet'!$A$62,'Données projet'!$B$62,AI27+AH28-AQ27)))</f>
        <v>136.22322353243413</v>
      </c>
      <c r="AJ28" s="14">
        <f>AI28*VLOOKUP('Données projet'!$B$10,Paramètres!$A$1:$I$88,3,0)*VLOOKUP('Données projet'!$B$10,Paramètres!$A$1:$I$88,5,0)</f>
        <v>65.523370519100823</v>
      </c>
      <c r="AK28" s="14">
        <f t="shared" si="35"/>
        <v>18.557512988097965</v>
      </c>
      <c r="AL28" s="22">
        <f t="shared" si="4"/>
        <v>146.44087210837122</v>
      </c>
      <c r="AM28" s="62">
        <f t="shared" si="5"/>
        <v>439.77420544170457</v>
      </c>
      <c r="AN28" s="62">
        <f ca="1">AVERAGE(OFFSET($AM$3,0,0,'Données projet'!$E$10+1,1))-AVERAGE(OFFSET($H$3,0,0,'Données projet'!$E$10+1,1))</f>
        <v>576.61210817354549</v>
      </c>
      <c r="AO28" s="62">
        <f t="shared" si="36"/>
        <v>343.9428747444544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projet'!$B$10,Paramètres!$A$1:$I$88,7,0))</f>
        <v>0</v>
      </c>
      <c r="AS28" s="17">
        <f>IF(ISNA(VLOOKUP(A28,'Données projet'!$A$61:$I$81,6,0)),0%,VLOOKUP(A28,'Données projet'!$A$61:$I$81,6,0)*VLOOKUP('Données projet'!$B$10,Paramètres!$A$1:$I$88,7,0))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projet'!$B$10,Paramètres!$A$1:$I$88,3,0)*0.475*44/12</f>
        <v>0</v>
      </c>
      <c r="AV28" s="23">
        <f>EXP(-LN(2)/25)*AV27+(1-EXP(-LN(2)/25))/(LN(2)/25)*Calculateur!AQ28*Calculateur!AS28*VLOOKUP('Données projet'!$B$10,Paramètres!$A$1:$I$88,3,0)*0.475*44/12</f>
        <v>0</v>
      </c>
      <c r="AW28" s="23">
        <f>EXP(-LN(2)/2)*AW27+(1-EXP(-LN(2)/2))/(LN(2)/2)*AQ28*AT28*VLOOKUP('Données projet'!$B$10,Paramètres!$A$1:$I$88,3,0)*0.475*44/12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207</v>
      </c>
      <c r="BB28" s="13">
        <f>VLOOKUP(A28,'Données projet'!$A$87:$I$107,9,0)</f>
        <v>14.739999999999998</v>
      </c>
      <c r="BC28" s="13">
        <f t="array" ref="BC28">INDEX(BB:BB,MIN(IF(ISNUMBER(BB28:BB224),ROW(BB28:BB224),"")))</f>
        <v>14.739999999999998</v>
      </c>
      <c r="BD28" s="13">
        <f>IF('Données projet'!$A$88&gt;35,BD27+BC28-BL27,IF(A28&lt;'Données projet'!$A$88,$BA$205^A28,IF(A28='Données projet'!$A$88,'Données projet'!$B$88,BD27+BC28-BL27)))</f>
        <v>207.00000000000006</v>
      </c>
      <c r="BE28" s="14">
        <f>BD28*VLOOKUP('Données projet'!$B$11,Paramètres!$A$1:$I$88,3,0)*VLOOKUP('Données projet'!$B$11,Paramètres!$A$1:$I$88,5,0)</f>
        <v>164.68920000000006</v>
      </c>
      <c r="BF28" s="14">
        <f t="shared" si="37"/>
        <v>41.898392881067181</v>
      </c>
      <c r="BG28" s="22">
        <f t="shared" si="7"/>
        <v>359.80672426785873</v>
      </c>
      <c r="BH28" s="62">
        <f t="shared" si="8"/>
        <v>653.14005760119198</v>
      </c>
      <c r="BI28" s="62">
        <f ca="1">AVERAGE(OFFSET($BH$3,0,0,'Données projet'!$E$11+1,1))-AVERAGE(OFFSET($H$3,0,0,'Données projet'!$E$11+1,1))</f>
        <v>298.38448036212861</v>
      </c>
      <c r="BJ28" s="62">
        <f t="shared" si="38"/>
        <v>270.4445531106897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101.5</v>
      </c>
      <c r="BM28" s="17">
        <f>IF(ISNA(VLOOKUP(A28,'Données projet'!$A$87:$I$107,5,0)),0%,VLOOKUP(A28,'Données projet'!$A$87:$I$107,5,0)*VLOOKUP('Données projet'!$B$11,Paramètres!$A$1:$I$88,7,0))</f>
        <v>0</v>
      </c>
      <c r="BN28" s="17">
        <f>IF(ISNA(VLOOKUP(A28,'Données projet'!$A$87:$I$107,6,0)),0%,VLOOKUP(A28,'Données projet'!$A$87:$I$107,6,0)*VLOOKUP('Données projet'!$B$11,Paramètres!$A$1:$I$88,7,0))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projet'!$B$11,Paramètres!$A$1:$I$88,3,0)*0.475*44/12</f>
        <v>0</v>
      </c>
      <c r="BQ28" s="23">
        <f>EXP(-LN(2)/25)*BQ27+(1-EXP(-LN(2)/25))/(LN(2)/25)*Calculateur!BL28*Calculateur!BN28*VLOOKUP('Données projet'!$B$11,Paramètres!$A$1:$I$88,3,0)*0.475*44/12</f>
        <v>0</v>
      </c>
      <c r="BR28" s="23">
        <f>EXP(-LN(2)/2)*BR27+(1-EXP(-LN(2)/2))/(LN(2)/2)*BL28*BO28*VLOOKUP('Données projet'!$B$11,Paramètres!$A$1:$I$88,3,0)*0.475*44/12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113</v>
      </c>
      <c r="BW28" s="13">
        <f>VLOOKUP(A28,'Données projet'!$A$113:$I$133,9,0)</f>
        <v>10.6</v>
      </c>
      <c r="BX28" s="13">
        <f t="array" ref="BX28">INDEX(BW:BW,MIN(IF(ISNUMBER(BW28:BW224),ROW(BW28:BW224),"")))</f>
        <v>10.6</v>
      </c>
      <c r="BY28" s="13">
        <f>IF('Données projet'!$A$114&gt;35,BY27+BX28-CG27,IF(A28&lt;'Données projet'!$A$114,$BV$205^A28,IF(A28='Données projet'!$A$114,'Données projet'!$B$114,BY27+BX28-CG27)))</f>
        <v>112.99999999999996</v>
      </c>
      <c r="BZ28" s="14">
        <f>BY28*VLOOKUP('Données projet'!$B$12,Paramètres!$A$1:$I$88,3,0)*VLOOKUP('Données projet'!$B$12,Paramètres!$A$1:$I$88,5,0)</f>
        <v>88.139999999999972</v>
      </c>
      <c r="CA28" s="14">
        <f t="shared" si="39"/>
        <v>24.116094026318823</v>
      </c>
      <c r="CB28" s="22">
        <f t="shared" si="10"/>
        <v>195.51269709583855</v>
      </c>
      <c r="CC28" s="62">
        <f t="shared" si="11"/>
        <v>488.84603042917183</v>
      </c>
      <c r="CD28" s="62">
        <f ca="1">AVERAGE(OFFSET($CC$3,0,0,'Données projet'!$E$12+1,1))-AVERAGE(OFFSET($H$3,0,0,'Données projet'!$E$12+1,1))</f>
        <v>217.32600829266818</v>
      </c>
      <c r="CE28" s="62">
        <f t="shared" si="40"/>
        <v>208.79744153433245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27</v>
      </c>
      <c r="CH28" s="17">
        <f>IF(ISNA(VLOOKUP(A28,'Données projet'!$A$113:$I$133,5,0)),0%,VLOOKUP(A28,'Données projet'!$A$113:$I$133,5,0)*VLOOKUP('Données projet'!$B$12,Paramètres!$A$1:$I$88,7,0))</f>
        <v>0</v>
      </c>
      <c r="CI28" s="17">
        <f>IF(ISNA(VLOOKUP(A28,'Données projet'!$A$113:$I$133,6,0)),0%,VLOOKUP(A28,'Données projet'!$A$113:$I$133,6,0)*VLOOKUP('Données projet'!$B$12,Paramètres!$A$1:$I$88,7,0))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projet'!$B$12,Paramètres!$A$1:$I$88,3,0)*0.475*44/12</f>
        <v>0</v>
      </c>
      <c r="CL28" s="23">
        <f>EXP(-LN(2)/25)*CL27+(1-EXP(-LN(2)/25))/(LN(2)/25)*Calculateur!CG28*Calculateur!CI28*VLOOKUP('Données projet'!$B$12,Paramètres!$A$1:$I$88,3,0)*0.475*44/12</f>
        <v>0</v>
      </c>
      <c r="CM28" s="23">
        <f>EXP(-LN(2)/2)*CM27+(1-EXP(-LN(2)/2))/(LN(2)/2)*CG28*CJ28*VLOOKUP('Données projet'!$B$12,Paramètres!$A$1:$I$88,3,0)*0.475*44/12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19</v>
      </c>
      <c r="CT28" s="13">
        <f>IF('Données projet'!$A$140&gt;35,CT27+CS28-DB27,IF(A28&lt;'Données projet'!$A$140,$CQ$205^A28,IF(A28='Données projet'!$A$140,'Données projet'!$B$140,CT27+CS28-DB27)))</f>
        <v>223</v>
      </c>
      <c r="CU28" s="18">
        <f>CT28*VLOOKUP('Données projet'!$B$13,Paramètres!$A$1:$I$88,3,0)*VLOOKUP('Données projet'!$B$13,Paramètres!$A$1:$I$88,5,0)</f>
        <v>124.65700000000001</v>
      </c>
      <c r="CV28" s="14">
        <f t="shared" si="41"/>
        <v>32.758749517288294</v>
      </c>
      <c r="CW28" s="22">
        <f t="shared" si="13"/>
        <v>274.16576374261041</v>
      </c>
      <c r="CX28" s="62">
        <f t="shared" si="14"/>
        <v>567.49909707594372</v>
      </c>
      <c r="CY28" s="62">
        <f ca="1">AVERAGE(OFFSET($CX$3,0,0,'Données projet'!$E$13+1,1))-AVERAGE(OFFSET($H$3,0,0,'Données projet'!$E$13+1,1))</f>
        <v>302.20483575440988</v>
      </c>
      <c r="CZ28" s="62">
        <f t="shared" si="42"/>
        <v>275.32862097158687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projet'!$B$13,Paramètres!$A$1:$I$88,7,0))</f>
        <v>0</v>
      </c>
      <c r="DD28" s="17">
        <f>IF(ISNA(VLOOKUP(A28,'Données projet'!$A$139:$I$159,6,0)),0%,VLOOKUP(A28,'Données projet'!$A$139:$I$159,6,0)*VLOOKUP('Données projet'!$B$13,Paramètres!$A$1:$I$88,7,0))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projet'!$B$13,Paramètres!$A$1:$I$88,3,0)*0.475*44/12</f>
        <v>0</v>
      </c>
      <c r="DG28" s="23">
        <f>EXP(-LN(2)/25)*DG27+(1-EXP(-LN(2)/25))/(LN(2)/25)*Calculateur!DB28*Calculateur!DD28*VLOOKUP('Données projet'!$B$13,Paramètres!$A$1:$I$88,3,0)*0.475*44/12</f>
        <v>4.5813686693449691</v>
      </c>
      <c r="DH28" s="23">
        <f>EXP(-LN(2)/2)*DH27+(1-EXP(-LN(2)/2))/(LN(2)/2)*DB28*DE28*VLOOKUP('Données projet'!$B$13,Paramètres!$A$1:$I$88,3,0)*0.475*44/12</f>
        <v>3.9873824821989565</v>
      </c>
      <c r="DI28" s="24">
        <f t="shared" si="15"/>
        <v>8.5687511515439247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projet'!$B$14,Paramètres!$A$1:$I$88,3,0)*VLOOKUP('Données projet'!$B$14,Paramètres!$A$1:$I$88,5,0)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projet'!$B$14,Paramètres!$A$1:$I$88,7,0))</f>
        <v>0</v>
      </c>
      <c r="DY28" s="17">
        <f>IF(ISNA(VLOOKUP(A28,'Données projet'!$A$165:$I$185,6,0)),0%,VLOOKUP(A28,'Données projet'!$A$165:$I$185,6,0)*VLOOKUP('Données projet'!$B$14,Paramètres!$A$1:$I$88,7,0))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projet'!$B$14,Paramètres!$A$1:$I$88,3,0)*0.475*44/12</f>
        <v>#N/A</v>
      </c>
      <c r="EB28" s="23" t="e">
        <f>EXP(-LN(2)/25)*EB27+(1-EXP(-LN(2)/25))/(LN(2)/25)*Calculateur!DW28*Calculateur!DY28*VLOOKUP('Données projet'!$B$14,Paramètres!$A$1:$I$88,3,0)*0.475*44/12</f>
        <v>#N/A</v>
      </c>
      <c r="EC28" s="23" t="e">
        <f>EXP(-LN(2)/2)*EC27+(1-EXP(-LN(2)/2))/(LN(2)/2)*DW28*DZ28*VLOOKUP('Données projet'!$B$14,Paramètres!$A$1:$I$88,3,0)*0.475*44/12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projet'!$B$15,Paramètres!$A$1:$I$88,3,0)*VLOOKUP('Données projet'!$B$15,Paramètres!$A$1:$I$88,5,0)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projet'!$B$15,Paramètres!$A$1:$I$88,7,0))</f>
        <v>0</v>
      </c>
      <c r="ET28" s="17">
        <f>IF(ISNA(VLOOKUP(A28,'Données projet'!$A$191:$I$211,6,0)),0%,VLOOKUP(A28,'Données projet'!$A$191:$I$211,6,0)*VLOOKUP('Données projet'!$B$15,Paramètres!$A$1:$I$88,7,0))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projet'!$B$15,Paramètres!$A$1:$I$88,3,0)*0.475*44/12</f>
        <v>#N/A</v>
      </c>
      <c r="EW28" s="23" t="e">
        <f>EXP(-LN(2)/25)*EW27+(1-EXP(-LN(2)/25))/(LN(2)/25)*Calculateur!ER28*Calculateur!ET28*VLOOKUP('Données projet'!$B$15,Paramètres!$A$1:$I$88,3,0)*0.475*44/12</f>
        <v>#N/A</v>
      </c>
      <c r="EX28" s="23" t="e">
        <f>EXP(-LN(2)/2)*EX27+(1-EXP(-LN(2)/2))/(LN(2)/2)*ER28*EU28*VLOOKUP('Données projet'!$B$15,Paramètres!$A$1:$I$88,3,0)*0.475*44/12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projet'!$B$16,Paramètres!$A$1:$I$88,3,0)*VLOOKUP('Données projet'!$B$16,Paramètres!$A$1:$I$88,5,0)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projet'!$B$16,Paramètres!$A$1:$I$88,7,0))</f>
        <v>0</v>
      </c>
      <c r="FO28" s="17">
        <f>IF(ISNA(VLOOKUP(A28,'Données projet'!$A$217:$I$237,6,0)),0%,VLOOKUP(A28,'Données projet'!$A$217:$I$237,6,0)*VLOOKUP('Données projet'!$B$16,Paramètres!$A$1:$I$88,7,0))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projet'!$B$16,Paramètres!$A$1:$I$88,3,0)*0.475*44/12</f>
        <v>#N/A</v>
      </c>
      <c r="FR28" s="23" t="e">
        <f>EXP(-LN(2)/25)*FR27+(1-EXP(-LN(2)/25))/(LN(2)/25)*Calculateur!FM28*Calculateur!FO28*VLOOKUP('Données projet'!$B$16,Paramètres!$A$1:$I$88,3,0)*0.475*44/12</f>
        <v>#N/A</v>
      </c>
      <c r="FS28" s="23" t="e">
        <f>EXP(-LN(2)/2)*FS27+(1-EXP(-LN(2)/2))/(LN(2)/2)*FM28*FP28*VLOOKUP('Données projet'!$B$16,Paramètres!$A$1:$I$88,3,0)*0.475*44/12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projet'!$B$17,Paramètres!$A$1:$I$88,3,0)*VLOOKUP('Données projet'!$B$17,Paramètres!$A$1:$I$88,5,0)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projet'!$B$17,Paramètres!$A$1:$I$88,7,0))</f>
        <v>0</v>
      </c>
      <c r="GJ28" s="17">
        <f>IF(ISNA(VLOOKUP(A28,'Données projet'!$A$243:$I$263,6,0)),0%,VLOOKUP(A28,'Données projet'!$A$243:$I$263,6,0)*VLOOKUP('Données projet'!$B$17,Paramètres!$A$1:$I$88,7,0))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projet'!$B$17,Paramètres!$A$1:$I$88,3,0)*0.475*44/12</f>
        <v>#N/A</v>
      </c>
      <c r="GM28" s="23" t="e">
        <f>EXP(-LN(2)/25)*GM27+(1-EXP(-LN(2)/25))/(LN(2)/25)*Calculateur!GH28*Calculateur!GJ28*VLOOKUP('Données projet'!$B$17,Paramètres!$A$1:$I$88,3,0)*0.475*44/12</f>
        <v>#N/A</v>
      </c>
      <c r="GN28" s="23" t="e">
        <f>EXP(-LN(2)/2)*GN27+(1-EXP(-LN(2)/2))/(LN(2)/2)*GH28*GK28*VLOOKUP('Données projet'!$B$17,Paramètres!$A$1:$I$88,3,0)*0.475*44/12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projet'!$B$18,Paramètres!$A$1:$I$88,3,0)*VLOOKUP('Données projet'!$B$18,Paramètres!$A$1:$I$88,5,0)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projet'!$B$18,Paramètres!$A$1:$I$88,7,0))</f>
        <v>0</v>
      </c>
      <c r="HE28" s="17">
        <f>IF(ISNA(VLOOKUP(A28,'Données projet'!$A$269:$I$289,6,0)),0%,VLOOKUP(A28,'Données projet'!$A$269:$I$289,6,0)*VLOOKUP('Données projet'!$B$18,Paramètres!$A$1:$I$88,7,0))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projet'!$B$18,Paramètres!$A$1:$I$88,3,0)*0.475*44/12</f>
        <v>#N/A</v>
      </c>
      <c r="HH28" s="23" t="e">
        <f>EXP(-LN(2)/25)*HH27+(1-EXP(-LN(2)/25))/(LN(2)/25)*Calculateur!HC28*Calculateur!HE28*VLOOKUP('Données projet'!$B$18,Paramètres!$A$1:$I$88,3,0)*0.475*44/12</f>
        <v>#N/A</v>
      </c>
      <c r="HI28" s="23" t="e">
        <f>EXP(-LN(2)/2)*HI27+(1-EXP(-LN(2)/2))/(LN(2)/2)*HC28*HF28*VLOOKUP('Données projet'!$B$18,Paramètres!$A$1:$I$88,3,0)*0.475*44/12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14.166666666666666</v>
      </c>
      <c r="N29" s="14">
        <f>IF('Données projet'!$A$36&gt;35,N28+M29-V28,IF(A29&lt;'Données projet'!$A$36,$K$205^A29,IF(A29='Données projet'!$A$36,'Données projet'!$B$36,N28+M29-V28)))</f>
        <v>167.33333333333331</v>
      </c>
      <c r="O29" s="14">
        <f>N29*VLOOKUP('Données projet'!$B$9,Paramètres!$A$1:$I$88,3,0)*VLOOKUP('Données projet'!$B$9,Paramètres!$A$1:$I$88,5,0)</f>
        <v>104.416</v>
      </c>
      <c r="P29" s="14">
        <f t="shared" si="33"/>
        <v>28.01138818767625</v>
      </c>
      <c r="Q29" s="22">
        <f t="shared" si="2"/>
        <v>230.64436776020281</v>
      </c>
      <c r="R29" s="62">
        <f t="shared" si="0"/>
        <v>523.9777010935361</v>
      </c>
      <c r="S29" s="62">
        <f ca="1">AVERAGE(OFFSET($R$3,0,0,'Données projet'!$E$9+1,1))-AVERAGE(OFFSET($H$3,0,0,'Données projet'!$E$9+1,1))</f>
        <v>175.05987582828078</v>
      </c>
      <c r="T29" s="62">
        <f t="shared" si="34"/>
        <v>268.54782308462387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projet'!$B$9,Paramètres!$A$1:$I$88,7,0))</f>
        <v>0</v>
      </c>
      <c r="X29" s="17">
        <f>IF(ISNA(VLOOKUP(A29,'Données projet'!$A$35:$I$55,6,0)),0%,VLOOKUP(A29,'Données projet'!$A$35:$I$55,6,0)*VLOOKUP('Données projet'!$B$9,Paramètres!$A$1:$I$88,7,0))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projet'!$B$9,Paramètres!$A$1:$I$88,3,0)*0.475*44/12</f>
        <v>0</v>
      </c>
      <c r="AA29" s="23">
        <f>EXP(-LN(2)/25)*AA28+(1-EXP(-LN(2)/25))/(LN(2)/25)*Calculateur!V29*Calculateur!X29*VLOOKUP('Données projet'!$B$9,Paramètres!$A$1:$I$88,3,0)*0.475*44/12</f>
        <v>2.7145411669677886</v>
      </c>
      <c r="AB29" s="23">
        <f>EXP(-LN(2)/2)*AB28+(1-EXP(-LN(2)/2))/(LN(2)/2)*V29*Y29*VLOOKUP('Données projet'!$B$9,Paramètres!$A$1:$I$88,3,0)*0.475*44/12</f>
        <v>6.1629810539547494</v>
      </c>
      <c r="AC29" s="24">
        <f t="shared" si="3"/>
        <v>8.877522220922538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12.133333333333333</v>
      </c>
      <c r="AI29" s="14">
        <f>IF('Données projet'!$A$62&gt;35,AI28+AH29-AQ28,IF(A29&lt;'Données projet'!$A$62,$AF$205^A29,IF(A29='Données projet'!$A$62,'Données projet'!$B$62,AI28+AH29-AQ28)))</f>
        <v>165.81400117156318</v>
      </c>
      <c r="AJ29" s="14">
        <f>AI29*VLOOKUP('Données projet'!$B$10,Paramètres!$A$1:$I$88,3,0)*VLOOKUP('Données projet'!$B$10,Paramètres!$A$1:$I$88,5,0)</f>
        <v>79.756534563521896</v>
      </c>
      <c r="AK29" s="14">
        <f t="shared" si="35"/>
        <v>22.077645008012937</v>
      </c>
      <c r="AL29" s="22">
        <f t="shared" si="4"/>
        <v>177.36119608708984</v>
      </c>
      <c r="AM29" s="62">
        <f t="shared" si="5"/>
        <v>470.69452942042312</v>
      </c>
      <c r="AN29" s="62">
        <f ca="1">AVERAGE(OFFSET($AM$3,0,0,'Données projet'!$E$10+1,1))-AVERAGE(OFFSET($H$3,0,0,'Données projet'!$E$10+1,1))</f>
        <v>576.61210817354549</v>
      </c>
      <c r="AO29" s="62">
        <f t="shared" si="36"/>
        <v>343.9428747444544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projet'!$B$10,Paramètres!$A$1:$I$88,7,0))</f>
        <v>0</v>
      </c>
      <c r="AS29" s="17">
        <f>IF(ISNA(VLOOKUP(A29,'Données projet'!$A$61:$I$81,6,0)),0%,VLOOKUP(A29,'Données projet'!$A$61:$I$81,6,0)*VLOOKUP('Données projet'!$B$10,Paramètres!$A$1:$I$88,7,0))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projet'!$B$10,Paramètres!$A$1:$I$88,3,0)*0.475*44/12</f>
        <v>0</v>
      </c>
      <c r="AV29" s="23">
        <f>EXP(-LN(2)/25)*AV28+(1-EXP(-LN(2)/25))/(LN(2)/25)*Calculateur!AQ29*Calculateur!AS29*VLOOKUP('Données projet'!$B$10,Paramètres!$A$1:$I$88,3,0)*0.475*44/12</f>
        <v>0</v>
      </c>
      <c r="AW29" s="23">
        <f>EXP(-LN(2)/2)*AW28+(1-EXP(-LN(2)/2))/(LN(2)/2)*AQ29*AT29*VLOOKUP('Données projet'!$B$10,Paramètres!$A$1:$I$88,3,0)*0.475*44/12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14.260000000000002</v>
      </c>
      <c r="BD29" s="13">
        <f>IF('Données projet'!$A$88&gt;35,BD28+BC29-BL28,IF(A29&lt;'Données projet'!$A$88,$BA$205^A29,IF(A29='Données projet'!$A$88,'Données projet'!$B$88,BD28+BC29-BL28)))</f>
        <v>119.76000000000005</v>
      </c>
      <c r="BE29" s="14">
        <f>BD29*VLOOKUP('Données projet'!$B$11,Paramètres!$A$1:$I$88,3,0)*VLOOKUP('Données projet'!$B$11,Paramètres!$A$1:$I$88,5,0)</f>
        <v>95.281056000000049</v>
      </c>
      <c r="BF29" s="14">
        <f t="shared" si="37"/>
        <v>25.834631002002226</v>
      </c>
      <c r="BG29" s="22">
        <f t="shared" si="7"/>
        <v>210.9431548618206</v>
      </c>
      <c r="BH29" s="62">
        <f t="shared" si="8"/>
        <v>504.27648819515389</v>
      </c>
      <c r="BI29" s="62">
        <f ca="1">AVERAGE(OFFSET($BH$3,0,0,'Données projet'!$E$11+1,1))-AVERAGE(OFFSET($H$3,0,0,'Données projet'!$E$11+1,1))</f>
        <v>298.38448036212861</v>
      </c>
      <c r="BJ29" s="62">
        <f t="shared" si="38"/>
        <v>270.4445531106897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projet'!$B$11,Paramètres!$A$1:$I$88,7,0))</f>
        <v>0</v>
      </c>
      <c r="BN29" s="17">
        <f>IF(ISNA(VLOOKUP(A29,'Données projet'!$A$87:$I$107,6,0)),0%,VLOOKUP(A29,'Données projet'!$A$87:$I$107,6,0)*VLOOKUP('Données projet'!$B$11,Paramètres!$A$1:$I$88,7,0))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projet'!$B$11,Paramètres!$A$1:$I$88,3,0)*0.475*44/12</f>
        <v>0</v>
      </c>
      <c r="BQ29" s="23">
        <f>EXP(-LN(2)/25)*BQ28+(1-EXP(-LN(2)/25))/(LN(2)/25)*Calculateur!BL29*Calculateur!BN29*VLOOKUP('Données projet'!$B$11,Paramètres!$A$1:$I$88,3,0)*0.475*44/12</f>
        <v>0</v>
      </c>
      <c r="BR29" s="23">
        <f>EXP(-LN(2)/2)*BR28+(1-EXP(-LN(2)/2))/(LN(2)/2)*BL29*BO29*VLOOKUP('Données projet'!$B$11,Paramètres!$A$1:$I$88,3,0)*0.475*44/12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11.5</v>
      </c>
      <c r="BY29" s="13">
        <f>IF('Données projet'!$A$114&gt;35,BY28+BX29-CG28,IF(A29&lt;'Données projet'!$A$114,$BV$205^A29,IF(A29='Données projet'!$A$114,'Données projet'!$B$114,BY28+BX29-CG28)))</f>
        <v>97.499999999999957</v>
      </c>
      <c r="BZ29" s="14">
        <f>BY29*VLOOKUP('Données projet'!$B$12,Paramètres!$A$1:$I$88,3,0)*VLOOKUP('Données projet'!$B$12,Paramètres!$A$1:$I$88,5,0)</f>
        <v>76.049999999999969</v>
      </c>
      <c r="CA29" s="14">
        <f t="shared" si="39"/>
        <v>21.168560890749262</v>
      </c>
      <c r="CB29" s="22">
        <f t="shared" si="10"/>
        <v>169.32232688472158</v>
      </c>
      <c r="CC29" s="62">
        <f t="shared" si="11"/>
        <v>462.65566021805489</v>
      </c>
      <c r="CD29" s="62">
        <f ca="1">AVERAGE(OFFSET($CC$3,0,0,'Données projet'!$E$12+1,1))-AVERAGE(OFFSET($H$3,0,0,'Données projet'!$E$12+1,1))</f>
        <v>217.32600829266818</v>
      </c>
      <c r="CE29" s="62">
        <f t="shared" si="40"/>
        <v>208.79744153433245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projet'!$B$12,Paramètres!$A$1:$I$88,7,0))</f>
        <v>0</v>
      </c>
      <c r="CI29" s="17">
        <f>IF(ISNA(VLOOKUP(A29,'Données projet'!$A$113:$I$133,6,0)),0%,VLOOKUP(A29,'Données projet'!$A$113:$I$133,6,0)*VLOOKUP('Données projet'!$B$12,Paramètres!$A$1:$I$88,7,0))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projet'!$B$12,Paramètres!$A$1:$I$88,3,0)*0.475*44/12</f>
        <v>0</v>
      </c>
      <c r="CL29" s="23">
        <f>EXP(-LN(2)/25)*CL28+(1-EXP(-LN(2)/25))/(LN(2)/25)*Calculateur!CG29*Calculateur!CI29*VLOOKUP('Données projet'!$B$12,Paramètres!$A$1:$I$88,3,0)*0.475*44/12</f>
        <v>0</v>
      </c>
      <c r="CM29" s="23">
        <f>EXP(-LN(2)/2)*CM28+(1-EXP(-LN(2)/2))/(LN(2)/2)*CG29*CJ29*VLOOKUP('Données projet'!$B$12,Paramètres!$A$1:$I$88,3,0)*0.475*44/12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19</v>
      </c>
      <c r="CT29" s="13">
        <f>IF('Données projet'!$A$140&gt;35,CT28+CS29-DB28,IF(A29&lt;'Données projet'!$A$140,$CQ$205^A29,IF(A29='Données projet'!$A$140,'Données projet'!$B$140,CT28+CS29-DB28)))</f>
        <v>242</v>
      </c>
      <c r="CU29" s="18">
        <f>CT29*VLOOKUP('Données projet'!$B$13,Paramètres!$A$1:$I$88,3,0)*VLOOKUP('Données projet'!$B$13,Paramètres!$A$1:$I$88,5,0)</f>
        <v>135.27800000000002</v>
      </c>
      <c r="CV29" s="14">
        <f t="shared" si="41"/>
        <v>35.213110998543605</v>
      </c>
      <c r="CW29" s="22">
        <f t="shared" si="13"/>
        <v>296.93868498913014</v>
      </c>
      <c r="CX29" s="62">
        <f t="shared" si="14"/>
        <v>590.27201832246351</v>
      </c>
      <c r="CY29" s="62">
        <f ca="1">AVERAGE(OFFSET($CX$3,0,0,'Données projet'!$E$13+1,1))-AVERAGE(OFFSET($H$3,0,0,'Données projet'!$E$13+1,1))</f>
        <v>302.20483575440988</v>
      </c>
      <c r="CZ29" s="62">
        <f t="shared" si="42"/>
        <v>275.32862097158687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projet'!$B$13,Paramètres!$A$1:$I$88,7,0))</f>
        <v>0</v>
      </c>
      <c r="DD29" s="17">
        <f>IF(ISNA(VLOOKUP(A29,'Données projet'!$A$139:$I$159,6,0)),0%,VLOOKUP(A29,'Données projet'!$A$139:$I$159,6,0)*VLOOKUP('Données projet'!$B$13,Paramètres!$A$1:$I$88,7,0))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projet'!$B$13,Paramètres!$A$1:$I$88,3,0)*0.475*44/12</f>
        <v>0</v>
      </c>
      <c r="DG29" s="23">
        <f>EXP(-LN(2)/25)*DG28+(1-EXP(-LN(2)/25))/(LN(2)/25)*Calculateur!DB29*Calculateur!DD29*VLOOKUP('Données projet'!$B$13,Paramètres!$A$1:$I$88,3,0)*0.475*44/12</f>
        <v>4.4560909021580235</v>
      </c>
      <c r="DH29" s="23">
        <f>EXP(-LN(2)/2)*DH28+(1-EXP(-LN(2)/2))/(LN(2)/2)*DB29*DE29*VLOOKUP('Données projet'!$B$13,Paramètres!$A$1:$I$88,3,0)*0.475*44/12</f>
        <v>2.8195051923473304</v>
      </c>
      <c r="DI29" s="24">
        <f t="shared" si="15"/>
        <v>7.2755960945053539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projet'!$B$14,Paramètres!$A$1:$I$88,3,0)*VLOOKUP('Données projet'!$B$14,Paramètres!$A$1:$I$88,5,0)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projet'!$B$14,Paramètres!$A$1:$I$88,7,0))</f>
        <v>0</v>
      </c>
      <c r="DY29" s="17">
        <f>IF(ISNA(VLOOKUP(A29,'Données projet'!$A$165:$I$185,6,0)),0%,VLOOKUP(A29,'Données projet'!$A$165:$I$185,6,0)*VLOOKUP('Données projet'!$B$14,Paramètres!$A$1:$I$88,7,0))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projet'!$B$14,Paramètres!$A$1:$I$88,3,0)*0.475*44/12</f>
        <v>#N/A</v>
      </c>
      <c r="EB29" s="23" t="e">
        <f>EXP(-LN(2)/25)*EB28+(1-EXP(-LN(2)/25))/(LN(2)/25)*Calculateur!DW29*Calculateur!DY29*VLOOKUP('Données projet'!$B$14,Paramètres!$A$1:$I$88,3,0)*0.475*44/12</f>
        <v>#N/A</v>
      </c>
      <c r="EC29" s="23" t="e">
        <f>EXP(-LN(2)/2)*EC28+(1-EXP(-LN(2)/2))/(LN(2)/2)*DW29*DZ29*VLOOKUP('Données projet'!$B$14,Paramètres!$A$1:$I$88,3,0)*0.475*44/12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projet'!$B$15,Paramètres!$A$1:$I$88,3,0)*VLOOKUP('Données projet'!$B$15,Paramètres!$A$1:$I$88,5,0)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projet'!$B$15,Paramètres!$A$1:$I$88,7,0))</f>
        <v>0</v>
      </c>
      <c r="ET29" s="17">
        <f>IF(ISNA(VLOOKUP(A29,'Données projet'!$A$191:$I$211,6,0)),0%,VLOOKUP(A29,'Données projet'!$A$191:$I$211,6,0)*VLOOKUP('Données projet'!$B$15,Paramètres!$A$1:$I$88,7,0))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projet'!$B$15,Paramètres!$A$1:$I$88,3,0)*0.475*44/12</f>
        <v>#N/A</v>
      </c>
      <c r="EW29" s="23" t="e">
        <f>EXP(-LN(2)/25)*EW28+(1-EXP(-LN(2)/25))/(LN(2)/25)*Calculateur!ER29*Calculateur!ET29*VLOOKUP('Données projet'!$B$15,Paramètres!$A$1:$I$88,3,0)*0.475*44/12</f>
        <v>#N/A</v>
      </c>
      <c r="EX29" s="23" t="e">
        <f>EXP(-LN(2)/2)*EX28+(1-EXP(-LN(2)/2))/(LN(2)/2)*ER29*EU29*VLOOKUP('Données projet'!$B$15,Paramètres!$A$1:$I$88,3,0)*0.475*44/12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projet'!$B$16,Paramètres!$A$1:$I$88,3,0)*VLOOKUP('Données projet'!$B$16,Paramètres!$A$1:$I$88,5,0)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projet'!$B$16,Paramètres!$A$1:$I$88,7,0))</f>
        <v>0</v>
      </c>
      <c r="FO29" s="17">
        <f>IF(ISNA(VLOOKUP(A29,'Données projet'!$A$217:$I$237,6,0)),0%,VLOOKUP(A29,'Données projet'!$A$217:$I$237,6,0)*VLOOKUP('Données projet'!$B$16,Paramètres!$A$1:$I$88,7,0))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projet'!$B$16,Paramètres!$A$1:$I$88,3,0)*0.475*44/12</f>
        <v>#N/A</v>
      </c>
      <c r="FR29" s="23" t="e">
        <f>EXP(-LN(2)/25)*FR28+(1-EXP(-LN(2)/25))/(LN(2)/25)*Calculateur!FM29*Calculateur!FO29*VLOOKUP('Données projet'!$B$16,Paramètres!$A$1:$I$88,3,0)*0.475*44/12</f>
        <v>#N/A</v>
      </c>
      <c r="FS29" s="23" t="e">
        <f>EXP(-LN(2)/2)*FS28+(1-EXP(-LN(2)/2))/(LN(2)/2)*FM29*FP29*VLOOKUP('Données projet'!$B$16,Paramètres!$A$1:$I$88,3,0)*0.475*44/12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projet'!$B$17,Paramètres!$A$1:$I$88,3,0)*VLOOKUP('Données projet'!$B$17,Paramètres!$A$1:$I$88,5,0)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projet'!$B$17,Paramètres!$A$1:$I$88,7,0))</f>
        <v>0</v>
      </c>
      <c r="GJ29" s="17">
        <f>IF(ISNA(VLOOKUP(A29,'Données projet'!$A$243:$I$263,6,0)),0%,VLOOKUP(A29,'Données projet'!$A$243:$I$263,6,0)*VLOOKUP('Données projet'!$B$17,Paramètres!$A$1:$I$88,7,0))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projet'!$B$17,Paramètres!$A$1:$I$88,3,0)*0.475*44/12</f>
        <v>#N/A</v>
      </c>
      <c r="GM29" s="23" t="e">
        <f>EXP(-LN(2)/25)*GM28+(1-EXP(-LN(2)/25))/(LN(2)/25)*Calculateur!GH29*Calculateur!GJ29*VLOOKUP('Données projet'!$B$17,Paramètres!$A$1:$I$88,3,0)*0.475*44/12</f>
        <v>#N/A</v>
      </c>
      <c r="GN29" s="23" t="e">
        <f>EXP(-LN(2)/2)*GN28+(1-EXP(-LN(2)/2))/(LN(2)/2)*GH29*GK29*VLOOKUP('Données projet'!$B$17,Paramètres!$A$1:$I$88,3,0)*0.475*44/12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projet'!$B$18,Paramètres!$A$1:$I$88,3,0)*VLOOKUP('Données projet'!$B$18,Paramètres!$A$1:$I$88,5,0)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projet'!$B$18,Paramètres!$A$1:$I$88,7,0))</f>
        <v>0</v>
      </c>
      <c r="HE29" s="17">
        <f>IF(ISNA(VLOOKUP(A29,'Données projet'!$A$269:$I$289,6,0)),0%,VLOOKUP(A29,'Données projet'!$A$269:$I$289,6,0)*VLOOKUP('Données projet'!$B$18,Paramètres!$A$1:$I$88,7,0))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projet'!$B$18,Paramètres!$A$1:$I$88,3,0)*0.475*44/12</f>
        <v>#N/A</v>
      </c>
      <c r="HH29" s="23" t="e">
        <f>EXP(-LN(2)/25)*HH28+(1-EXP(-LN(2)/25))/(LN(2)/25)*Calculateur!HC29*Calculateur!HE29*VLOOKUP('Données projet'!$B$18,Paramètres!$A$1:$I$88,3,0)*0.475*44/12</f>
        <v>#N/A</v>
      </c>
      <c r="HI29" s="23" t="e">
        <f>EXP(-LN(2)/2)*HI28+(1-EXP(-LN(2)/2))/(LN(2)/2)*HC29*HF29*VLOOKUP('Données projet'!$B$18,Paramètres!$A$1:$I$88,3,0)*0.475*44/12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14.166666666666666</v>
      </c>
      <c r="N30" s="14">
        <f>IF('Données projet'!$A$36&gt;35,N29+M30-V29,IF(A30&lt;'Données projet'!$A$36,$K$205^A30,IF(A30='Données projet'!$A$36,'Données projet'!$B$36,N29+M30-V29)))</f>
        <v>181.49999999999997</v>
      </c>
      <c r="O30" s="14">
        <f>N30*VLOOKUP('Données projet'!$B$9,Paramètres!$A$1:$I$88,3,0)*VLOOKUP('Données projet'!$B$9,Paramètres!$A$1:$I$88,5,0)</f>
        <v>113.25599999999997</v>
      </c>
      <c r="P30" s="14">
        <f t="shared" si="33"/>
        <v>30.096816336106439</v>
      </c>
      <c r="Q30" s="22">
        <f t="shared" si="2"/>
        <v>249.67282178538531</v>
      </c>
      <c r="R30" s="62">
        <f t="shared" si="0"/>
        <v>543.00615511871865</v>
      </c>
      <c r="S30" s="62">
        <f ca="1">AVERAGE(OFFSET($R$3,0,0,'Données projet'!$E$9+1,1))-AVERAGE(OFFSET($H$3,0,0,'Données projet'!$E$9+1,1))</f>
        <v>175.05987582828078</v>
      </c>
      <c r="T30" s="62">
        <f t="shared" si="34"/>
        <v>268.54782308462387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projet'!$B$9,Paramètres!$A$1:$I$88,7,0))</f>
        <v>0</v>
      </c>
      <c r="X30" s="17">
        <f>IF(ISNA(VLOOKUP(A30,'Données projet'!$A$35:$I$55,6,0)),0%,VLOOKUP(A30,'Données projet'!$A$35:$I$55,6,0)*VLOOKUP('Données projet'!$B$9,Paramètres!$A$1:$I$88,7,0))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projet'!$B$9,Paramètres!$A$1:$I$88,3,0)*0.475*44/12</f>
        <v>0</v>
      </c>
      <c r="AA30" s="23">
        <f>EXP(-LN(2)/25)*AA29+(1-EXP(-LN(2)/25))/(LN(2)/25)*Calculateur!V30*Calculateur!X30*VLOOKUP('Données projet'!$B$9,Paramètres!$A$1:$I$88,3,0)*0.475*44/12</f>
        <v>2.6403118960055387</v>
      </c>
      <c r="AB30" s="23">
        <f>EXP(-LN(2)/2)*AB29+(1-EXP(-LN(2)/2))/(LN(2)/2)*V30*Y30*VLOOKUP('Données projet'!$B$9,Paramètres!$A$1:$I$88,3,0)*0.475*44/12</f>
        <v>4.3578856955756189</v>
      </c>
      <c r="AC30" s="24">
        <f t="shared" si="3"/>
        <v>6.9981975915811576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12.133333333333333</v>
      </c>
      <c r="AI30" s="14">
        <f>IF('Données projet'!$A$62&gt;35,AI29+AH30-AQ29,IF(A30&lt;'Données projet'!$A$62,$AF$205^A30,IF(A30='Données projet'!$A$62,'Données projet'!$B$62,AI29+AH30-AQ29)))</f>
        <v>201.83256768972944</v>
      </c>
      <c r="AJ30" s="14">
        <f>AI30*VLOOKUP('Données projet'!$B$10,Paramètres!$A$1:$I$88,3,0)*VLOOKUP('Données projet'!$B$10,Paramètres!$A$1:$I$88,5,0)</f>
        <v>97.081465058759875</v>
      </c>
      <c r="AK30" s="14">
        <f t="shared" si="35"/>
        <v>26.26550278652379</v>
      </c>
      <c r="AL30" s="22">
        <f t="shared" si="4"/>
        <v>214.82930233053571</v>
      </c>
      <c r="AM30" s="62">
        <f t="shared" si="5"/>
        <v>508.16263566386903</v>
      </c>
      <c r="AN30" s="62">
        <f ca="1">AVERAGE(OFFSET($AM$3,0,0,'Données projet'!$E$10+1,1))-AVERAGE(OFFSET($H$3,0,0,'Données projet'!$E$10+1,1))</f>
        <v>576.61210817354549</v>
      </c>
      <c r="AO30" s="62">
        <f t="shared" si="36"/>
        <v>343.9428747444544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projet'!$B$10,Paramètres!$A$1:$I$88,7,0))</f>
        <v>0</v>
      </c>
      <c r="AS30" s="17">
        <f>IF(ISNA(VLOOKUP(A30,'Données projet'!$A$61:$I$81,6,0)),0%,VLOOKUP(A30,'Données projet'!$A$61:$I$81,6,0)*VLOOKUP('Données projet'!$B$10,Paramètres!$A$1:$I$88,7,0))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projet'!$B$10,Paramètres!$A$1:$I$88,3,0)*0.475*44/12</f>
        <v>0</v>
      </c>
      <c r="AV30" s="23">
        <f>EXP(-LN(2)/25)*AV29+(1-EXP(-LN(2)/25))/(LN(2)/25)*Calculateur!AQ30*Calculateur!AS30*VLOOKUP('Données projet'!$B$10,Paramètres!$A$1:$I$88,3,0)*0.475*44/12</f>
        <v>0</v>
      </c>
      <c r="AW30" s="23">
        <f>EXP(-LN(2)/2)*AW29+(1-EXP(-LN(2)/2))/(LN(2)/2)*AQ30*AT30*VLOOKUP('Données projet'!$B$10,Paramètres!$A$1:$I$88,3,0)*0.475*44/12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14.260000000000002</v>
      </c>
      <c r="BD30" s="13">
        <f>IF('Données projet'!$A$88&gt;35,BD29+BC30-BL29,IF(A30&lt;'Données projet'!$A$88,$BA$205^A30,IF(A30='Données projet'!$A$88,'Données projet'!$B$88,BD29+BC30-BL29)))</f>
        <v>134.02000000000004</v>
      </c>
      <c r="BE30" s="14">
        <f>BD30*VLOOKUP('Données projet'!$B$11,Paramètres!$A$1:$I$88,3,0)*VLOOKUP('Données projet'!$B$11,Paramètres!$A$1:$I$88,5,0)</f>
        <v>106.62631200000003</v>
      </c>
      <c r="BF30" s="14">
        <f t="shared" si="37"/>
        <v>28.534682076410931</v>
      </c>
      <c r="BG30" s="22">
        <f t="shared" si="7"/>
        <v>235.40539801641577</v>
      </c>
      <c r="BH30" s="62">
        <f t="shared" si="8"/>
        <v>528.73873134974906</v>
      </c>
      <c r="BI30" s="62">
        <f ca="1">AVERAGE(OFFSET($BH$3,0,0,'Données projet'!$E$11+1,1))-AVERAGE(OFFSET($H$3,0,0,'Données projet'!$E$11+1,1))</f>
        <v>298.38448036212861</v>
      </c>
      <c r="BJ30" s="62">
        <f t="shared" si="38"/>
        <v>270.4445531106897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projet'!$B$11,Paramètres!$A$1:$I$88,7,0))</f>
        <v>0</v>
      </c>
      <c r="BN30" s="17">
        <f>IF(ISNA(VLOOKUP(A30,'Données projet'!$A$87:$I$107,6,0)),0%,VLOOKUP(A30,'Données projet'!$A$87:$I$107,6,0)*VLOOKUP('Données projet'!$B$11,Paramètres!$A$1:$I$88,7,0))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projet'!$B$11,Paramètres!$A$1:$I$88,3,0)*0.475*44/12</f>
        <v>0</v>
      </c>
      <c r="BQ30" s="23">
        <f>EXP(-LN(2)/25)*BQ29+(1-EXP(-LN(2)/25))/(LN(2)/25)*Calculateur!BL30*Calculateur!BN30*VLOOKUP('Données projet'!$B$11,Paramètres!$A$1:$I$88,3,0)*0.475*44/12</f>
        <v>0</v>
      </c>
      <c r="BR30" s="23">
        <f>EXP(-LN(2)/2)*BR29+(1-EXP(-LN(2)/2))/(LN(2)/2)*BL30*BO30*VLOOKUP('Données projet'!$B$11,Paramètres!$A$1:$I$88,3,0)*0.475*44/12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11.5</v>
      </c>
      <c r="BY30" s="13">
        <f>IF('Données projet'!$A$114&gt;35,BY29+BX30-CG29,IF(A30&lt;'Données projet'!$A$114,$BV$205^A30,IF(A30='Données projet'!$A$114,'Données projet'!$B$114,BY29+BX30-CG29)))</f>
        <v>108.99999999999996</v>
      </c>
      <c r="BZ30" s="14">
        <f>BY30*VLOOKUP('Données projet'!$B$12,Paramètres!$A$1:$I$88,3,0)*VLOOKUP('Données projet'!$B$12,Paramètres!$A$1:$I$88,5,0)</f>
        <v>85.019999999999968</v>
      </c>
      <c r="CA30" s="14">
        <f t="shared" si="39"/>
        <v>23.360218970693097</v>
      </c>
      <c r="CB30" s="22">
        <f t="shared" si="10"/>
        <v>188.76221470729038</v>
      </c>
      <c r="CC30" s="62">
        <f t="shared" si="11"/>
        <v>482.09554804062373</v>
      </c>
      <c r="CD30" s="62">
        <f ca="1">AVERAGE(OFFSET($CC$3,0,0,'Données projet'!$E$12+1,1))-AVERAGE(OFFSET($H$3,0,0,'Données projet'!$E$12+1,1))</f>
        <v>217.32600829266818</v>
      </c>
      <c r="CE30" s="62">
        <f t="shared" si="40"/>
        <v>208.79744153433245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projet'!$B$12,Paramètres!$A$1:$I$88,7,0))</f>
        <v>0</v>
      </c>
      <c r="CI30" s="17">
        <f>IF(ISNA(VLOOKUP(A30,'Données projet'!$A$113:$I$133,6,0)),0%,VLOOKUP(A30,'Données projet'!$A$113:$I$133,6,0)*VLOOKUP('Données projet'!$B$12,Paramètres!$A$1:$I$88,7,0))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projet'!$B$12,Paramètres!$A$1:$I$88,3,0)*0.475*44/12</f>
        <v>0</v>
      </c>
      <c r="CL30" s="23">
        <f>EXP(-LN(2)/25)*CL29+(1-EXP(-LN(2)/25))/(LN(2)/25)*Calculateur!CG30*Calculateur!CI30*VLOOKUP('Données projet'!$B$12,Paramètres!$A$1:$I$88,3,0)*0.475*44/12</f>
        <v>0</v>
      </c>
      <c r="CM30" s="23">
        <f>EXP(-LN(2)/2)*CM29+(1-EXP(-LN(2)/2))/(LN(2)/2)*CG30*CJ30*VLOOKUP('Données projet'!$B$12,Paramètres!$A$1:$I$88,3,0)*0.475*44/12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19</v>
      </c>
      <c r="CT30" s="13">
        <f>IF('Données projet'!$A$140&gt;35,CT29+CS30-DB29,IF(A30&lt;'Données projet'!$A$140,$CQ$205^A30,IF(A30='Données projet'!$A$140,'Données projet'!$B$140,CT29+CS30-DB29)))</f>
        <v>261</v>
      </c>
      <c r="CU30" s="18">
        <f>CT30*VLOOKUP('Données projet'!$B$13,Paramètres!$A$1:$I$88,3,0)*VLOOKUP('Données projet'!$B$13,Paramètres!$A$1:$I$88,5,0)</f>
        <v>145.899</v>
      </c>
      <c r="CV30" s="14">
        <f t="shared" si="41"/>
        <v>37.645120410716935</v>
      </c>
      <c r="CW30" s="22">
        <f t="shared" si="13"/>
        <v>319.67267638199866</v>
      </c>
      <c r="CX30" s="62">
        <f t="shared" si="14"/>
        <v>613.00600971533197</v>
      </c>
      <c r="CY30" s="62">
        <f ca="1">AVERAGE(OFFSET($CX$3,0,0,'Données projet'!$E$13+1,1))-AVERAGE(OFFSET($H$3,0,0,'Données projet'!$E$13+1,1))</f>
        <v>302.20483575440988</v>
      </c>
      <c r="CZ30" s="62">
        <f t="shared" si="42"/>
        <v>275.32862097158687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projet'!$B$13,Paramètres!$A$1:$I$88,7,0))</f>
        <v>0</v>
      </c>
      <c r="DD30" s="17">
        <f>IF(ISNA(VLOOKUP(A30,'Données projet'!$A$139:$I$159,6,0)),0%,VLOOKUP(A30,'Données projet'!$A$139:$I$159,6,0)*VLOOKUP('Données projet'!$B$13,Paramètres!$A$1:$I$88,7,0))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projet'!$B$13,Paramètres!$A$1:$I$88,3,0)*0.475*44/12</f>
        <v>0</v>
      </c>
      <c r="DG30" s="23">
        <f>EXP(-LN(2)/25)*DG29+(1-EXP(-LN(2)/25))/(LN(2)/25)*Calculateur!DB30*Calculateur!DD30*VLOOKUP('Données projet'!$B$13,Paramètres!$A$1:$I$88,3,0)*0.475*44/12</f>
        <v>4.3342388621028762</v>
      </c>
      <c r="DH30" s="23">
        <f>EXP(-LN(2)/2)*DH29+(1-EXP(-LN(2)/2))/(LN(2)/2)*DB30*DE30*VLOOKUP('Données projet'!$B$13,Paramètres!$A$1:$I$88,3,0)*0.475*44/12</f>
        <v>1.9936912410994785</v>
      </c>
      <c r="DI30" s="24">
        <f t="shared" si="15"/>
        <v>6.3279301032023545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projet'!$B$14,Paramètres!$A$1:$I$88,3,0)*VLOOKUP('Données projet'!$B$14,Paramètres!$A$1:$I$88,5,0)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projet'!$B$14,Paramètres!$A$1:$I$88,7,0))</f>
        <v>0</v>
      </c>
      <c r="DY30" s="17">
        <f>IF(ISNA(VLOOKUP(A30,'Données projet'!$A$165:$I$185,6,0)),0%,VLOOKUP(A30,'Données projet'!$A$165:$I$185,6,0)*VLOOKUP('Données projet'!$B$14,Paramètres!$A$1:$I$88,7,0))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projet'!$B$14,Paramètres!$A$1:$I$88,3,0)*0.475*44/12</f>
        <v>#N/A</v>
      </c>
      <c r="EB30" s="23" t="e">
        <f>EXP(-LN(2)/25)*EB29+(1-EXP(-LN(2)/25))/(LN(2)/25)*Calculateur!DW30*Calculateur!DY30*VLOOKUP('Données projet'!$B$14,Paramètres!$A$1:$I$88,3,0)*0.475*44/12</f>
        <v>#N/A</v>
      </c>
      <c r="EC30" s="23" t="e">
        <f>EXP(-LN(2)/2)*EC29+(1-EXP(-LN(2)/2))/(LN(2)/2)*DW30*DZ30*VLOOKUP('Données projet'!$B$14,Paramètres!$A$1:$I$88,3,0)*0.475*44/12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projet'!$B$15,Paramètres!$A$1:$I$88,3,0)*VLOOKUP('Données projet'!$B$15,Paramètres!$A$1:$I$88,5,0)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projet'!$B$15,Paramètres!$A$1:$I$88,7,0))</f>
        <v>0</v>
      </c>
      <c r="ET30" s="17">
        <f>IF(ISNA(VLOOKUP(A30,'Données projet'!$A$191:$I$211,6,0)),0%,VLOOKUP(A30,'Données projet'!$A$191:$I$211,6,0)*VLOOKUP('Données projet'!$B$15,Paramètres!$A$1:$I$88,7,0))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projet'!$B$15,Paramètres!$A$1:$I$88,3,0)*0.475*44/12</f>
        <v>#N/A</v>
      </c>
      <c r="EW30" s="23" t="e">
        <f>EXP(-LN(2)/25)*EW29+(1-EXP(-LN(2)/25))/(LN(2)/25)*Calculateur!ER30*Calculateur!ET30*VLOOKUP('Données projet'!$B$15,Paramètres!$A$1:$I$88,3,0)*0.475*44/12</f>
        <v>#N/A</v>
      </c>
      <c r="EX30" s="23" t="e">
        <f>EXP(-LN(2)/2)*EX29+(1-EXP(-LN(2)/2))/(LN(2)/2)*ER30*EU30*VLOOKUP('Données projet'!$B$15,Paramètres!$A$1:$I$88,3,0)*0.475*44/12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projet'!$B$16,Paramètres!$A$1:$I$88,3,0)*VLOOKUP('Données projet'!$B$16,Paramètres!$A$1:$I$88,5,0)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projet'!$B$16,Paramètres!$A$1:$I$88,7,0))</f>
        <v>0</v>
      </c>
      <c r="FO30" s="17">
        <f>IF(ISNA(VLOOKUP(A30,'Données projet'!$A$217:$I$237,6,0)),0%,VLOOKUP(A30,'Données projet'!$A$217:$I$237,6,0)*VLOOKUP('Données projet'!$B$16,Paramètres!$A$1:$I$88,7,0))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projet'!$B$16,Paramètres!$A$1:$I$88,3,0)*0.475*44/12</f>
        <v>#N/A</v>
      </c>
      <c r="FR30" s="23" t="e">
        <f>EXP(-LN(2)/25)*FR29+(1-EXP(-LN(2)/25))/(LN(2)/25)*Calculateur!FM30*Calculateur!FO30*VLOOKUP('Données projet'!$B$16,Paramètres!$A$1:$I$88,3,0)*0.475*44/12</f>
        <v>#N/A</v>
      </c>
      <c r="FS30" s="23" t="e">
        <f>EXP(-LN(2)/2)*FS29+(1-EXP(-LN(2)/2))/(LN(2)/2)*FM30*FP30*VLOOKUP('Données projet'!$B$16,Paramètres!$A$1:$I$88,3,0)*0.475*44/12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projet'!$B$17,Paramètres!$A$1:$I$88,3,0)*VLOOKUP('Données projet'!$B$17,Paramètres!$A$1:$I$88,5,0)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projet'!$B$17,Paramètres!$A$1:$I$88,7,0))</f>
        <v>0</v>
      </c>
      <c r="GJ30" s="17">
        <f>IF(ISNA(VLOOKUP(A30,'Données projet'!$A$243:$I$263,6,0)),0%,VLOOKUP(A30,'Données projet'!$A$243:$I$263,6,0)*VLOOKUP('Données projet'!$B$17,Paramètres!$A$1:$I$88,7,0))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projet'!$B$17,Paramètres!$A$1:$I$88,3,0)*0.475*44/12</f>
        <v>#N/A</v>
      </c>
      <c r="GM30" s="23" t="e">
        <f>EXP(-LN(2)/25)*GM29+(1-EXP(-LN(2)/25))/(LN(2)/25)*Calculateur!GH30*Calculateur!GJ30*VLOOKUP('Données projet'!$B$17,Paramètres!$A$1:$I$88,3,0)*0.475*44/12</f>
        <v>#N/A</v>
      </c>
      <c r="GN30" s="23" t="e">
        <f>EXP(-LN(2)/2)*GN29+(1-EXP(-LN(2)/2))/(LN(2)/2)*GH30*GK30*VLOOKUP('Données projet'!$B$17,Paramètres!$A$1:$I$88,3,0)*0.475*44/12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projet'!$B$18,Paramètres!$A$1:$I$88,3,0)*VLOOKUP('Données projet'!$B$18,Paramètres!$A$1:$I$88,5,0)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projet'!$B$18,Paramètres!$A$1:$I$88,7,0))</f>
        <v>0</v>
      </c>
      <c r="HE30" s="17">
        <f>IF(ISNA(VLOOKUP(A30,'Données projet'!$A$269:$I$289,6,0)),0%,VLOOKUP(A30,'Données projet'!$A$269:$I$289,6,0)*VLOOKUP('Données projet'!$B$18,Paramètres!$A$1:$I$88,7,0))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projet'!$B$18,Paramètres!$A$1:$I$88,3,0)*0.475*44/12</f>
        <v>#N/A</v>
      </c>
      <c r="HH30" s="23" t="e">
        <f>EXP(-LN(2)/25)*HH29+(1-EXP(-LN(2)/25))/(LN(2)/25)*Calculateur!HC30*Calculateur!HE30*VLOOKUP('Données projet'!$B$18,Paramètres!$A$1:$I$88,3,0)*0.475*44/12</f>
        <v>#N/A</v>
      </c>
      <c r="HI30" s="23" t="e">
        <f>EXP(-LN(2)/2)*HI29+(1-EXP(-LN(2)/2))/(LN(2)/2)*HC30*HF30*VLOOKUP('Données projet'!$B$18,Paramètres!$A$1:$I$88,3,0)*0.475*44/12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14.166666666666666</v>
      </c>
      <c r="N31" s="14">
        <f>IF('Données projet'!$A$36&gt;35,N30+M31-V30,IF(A31&lt;'Données projet'!$A$36,$K$205^A31,IF(A31='Données projet'!$A$36,'Données projet'!$B$36,N30+M31-V30)))</f>
        <v>195.66666666666663</v>
      </c>
      <c r="O31" s="14">
        <f>N31*VLOOKUP('Données projet'!$B$9,Paramètres!$A$1:$I$88,3,0)*VLOOKUP('Données projet'!$B$9,Paramètres!$A$1:$I$88,5,0)</f>
        <v>122.09599999999998</v>
      </c>
      <c r="P31" s="14">
        <f t="shared" si="33"/>
        <v>32.163363121463028</v>
      </c>
      <c r="Q31" s="22">
        <f t="shared" si="2"/>
        <v>268.6683907698814</v>
      </c>
      <c r="R31" s="62">
        <f t="shared" si="0"/>
        <v>562.00172410321466</v>
      </c>
      <c r="S31" s="62">
        <f ca="1">AVERAGE(OFFSET($R$3,0,0,'Données projet'!$E$9+1,1))-AVERAGE(OFFSET($H$3,0,0,'Données projet'!$E$9+1,1))</f>
        <v>175.05987582828078</v>
      </c>
      <c r="T31" s="62">
        <f t="shared" si="34"/>
        <v>268.54782308462387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projet'!$B$9,Paramètres!$A$1:$I$88,7,0))</f>
        <v>0</v>
      </c>
      <c r="X31" s="17">
        <f>IF(ISNA(VLOOKUP(A31,'Données projet'!$A$35:$I$55,6,0)),0%,VLOOKUP(A31,'Données projet'!$A$35:$I$55,6,0)*VLOOKUP('Données projet'!$B$9,Paramètres!$A$1:$I$88,7,0))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projet'!$B$9,Paramètres!$A$1:$I$88,3,0)*0.475*44/12</f>
        <v>0</v>
      </c>
      <c r="AA31" s="23">
        <f>EXP(-LN(2)/25)*AA30+(1-EXP(-LN(2)/25))/(LN(2)/25)*Calculateur!V31*Calculateur!X31*VLOOKUP('Données projet'!$B$9,Paramètres!$A$1:$I$88,3,0)*0.475*44/12</f>
        <v>2.568112428361299</v>
      </c>
      <c r="AB31" s="23">
        <f>EXP(-LN(2)/2)*AB30+(1-EXP(-LN(2)/2))/(LN(2)/2)*V31*Y31*VLOOKUP('Données projet'!$B$9,Paramètres!$A$1:$I$88,3,0)*0.475*44/12</f>
        <v>3.0814905269773747</v>
      </c>
      <c r="AC31" s="24">
        <f t="shared" si="3"/>
        <v>5.6496029553386737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12.133333333333333</v>
      </c>
      <c r="AI31" s="14">
        <f>IF('Données projet'!$A$62&gt;35,AI30+AH31-AQ30,IF(A31&lt;'Données projet'!$A$62,$AF$205^A31,IF(A31='Données projet'!$A$62,'Données projet'!$B$62,AI30+AH31-AQ30)))</f>
        <v>245.6751847998674</v>
      </c>
      <c r="AJ31" s="14">
        <f>AI31*VLOOKUP('Données projet'!$B$10,Paramètres!$A$1:$I$88,3,0)*VLOOKUP('Données projet'!$B$10,Paramètres!$A$1:$I$88,5,0)</f>
        <v>118.16976388873621</v>
      </c>
      <c r="AK31" s="14">
        <f t="shared" si="35"/>
        <v>31.247745689293524</v>
      </c>
      <c r="AL31" s="22">
        <f t="shared" si="4"/>
        <v>260.2354958484018</v>
      </c>
      <c r="AM31" s="62">
        <f t="shared" si="5"/>
        <v>553.56882918173505</v>
      </c>
      <c r="AN31" s="62">
        <f ca="1">AVERAGE(OFFSET($AM$3,0,0,'Données projet'!$E$10+1,1))-AVERAGE(OFFSET($H$3,0,0,'Données projet'!$E$10+1,1))</f>
        <v>576.61210817354549</v>
      </c>
      <c r="AO31" s="62">
        <f t="shared" si="36"/>
        <v>343.9428747444544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projet'!$B$10,Paramètres!$A$1:$I$88,7,0))</f>
        <v>0</v>
      </c>
      <c r="AS31" s="17">
        <f>IF(ISNA(VLOOKUP(A31,'Données projet'!$A$61:$I$81,6,0)),0%,VLOOKUP(A31,'Données projet'!$A$61:$I$81,6,0)*VLOOKUP('Données projet'!$B$10,Paramètres!$A$1:$I$88,7,0))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projet'!$B$10,Paramètres!$A$1:$I$88,3,0)*0.475*44/12</f>
        <v>0</v>
      </c>
      <c r="AV31" s="23">
        <f>EXP(-LN(2)/25)*AV30+(1-EXP(-LN(2)/25))/(LN(2)/25)*Calculateur!AQ31*Calculateur!AS31*VLOOKUP('Données projet'!$B$10,Paramètres!$A$1:$I$88,3,0)*0.475*44/12</f>
        <v>0</v>
      </c>
      <c r="AW31" s="23">
        <f>EXP(-LN(2)/2)*AW30+(1-EXP(-LN(2)/2))/(LN(2)/2)*AQ31*AT31*VLOOKUP('Données projet'!$B$10,Paramètres!$A$1:$I$88,3,0)*0.475*44/12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14.260000000000002</v>
      </c>
      <c r="BD31" s="13">
        <f>IF('Données projet'!$A$88&gt;35,BD30+BC31-BL30,IF(A31&lt;'Données projet'!$A$88,$BA$205^A31,IF(A31='Données projet'!$A$88,'Données projet'!$B$88,BD30+BC31-BL30)))</f>
        <v>148.28000000000003</v>
      </c>
      <c r="BE31" s="14">
        <f>BD31*VLOOKUP('Données projet'!$B$11,Paramètres!$A$1:$I$88,3,0)*VLOOKUP('Données projet'!$B$11,Paramètres!$A$1:$I$88,5,0)</f>
        <v>117.97156800000002</v>
      </c>
      <c r="BF31" s="14">
        <f t="shared" si="37"/>
        <v>31.201432457260601</v>
      </c>
      <c r="BG31" s="22">
        <f t="shared" si="7"/>
        <v>259.80964246306229</v>
      </c>
      <c r="BH31" s="62">
        <f t="shared" si="8"/>
        <v>553.1429757963956</v>
      </c>
      <c r="BI31" s="62">
        <f ca="1">AVERAGE(OFFSET($BH$3,0,0,'Données projet'!$E$11+1,1))-AVERAGE(OFFSET($H$3,0,0,'Données projet'!$E$11+1,1))</f>
        <v>298.38448036212861</v>
      </c>
      <c r="BJ31" s="62">
        <f t="shared" si="38"/>
        <v>270.4445531106897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projet'!$B$11,Paramètres!$A$1:$I$88,7,0))</f>
        <v>0</v>
      </c>
      <c r="BN31" s="17">
        <f>IF(ISNA(VLOOKUP(A31,'Données projet'!$A$87:$I$107,6,0)),0%,VLOOKUP(A31,'Données projet'!$A$87:$I$107,6,0)*VLOOKUP('Données projet'!$B$11,Paramètres!$A$1:$I$88,7,0))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projet'!$B$11,Paramètres!$A$1:$I$88,3,0)*0.475*44/12</f>
        <v>0</v>
      </c>
      <c r="BQ31" s="23">
        <f>EXP(-LN(2)/25)*BQ30+(1-EXP(-LN(2)/25))/(LN(2)/25)*Calculateur!BL31*Calculateur!BN31*VLOOKUP('Données projet'!$B$11,Paramètres!$A$1:$I$88,3,0)*0.475*44/12</f>
        <v>0</v>
      </c>
      <c r="BR31" s="23">
        <f>EXP(-LN(2)/2)*BR30+(1-EXP(-LN(2)/2))/(LN(2)/2)*BL31*BO31*VLOOKUP('Données projet'!$B$11,Paramètres!$A$1:$I$88,3,0)*0.475*44/12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11.5</v>
      </c>
      <c r="BY31" s="13">
        <f>IF('Données projet'!$A$114&gt;35,BY30+BX31-CG30,IF(A31&lt;'Données projet'!$A$114,$BV$205^A31,IF(A31='Données projet'!$A$114,'Données projet'!$B$114,BY30+BX31-CG30)))</f>
        <v>120.49999999999996</v>
      </c>
      <c r="BZ31" s="14">
        <f>BY31*VLOOKUP('Données projet'!$B$12,Paramètres!$A$1:$I$88,3,0)*VLOOKUP('Données projet'!$B$12,Paramètres!$A$1:$I$88,5,0)</f>
        <v>93.989999999999966</v>
      </c>
      <c r="CA31" s="14">
        <f t="shared" si="39"/>
        <v>25.525074036970054</v>
      </c>
      <c r="CB31" s="22">
        <f t="shared" si="10"/>
        <v>208.15542061438944</v>
      </c>
      <c r="CC31" s="62">
        <f t="shared" si="11"/>
        <v>501.48875394772278</v>
      </c>
      <c r="CD31" s="62">
        <f ca="1">AVERAGE(OFFSET($CC$3,0,0,'Données projet'!$E$12+1,1))-AVERAGE(OFFSET($H$3,0,0,'Données projet'!$E$12+1,1))</f>
        <v>217.32600829266818</v>
      </c>
      <c r="CE31" s="62">
        <f t="shared" si="40"/>
        <v>208.79744153433245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projet'!$B$12,Paramètres!$A$1:$I$88,7,0))</f>
        <v>0</v>
      </c>
      <c r="CI31" s="17">
        <f>IF(ISNA(VLOOKUP(A31,'Données projet'!$A$113:$I$133,6,0)),0%,VLOOKUP(A31,'Données projet'!$A$113:$I$133,6,0)*VLOOKUP('Données projet'!$B$12,Paramètres!$A$1:$I$88,7,0))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projet'!$B$12,Paramètres!$A$1:$I$88,3,0)*0.475*44/12</f>
        <v>0</v>
      </c>
      <c r="CL31" s="23">
        <f>EXP(-LN(2)/25)*CL30+(1-EXP(-LN(2)/25))/(LN(2)/25)*Calculateur!CG31*Calculateur!CI31*VLOOKUP('Données projet'!$B$12,Paramètres!$A$1:$I$88,3,0)*0.475*44/12</f>
        <v>0</v>
      </c>
      <c r="CM31" s="23">
        <f>EXP(-LN(2)/2)*CM30+(1-EXP(-LN(2)/2))/(LN(2)/2)*CG31*CJ31*VLOOKUP('Données projet'!$B$12,Paramètres!$A$1:$I$88,3,0)*0.475*44/12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>
        <f>VLOOKUP(A31,'Données projet'!$A$139:$I$159,2,0)</f>
        <v>280</v>
      </c>
      <c r="CR31" s="13">
        <f>VLOOKUP(A31,'Données projet'!$A$139:$I$159,9,0)</f>
        <v>19</v>
      </c>
      <c r="CS31" s="13">
        <f t="array" ref="CS31">INDEX(CR:CR,MIN(IF(ISNUMBER(CR31:CR227),ROW(CR31:CR227),"")))</f>
        <v>19</v>
      </c>
      <c r="CT31" s="13">
        <f>IF('Données projet'!$A$140&gt;35,CT30+CS31-DB30,IF(A31&lt;'Données projet'!$A$140,$CQ$205^A31,IF(A31='Données projet'!$A$140,'Données projet'!$B$140,CT30+CS31-DB30)))</f>
        <v>280</v>
      </c>
      <c r="CU31" s="18">
        <f>CT31*VLOOKUP('Données projet'!$B$13,Paramètres!$A$1:$I$88,3,0)*VLOOKUP('Données projet'!$B$13,Paramètres!$A$1:$I$88,5,0)</f>
        <v>156.51999999999998</v>
      </c>
      <c r="CV31" s="14">
        <f t="shared" si="41"/>
        <v>40.056589961286939</v>
      </c>
      <c r="CW31" s="22">
        <f t="shared" si="13"/>
        <v>342.37089418257466</v>
      </c>
      <c r="CX31" s="62">
        <f t="shared" si="14"/>
        <v>635.70422751590797</v>
      </c>
      <c r="CY31" s="62">
        <f ca="1">AVERAGE(OFFSET($CX$3,0,0,'Données projet'!$E$13+1,1))-AVERAGE(OFFSET($H$3,0,0,'Données projet'!$E$13+1,1))</f>
        <v>302.20483575440988</v>
      </c>
      <c r="CZ31" s="62">
        <f t="shared" si="42"/>
        <v>275.32862097158687</v>
      </c>
      <c r="DA31" s="16">
        <f>IF(ISNA(VLOOKUP(A31,'Données projet'!$A$139:$I$159,3,0)),0,VLOOKUP(A31,'Données projet'!$A$139:$I$159,3,0))</f>
        <v>2</v>
      </c>
      <c r="DB31" s="16">
        <f>IF(ISNA(VLOOKUP(A31,'Données projet'!$A$139:$I$159,4,0)),0,VLOOKUP(A31,'Données projet'!$A$139:$I$159,4,0))</f>
        <v>64</v>
      </c>
      <c r="DC31" s="17">
        <f>IF(ISNA(VLOOKUP(A31,'Données projet'!$A$139:$I$159,5,0)),0%,VLOOKUP(A31,'Données projet'!$A$139:$I$159,5,0)*VLOOKUP('Données projet'!$B$13,Paramètres!$A$1:$I$88,7,0))</f>
        <v>0</v>
      </c>
      <c r="DD31" s="17">
        <f>IF(ISNA(VLOOKUP(A31,'Données projet'!$A$139:$I$159,6,0)),0%,VLOOKUP(A31,'Données projet'!$A$139:$I$159,6,0)*VLOOKUP('Données projet'!$B$13,Paramètres!$A$1:$I$88,7,0))</f>
        <v>0.22000000000000003</v>
      </c>
      <c r="DE31" s="17">
        <f>IF(ISNA(VLOOKUP(A31,'Données projet'!$A$139:$I$159,7,0)),0%,VLOOKUP(A31,'Données projet'!$A$139:$I$159,7,0))</f>
        <v>0.3</v>
      </c>
      <c r="DF31" s="23">
        <f>EXP(-LN(2)/35)*DF30+(1-EXP(-LN(2)/35))/(LN(2)/35)*DB31*DC31*VLOOKUP('Données projet'!$B$13,Paramètres!$A$1:$I$88,3,0)*0.475*44/12</f>
        <v>0</v>
      </c>
      <c r="DG31" s="23">
        <f>EXP(-LN(2)/25)*DG30+(1-EXP(-LN(2)/25))/(LN(2)/25)*Calculateur!DB31*Calculateur!DD31*VLOOKUP('Données projet'!$B$13,Paramètres!$A$1:$I$88,3,0)*0.475*44/12</f>
        <v>14.615625999401281</v>
      </c>
      <c r="DH31" s="23">
        <f>EXP(-LN(2)/2)*DH30+(1-EXP(-LN(2)/2))/(LN(2)/2)*DB31*DE31*VLOOKUP('Données projet'!$B$13,Paramètres!$A$1:$I$88,3,0)*0.475*44/12</f>
        <v>13.561775399065716</v>
      </c>
      <c r="DI31" s="24">
        <f t="shared" si="15"/>
        <v>28.177401398466998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projet'!$B$14,Paramètres!$A$1:$I$88,3,0)*VLOOKUP('Données projet'!$B$14,Paramètres!$A$1:$I$88,5,0)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projet'!$B$14,Paramètres!$A$1:$I$88,7,0))</f>
        <v>0</v>
      </c>
      <c r="DY31" s="17">
        <f>IF(ISNA(VLOOKUP(A31,'Données projet'!$A$165:$I$185,6,0)),0%,VLOOKUP(A31,'Données projet'!$A$165:$I$185,6,0)*VLOOKUP('Données projet'!$B$14,Paramètres!$A$1:$I$88,7,0))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projet'!$B$14,Paramètres!$A$1:$I$88,3,0)*0.475*44/12</f>
        <v>#N/A</v>
      </c>
      <c r="EB31" s="23" t="e">
        <f>EXP(-LN(2)/25)*EB30+(1-EXP(-LN(2)/25))/(LN(2)/25)*Calculateur!DW31*Calculateur!DY31*VLOOKUP('Données projet'!$B$14,Paramètres!$A$1:$I$88,3,0)*0.475*44/12</f>
        <v>#N/A</v>
      </c>
      <c r="EC31" s="23" t="e">
        <f>EXP(-LN(2)/2)*EC30+(1-EXP(-LN(2)/2))/(LN(2)/2)*DW31*DZ31*VLOOKUP('Données projet'!$B$14,Paramètres!$A$1:$I$88,3,0)*0.475*44/12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projet'!$B$15,Paramètres!$A$1:$I$88,3,0)*VLOOKUP('Données projet'!$B$15,Paramètres!$A$1:$I$88,5,0)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projet'!$B$15,Paramètres!$A$1:$I$88,7,0))</f>
        <v>0</v>
      </c>
      <c r="ET31" s="17">
        <f>IF(ISNA(VLOOKUP(A31,'Données projet'!$A$191:$I$211,6,0)),0%,VLOOKUP(A31,'Données projet'!$A$191:$I$211,6,0)*VLOOKUP('Données projet'!$B$15,Paramètres!$A$1:$I$88,7,0))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projet'!$B$15,Paramètres!$A$1:$I$88,3,0)*0.475*44/12</f>
        <v>#N/A</v>
      </c>
      <c r="EW31" s="23" t="e">
        <f>EXP(-LN(2)/25)*EW30+(1-EXP(-LN(2)/25))/(LN(2)/25)*Calculateur!ER31*Calculateur!ET31*VLOOKUP('Données projet'!$B$15,Paramètres!$A$1:$I$88,3,0)*0.475*44/12</f>
        <v>#N/A</v>
      </c>
      <c r="EX31" s="23" t="e">
        <f>EXP(-LN(2)/2)*EX30+(1-EXP(-LN(2)/2))/(LN(2)/2)*ER31*EU31*VLOOKUP('Données projet'!$B$15,Paramètres!$A$1:$I$88,3,0)*0.475*44/12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projet'!$B$16,Paramètres!$A$1:$I$88,3,0)*VLOOKUP('Données projet'!$B$16,Paramètres!$A$1:$I$88,5,0)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projet'!$B$16,Paramètres!$A$1:$I$88,7,0))</f>
        <v>0</v>
      </c>
      <c r="FO31" s="17">
        <f>IF(ISNA(VLOOKUP(A31,'Données projet'!$A$217:$I$237,6,0)),0%,VLOOKUP(A31,'Données projet'!$A$217:$I$237,6,0)*VLOOKUP('Données projet'!$B$16,Paramètres!$A$1:$I$88,7,0))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projet'!$B$16,Paramètres!$A$1:$I$88,3,0)*0.475*44/12</f>
        <v>#N/A</v>
      </c>
      <c r="FR31" s="23" t="e">
        <f>EXP(-LN(2)/25)*FR30+(1-EXP(-LN(2)/25))/(LN(2)/25)*Calculateur!FM31*Calculateur!FO31*VLOOKUP('Données projet'!$B$16,Paramètres!$A$1:$I$88,3,0)*0.475*44/12</f>
        <v>#N/A</v>
      </c>
      <c r="FS31" s="23" t="e">
        <f>EXP(-LN(2)/2)*FS30+(1-EXP(-LN(2)/2))/(LN(2)/2)*FM31*FP31*VLOOKUP('Données projet'!$B$16,Paramètres!$A$1:$I$88,3,0)*0.475*44/12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projet'!$B$17,Paramètres!$A$1:$I$88,3,0)*VLOOKUP('Données projet'!$B$17,Paramètres!$A$1:$I$88,5,0)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projet'!$B$17,Paramètres!$A$1:$I$88,7,0))</f>
        <v>0</v>
      </c>
      <c r="GJ31" s="17">
        <f>IF(ISNA(VLOOKUP(A31,'Données projet'!$A$243:$I$263,6,0)),0%,VLOOKUP(A31,'Données projet'!$A$243:$I$263,6,0)*VLOOKUP('Données projet'!$B$17,Paramètres!$A$1:$I$88,7,0))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projet'!$B$17,Paramètres!$A$1:$I$88,3,0)*0.475*44/12</f>
        <v>#N/A</v>
      </c>
      <c r="GM31" s="23" t="e">
        <f>EXP(-LN(2)/25)*GM30+(1-EXP(-LN(2)/25))/(LN(2)/25)*Calculateur!GH31*Calculateur!GJ31*VLOOKUP('Données projet'!$B$17,Paramètres!$A$1:$I$88,3,0)*0.475*44/12</f>
        <v>#N/A</v>
      </c>
      <c r="GN31" s="23" t="e">
        <f>EXP(-LN(2)/2)*GN30+(1-EXP(-LN(2)/2))/(LN(2)/2)*GH31*GK31*VLOOKUP('Données projet'!$B$17,Paramètres!$A$1:$I$88,3,0)*0.475*44/12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projet'!$B$18,Paramètres!$A$1:$I$88,3,0)*VLOOKUP('Données projet'!$B$18,Paramètres!$A$1:$I$88,5,0)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projet'!$B$18,Paramètres!$A$1:$I$88,7,0))</f>
        <v>0</v>
      </c>
      <c r="HE31" s="17">
        <f>IF(ISNA(VLOOKUP(A31,'Données projet'!$A$269:$I$289,6,0)),0%,VLOOKUP(A31,'Données projet'!$A$269:$I$289,6,0)*VLOOKUP('Données projet'!$B$18,Paramètres!$A$1:$I$88,7,0))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projet'!$B$18,Paramètres!$A$1:$I$88,3,0)*0.475*44/12</f>
        <v>#N/A</v>
      </c>
      <c r="HH31" s="23" t="e">
        <f>EXP(-LN(2)/25)*HH30+(1-EXP(-LN(2)/25))/(LN(2)/25)*Calculateur!HC31*Calculateur!HE31*VLOOKUP('Données projet'!$B$18,Paramètres!$A$1:$I$88,3,0)*0.475*44/12</f>
        <v>#N/A</v>
      </c>
      <c r="HI31" s="23" t="e">
        <f>EXP(-LN(2)/2)*HI30+(1-EXP(-LN(2)/2))/(LN(2)/2)*HC31*HF31*VLOOKUP('Données projet'!$B$18,Paramètres!$A$1:$I$88,3,0)*0.475*44/12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14.166666666666666</v>
      </c>
      <c r="N32" s="14">
        <f>IF('Données projet'!$A$36&gt;35,N31+M32-V31,IF(A32&lt;'Données projet'!$A$36,$K$205^A32,IF(A32='Données projet'!$A$36,'Données projet'!$B$36,N31+M32-V31)))</f>
        <v>209.83333333333329</v>
      </c>
      <c r="O32" s="14">
        <f>N32*VLOOKUP('Données projet'!$B$9,Paramètres!$A$1:$I$88,3,0)*VLOOKUP('Données projet'!$B$9,Paramètres!$A$1:$I$88,5,0)</f>
        <v>130.93599999999998</v>
      </c>
      <c r="P32" s="14">
        <f t="shared" si="33"/>
        <v>34.21255106176632</v>
      </c>
      <c r="Q32" s="22">
        <f t="shared" si="2"/>
        <v>287.63372643257628</v>
      </c>
      <c r="R32" s="62">
        <f t="shared" si="0"/>
        <v>580.96705976590965</v>
      </c>
      <c r="S32" s="62">
        <f ca="1">AVERAGE(OFFSET($R$3,0,0,'Données projet'!$E$9+1,1))-AVERAGE(OFFSET($H$3,0,0,'Données projet'!$E$9+1,1))</f>
        <v>175.05987582828078</v>
      </c>
      <c r="T32" s="62">
        <f t="shared" si="34"/>
        <v>268.54782308462387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projet'!$B$9,Paramètres!$A$1:$I$88,7,0))</f>
        <v>0</v>
      </c>
      <c r="X32" s="17">
        <f>IF(ISNA(VLOOKUP(A32,'Données projet'!$A$35:$I$55,6,0)),0%,VLOOKUP(A32,'Données projet'!$A$35:$I$55,6,0)*VLOOKUP('Données projet'!$B$9,Paramètres!$A$1:$I$88,7,0))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projet'!$B$9,Paramètres!$A$1:$I$88,3,0)*0.475*44/12</f>
        <v>0</v>
      </c>
      <c r="AA32" s="23">
        <f>EXP(-LN(2)/25)*AA31+(1-EXP(-LN(2)/25))/(LN(2)/25)*Calculateur!V32*Calculateur!X32*VLOOKUP('Données projet'!$B$9,Paramètres!$A$1:$I$88,3,0)*0.475*44/12</f>
        <v>2.4978872589565961</v>
      </c>
      <c r="AB32" s="23">
        <f>EXP(-LN(2)/2)*AB31+(1-EXP(-LN(2)/2))/(LN(2)/2)*V32*Y32*VLOOKUP('Données projet'!$B$9,Paramètres!$A$1:$I$88,3,0)*0.475*44/12</f>
        <v>2.1789428477878094</v>
      </c>
      <c r="AC32" s="24">
        <f t="shared" si="3"/>
        <v>4.676830106744406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12.133333333333333</v>
      </c>
      <c r="AI32" s="14">
        <f>IF('Données projet'!$A$62&gt;35,AI31+AH32-AQ31,IF(A32&lt;'Données projet'!$A$62,$AF$205^A32,IF(A32='Données projet'!$A$62,'Données projet'!$B$62,AI31+AH32-AQ31)))</f>
        <v>299.04141396661379</v>
      </c>
      <c r="AJ32" s="14">
        <f>AI32*VLOOKUP('Données projet'!$B$10,Paramètres!$A$1:$I$88,3,0)*VLOOKUP('Données projet'!$B$10,Paramètres!$A$1:$I$88,5,0)</f>
        <v>143.83892011794126</v>
      </c>
      <c r="AK32" s="14">
        <f t="shared" si="35"/>
        <v>37.175058806174498</v>
      </c>
      <c r="AL32" s="22">
        <f t="shared" si="4"/>
        <v>315.26601329283494</v>
      </c>
      <c r="AM32" s="62">
        <f t="shared" si="5"/>
        <v>608.5993466261682</v>
      </c>
      <c r="AN32" s="62">
        <f ca="1">AVERAGE(OFFSET($AM$3,0,0,'Données projet'!$E$10+1,1))-AVERAGE(OFFSET($H$3,0,0,'Données projet'!$E$10+1,1))</f>
        <v>576.61210817354549</v>
      </c>
      <c r="AO32" s="62">
        <f t="shared" si="36"/>
        <v>343.9428747444544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projet'!$B$10,Paramètres!$A$1:$I$88,7,0))</f>
        <v>0</v>
      </c>
      <c r="AS32" s="17">
        <f>IF(ISNA(VLOOKUP(A32,'Données projet'!$A$61:$I$81,6,0)),0%,VLOOKUP(A32,'Données projet'!$A$61:$I$81,6,0)*VLOOKUP('Données projet'!$B$10,Paramètres!$A$1:$I$88,7,0))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projet'!$B$10,Paramètres!$A$1:$I$88,3,0)*0.475*44/12</f>
        <v>0</v>
      </c>
      <c r="AV32" s="23">
        <f>EXP(-LN(2)/25)*AV31+(1-EXP(-LN(2)/25))/(LN(2)/25)*Calculateur!AQ32*Calculateur!AS32*VLOOKUP('Données projet'!$B$10,Paramètres!$A$1:$I$88,3,0)*0.475*44/12</f>
        <v>0</v>
      </c>
      <c r="AW32" s="23">
        <f>EXP(-LN(2)/2)*AW31+(1-EXP(-LN(2)/2))/(LN(2)/2)*AQ32*AT32*VLOOKUP('Données projet'!$B$10,Paramètres!$A$1:$I$88,3,0)*0.475*44/12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14.260000000000002</v>
      </c>
      <c r="BD32" s="13">
        <f>IF('Données projet'!$A$88&gt;35,BD31+BC32-BL31,IF(A32&lt;'Données projet'!$A$88,$BA$205^A32,IF(A32='Données projet'!$A$88,'Données projet'!$B$88,BD31+BC32-BL31)))</f>
        <v>162.54000000000002</v>
      </c>
      <c r="BE32" s="14">
        <f>BD32*VLOOKUP('Données projet'!$B$11,Paramètres!$A$1:$I$88,3,0)*VLOOKUP('Données projet'!$B$11,Paramètres!$A$1:$I$88,5,0)</f>
        <v>129.31682400000003</v>
      </c>
      <c r="BF32" s="14">
        <f t="shared" si="37"/>
        <v>33.838449040120956</v>
      </c>
      <c r="BG32" s="22">
        <f t="shared" si="7"/>
        <v>284.16210054487738</v>
      </c>
      <c r="BH32" s="62">
        <f t="shared" si="8"/>
        <v>577.49543387821063</v>
      </c>
      <c r="BI32" s="62">
        <f ca="1">AVERAGE(OFFSET($BH$3,0,0,'Données projet'!$E$11+1,1))-AVERAGE(OFFSET($H$3,0,0,'Données projet'!$E$11+1,1))</f>
        <v>298.38448036212861</v>
      </c>
      <c r="BJ32" s="62">
        <f t="shared" si="38"/>
        <v>270.4445531106897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projet'!$B$11,Paramètres!$A$1:$I$88,7,0))</f>
        <v>0</v>
      </c>
      <c r="BN32" s="17">
        <f>IF(ISNA(VLOOKUP(A32,'Données projet'!$A$87:$I$107,6,0)),0%,VLOOKUP(A32,'Données projet'!$A$87:$I$107,6,0)*VLOOKUP('Données projet'!$B$11,Paramètres!$A$1:$I$88,7,0))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projet'!$B$11,Paramètres!$A$1:$I$88,3,0)*0.475*44/12</f>
        <v>0</v>
      </c>
      <c r="BQ32" s="23">
        <f>EXP(-LN(2)/25)*BQ31+(1-EXP(-LN(2)/25))/(LN(2)/25)*Calculateur!BL32*Calculateur!BN32*VLOOKUP('Données projet'!$B$11,Paramètres!$A$1:$I$88,3,0)*0.475*44/12</f>
        <v>0</v>
      </c>
      <c r="BR32" s="23">
        <f>EXP(-LN(2)/2)*BR31+(1-EXP(-LN(2)/2))/(LN(2)/2)*BL32*BO32*VLOOKUP('Données projet'!$B$11,Paramètres!$A$1:$I$88,3,0)*0.475*44/12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11.5</v>
      </c>
      <c r="BY32" s="13">
        <f>IF('Données projet'!$A$114&gt;35,BY31+BX32-CG31,IF(A32&lt;'Données projet'!$A$114,$BV$205^A32,IF(A32='Données projet'!$A$114,'Données projet'!$B$114,BY31+BX32-CG31)))</f>
        <v>131.99999999999994</v>
      </c>
      <c r="BZ32" s="14">
        <f>BY32*VLOOKUP('Données projet'!$B$12,Paramètres!$A$1:$I$88,3,0)*VLOOKUP('Données projet'!$B$12,Paramètres!$A$1:$I$88,5,0)</f>
        <v>102.95999999999997</v>
      </c>
      <c r="CA32" s="14">
        <f t="shared" si="39"/>
        <v>27.665975080374633</v>
      </c>
      <c r="CB32" s="22">
        <f t="shared" si="10"/>
        <v>227.50690659831903</v>
      </c>
      <c r="CC32" s="62">
        <f t="shared" si="11"/>
        <v>520.84023993165238</v>
      </c>
      <c r="CD32" s="62">
        <f ca="1">AVERAGE(OFFSET($CC$3,0,0,'Données projet'!$E$12+1,1))-AVERAGE(OFFSET($H$3,0,0,'Données projet'!$E$12+1,1))</f>
        <v>217.32600829266818</v>
      </c>
      <c r="CE32" s="62">
        <f t="shared" si="40"/>
        <v>208.79744153433245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projet'!$B$12,Paramètres!$A$1:$I$88,7,0))</f>
        <v>0</v>
      </c>
      <c r="CI32" s="17">
        <f>IF(ISNA(VLOOKUP(A32,'Données projet'!$A$113:$I$133,6,0)),0%,VLOOKUP(A32,'Données projet'!$A$113:$I$133,6,0)*VLOOKUP('Données projet'!$B$12,Paramètres!$A$1:$I$88,7,0))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projet'!$B$12,Paramètres!$A$1:$I$88,3,0)*0.475*44/12</f>
        <v>0</v>
      </c>
      <c r="CL32" s="23">
        <f>EXP(-LN(2)/25)*CL31+(1-EXP(-LN(2)/25))/(LN(2)/25)*Calculateur!CG32*Calculateur!CI32*VLOOKUP('Données projet'!$B$12,Paramètres!$A$1:$I$88,3,0)*0.475*44/12</f>
        <v>0</v>
      </c>
      <c r="CM32" s="23">
        <f>EXP(-LN(2)/2)*CM31+(1-EXP(-LN(2)/2))/(LN(2)/2)*CG32*CJ32*VLOOKUP('Données projet'!$B$12,Paramètres!$A$1:$I$88,3,0)*0.475*44/12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19.857142857142858</v>
      </c>
      <c r="CT32" s="13">
        <f>IF('Données projet'!$A$140&gt;35,CT31+CS32-DB31,IF(A32&lt;'Données projet'!$A$140,$CQ$205^A32,IF(A32='Données projet'!$A$140,'Données projet'!$B$140,CT31+CS32-DB31)))</f>
        <v>235.85714285714283</v>
      </c>
      <c r="CU32" s="18">
        <f>CT32*VLOOKUP('Données projet'!$B$13,Paramètres!$A$1:$I$88,3,0)*VLOOKUP('Données projet'!$B$13,Paramètres!$A$1:$I$88,5,0)</f>
        <v>131.84414285714283</v>
      </c>
      <c r="CV32" s="14">
        <f t="shared" si="41"/>
        <v>34.422136630345072</v>
      </c>
      <c r="CW32" s="22">
        <f t="shared" si="13"/>
        <v>289.5804367740414</v>
      </c>
      <c r="CX32" s="62">
        <f t="shared" si="14"/>
        <v>582.91377010737472</v>
      </c>
      <c r="CY32" s="62">
        <f ca="1">AVERAGE(OFFSET($CX$3,0,0,'Données projet'!$E$13+1,1))-AVERAGE(OFFSET($H$3,0,0,'Données projet'!$E$13+1,1))</f>
        <v>302.20483575440988</v>
      </c>
      <c r="CZ32" s="62">
        <f t="shared" si="42"/>
        <v>275.32862097158687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projet'!$B$13,Paramètres!$A$1:$I$88,7,0))</f>
        <v>0</v>
      </c>
      <c r="DD32" s="17">
        <f>IF(ISNA(VLOOKUP(A32,'Données projet'!$A$139:$I$159,6,0)),0%,VLOOKUP(A32,'Données projet'!$A$139:$I$159,6,0)*VLOOKUP('Données projet'!$B$13,Paramètres!$A$1:$I$88,7,0))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projet'!$B$13,Paramètres!$A$1:$I$88,3,0)*0.475*44/12</f>
        <v>0</v>
      </c>
      <c r="DG32" s="23">
        <f>EXP(-LN(2)/25)*DG31+(1-EXP(-LN(2)/25))/(LN(2)/25)*Calculateur!DB32*Calculateur!DD32*VLOOKUP('Données projet'!$B$13,Paramètres!$A$1:$I$88,3,0)*0.475*44/12</f>
        <v>14.215960937845287</v>
      </c>
      <c r="DH32" s="23">
        <f>EXP(-LN(2)/2)*DH31+(1-EXP(-LN(2)/2))/(LN(2)/2)*DB32*DE32*VLOOKUP('Données projet'!$B$13,Paramètres!$A$1:$I$88,3,0)*0.475*44/12</f>
        <v>9.5896233496082655</v>
      </c>
      <c r="DI32" s="24">
        <f t="shared" si="15"/>
        <v>23.805584287453552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projet'!$B$14,Paramètres!$A$1:$I$88,3,0)*VLOOKUP('Données projet'!$B$14,Paramètres!$A$1:$I$88,5,0)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projet'!$B$14,Paramètres!$A$1:$I$88,7,0))</f>
        <v>0</v>
      </c>
      <c r="DY32" s="17">
        <f>IF(ISNA(VLOOKUP(A32,'Données projet'!$A$165:$I$185,6,0)),0%,VLOOKUP(A32,'Données projet'!$A$165:$I$185,6,0)*VLOOKUP('Données projet'!$B$14,Paramètres!$A$1:$I$88,7,0))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projet'!$B$14,Paramètres!$A$1:$I$88,3,0)*0.475*44/12</f>
        <v>#N/A</v>
      </c>
      <c r="EB32" s="23" t="e">
        <f>EXP(-LN(2)/25)*EB31+(1-EXP(-LN(2)/25))/(LN(2)/25)*Calculateur!DW32*Calculateur!DY32*VLOOKUP('Données projet'!$B$14,Paramètres!$A$1:$I$88,3,0)*0.475*44/12</f>
        <v>#N/A</v>
      </c>
      <c r="EC32" s="23" t="e">
        <f>EXP(-LN(2)/2)*EC31+(1-EXP(-LN(2)/2))/(LN(2)/2)*DW32*DZ32*VLOOKUP('Données projet'!$B$14,Paramètres!$A$1:$I$88,3,0)*0.475*44/12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projet'!$B$15,Paramètres!$A$1:$I$88,3,0)*VLOOKUP('Données projet'!$B$15,Paramètres!$A$1:$I$88,5,0)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projet'!$B$15,Paramètres!$A$1:$I$88,7,0))</f>
        <v>0</v>
      </c>
      <c r="ET32" s="17">
        <f>IF(ISNA(VLOOKUP(A32,'Données projet'!$A$191:$I$211,6,0)),0%,VLOOKUP(A32,'Données projet'!$A$191:$I$211,6,0)*VLOOKUP('Données projet'!$B$15,Paramètres!$A$1:$I$88,7,0))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projet'!$B$15,Paramètres!$A$1:$I$88,3,0)*0.475*44/12</f>
        <v>#N/A</v>
      </c>
      <c r="EW32" s="23" t="e">
        <f>EXP(-LN(2)/25)*EW31+(1-EXP(-LN(2)/25))/(LN(2)/25)*Calculateur!ER32*Calculateur!ET32*VLOOKUP('Données projet'!$B$15,Paramètres!$A$1:$I$88,3,0)*0.475*44/12</f>
        <v>#N/A</v>
      </c>
      <c r="EX32" s="23" t="e">
        <f>EXP(-LN(2)/2)*EX31+(1-EXP(-LN(2)/2))/(LN(2)/2)*ER32*EU32*VLOOKUP('Données projet'!$B$15,Paramètres!$A$1:$I$88,3,0)*0.475*44/12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projet'!$B$16,Paramètres!$A$1:$I$88,3,0)*VLOOKUP('Données projet'!$B$16,Paramètres!$A$1:$I$88,5,0)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projet'!$B$16,Paramètres!$A$1:$I$88,7,0))</f>
        <v>0</v>
      </c>
      <c r="FO32" s="17">
        <f>IF(ISNA(VLOOKUP(A32,'Données projet'!$A$217:$I$237,6,0)),0%,VLOOKUP(A32,'Données projet'!$A$217:$I$237,6,0)*VLOOKUP('Données projet'!$B$16,Paramètres!$A$1:$I$88,7,0))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projet'!$B$16,Paramètres!$A$1:$I$88,3,0)*0.475*44/12</f>
        <v>#N/A</v>
      </c>
      <c r="FR32" s="23" t="e">
        <f>EXP(-LN(2)/25)*FR31+(1-EXP(-LN(2)/25))/(LN(2)/25)*Calculateur!FM32*Calculateur!FO32*VLOOKUP('Données projet'!$B$16,Paramètres!$A$1:$I$88,3,0)*0.475*44/12</f>
        <v>#N/A</v>
      </c>
      <c r="FS32" s="23" t="e">
        <f>EXP(-LN(2)/2)*FS31+(1-EXP(-LN(2)/2))/(LN(2)/2)*FM32*FP32*VLOOKUP('Données projet'!$B$16,Paramètres!$A$1:$I$88,3,0)*0.475*44/12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projet'!$B$17,Paramètres!$A$1:$I$88,3,0)*VLOOKUP('Données projet'!$B$17,Paramètres!$A$1:$I$88,5,0)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projet'!$B$17,Paramètres!$A$1:$I$88,7,0))</f>
        <v>0</v>
      </c>
      <c r="GJ32" s="17">
        <f>IF(ISNA(VLOOKUP(A32,'Données projet'!$A$243:$I$263,6,0)),0%,VLOOKUP(A32,'Données projet'!$A$243:$I$263,6,0)*VLOOKUP('Données projet'!$B$17,Paramètres!$A$1:$I$88,7,0))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projet'!$B$17,Paramètres!$A$1:$I$88,3,0)*0.475*44/12</f>
        <v>#N/A</v>
      </c>
      <c r="GM32" s="23" t="e">
        <f>EXP(-LN(2)/25)*GM31+(1-EXP(-LN(2)/25))/(LN(2)/25)*Calculateur!GH32*Calculateur!GJ32*VLOOKUP('Données projet'!$B$17,Paramètres!$A$1:$I$88,3,0)*0.475*44/12</f>
        <v>#N/A</v>
      </c>
      <c r="GN32" s="23" t="e">
        <f>EXP(-LN(2)/2)*GN31+(1-EXP(-LN(2)/2))/(LN(2)/2)*GH32*GK32*VLOOKUP('Données projet'!$B$17,Paramètres!$A$1:$I$88,3,0)*0.475*44/12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projet'!$B$18,Paramètres!$A$1:$I$88,3,0)*VLOOKUP('Données projet'!$B$18,Paramètres!$A$1:$I$88,5,0)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projet'!$B$18,Paramètres!$A$1:$I$88,7,0))</f>
        <v>0</v>
      </c>
      <c r="HE32" s="17">
        <f>IF(ISNA(VLOOKUP(A32,'Données projet'!$A$269:$I$289,6,0)),0%,VLOOKUP(A32,'Données projet'!$A$269:$I$289,6,0)*VLOOKUP('Données projet'!$B$18,Paramètres!$A$1:$I$88,7,0))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projet'!$B$18,Paramètres!$A$1:$I$88,3,0)*0.475*44/12</f>
        <v>#N/A</v>
      </c>
      <c r="HH32" s="23" t="e">
        <f>EXP(-LN(2)/25)*HH31+(1-EXP(-LN(2)/25))/(LN(2)/25)*Calculateur!HC32*Calculateur!HE32*VLOOKUP('Données projet'!$B$18,Paramètres!$A$1:$I$88,3,0)*0.475*44/12</f>
        <v>#N/A</v>
      </c>
      <c r="HI32" s="23" t="e">
        <f>EXP(-LN(2)/2)*HI31+(1-EXP(-LN(2)/2))/(LN(2)/2)*HC32*HF32*VLOOKUP('Données projet'!$B$18,Paramètres!$A$1:$I$88,3,0)*0.475*44/12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224</v>
      </c>
      <c r="L33" s="13">
        <f>VLOOKUP(A33,'Données projet'!$A$35:$I$55,9,0)</f>
        <v>14.166666666666666</v>
      </c>
      <c r="M33" s="13">
        <f t="array" ref="M33">INDEX(L:L,MIN(IF(ISNUMBER(L33:L229),ROW(L33:L229),"")))</f>
        <v>14.166666666666666</v>
      </c>
      <c r="N33" s="14">
        <f>IF('Données projet'!$A$36&gt;35,N32+M33-V32,IF(A33&lt;'Données projet'!$A$36,$K$205^A33,IF(A33='Données projet'!$A$36,'Données projet'!$B$36,N32+M33-V32)))</f>
        <v>223.99999999999994</v>
      </c>
      <c r="O33" s="14">
        <f>N33*VLOOKUP('Données projet'!$B$9,Paramètres!$A$1:$I$88,3,0)*VLOOKUP('Données projet'!$B$9,Paramètres!$A$1:$I$88,5,0)</f>
        <v>139.77599999999995</v>
      </c>
      <c r="P33" s="14">
        <f t="shared" si="33"/>
        <v>36.245685459195258</v>
      </c>
      <c r="Q33" s="22">
        <f t="shared" si="2"/>
        <v>306.57110217476503</v>
      </c>
      <c r="R33" s="62">
        <f t="shared" si="0"/>
        <v>599.90443550809835</v>
      </c>
      <c r="S33" s="62">
        <f ca="1">AVERAGE(OFFSET($R$3,0,0,'Données projet'!$E$9+1,1))-AVERAGE(OFFSET($H$3,0,0,'Données projet'!$E$9+1,1))</f>
        <v>175.05987582828078</v>
      </c>
      <c r="T33" s="62">
        <f t="shared" si="34"/>
        <v>268.54782308462387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53</v>
      </c>
      <c r="W33" s="17">
        <f>IF(ISNA(VLOOKUP(A33,'Données projet'!$A$35:$I$55,5,0)),0%,VLOOKUP(A33,'Données projet'!$A$35:$I$55,5,0)*VLOOKUP('Données projet'!$B$9,Paramètres!$A$1:$I$88,7,0))</f>
        <v>0</v>
      </c>
      <c r="X33" s="17">
        <f>IF(ISNA(VLOOKUP(A33,'Données projet'!$A$35:$I$55,6,0)),0%,VLOOKUP(A33,'Données projet'!$A$35:$I$55,6,0)*VLOOKUP('Données projet'!$B$9,Paramètres!$A$1:$I$88,7,0))</f>
        <v>0.18</v>
      </c>
      <c r="Y33" s="17">
        <f>IF(ISNA(VLOOKUP(A33,'Données projet'!$A$35:$I$55,7,0)),0%,VLOOKUP(A33,'Données projet'!$A$35:$I$55,7,0))</f>
        <v>0.4</v>
      </c>
      <c r="Z33" s="23">
        <f>EXP(-LN(2)/35)*Z32+(1-EXP(-LN(2)/35))/(LN(2)/35)*V33*W33*VLOOKUP('Données projet'!$B$9,Paramètres!$A$1:$I$88,3,0)*0.475*44/12</f>
        <v>0</v>
      </c>
      <c r="AA33" s="23">
        <f>EXP(-LN(2)/25)*AA32+(1-EXP(-LN(2)/25))/(LN(2)/25)*Calculateur!V33*Calculateur!X33*VLOOKUP('Données projet'!$B$9,Paramètres!$A$1:$I$88,3,0)*0.475*44/12</f>
        <v>10.295474101669621</v>
      </c>
      <c r="AB33" s="23">
        <f>EXP(-LN(2)/2)*AB32+(1-EXP(-LN(2)/2))/(LN(2)/2)*V33*Y33*VLOOKUP('Données projet'!$B$9,Paramètres!$A$1:$I$88,3,0)*0.475*44/12</f>
        <v>16.518819881006799</v>
      </c>
      <c r="AC33" s="24">
        <f t="shared" si="3"/>
        <v>26.814293982676418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364</v>
      </c>
      <c r="AG33" s="13">
        <f>VLOOKUP(A33,'Données projet'!$A$61:$I$81,9,0)</f>
        <v>12.133333333333333</v>
      </c>
      <c r="AH33" s="13">
        <f t="array" ref="AH33">INDEX(AG:AG,MIN(IF(ISNUMBER(AG33:AG229),ROW(AG33:AG229),"")))</f>
        <v>12.133333333333333</v>
      </c>
      <c r="AI33" s="14">
        <f>IF('Données projet'!$A$62&gt;35,AI32+AH33-AQ32,IF(A33&lt;'Données projet'!$A$62,$AF$205^A33,IF(A33='Données projet'!$A$62,'Données projet'!$B$62,AI32+AH33-AQ32)))</f>
        <v>364</v>
      </c>
      <c r="AJ33" s="14">
        <f>AI33*VLOOKUP('Données projet'!$B$10,Paramètres!$A$1:$I$88,3,0)*VLOOKUP('Données projet'!$B$10,Paramètres!$A$1:$I$88,5,0)</f>
        <v>175.084</v>
      </c>
      <c r="AK33" s="14">
        <f t="shared" si="35"/>
        <v>44.226710335652932</v>
      </c>
      <c r="AL33" s="22">
        <f t="shared" si="4"/>
        <v>381.96615383459556</v>
      </c>
      <c r="AM33" s="62">
        <f t="shared" si="5"/>
        <v>675.29948716792887</v>
      </c>
      <c r="AN33" s="62">
        <f ca="1">AVERAGE(OFFSET($AM$3,0,0,'Données projet'!$E$10+1,1))-AVERAGE(OFFSET($H$3,0,0,'Données projet'!$E$10+1,1))</f>
        <v>576.61210817354549</v>
      </c>
      <c r="AO33" s="62">
        <f t="shared" si="36"/>
        <v>343.9428747444544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54</v>
      </c>
      <c r="AR33" s="17">
        <f>IF(ISNA(VLOOKUP(A33,'Données projet'!$A$61:$I$81,5,0)),0%,VLOOKUP(A33,'Données projet'!$A$61:$I$81,5,0)*VLOOKUP('Données projet'!$B$10,Paramètres!$A$1:$I$88,7,0))</f>
        <v>0</v>
      </c>
      <c r="AS33" s="17">
        <f>IF(ISNA(VLOOKUP(A33,'Données projet'!$A$61:$I$81,6,0)),0%,VLOOKUP(A33,'Données projet'!$A$61:$I$81,6,0)*VLOOKUP('Données projet'!$B$10,Paramètres!$A$1:$I$88,7,0))</f>
        <v>0.16500000000000001</v>
      </c>
      <c r="AT33" s="17">
        <f>IF(ISNA(VLOOKUP(A33,'Données projet'!$A$61:$I$81,7,0)),0%,VLOOKUP(A33,'Données projet'!$A$61:$I$81,7,0))</f>
        <v>0.4</v>
      </c>
      <c r="AU33" s="23">
        <f>EXP(-LN(2)/35)*AU32+(1-EXP(-LN(2)/35))/(LN(2)/35)*AQ33*AR33*VLOOKUP('Données projet'!$B$10,Paramètres!$A$1:$I$88,3,0)*0.475*44/12</f>
        <v>0</v>
      </c>
      <c r="AV33" s="23">
        <f>EXP(-LN(2)/25)*AV32+(1-EXP(-LN(2)/25))/(LN(2)/25)*Calculateur!AQ33*Calculateur!AS33*VLOOKUP('Données projet'!$B$10,Paramètres!$A$1:$I$88,3,0)*0.475*44/12</f>
        <v>5.6628854758993876</v>
      </c>
      <c r="AW33" s="23">
        <f>EXP(-LN(2)/2)*AW32+(1-EXP(-LN(2)/2))/(LN(2)/2)*AQ33*AT33*VLOOKUP('Données projet'!$B$10,Paramètres!$A$1:$I$88,3,0)*0.475*44/12</f>
        <v>11.763440678380972</v>
      </c>
      <c r="AX33" s="23">
        <f t="shared" si="6"/>
        <v>17.42632615428036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176.8</v>
      </c>
      <c r="BB33" s="13">
        <f>VLOOKUP(A33,'Données projet'!$A$87:$I$107,9,0)</f>
        <v>14.260000000000002</v>
      </c>
      <c r="BC33" s="13">
        <f t="array" ref="BC33">INDEX(BB:BB,MIN(IF(ISNUMBER(BB33:BB229),ROW(BB33:BB229),"")))</f>
        <v>14.260000000000002</v>
      </c>
      <c r="BD33" s="13">
        <f>IF('Données projet'!$A$88&gt;35,BD32+BC33-BL32,IF(A33&lt;'Données projet'!$A$88,$BA$205^A33,IF(A33='Données projet'!$A$88,'Données projet'!$B$88,BD32+BC33-BL32)))</f>
        <v>176.8</v>
      </c>
      <c r="BE33" s="14">
        <f>BD33*VLOOKUP('Données projet'!$B$11,Paramètres!$A$1:$I$88,3,0)*VLOOKUP('Données projet'!$B$11,Paramètres!$A$1:$I$88,5,0)</f>
        <v>140.66208</v>
      </c>
      <c r="BF33" s="14">
        <f t="shared" si="37"/>
        <v>36.448637053108627</v>
      </c>
      <c r="BG33" s="22">
        <f t="shared" si="7"/>
        <v>308.46783220083086</v>
      </c>
      <c r="BH33" s="62">
        <f t="shared" si="8"/>
        <v>601.80116553416417</v>
      </c>
      <c r="BI33" s="62">
        <f ca="1">AVERAGE(OFFSET($BH$3,0,0,'Données projet'!$E$11+1,1))-AVERAGE(OFFSET($H$3,0,0,'Données projet'!$E$11+1,1))</f>
        <v>298.38448036212861</v>
      </c>
      <c r="BJ33" s="62">
        <f t="shared" si="38"/>
        <v>270.4445531106897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projet'!$B$11,Paramètres!$A$1:$I$88,7,0))</f>
        <v>0</v>
      </c>
      <c r="BN33" s="17">
        <f>IF(ISNA(VLOOKUP(A33,'Données projet'!$A$87:$I$107,6,0)),0%,VLOOKUP(A33,'Données projet'!$A$87:$I$107,6,0)*VLOOKUP('Données projet'!$B$11,Paramètres!$A$1:$I$88,7,0))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projet'!$B$11,Paramètres!$A$1:$I$88,3,0)*0.475*44/12</f>
        <v>0</v>
      </c>
      <c r="BQ33" s="23">
        <f>EXP(-LN(2)/25)*BQ32+(1-EXP(-LN(2)/25))/(LN(2)/25)*Calculateur!BL33*Calculateur!BN33*VLOOKUP('Données projet'!$B$11,Paramètres!$A$1:$I$88,3,0)*0.475*44/12</f>
        <v>0</v>
      </c>
      <c r="BR33" s="23">
        <f>EXP(-LN(2)/2)*BR32+(1-EXP(-LN(2)/2))/(LN(2)/2)*BL33*BO33*VLOOKUP('Données projet'!$B$11,Paramètres!$A$1:$I$88,3,0)*0.475*44/12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11.5</v>
      </c>
      <c r="BY33" s="13">
        <f>IF('Données projet'!$A$114&gt;35,BY32+BX33-CG32,IF(A33&lt;'Données projet'!$A$114,$BV$205^A33,IF(A33='Données projet'!$A$114,'Données projet'!$B$114,BY32+BX33-CG32)))</f>
        <v>143.49999999999994</v>
      </c>
      <c r="BZ33" s="14">
        <f>BY33*VLOOKUP('Données projet'!$B$12,Paramètres!$A$1:$I$88,3,0)*VLOOKUP('Données projet'!$B$12,Paramètres!$A$1:$I$88,5,0)</f>
        <v>111.92999999999996</v>
      </c>
      <c r="CA33" s="14">
        <f t="shared" si="39"/>
        <v>29.785246291563833</v>
      </c>
      <c r="CB33" s="22">
        <f t="shared" si="10"/>
        <v>246.82072062447358</v>
      </c>
      <c r="CC33" s="62">
        <f t="shared" si="11"/>
        <v>540.15405395780692</v>
      </c>
      <c r="CD33" s="62">
        <f ca="1">AVERAGE(OFFSET($CC$3,0,0,'Données projet'!$E$12+1,1))-AVERAGE(OFFSET($H$3,0,0,'Données projet'!$E$12+1,1))</f>
        <v>217.32600829266818</v>
      </c>
      <c r="CE33" s="62">
        <f t="shared" si="40"/>
        <v>208.79744153433245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projet'!$B$12,Paramètres!$A$1:$I$88,7,0))</f>
        <v>0</v>
      </c>
      <c r="CI33" s="17">
        <f>IF(ISNA(VLOOKUP(A33,'Données projet'!$A$113:$I$133,6,0)),0%,VLOOKUP(A33,'Données projet'!$A$113:$I$133,6,0)*VLOOKUP('Données projet'!$B$12,Paramètres!$A$1:$I$88,7,0))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projet'!$B$12,Paramètres!$A$1:$I$88,3,0)*0.475*44/12</f>
        <v>0</v>
      </c>
      <c r="CL33" s="23">
        <f>EXP(-LN(2)/25)*CL32+(1-EXP(-LN(2)/25))/(LN(2)/25)*Calculateur!CG33*Calculateur!CI33*VLOOKUP('Données projet'!$B$12,Paramètres!$A$1:$I$88,3,0)*0.475*44/12</f>
        <v>0</v>
      </c>
      <c r="CM33" s="23">
        <f>EXP(-LN(2)/2)*CM32+(1-EXP(-LN(2)/2))/(LN(2)/2)*CG33*CJ33*VLOOKUP('Données projet'!$B$12,Paramètres!$A$1:$I$88,3,0)*0.475*44/12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19.857142857142858</v>
      </c>
      <c r="CT33" s="13">
        <f>IF('Données projet'!$A$140&gt;35,CT32+CS33-DB32,IF(A33&lt;'Données projet'!$A$140,$CQ$205^A33,IF(A33='Données projet'!$A$140,'Données projet'!$B$140,CT32+CS33-DB32)))</f>
        <v>255.71428571428569</v>
      </c>
      <c r="CU33" s="18">
        <f>CT33*VLOOKUP('Données projet'!$B$13,Paramètres!$A$1:$I$88,3,0)*VLOOKUP('Données projet'!$B$13,Paramètres!$A$1:$I$88,5,0)</f>
        <v>142.94428571428571</v>
      </c>
      <c r="CV33" s="14">
        <f t="shared" si="41"/>
        <v>36.970680828333286</v>
      </c>
      <c r="CW33" s="22">
        <f t="shared" si="13"/>
        <v>313.35190006172803</v>
      </c>
      <c r="CX33" s="62">
        <f t="shared" si="14"/>
        <v>606.68523339506135</v>
      </c>
      <c r="CY33" s="62">
        <f ca="1">AVERAGE(OFFSET($CX$3,0,0,'Données projet'!$E$13+1,1))-AVERAGE(OFFSET($H$3,0,0,'Données projet'!$E$13+1,1))</f>
        <v>302.20483575440988</v>
      </c>
      <c r="CZ33" s="62">
        <f t="shared" si="42"/>
        <v>275.32862097158687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projet'!$B$13,Paramètres!$A$1:$I$88,7,0))</f>
        <v>0</v>
      </c>
      <c r="DD33" s="17">
        <f>IF(ISNA(VLOOKUP(A33,'Données projet'!$A$139:$I$159,6,0)),0%,VLOOKUP(A33,'Données projet'!$A$139:$I$159,6,0)*VLOOKUP('Données projet'!$B$13,Paramètres!$A$1:$I$88,7,0))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projet'!$B$13,Paramètres!$A$1:$I$88,3,0)*0.475*44/12</f>
        <v>0</v>
      </c>
      <c r="DG33" s="23">
        <f>EXP(-LN(2)/25)*DG32+(1-EXP(-LN(2)/25))/(LN(2)/25)*Calculateur!DB33*Calculateur!DD33*VLOOKUP('Données projet'!$B$13,Paramètres!$A$1:$I$88,3,0)*0.475*44/12</f>
        <v>13.827224738415012</v>
      </c>
      <c r="DH33" s="23">
        <f>EXP(-LN(2)/2)*DH32+(1-EXP(-LN(2)/2))/(LN(2)/2)*DB33*DE33*VLOOKUP('Données projet'!$B$13,Paramètres!$A$1:$I$88,3,0)*0.475*44/12</f>
        <v>6.7808876995328591</v>
      </c>
      <c r="DI33" s="24">
        <f t="shared" si="15"/>
        <v>20.60811243794787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projet'!$B$14,Paramètres!$A$1:$I$88,3,0)*VLOOKUP('Données projet'!$B$14,Paramètres!$A$1:$I$88,5,0)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projet'!$B$14,Paramètres!$A$1:$I$88,7,0))</f>
        <v>0</v>
      </c>
      <c r="DY33" s="17">
        <f>IF(ISNA(VLOOKUP(A33,'Données projet'!$A$165:$I$185,6,0)),0%,VLOOKUP(A33,'Données projet'!$A$165:$I$185,6,0)*VLOOKUP('Données projet'!$B$14,Paramètres!$A$1:$I$88,7,0))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projet'!$B$14,Paramètres!$A$1:$I$88,3,0)*0.475*44/12</f>
        <v>#N/A</v>
      </c>
      <c r="EB33" s="23" t="e">
        <f>EXP(-LN(2)/25)*EB32+(1-EXP(-LN(2)/25))/(LN(2)/25)*Calculateur!DW33*Calculateur!DY33*VLOOKUP('Données projet'!$B$14,Paramètres!$A$1:$I$88,3,0)*0.475*44/12</f>
        <v>#N/A</v>
      </c>
      <c r="EC33" s="23" t="e">
        <f>EXP(-LN(2)/2)*EC32+(1-EXP(-LN(2)/2))/(LN(2)/2)*DW33*DZ33*VLOOKUP('Données projet'!$B$14,Paramètres!$A$1:$I$88,3,0)*0.475*44/12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projet'!$B$15,Paramètres!$A$1:$I$88,3,0)*VLOOKUP('Données projet'!$B$15,Paramètres!$A$1:$I$88,5,0)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projet'!$B$15,Paramètres!$A$1:$I$88,7,0))</f>
        <v>0</v>
      </c>
      <c r="ET33" s="17">
        <f>IF(ISNA(VLOOKUP(A33,'Données projet'!$A$191:$I$211,6,0)),0%,VLOOKUP(A33,'Données projet'!$A$191:$I$211,6,0)*VLOOKUP('Données projet'!$B$15,Paramètres!$A$1:$I$88,7,0))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projet'!$B$15,Paramètres!$A$1:$I$88,3,0)*0.475*44/12</f>
        <v>#N/A</v>
      </c>
      <c r="EW33" s="23" t="e">
        <f>EXP(-LN(2)/25)*EW32+(1-EXP(-LN(2)/25))/(LN(2)/25)*Calculateur!ER33*Calculateur!ET33*VLOOKUP('Données projet'!$B$15,Paramètres!$A$1:$I$88,3,0)*0.475*44/12</f>
        <v>#N/A</v>
      </c>
      <c r="EX33" s="23" t="e">
        <f>EXP(-LN(2)/2)*EX32+(1-EXP(-LN(2)/2))/(LN(2)/2)*ER33*EU33*VLOOKUP('Données projet'!$B$15,Paramètres!$A$1:$I$88,3,0)*0.475*44/12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projet'!$B$16,Paramètres!$A$1:$I$88,3,0)*VLOOKUP('Données projet'!$B$16,Paramètres!$A$1:$I$88,5,0)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projet'!$B$16,Paramètres!$A$1:$I$88,7,0))</f>
        <v>0</v>
      </c>
      <c r="FO33" s="17">
        <f>IF(ISNA(VLOOKUP(A33,'Données projet'!$A$217:$I$237,6,0)),0%,VLOOKUP(A33,'Données projet'!$A$217:$I$237,6,0)*VLOOKUP('Données projet'!$B$16,Paramètres!$A$1:$I$88,7,0))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projet'!$B$16,Paramètres!$A$1:$I$88,3,0)*0.475*44/12</f>
        <v>#N/A</v>
      </c>
      <c r="FR33" s="23" t="e">
        <f>EXP(-LN(2)/25)*FR32+(1-EXP(-LN(2)/25))/(LN(2)/25)*Calculateur!FM33*Calculateur!FO33*VLOOKUP('Données projet'!$B$16,Paramètres!$A$1:$I$88,3,0)*0.475*44/12</f>
        <v>#N/A</v>
      </c>
      <c r="FS33" s="23" t="e">
        <f>EXP(-LN(2)/2)*FS32+(1-EXP(-LN(2)/2))/(LN(2)/2)*FM33*FP33*VLOOKUP('Données projet'!$B$16,Paramètres!$A$1:$I$88,3,0)*0.475*44/12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projet'!$B$17,Paramètres!$A$1:$I$88,3,0)*VLOOKUP('Données projet'!$B$17,Paramètres!$A$1:$I$88,5,0)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projet'!$B$17,Paramètres!$A$1:$I$88,7,0))</f>
        <v>0</v>
      </c>
      <c r="GJ33" s="17">
        <f>IF(ISNA(VLOOKUP(A33,'Données projet'!$A$243:$I$263,6,0)),0%,VLOOKUP(A33,'Données projet'!$A$243:$I$263,6,0)*VLOOKUP('Données projet'!$B$17,Paramètres!$A$1:$I$88,7,0))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projet'!$B$17,Paramètres!$A$1:$I$88,3,0)*0.475*44/12</f>
        <v>#N/A</v>
      </c>
      <c r="GM33" s="23" t="e">
        <f>EXP(-LN(2)/25)*GM32+(1-EXP(-LN(2)/25))/(LN(2)/25)*Calculateur!GH33*Calculateur!GJ33*VLOOKUP('Données projet'!$B$17,Paramètres!$A$1:$I$88,3,0)*0.475*44/12</f>
        <v>#N/A</v>
      </c>
      <c r="GN33" s="23" t="e">
        <f>EXP(-LN(2)/2)*GN32+(1-EXP(-LN(2)/2))/(LN(2)/2)*GH33*GK33*VLOOKUP('Données projet'!$B$17,Paramètres!$A$1:$I$88,3,0)*0.475*44/12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projet'!$B$18,Paramètres!$A$1:$I$88,3,0)*VLOOKUP('Données projet'!$B$18,Paramètres!$A$1:$I$88,5,0)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projet'!$B$18,Paramètres!$A$1:$I$88,7,0))</f>
        <v>0</v>
      </c>
      <c r="HE33" s="17">
        <f>IF(ISNA(VLOOKUP(A33,'Données projet'!$A$269:$I$289,6,0)),0%,VLOOKUP(A33,'Données projet'!$A$269:$I$289,6,0)*VLOOKUP('Données projet'!$B$18,Paramètres!$A$1:$I$88,7,0))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projet'!$B$18,Paramètres!$A$1:$I$88,3,0)*0.475*44/12</f>
        <v>#N/A</v>
      </c>
      <c r="HH33" s="23" t="e">
        <f>EXP(-LN(2)/25)*HH32+(1-EXP(-LN(2)/25))/(LN(2)/25)*Calculateur!HC33*Calculateur!HE33*VLOOKUP('Données projet'!$B$18,Paramètres!$A$1:$I$88,3,0)*0.475*44/12</f>
        <v>#N/A</v>
      </c>
      <c r="HI33" s="23" t="e">
        <f>EXP(-LN(2)/2)*HI32+(1-EXP(-LN(2)/2))/(LN(2)/2)*HC33*HF33*VLOOKUP('Données projet'!$B$18,Paramètres!$A$1:$I$88,3,0)*0.475*44/12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12.833333333333334</v>
      </c>
      <c r="N34" s="14">
        <f>IF('Données projet'!$A$36&gt;35,N33+M34-V33,IF(A34&lt;'Données projet'!$A$36,$K$205^A34,IF(A34='Données projet'!$A$36,'Données projet'!$B$36,N33+M34-V33)))</f>
        <v>183.83333333333329</v>
      </c>
      <c r="O34" s="14">
        <f>N34*VLOOKUP('Données projet'!$B$9,Paramètres!$A$1:$I$88,3,0)*VLOOKUP('Données projet'!$B$9,Paramètres!$A$1:$I$88,5,0)</f>
        <v>114.71199999999997</v>
      </c>
      <c r="P34" s="14">
        <f t="shared" si="33"/>
        <v>30.438443898016164</v>
      </c>
      <c r="Q34" s="22">
        <f t="shared" si="2"/>
        <v>252.80368978904474</v>
      </c>
      <c r="R34" s="62">
        <f t="shared" si="0"/>
        <v>546.13702312237808</v>
      </c>
      <c r="S34" s="62">
        <f ca="1">AVERAGE(OFFSET($R$3,0,0,'Données projet'!$E$9+1,1))-AVERAGE(OFFSET($H$3,0,0,'Données projet'!$E$9+1,1))</f>
        <v>175.05987582828078</v>
      </c>
      <c r="T34" s="62">
        <f t="shared" si="34"/>
        <v>268.54782308462387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projet'!$B$9,Paramètres!$A$1:$I$88,7,0))</f>
        <v>0</v>
      </c>
      <c r="X34" s="17">
        <f>IF(ISNA(VLOOKUP(A34,'Données projet'!$A$35:$I$55,6,0)),0%,VLOOKUP(A34,'Données projet'!$A$35:$I$55,6,0)*VLOOKUP('Données projet'!$B$9,Paramètres!$A$1:$I$88,7,0))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projet'!$B$9,Paramètres!$A$1:$I$88,3,0)*0.475*44/12</f>
        <v>0</v>
      </c>
      <c r="AA34" s="23">
        <f>EXP(-LN(2)/25)*AA33+(1-EXP(-LN(2)/25))/(LN(2)/25)*Calculateur!V34*Calculateur!X34*VLOOKUP('Données projet'!$B$9,Paramètres!$A$1:$I$88,3,0)*0.475*44/12</f>
        <v>10.013943820944013</v>
      </c>
      <c r="AB34" s="23">
        <f>EXP(-LN(2)/2)*AB33+(1-EXP(-LN(2)/2))/(LN(2)/2)*V34*Y34*VLOOKUP('Données projet'!$B$9,Paramètres!$A$1:$I$88,3,0)*0.475*44/12</f>
        <v>11.680569555059066</v>
      </c>
      <c r="AC34" s="24">
        <f t="shared" si="3"/>
        <v>21.69451337600308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25.733333333333334</v>
      </c>
      <c r="AI34" s="14">
        <f>IF('Données projet'!$A$62&gt;35,AI33+AH34-AQ33,IF(A34&lt;'Données projet'!$A$62,$AF$205^A34,IF(A34='Données projet'!$A$62,'Données projet'!$B$62,AI33+AH34-AQ33)))</f>
        <v>335.73333333333335</v>
      </c>
      <c r="AJ34" s="14">
        <f>AI34*VLOOKUP('Données projet'!$B$10,Paramètres!$A$1:$I$88,3,0)*VLOOKUP('Données projet'!$B$10,Paramètres!$A$1:$I$88,5,0)</f>
        <v>161.48773333333335</v>
      </c>
      <c r="AK34" s="14">
        <f t="shared" si="35"/>
        <v>41.177896844112098</v>
      </c>
      <c r="AL34" s="22">
        <f t="shared" si="4"/>
        <v>352.97597255905083</v>
      </c>
      <c r="AM34" s="62">
        <f t="shared" si="5"/>
        <v>646.30930589238415</v>
      </c>
      <c r="AN34" s="62">
        <f ca="1">AVERAGE(OFFSET($AM$3,0,0,'Données projet'!$E$10+1,1))-AVERAGE(OFFSET($H$3,0,0,'Données projet'!$E$10+1,1))</f>
        <v>576.61210817354549</v>
      </c>
      <c r="AO34" s="62">
        <f t="shared" si="36"/>
        <v>343.9428747444544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projet'!$B$10,Paramètres!$A$1:$I$88,7,0))</f>
        <v>0</v>
      </c>
      <c r="AS34" s="17">
        <f>IF(ISNA(VLOOKUP(A34,'Données projet'!$A$61:$I$81,6,0)),0%,VLOOKUP(A34,'Données projet'!$A$61:$I$81,6,0)*VLOOKUP('Données projet'!$B$10,Paramètres!$A$1:$I$88,7,0))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projet'!$B$10,Paramètres!$A$1:$I$88,3,0)*0.475*44/12</f>
        <v>0</v>
      </c>
      <c r="AV34" s="23">
        <f>EXP(-LN(2)/25)*AV33+(1-EXP(-LN(2)/25))/(LN(2)/25)*Calculateur!AQ34*Calculateur!AS34*VLOOKUP('Données projet'!$B$10,Paramètres!$A$1:$I$88,3,0)*0.475*44/12</f>
        <v>5.508033574762714</v>
      </c>
      <c r="AW34" s="23">
        <f>EXP(-LN(2)/2)*AW33+(1-EXP(-LN(2)/2))/(LN(2)/2)*AQ34*AT34*VLOOKUP('Données projet'!$B$10,Paramètres!$A$1:$I$88,3,0)*0.475*44/12</f>
        <v>8.3180086737688672</v>
      </c>
      <c r="AX34" s="23">
        <f t="shared" si="6"/>
        <v>13.826042248531582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12.919999999999998</v>
      </c>
      <c r="BD34" s="13">
        <f>IF('Données projet'!$A$88&gt;35,BD33+BC34-BL33,IF(A34&lt;'Données projet'!$A$88,$BA$205^A34,IF(A34='Données projet'!$A$88,'Données projet'!$B$88,BD33+BC34-BL33)))</f>
        <v>189.72</v>
      </c>
      <c r="BE34" s="14">
        <f>BD34*VLOOKUP('Données projet'!$B$11,Paramètres!$A$1:$I$88,3,0)*VLOOKUP('Données projet'!$B$11,Paramètres!$A$1:$I$88,5,0)</f>
        <v>150.94123200000001</v>
      </c>
      <c r="BF34" s="14">
        <f t="shared" si="37"/>
        <v>38.792406036886817</v>
      </c>
      <c r="BG34" s="22">
        <f t="shared" si="7"/>
        <v>330.45275291424451</v>
      </c>
      <c r="BH34" s="62">
        <f t="shared" si="8"/>
        <v>623.78608624757783</v>
      </c>
      <c r="BI34" s="62">
        <f ca="1">AVERAGE(OFFSET($BH$3,0,0,'Données projet'!$E$11+1,1))-AVERAGE(OFFSET($H$3,0,0,'Données projet'!$E$11+1,1))</f>
        <v>298.38448036212861</v>
      </c>
      <c r="BJ34" s="62">
        <f t="shared" si="38"/>
        <v>270.4445531106897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projet'!$B$11,Paramètres!$A$1:$I$88,7,0))</f>
        <v>0</v>
      </c>
      <c r="BN34" s="17">
        <f>IF(ISNA(VLOOKUP(A34,'Données projet'!$A$87:$I$107,6,0)),0%,VLOOKUP(A34,'Données projet'!$A$87:$I$107,6,0)*VLOOKUP('Données projet'!$B$11,Paramètres!$A$1:$I$88,7,0))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projet'!$B$11,Paramètres!$A$1:$I$88,3,0)*0.475*44/12</f>
        <v>0</v>
      </c>
      <c r="BQ34" s="23">
        <f>EXP(-LN(2)/25)*BQ33+(1-EXP(-LN(2)/25))/(LN(2)/25)*Calculateur!BL34*Calculateur!BN34*VLOOKUP('Données projet'!$B$11,Paramètres!$A$1:$I$88,3,0)*0.475*44/12</f>
        <v>0</v>
      </c>
      <c r="BR34" s="23">
        <f>EXP(-LN(2)/2)*BR33+(1-EXP(-LN(2)/2))/(LN(2)/2)*BL34*BO34*VLOOKUP('Données projet'!$B$11,Paramètres!$A$1:$I$88,3,0)*0.475*44/12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>
        <f>VLOOKUP(A34,'Données projet'!$A$113:$I$133,2,0)</f>
        <v>155</v>
      </c>
      <c r="BW34" s="13">
        <f>VLOOKUP(A34,'Données projet'!$A$113:$I$133,9,0)</f>
        <v>11.5</v>
      </c>
      <c r="BX34" s="13">
        <f t="array" ref="BX34">INDEX(BW:BW,MIN(IF(ISNUMBER(BW34:BW230),ROW(BW34:BW230),"")))</f>
        <v>11.5</v>
      </c>
      <c r="BY34" s="13">
        <f>IF('Données projet'!$A$114&gt;35,BY33+BX34-CG33,IF(A34&lt;'Données projet'!$A$114,$BV$205^A34,IF(A34='Données projet'!$A$114,'Données projet'!$B$114,BY33+BX34-CG33)))</f>
        <v>154.99999999999994</v>
      </c>
      <c r="BZ34" s="14">
        <f>BY34*VLOOKUP('Données projet'!$B$12,Paramètres!$A$1:$I$88,3,0)*VLOOKUP('Données projet'!$B$12,Paramètres!$A$1:$I$88,5,0)</f>
        <v>120.89999999999996</v>
      </c>
      <c r="CA34" s="14">
        <f t="shared" si="39"/>
        <v>31.884818143351602</v>
      </c>
      <c r="CB34" s="22">
        <f t="shared" si="10"/>
        <v>266.10022493300397</v>
      </c>
      <c r="CC34" s="62">
        <f t="shared" si="11"/>
        <v>559.43355826633729</v>
      </c>
      <c r="CD34" s="62">
        <f ca="1">AVERAGE(OFFSET($CC$3,0,0,'Données projet'!$E$12+1,1))-AVERAGE(OFFSET($H$3,0,0,'Données projet'!$E$12+1,1))</f>
        <v>217.32600829266818</v>
      </c>
      <c r="CE34" s="62">
        <f t="shared" si="40"/>
        <v>208.79744153433245</v>
      </c>
      <c r="CF34" s="16">
        <f>IF(ISNA(VLOOKUP(A34,'Données projet'!$A$113:$I$133,3,0)),0,VLOOKUP(A34,'Données projet'!$A$113:$I$133,3,0))</f>
        <v>3</v>
      </c>
      <c r="CG34" s="16">
        <f>IF(ISNA(VLOOKUP(A34,'Données projet'!$A$113:$I$133,4,0)),0,VLOOKUP(A34,'Données projet'!$A$113:$I$133,4,0))</f>
        <v>36</v>
      </c>
      <c r="CH34" s="17">
        <f>IF(ISNA(VLOOKUP(A34,'Données projet'!$A$113:$I$133,5,0)),0%,VLOOKUP(A34,'Données projet'!$A$113:$I$133,5,0)*VLOOKUP('Données projet'!$B$12,Paramètres!$A$1:$I$88,7,0))</f>
        <v>0</v>
      </c>
      <c r="CI34" s="17">
        <f>IF(ISNA(VLOOKUP(A34,'Données projet'!$A$113:$I$133,6,0)),0%,VLOOKUP(A34,'Données projet'!$A$113:$I$133,6,0)*VLOOKUP('Données projet'!$B$12,Paramètres!$A$1:$I$88,7,0))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projet'!$B$12,Paramètres!$A$1:$I$88,3,0)*0.475*44/12</f>
        <v>0</v>
      </c>
      <c r="CL34" s="23">
        <f>EXP(-LN(2)/25)*CL33+(1-EXP(-LN(2)/25))/(LN(2)/25)*Calculateur!CG34*Calculateur!CI34*VLOOKUP('Données projet'!$B$12,Paramètres!$A$1:$I$88,3,0)*0.475*44/12</f>
        <v>0</v>
      </c>
      <c r="CM34" s="23">
        <f>EXP(-LN(2)/2)*CM33+(1-EXP(-LN(2)/2))/(LN(2)/2)*CG34*CJ34*VLOOKUP('Données projet'!$B$12,Paramètres!$A$1:$I$88,3,0)*0.475*44/12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19.857142857142858</v>
      </c>
      <c r="CT34" s="13">
        <f>IF('Données projet'!$A$140&gt;35,CT33+CS34-DB33,IF(A34&lt;'Données projet'!$A$140,$CQ$205^A34,IF(A34='Données projet'!$A$140,'Données projet'!$B$140,CT33+CS34-DB33)))</f>
        <v>275.57142857142856</v>
      </c>
      <c r="CU34" s="18">
        <f>CT34*VLOOKUP('Données projet'!$B$13,Paramètres!$A$1:$I$88,3,0)*VLOOKUP('Données projet'!$B$13,Paramètres!$A$1:$I$88,5,0)</f>
        <v>154.04442857142857</v>
      </c>
      <c r="CV34" s="14">
        <f t="shared" si="41"/>
        <v>39.496268491280283</v>
      </c>
      <c r="CW34" s="22">
        <f t="shared" si="13"/>
        <v>337.08338071755128</v>
      </c>
      <c r="CX34" s="62">
        <f t="shared" si="14"/>
        <v>630.41671405088459</v>
      </c>
      <c r="CY34" s="62">
        <f ca="1">AVERAGE(OFFSET($CX$3,0,0,'Données projet'!$E$13+1,1))-AVERAGE(OFFSET($H$3,0,0,'Données projet'!$E$13+1,1))</f>
        <v>302.20483575440988</v>
      </c>
      <c r="CZ34" s="62">
        <f t="shared" si="42"/>
        <v>275.32862097158687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projet'!$B$13,Paramètres!$A$1:$I$88,7,0))</f>
        <v>0</v>
      </c>
      <c r="DD34" s="17">
        <f>IF(ISNA(VLOOKUP(A34,'Données projet'!$A$139:$I$159,6,0)),0%,VLOOKUP(A34,'Données projet'!$A$139:$I$159,6,0)*VLOOKUP('Données projet'!$B$13,Paramètres!$A$1:$I$88,7,0))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projet'!$B$13,Paramètres!$A$1:$I$88,3,0)*0.475*44/12</f>
        <v>0</v>
      </c>
      <c r="DG34" s="23">
        <f>EXP(-LN(2)/25)*DG33+(1-EXP(-LN(2)/25))/(LN(2)/25)*Calculateur!DB34*Calculateur!DD34*VLOOKUP('Données projet'!$B$13,Paramètres!$A$1:$I$88,3,0)*0.475*44/12</f>
        <v>13.449118550800907</v>
      </c>
      <c r="DH34" s="23">
        <f>EXP(-LN(2)/2)*DH33+(1-EXP(-LN(2)/2))/(LN(2)/2)*DB34*DE34*VLOOKUP('Données projet'!$B$13,Paramètres!$A$1:$I$88,3,0)*0.475*44/12</f>
        <v>4.7948116748041336</v>
      </c>
      <c r="DI34" s="24">
        <f t="shared" si="15"/>
        <v>18.243930225605041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projet'!$B$14,Paramètres!$A$1:$I$88,3,0)*VLOOKUP('Données projet'!$B$14,Paramètres!$A$1:$I$88,5,0)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projet'!$B$14,Paramètres!$A$1:$I$88,7,0))</f>
        <v>0</v>
      </c>
      <c r="DY34" s="17">
        <f>IF(ISNA(VLOOKUP(A34,'Données projet'!$A$165:$I$185,6,0)),0%,VLOOKUP(A34,'Données projet'!$A$165:$I$185,6,0)*VLOOKUP('Données projet'!$B$14,Paramètres!$A$1:$I$88,7,0))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projet'!$B$14,Paramètres!$A$1:$I$88,3,0)*0.475*44/12</f>
        <v>#N/A</v>
      </c>
      <c r="EB34" s="23" t="e">
        <f>EXP(-LN(2)/25)*EB33+(1-EXP(-LN(2)/25))/(LN(2)/25)*Calculateur!DW34*Calculateur!DY34*VLOOKUP('Données projet'!$B$14,Paramètres!$A$1:$I$88,3,0)*0.475*44/12</f>
        <v>#N/A</v>
      </c>
      <c r="EC34" s="23" t="e">
        <f>EXP(-LN(2)/2)*EC33+(1-EXP(-LN(2)/2))/(LN(2)/2)*DW34*DZ34*VLOOKUP('Données projet'!$B$14,Paramètres!$A$1:$I$88,3,0)*0.475*44/12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projet'!$B$15,Paramètres!$A$1:$I$88,3,0)*VLOOKUP('Données projet'!$B$15,Paramètres!$A$1:$I$88,5,0)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projet'!$B$15,Paramètres!$A$1:$I$88,7,0))</f>
        <v>0</v>
      </c>
      <c r="ET34" s="17">
        <f>IF(ISNA(VLOOKUP(A34,'Données projet'!$A$191:$I$211,6,0)),0%,VLOOKUP(A34,'Données projet'!$A$191:$I$211,6,0)*VLOOKUP('Données projet'!$B$15,Paramètres!$A$1:$I$88,7,0))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projet'!$B$15,Paramètres!$A$1:$I$88,3,0)*0.475*44/12</f>
        <v>#N/A</v>
      </c>
      <c r="EW34" s="23" t="e">
        <f>EXP(-LN(2)/25)*EW33+(1-EXP(-LN(2)/25))/(LN(2)/25)*Calculateur!ER34*Calculateur!ET34*VLOOKUP('Données projet'!$B$15,Paramètres!$A$1:$I$88,3,0)*0.475*44/12</f>
        <v>#N/A</v>
      </c>
      <c r="EX34" s="23" t="e">
        <f>EXP(-LN(2)/2)*EX33+(1-EXP(-LN(2)/2))/(LN(2)/2)*ER34*EU34*VLOOKUP('Données projet'!$B$15,Paramètres!$A$1:$I$88,3,0)*0.475*44/12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projet'!$B$16,Paramètres!$A$1:$I$88,3,0)*VLOOKUP('Données projet'!$B$16,Paramètres!$A$1:$I$88,5,0)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projet'!$B$16,Paramètres!$A$1:$I$88,7,0))</f>
        <v>0</v>
      </c>
      <c r="FO34" s="17">
        <f>IF(ISNA(VLOOKUP(A34,'Données projet'!$A$217:$I$237,6,0)),0%,VLOOKUP(A34,'Données projet'!$A$217:$I$237,6,0)*VLOOKUP('Données projet'!$B$16,Paramètres!$A$1:$I$88,7,0))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projet'!$B$16,Paramètres!$A$1:$I$88,3,0)*0.475*44/12</f>
        <v>#N/A</v>
      </c>
      <c r="FR34" s="23" t="e">
        <f>EXP(-LN(2)/25)*FR33+(1-EXP(-LN(2)/25))/(LN(2)/25)*Calculateur!FM34*Calculateur!FO34*VLOOKUP('Données projet'!$B$16,Paramètres!$A$1:$I$88,3,0)*0.475*44/12</f>
        <v>#N/A</v>
      </c>
      <c r="FS34" s="23" t="e">
        <f>EXP(-LN(2)/2)*FS33+(1-EXP(-LN(2)/2))/(LN(2)/2)*FM34*FP34*VLOOKUP('Données projet'!$B$16,Paramètres!$A$1:$I$88,3,0)*0.475*44/12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projet'!$B$17,Paramètres!$A$1:$I$88,3,0)*VLOOKUP('Données projet'!$B$17,Paramètres!$A$1:$I$88,5,0)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projet'!$B$17,Paramètres!$A$1:$I$88,7,0))</f>
        <v>0</v>
      </c>
      <c r="GJ34" s="17">
        <f>IF(ISNA(VLOOKUP(A34,'Données projet'!$A$243:$I$263,6,0)),0%,VLOOKUP(A34,'Données projet'!$A$243:$I$263,6,0)*VLOOKUP('Données projet'!$B$17,Paramètres!$A$1:$I$88,7,0))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projet'!$B$17,Paramètres!$A$1:$I$88,3,0)*0.475*44/12</f>
        <v>#N/A</v>
      </c>
      <c r="GM34" s="23" t="e">
        <f>EXP(-LN(2)/25)*GM33+(1-EXP(-LN(2)/25))/(LN(2)/25)*Calculateur!GH34*Calculateur!GJ34*VLOOKUP('Données projet'!$B$17,Paramètres!$A$1:$I$88,3,0)*0.475*44/12</f>
        <v>#N/A</v>
      </c>
      <c r="GN34" s="23" t="e">
        <f>EXP(-LN(2)/2)*GN33+(1-EXP(-LN(2)/2))/(LN(2)/2)*GH34*GK34*VLOOKUP('Données projet'!$B$17,Paramètres!$A$1:$I$88,3,0)*0.475*44/12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projet'!$B$18,Paramètres!$A$1:$I$88,3,0)*VLOOKUP('Données projet'!$B$18,Paramètres!$A$1:$I$88,5,0)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projet'!$B$18,Paramètres!$A$1:$I$88,7,0))</f>
        <v>0</v>
      </c>
      <c r="HE34" s="17">
        <f>IF(ISNA(VLOOKUP(A34,'Données projet'!$A$269:$I$289,6,0)),0%,VLOOKUP(A34,'Données projet'!$A$269:$I$289,6,0)*VLOOKUP('Données projet'!$B$18,Paramètres!$A$1:$I$88,7,0))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projet'!$B$18,Paramètres!$A$1:$I$88,3,0)*0.475*44/12</f>
        <v>#N/A</v>
      </c>
      <c r="HH34" s="23" t="e">
        <f>EXP(-LN(2)/25)*HH33+(1-EXP(-LN(2)/25))/(LN(2)/25)*Calculateur!HC34*Calculateur!HE34*VLOOKUP('Données projet'!$B$18,Paramètres!$A$1:$I$88,3,0)*0.475*44/12</f>
        <v>#N/A</v>
      </c>
      <c r="HI34" s="23" t="e">
        <f>EXP(-LN(2)/2)*HI33+(1-EXP(-LN(2)/2))/(LN(2)/2)*HC34*HF34*VLOOKUP('Données projet'!$B$18,Paramètres!$A$1:$I$88,3,0)*0.475*44/12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12.833333333333334</v>
      </c>
      <c r="N35" s="14">
        <f>IF('Données projet'!$A$36&gt;35,N34+M35-V34,IF(A35&lt;'Données projet'!$A$36,$K$205^A35,IF(A35='Données projet'!$A$36,'Données projet'!$B$36,N34+M35-V34)))</f>
        <v>196.66666666666663</v>
      </c>
      <c r="O35" s="14">
        <f>N35*VLOOKUP('Données projet'!$B$9,Paramètres!$A$1:$I$88,3,0)*VLOOKUP('Données projet'!$B$9,Paramètres!$A$1:$I$88,5,0)</f>
        <v>122.71999999999997</v>
      </c>
      <c r="P35" s="14">
        <f t="shared" si="33"/>
        <v>32.308564708068729</v>
      </c>
      <c r="Q35" s="22">
        <f t="shared" ref="Q35:Q66" si="53">(O35+P35)*0.475*44/12</f>
        <v>270.00808353321963</v>
      </c>
      <c r="R35" s="62">
        <f t="shared" si="0"/>
        <v>563.34141686655289</v>
      </c>
      <c r="S35" s="62">
        <f ca="1">AVERAGE(OFFSET($R$3,0,0,'Données projet'!$E$9+1,1))-AVERAGE(OFFSET($H$3,0,0,'Données projet'!$E$9+1,1))</f>
        <v>175.05987582828078</v>
      </c>
      <c r="T35" s="62">
        <f t="shared" si="34"/>
        <v>268.54782308462387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projet'!$B$9,Paramètres!$A$1:$I$88,7,0))</f>
        <v>0</v>
      </c>
      <c r="X35" s="17">
        <f>IF(ISNA(VLOOKUP(A35,'Données projet'!$A$35:$I$55,6,0)),0%,VLOOKUP(A35,'Données projet'!$A$35:$I$55,6,0)*VLOOKUP('Données projet'!$B$9,Paramètres!$A$1:$I$88,7,0))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projet'!$B$9,Paramètres!$A$1:$I$88,3,0)*0.475*44/12</f>
        <v>0</v>
      </c>
      <c r="AA35" s="23">
        <f>EXP(-LN(2)/25)*AA34+(1-EXP(-LN(2)/25))/(LN(2)/25)*Calculateur!V35*Calculateur!X35*VLOOKUP('Données projet'!$B$9,Paramètres!$A$1:$I$88,3,0)*0.475*44/12</f>
        <v>9.74011200054988</v>
      </c>
      <c r="AB35" s="23">
        <f>EXP(-LN(2)/2)*AB34+(1-EXP(-LN(2)/2))/(LN(2)/2)*V35*Y35*VLOOKUP('Données projet'!$B$9,Paramètres!$A$1:$I$88,3,0)*0.475*44/12</f>
        <v>8.2594099405033994</v>
      </c>
      <c r="AC35" s="24">
        <f t="shared" si="3"/>
        <v>17.999521941053281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25.733333333333334</v>
      </c>
      <c r="AI35" s="14">
        <f>IF('Données projet'!$A$62&gt;35,AI34+AH35-AQ34,IF(A35&lt;'Données projet'!$A$62,$AF$205^A35,IF(A35='Données projet'!$A$62,'Données projet'!$B$62,AI34+AH35-AQ34)))</f>
        <v>361.4666666666667</v>
      </c>
      <c r="AJ35" s="14">
        <f>AI35*VLOOKUP('Données projet'!$B$10,Paramètres!$A$1:$I$88,3,0)*VLOOKUP('Données projet'!$B$10,Paramètres!$A$1:$I$88,5,0)</f>
        <v>173.86546666666669</v>
      </c>
      <c r="AK35" s="14">
        <f t="shared" si="35"/>
        <v>43.954623435592644</v>
      </c>
      <c r="AL35" s="22">
        <f t="shared" si="4"/>
        <v>379.36999026143502</v>
      </c>
      <c r="AM35" s="62">
        <f t="shared" si="5"/>
        <v>672.70332359476834</v>
      </c>
      <c r="AN35" s="62">
        <f ca="1">AVERAGE(OFFSET($AM$3,0,0,'Données projet'!$E$10+1,1))-AVERAGE(OFFSET($H$3,0,0,'Données projet'!$E$10+1,1))</f>
        <v>576.61210817354549</v>
      </c>
      <c r="AO35" s="62">
        <f t="shared" si="36"/>
        <v>343.9428747444544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projet'!$B$10,Paramètres!$A$1:$I$88,7,0))</f>
        <v>0</v>
      </c>
      <c r="AS35" s="17">
        <f>IF(ISNA(VLOOKUP(A35,'Données projet'!$A$61:$I$81,6,0)),0%,VLOOKUP(A35,'Données projet'!$A$61:$I$81,6,0)*VLOOKUP('Données projet'!$B$10,Paramètres!$A$1:$I$88,7,0))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projet'!$B$10,Paramètres!$A$1:$I$88,3,0)*0.475*44/12</f>
        <v>0</v>
      </c>
      <c r="AV35" s="23">
        <f>EXP(-LN(2)/25)*AV34+(1-EXP(-LN(2)/25))/(LN(2)/25)*Calculateur!AQ35*Calculateur!AS35*VLOOKUP('Données projet'!$B$10,Paramètres!$A$1:$I$88,3,0)*0.475*44/12</f>
        <v>5.357416107005931</v>
      </c>
      <c r="AW35" s="23">
        <f>EXP(-LN(2)/2)*AW34+(1-EXP(-LN(2)/2))/(LN(2)/2)*AQ35*AT35*VLOOKUP('Données projet'!$B$10,Paramètres!$A$1:$I$88,3,0)*0.475*44/12</f>
        <v>5.8817203391904869</v>
      </c>
      <c r="AX35" s="23">
        <f t="shared" si="6"/>
        <v>11.239136446196419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12.919999999999998</v>
      </c>
      <c r="BD35" s="13">
        <f>IF('Données projet'!$A$88&gt;35,BD34+BC35-BL34,IF(A35&lt;'Données projet'!$A$88,$BA$205^A35,IF(A35='Données projet'!$A$88,'Données projet'!$B$88,BD34+BC35-BL34)))</f>
        <v>202.64</v>
      </c>
      <c r="BE35" s="14">
        <f>BD35*VLOOKUP('Données projet'!$B$11,Paramètres!$A$1:$I$88,3,0)*VLOOKUP('Données projet'!$B$11,Paramètres!$A$1:$I$88,5,0)</f>
        <v>161.220384</v>
      </c>
      <c r="BF35" s="14">
        <f t="shared" si="37"/>
        <v>41.117654577426968</v>
      </c>
      <c r="BG35" s="22">
        <f t="shared" si="7"/>
        <v>352.40541718901864</v>
      </c>
      <c r="BH35" s="62">
        <f t="shared" si="8"/>
        <v>645.73875052235189</v>
      </c>
      <c r="BI35" s="62">
        <f ca="1">AVERAGE(OFFSET($BH$3,0,0,'Données projet'!$E$11+1,1))-AVERAGE(OFFSET($H$3,0,0,'Données projet'!$E$11+1,1))</f>
        <v>298.38448036212861</v>
      </c>
      <c r="BJ35" s="62">
        <f t="shared" si="38"/>
        <v>270.4445531106897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projet'!$B$11,Paramètres!$A$1:$I$88,7,0))</f>
        <v>0</v>
      </c>
      <c r="BN35" s="17">
        <f>IF(ISNA(VLOOKUP(A35,'Données projet'!$A$87:$I$107,6,0)),0%,VLOOKUP(A35,'Données projet'!$A$87:$I$107,6,0)*VLOOKUP('Données projet'!$B$11,Paramètres!$A$1:$I$88,7,0))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projet'!$B$11,Paramètres!$A$1:$I$88,3,0)*0.475*44/12</f>
        <v>0</v>
      </c>
      <c r="BQ35" s="23">
        <f>EXP(-LN(2)/25)*BQ34+(1-EXP(-LN(2)/25))/(LN(2)/25)*Calculateur!BL35*Calculateur!BN35*VLOOKUP('Données projet'!$B$11,Paramètres!$A$1:$I$88,3,0)*0.475*44/12</f>
        <v>0</v>
      </c>
      <c r="BR35" s="23">
        <f>EXP(-LN(2)/2)*BR34+(1-EXP(-LN(2)/2))/(LN(2)/2)*BL35*BO35*VLOOKUP('Données projet'!$B$11,Paramètres!$A$1:$I$88,3,0)*0.475*44/12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11.5</v>
      </c>
      <c r="BY35" s="13">
        <f>IF('Données projet'!$A$114&gt;35,BY34+BX35-CG34,IF(A35&lt;'Données projet'!$A$114,$BV$205^A35,IF(A35='Données projet'!$A$114,'Données projet'!$B$114,BY34+BX35-CG34)))</f>
        <v>130.49999999999994</v>
      </c>
      <c r="BZ35" s="14">
        <f>BY35*VLOOKUP('Données projet'!$B$12,Paramètres!$A$1:$I$88,3,0)*VLOOKUP('Données projet'!$B$12,Paramètres!$A$1:$I$88,5,0)</f>
        <v>101.78999999999996</v>
      </c>
      <c r="CA35" s="14">
        <f t="shared" si="39"/>
        <v>27.38799903683508</v>
      </c>
      <c r="CB35" s="22">
        <f t="shared" si="10"/>
        <v>224.98501498915437</v>
      </c>
      <c r="CC35" s="62">
        <f t="shared" si="11"/>
        <v>518.31834832248774</v>
      </c>
      <c r="CD35" s="62">
        <f ca="1">AVERAGE(OFFSET($CC$3,0,0,'Données projet'!$E$12+1,1))-AVERAGE(OFFSET($H$3,0,0,'Données projet'!$E$12+1,1))</f>
        <v>217.32600829266818</v>
      </c>
      <c r="CE35" s="62">
        <f t="shared" si="40"/>
        <v>208.79744153433245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projet'!$B$12,Paramètres!$A$1:$I$88,7,0))</f>
        <v>0</v>
      </c>
      <c r="CI35" s="17">
        <f>IF(ISNA(VLOOKUP(A35,'Données projet'!$A$113:$I$133,6,0)),0%,VLOOKUP(A35,'Données projet'!$A$113:$I$133,6,0)*VLOOKUP('Données projet'!$B$12,Paramètres!$A$1:$I$88,7,0))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projet'!$B$12,Paramètres!$A$1:$I$88,3,0)*0.475*44/12</f>
        <v>0</v>
      </c>
      <c r="CL35" s="23">
        <f>EXP(-LN(2)/25)*CL34+(1-EXP(-LN(2)/25))/(LN(2)/25)*Calculateur!CG35*Calculateur!CI35*VLOOKUP('Données projet'!$B$12,Paramètres!$A$1:$I$88,3,0)*0.475*44/12</f>
        <v>0</v>
      </c>
      <c r="CM35" s="23">
        <f>EXP(-LN(2)/2)*CM34+(1-EXP(-LN(2)/2))/(LN(2)/2)*CG35*CJ35*VLOOKUP('Données projet'!$B$12,Paramètres!$A$1:$I$88,3,0)*0.475*44/12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19.857142857142858</v>
      </c>
      <c r="CT35" s="13">
        <f>IF('Données projet'!$A$140&gt;35,CT34+CS35-DB34,IF(A35&lt;'Données projet'!$A$140,$CQ$205^A35,IF(A35='Données projet'!$A$140,'Données projet'!$B$140,CT34+CS35-DB34)))</f>
        <v>295.42857142857139</v>
      </c>
      <c r="CU35" s="18">
        <f>CT35*VLOOKUP('Données projet'!$B$13,Paramètres!$A$1:$I$88,3,0)*VLOOKUP('Données projet'!$B$13,Paramètres!$A$1:$I$88,5,0)</f>
        <v>165.14457142857142</v>
      </c>
      <c r="CV35" s="14">
        <f t="shared" si="41"/>
        <v>42.000741952671746</v>
      </c>
      <c r="CW35" s="22">
        <f t="shared" si="13"/>
        <v>360.77808747233183</v>
      </c>
      <c r="CX35" s="62">
        <f t="shared" si="14"/>
        <v>654.11142080566515</v>
      </c>
      <c r="CY35" s="62">
        <f ca="1">AVERAGE(OFFSET($CX$3,0,0,'Données projet'!$E$13+1,1))-AVERAGE(OFFSET($H$3,0,0,'Données projet'!$E$13+1,1))</f>
        <v>302.20483575440988</v>
      </c>
      <c r="CZ35" s="62">
        <f t="shared" si="42"/>
        <v>275.32862097158687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projet'!$B$13,Paramètres!$A$1:$I$88,7,0))</f>
        <v>0</v>
      </c>
      <c r="DD35" s="17">
        <f>IF(ISNA(VLOOKUP(A35,'Données projet'!$A$139:$I$159,6,0)),0%,VLOOKUP(A35,'Données projet'!$A$139:$I$159,6,0)*VLOOKUP('Données projet'!$B$13,Paramètres!$A$1:$I$88,7,0))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projet'!$B$13,Paramètres!$A$1:$I$88,3,0)*0.475*44/12</f>
        <v>0</v>
      </c>
      <c r="DG35" s="23">
        <f>EXP(-LN(2)/25)*DG34+(1-EXP(-LN(2)/25))/(LN(2)/25)*Calculateur!DB35*Calculateur!DD35*VLOOKUP('Données projet'!$B$13,Paramètres!$A$1:$I$88,3,0)*0.475*44/12</f>
        <v>13.081351696770851</v>
      </c>
      <c r="DH35" s="23">
        <f>EXP(-LN(2)/2)*DH34+(1-EXP(-LN(2)/2))/(LN(2)/2)*DB35*DE35*VLOOKUP('Données projet'!$B$13,Paramètres!$A$1:$I$88,3,0)*0.475*44/12</f>
        <v>3.3904438497664304</v>
      </c>
      <c r="DI35" s="24">
        <f t="shared" si="15"/>
        <v>16.47179554653728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projet'!$B$14,Paramètres!$A$1:$I$88,3,0)*VLOOKUP('Données projet'!$B$14,Paramètres!$A$1:$I$88,5,0)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projet'!$B$14,Paramètres!$A$1:$I$88,7,0))</f>
        <v>0</v>
      </c>
      <c r="DY35" s="17">
        <f>IF(ISNA(VLOOKUP(A35,'Données projet'!$A$165:$I$185,6,0)),0%,VLOOKUP(A35,'Données projet'!$A$165:$I$185,6,0)*VLOOKUP('Données projet'!$B$14,Paramètres!$A$1:$I$88,7,0))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projet'!$B$14,Paramètres!$A$1:$I$88,3,0)*0.475*44/12</f>
        <v>#N/A</v>
      </c>
      <c r="EB35" s="23" t="e">
        <f>EXP(-LN(2)/25)*EB34+(1-EXP(-LN(2)/25))/(LN(2)/25)*Calculateur!DW35*Calculateur!DY35*VLOOKUP('Données projet'!$B$14,Paramètres!$A$1:$I$88,3,0)*0.475*44/12</f>
        <v>#N/A</v>
      </c>
      <c r="EC35" s="23" t="e">
        <f>EXP(-LN(2)/2)*EC34+(1-EXP(-LN(2)/2))/(LN(2)/2)*DW35*DZ35*VLOOKUP('Données projet'!$B$14,Paramètres!$A$1:$I$88,3,0)*0.475*44/12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projet'!$B$15,Paramètres!$A$1:$I$88,3,0)*VLOOKUP('Données projet'!$B$15,Paramètres!$A$1:$I$88,5,0)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projet'!$B$15,Paramètres!$A$1:$I$88,7,0))</f>
        <v>0</v>
      </c>
      <c r="ET35" s="17">
        <f>IF(ISNA(VLOOKUP(A35,'Données projet'!$A$191:$I$211,6,0)),0%,VLOOKUP(A35,'Données projet'!$A$191:$I$211,6,0)*VLOOKUP('Données projet'!$B$15,Paramètres!$A$1:$I$88,7,0))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projet'!$B$15,Paramètres!$A$1:$I$88,3,0)*0.475*44/12</f>
        <v>#N/A</v>
      </c>
      <c r="EW35" s="23" t="e">
        <f>EXP(-LN(2)/25)*EW34+(1-EXP(-LN(2)/25))/(LN(2)/25)*Calculateur!ER35*Calculateur!ET35*VLOOKUP('Données projet'!$B$15,Paramètres!$A$1:$I$88,3,0)*0.475*44/12</f>
        <v>#N/A</v>
      </c>
      <c r="EX35" s="23" t="e">
        <f>EXP(-LN(2)/2)*EX34+(1-EXP(-LN(2)/2))/(LN(2)/2)*ER35*EU35*VLOOKUP('Données projet'!$B$15,Paramètres!$A$1:$I$88,3,0)*0.475*44/12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projet'!$B$16,Paramètres!$A$1:$I$88,3,0)*VLOOKUP('Données projet'!$B$16,Paramètres!$A$1:$I$88,5,0)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projet'!$B$16,Paramètres!$A$1:$I$88,7,0))</f>
        <v>0</v>
      </c>
      <c r="FO35" s="17">
        <f>IF(ISNA(VLOOKUP(A35,'Données projet'!$A$217:$I$237,6,0)),0%,VLOOKUP(A35,'Données projet'!$A$217:$I$237,6,0)*VLOOKUP('Données projet'!$B$16,Paramètres!$A$1:$I$88,7,0))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projet'!$B$16,Paramètres!$A$1:$I$88,3,0)*0.475*44/12</f>
        <v>#N/A</v>
      </c>
      <c r="FR35" s="23" t="e">
        <f>EXP(-LN(2)/25)*FR34+(1-EXP(-LN(2)/25))/(LN(2)/25)*Calculateur!FM35*Calculateur!FO35*VLOOKUP('Données projet'!$B$16,Paramètres!$A$1:$I$88,3,0)*0.475*44/12</f>
        <v>#N/A</v>
      </c>
      <c r="FS35" s="23" t="e">
        <f>EXP(-LN(2)/2)*FS34+(1-EXP(-LN(2)/2))/(LN(2)/2)*FM35*FP35*VLOOKUP('Données projet'!$B$16,Paramètres!$A$1:$I$88,3,0)*0.475*44/12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projet'!$B$17,Paramètres!$A$1:$I$88,3,0)*VLOOKUP('Données projet'!$B$17,Paramètres!$A$1:$I$88,5,0)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projet'!$B$17,Paramètres!$A$1:$I$88,7,0))</f>
        <v>0</v>
      </c>
      <c r="GJ35" s="17">
        <f>IF(ISNA(VLOOKUP(A35,'Données projet'!$A$243:$I$263,6,0)),0%,VLOOKUP(A35,'Données projet'!$A$243:$I$263,6,0)*VLOOKUP('Données projet'!$B$17,Paramètres!$A$1:$I$88,7,0))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projet'!$B$17,Paramètres!$A$1:$I$88,3,0)*0.475*44/12</f>
        <v>#N/A</v>
      </c>
      <c r="GM35" s="23" t="e">
        <f>EXP(-LN(2)/25)*GM34+(1-EXP(-LN(2)/25))/(LN(2)/25)*Calculateur!GH35*Calculateur!GJ35*VLOOKUP('Données projet'!$B$17,Paramètres!$A$1:$I$88,3,0)*0.475*44/12</f>
        <v>#N/A</v>
      </c>
      <c r="GN35" s="23" t="e">
        <f>EXP(-LN(2)/2)*GN34+(1-EXP(-LN(2)/2))/(LN(2)/2)*GH35*GK35*VLOOKUP('Données projet'!$B$17,Paramètres!$A$1:$I$88,3,0)*0.475*44/12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projet'!$B$18,Paramètres!$A$1:$I$88,3,0)*VLOOKUP('Données projet'!$B$18,Paramètres!$A$1:$I$88,5,0)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projet'!$B$18,Paramètres!$A$1:$I$88,7,0))</f>
        <v>0</v>
      </c>
      <c r="HE35" s="17">
        <f>IF(ISNA(VLOOKUP(A35,'Données projet'!$A$269:$I$289,6,0)),0%,VLOOKUP(A35,'Données projet'!$A$269:$I$289,6,0)*VLOOKUP('Données projet'!$B$18,Paramètres!$A$1:$I$88,7,0))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projet'!$B$18,Paramètres!$A$1:$I$88,3,0)*0.475*44/12</f>
        <v>#N/A</v>
      </c>
      <c r="HH35" s="23" t="e">
        <f>EXP(-LN(2)/25)*HH34+(1-EXP(-LN(2)/25))/(LN(2)/25)*Calculateur!HC35*Calculateur!HE35*VLOOKUP('Données projet'!$B$18,Paramètres!$A$1:$I$88,3,0)*0.475*44/12</f>
        <v>#N/A</v>
      </c>
      <c r="HI35" s="23" t="e">
        <f>EXP(-LN(2)/2)*HI34+(1-EXP(-LN(2)/2))/(LN(2)/2)*HC35*HF35*VLOOKUP('Données projet'!$B$18,Paramètres!$A$1:$I$88,3,0)*0.475*44/12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12.833333333333334</v>
      </c>
      <c r="N36" s="14">
        <f>IF('Données projet'!$A$36&gt;35,N35+M36-V35,IF(A36&lt;'Données projet'!$A$36,$K$205^A36,IF(A36='Données projet'!$A$36,'Données projet'!$B$36,N35+M36-V35)))</f>
        <v>209.49999999999997</v>
      </c>
      <c r="O36" s="14">
        <f>N36*VLOOKUP('Données projet'!$B$9,Paramètres!$A$1:$I$88,3,0)*VLOOKUP('Données projet'!$B$9,Paramètres!$A$1:$I$88,5,0)</f>
        <v>130.72799999999998</v>
      </c>
      <c r="P36" s="14">
        <f t="shared" si="33"/>
        <v>34.164524045585857</v>
      </c>
      <c r="Q36" s="22">
        <f t="shared" si="53"/>
        <v>287.18781271272866</v>
      </c>
      <c r="R36" s="62">
        <f t="shared" si="0"/>
        <v>580.52114604606197</v>
      </c>
      <c r="S36" s="62">
        <f ca="1">AVERAGE(OFFSET($R$3,0,0,'Données projet'!$E$9+1,1))-AVERAGE(OFFSET($H$3,0,0,'Données projet'!$E$9+1,1))</f>
        <v>175.05987582828078</v>
      </c>
      <c r="T36" s="62">
        <f t="shared" si="34"/>
        <v>268.54782308462387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projet'!$B$9,Paramètres!$A$1:$I$88,7,0))</f>
        <v>0</v>
      </c>
      <c r="X36" s="17">
        <f>IF(ISNA(VLOOKUP(A36,'Données projet'!$A$35:$I$55,6,0)),0%,VLOOKUP(A36,'Données projet'!$A$35:$I$55,6,0)*VLOOKUP('Données projet'!$B$9,Paramètres!$A$1:$I$88,7,0))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projet'!$B$9,Paramètres!$A$1:$I$88,3,0)*0.475*44/12</f>
        <v>0</v>
      </c>
      <c r="AA36" s="23">
        <f>EXP(-LN(2)/25)*AA35+(1-EXP(-LN(2)/25))/(LN(2)/25)*Calculateur!V36*Calculateur!X36*VLOOKUP('Données projet'!$B$9,Paramètres!$A$1:$I$88,3,0)*0.475*44/12</f>
        <v>9.4737681256846145</v>
      </c>
      <c r="AB36" s="23">
        <f>EXP(-LN(2)/2)*AB35+(1-EXP(-LN(2)/2))/(LN(2)/2)*V36*Y36*VLOOKUP('Données projet'!$B$9,Paramètres!$A$1:$I$88,3,0)*0.475*44/12</f>
        <v>5.8402847775295328</v>
      </c>
      <c r="AC36" s="24">
        <f t="shared" si="3"/>
        <v>15.314052903214147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25.733333333333334</v>
      </c>
      <c r="AI36" s="14">
        <f>IF('Données projet'!$A$62&gt;35,AI35+AH36-AQ35,IF(A36&lt;'Données projet'!$A$62,$AF$205^A36,IF(A36='Données projet'!$A$62,'Données projet'!$B$62,AI35+AH36-AQ35)))</f>
        <v>387.20000000000005</v>
      </c>
      <c r="AJ36" s="14">
        <f>AI36*VLOOKUP('Données projet'!$B$10,Paramètres!$A$1:$I$88,3,0)*VLOOKUP('Données projet'!$B$10,Paramètres!$A$1:$I$88,5,0)</f>
        <v>186.24320000000003</v>
      </c>
      <c r="AK36" s="14">
        <f t="shared" si="35"/>
        <v>46.708414805171493</v>
      </c>
      <c r="AL36" s="22">
        <f t="shared" si="4"/>
        <v>405.72406245234038</v>
      </c>
      <c r="AM36" s="62">
        <f t="shared" si="5"/>
        <v>699.05739578567363</v>
      </c>
      <c r="AN36" s="62">
        <f ca="1">AVERAGE(OFFSET($AM$3,0,0,'Données projet'!$E$10+1,1))-AVERAGE(OFFSET($H$3,0,0,'Données projet'!$E$10+1,1))</f>
        <v>576.61210817354549</v>
      </c>
      <c r="AO36" s="62">
        <f t="shared" si="36"/>
        <v>343.9428747444544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projet'!$B$10,Paramètres!$A$1:$I$88,7,0))</f>
        <v>0</v>
      </c>
      <c r="AS36" s="17">
        <f>IF(ISNA(VLOOKUP(A36,'Données projet'!$A$61:$I$81,6,0)),0%,VLOOKUP(A36,'Données projet'!$A$61:$I$81,6,0)*VLOOKUP('Données projet'!$B$10,Paramètres!$A$1:$I$88,7,0))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projet'!$B$10,Paramètres!$A$1:$I$88,3,0)*0.475*44/12</f>
        <v>0</v>
      </c>
      <c r="AV36" s="23">
        <f>EXP(-LN(2)/25)*AV35+(1-EXP(-LN(2)/25))/(LN(2)/25)*Calculateur!AQ36*Calculateur!AS36*VLOOKUP('Données projet'!$B$10,Paramètres!$A$1:$I$88,3,0)*0.475*44/12</f>
        <v>5.2109172818255853</v>
      </c>
      <c r="AW36" s="23">
        <f>EXP(-LN(2)/2)*AW35+(1-EXP(-LN(2)/2))/(LN(2)/2)*AQ36*AT36*VLOOKUP('Données projet'!$B$10,Paramètres!$A$1:$I$88,3,0)*0.475*44/12</f>
        <v>4.1590043368844336</v>
      </c>
      <c r="AX36" s="23">
        <f t="shared" si="6"/>
        <v>9.3699216187100198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12.919999999999998</v>
      </c>
      <c r="BD36" s="13">
        <f>IF('Données projet'!$A$88&gt;35,BD35+BC36-BL35,IF(A36&lt;'Données projet'!$A$88,$BA$205^A36,IF(A36='Données projet'!$A$88,'Données projet'!$B$88,BD35+BC36-BL35)))</f>
        <v>215.55999999999997</v>
      </c>
      <c r="BE36" s="14">
        <f>BD36*VLOOKUP('Données projet'!$B$11,Paramètres!$A$1:$I$88,3,0)*VLOOKUP('Données projet'!$B$11,Paramètres!$A$1:$I$88,5,0)</f>
        <v>171.49953600000001</v>
      </c>
      <c r="BF36" s="14">
        <f t="shared" si="37"/>
        <v>43.425697916057537</v>
      </c>
      <c r="BG36" s="22">
        <f t="shared" si="7"/>
        <v>374.32811573713349</v>
      </c>
      <c r="BH36" s="62">
        <f t="shared" si="8"/>
        <v>667.6614490704668</v>
      </c>
      <c r="BI36" s="62">
        <f ca="1">AVERAGE(OFFSET($BH$3,0,0,'Données projet'!$E$11+1,1))-AVERAGE(OFFSET($H$3,0,0,'Données projet'!$E$11+1,1))</f>
        <v>298.38448036212861</v>
      </c>
      <c r="BJ36" s="62">
        <f t="shared" si="38"/>
        <v>270.4445531106897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projet'!$B$11,Paramètres!$A$1:$I$88,7,0))</f>
        <v>0</v>
      </c>
      <c r="BN36" s="17">
        <f>IF(ISNA(VLOOKUP(A36,'Données projet'!$A$87:$I$107,6,0)),0%,VLOOKUP(A36,'Données projet'!$A$87:$I$107,6,0)*VLOOKUP('Données projet'!$B$11,Paramètres!$A$1:$I$88,7,0))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projet'!$B$11,Paramètres!$A$1:$I$88,3,0)*0.475*44/12</f>
        <v>0</v>
      </c>
      <c r="BQ36" s="23">
        <f>EXP(-LN(2)/25)*BQ35+(1-EXP(-LN(2)/25))/(LN(2)/25)*Calculateur!BL36*Calculateur!BN36*VLOOKUP('Données projet'!$B$11,Paramètres!$A$1:$I$88,3,0)*0.475*44/12</f>
        <v>0</v>
      </c>
      <c r="BR36" s="23">
        <f>EXP(-LN(2)/2)*BR35+(1-EXP(-LN(2)/2))/(LN(2)/2)*BL36*BO36*VLOOKUP('Données projet'!$B$11,Paramètres!$A$1:$I$88,3,0)*0.475*44/12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11.5</v>
      </c>
      <c r="BY36" s="13">
        <f>IF('Données projet'!$A$114&gt;35,BY35+BX36-CG35,IF(A36&lt;'Données projet'!$A$114,$BV$205^A36,IF(A36='Données projet'!$A$114,'Données projet'!$B$114,BY35+BX36-CG35)))</f>
        <v>141.99999999999994</v>
      </c>
      <c r="BZ36" s="14">
        <f>BY36*VLOOKUP('Données projet'!$B$12,Paramètres!$A$1:$I$88,3,0)*VLOOKUP('Données projet'!$B$12,Paramètres!$A$1:$I$88,5,0)</f>
        <v>110.75999999999996</v>
      </c>
      <c r="CA36" s="14">
        <f t="shared" si="39"/>
        <v>29.509974682362923</v>
      </c>
      <c r="CB36" s="22">
        <f t="shared" si="10"/>
        <v>244.30353923844871</v>
      </c>
      <c r="CC36" s="62">
        <f t="shared" si="11"/>
        <v>537.63687257178208</v>
      </c>
      <c r="CD36" s="62">
        <f ca="1">AVERAGE(OFFSET($CC$3,0,0,'Données projet'!$E$12+1,1))-AVERAGE(OFFSET($H$3,0,0,'Données projet'!$E$12+1,1))</f>
        <v>217.32600829266818</v>
      </c>
      <c r="CE36" s="62">
        <f t="shared" si="40"/>
        <v>208.79744153433245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projet'!$B$12,Paramètres!$A$1:$I$88,7,0))</f>
        <v>0</v>
      </c>
      <c r="CI36" s="17">
        <f>IF(ISNA(VLOOKUP(A36,'Données projet'!$A$113:$I$133,6,0)),0%,VLOOKUP(A36,'Données projet'!$A$113:$I$133,6,0)*VLOOKUP('Données projet'!$B$12,Paramètres!$A$1:$I$88,7,0))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projet'!$B$12,Paramètres!$A$1:$I$88,3,0)*0.475*44/12</f>
        <v>0</v>
      </c>
      <c r="CL36" s="23">
        <f>EXP(-LN(2)/25)*CL35+(1-EXP(-LN(2)/25))/(LN(2)/25)*Calculateur!CG36*Calculateur!CI36*VLOOKUP('Données projet'!$B$12,Paramètres!$A$1:$I$88,3,0)*0.475*44/12</f>
        <v>0</v>
      </c>
      <c r="CM36" s="23">
        <f>EXP(-LN(2)/2)*CM35+(1-EXP(-LN(2)/2))/(LN(2)/2)*CG36*CJ36*VLOOKUP('Données projet'!$B$12,Paramètres!$A$1:$I$88,3,0)*0.475*44/12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19.857142857142858</v>
      </c>
      <c r="CT36" s="13">
        <f>IF('Données projet'!$A$140&gt;35,CT35+CS36-DB35,IF(A36&lt;'Données projet'!$A$140,$CQ$205^A36,IF(A36='Données projet'!$A$140,'Données projet'!$B$140,CT35+CS36-DB35)))</f>
        <v>315.28571428571422</v>
      </c>
      <c r="CU36" s="18">
        <f>CT36*VLOOKUP('Données projet'!$B$13,Paramètres!$A$1:$I$88,3,0)*VLOOKUP('Données projet'!$B$13,Paramètres!$A$1:$I$88,5,0)</f>
        <v>176.24471428571425</v>
      </c>
      <c r="CV36" s="14">
        <f t="shared" si="41"/>
        <v>44.485681868533291</v>
      </c>
      <c r="CW36" s="22">
        <f t="shared" si="13"/>
        <v>384.43877330198114</v>
      </c>
      <c r="CX36" s="62">
        <f t="shared" si="14"/>
        <v>677.77210663531446</v>
      </c>
      <c r="CY36" s="62">
        <f ca="1">AVERAGE(OFFSET($CX$3,0,0,'Données projet'!$E$13+1,1))-AVERAGE(OFFSET($H$3,0,0,'Données projet'!$E$13+1,1))</f>
        <v>302.20483575440988</v>
      </c>
      <c r="CZ36" s="62">
        <f t="shared" si="42"/>
        <v>275.32862097158687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projet'!$B$13,Paramètres!$A$1:$I$88,7,0))</f>
        <v>0</v>
      </c>
      <c r="DD36" s="17">
        <f>IF(ISNA(VLOOKUP(A36,'Données projet'!$A$139:$I$159,6,0)),0%,VLOOKUP(A36,'Données projet'!$A$139:$I$159,6,0)*VLOOKUP('Données projet'!$B$13,Paramètres!$A$1:$I$88,7,0))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projet'!$B$13,Paramètres!$A$1:$I$88,3,0)*0.475*44/12</f>
        <v>0</v>
      </c>
      <c r="DG36" s="23">
        <f>EXP(-LN(2)/25)*DG35+(1-EXP(-LN(2)/25))/(LN(2)/25)*Calculateur!DB36*Calculateur!DD36*VLOOKUP('Données projet'!$B$13,Paramètres!$A$1:$I$88,3,0)*0.475*44/12</f>
        <v>12.723641446704264</v>
      </c>
      <c r="DH36" s="23">
        <f>EXP(-LN(2)/2)*DH35+(1-EXP(-LN(2)/2))/(LN(2)/2)*DB36*DE36*VLOOKUP('Données projet'!$B$13,Paramètres!$A$1:$I$88,3,0)*0.475*44/12</f>
        <v>2.3974058374020673</v>
      </c>
      <c r="DI36" s="24">
        <f t="shared" si="15"/>
        <v>15.12104728410633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projet'!$B$14,Paramètres!$A$1:$I$88,3,0)*VLOOKUP('Données projet'!$B$14,Paramètres!$A$1:$I$88,5,0)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projet'!$B$14,Paramètres!$A$1:$I$88,7,0))</f>
        <v>0</v>
      </c>
      <c r="DY36" s="17">
        <f>IF(ISNA(VLOOKUP(A36,'Données projet'!$A$165:$I$185,6,0)),0%,VLOOKUP(A36,'Données projet'!$A$165:$I$185,6,0)*VLOOKUP('Données projet'!$B$14,Paramètres!$A$1:$I$88,7,0))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projet'!$B$14,Paramètres!$A$1:$I$88,3,0)*0.475*44/12</f>
        <v>#N/A</v>
      </c>
      <c r="EB36" s="23" t="e">
        <f>EXP(-LN(2)/25)*EB35+(1-EXP(-LN(2)/25))/(LN(2)/25)*Calculateur!DW36*Calculateur!DY36*VLOOKUP('Données projet'!$B$14,Paramètres!$A$1:$I$88,3,0)*0.475*44/12</f>
        <v>#N/A</v>
      </c>
      <c r="EC36" s="23" t="e">
        <f>EXP(-LN(2)/2)*EC35+(1-EXP(-LN(2)/2))/(LN(2)/2)*DW36*DZ36*VLOOKUP('Données projet'!$B$14,Paramètres!$A$1:$I$88,3,0)*0.475*44/12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projet'!$B$15,Paramètres!$A$1:$I$88,3,0)*VLOOKUP('Données projet'!$B$15,Paramètres!$A$1:$I$88,5,0)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projet'!$B$15,Paramètres!$A$1:$I$88,7,0))</f>
        <v>0</v>
      </c>
      <c r="ET36" s="17">
        <f>IF(ISNA(VLOOKUP(A36,'Données projet'!$A$191:$I$211,6,0)),0%,VLOOKUP(A36,'Données projet'!$A$191:$I$211,6,0)*VLOOKUP('Données projet'!$B$15,Paramètres!$A$1:$I$88,7,0))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projet'!$B$15,Paramètres!$A$1:$I$88,3,0)*0.475*44/12</f>
        <v>#N/A</v>
      </c>
      <c r="EW36" s="23" t="e">
        <f>EXP(-LN(2)/25)*EW35+(1-EXP(-LN(2)/25))/(LN(2)/25)*Calculateur!ER36*Calculateur!ET36*VLOOKUP('Données projet'!$B$15,Paramètres!$A$1:$I$88,3,0)*0.475*44/12</f>
        <v>#N/A</v>
      </c>
      <c r="EX36" s="23" t="e">
        <f>EXP(-LN(2)/2)*EX35+(1-EXP(-LN(2)/2))/(LN(2)/2)*ER36*EU36*VLOOKUP('Données projet'!$B$15,Paramètres!$A$1:$I$88,3,0)*0.475*44/12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projet'!$B$16,Paramètres!$A$1:$I$88,3,0)*VLOOKUP('Données projet'!$B$16,Paramètres!$A$1:$I$88,5,0)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projet'!$B$16,Paramètres!$A$1:$I$88,7,0))</f>
        <v>0</v>
      </c>
      <c r="FO36" s="17">
        <f>IF(ISNA(VLOOKUP(A36,'Données projet'!$A$217:$I$237,6,0)),0%,VLOOKUP(A36,'Données projet'!$A$217:$I$237,6,0)*VLOOKUP('Données projet'!$B$16,Paramètres!$A$1:$I$88,7,0))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projet'!$B$16,Paramètres!$A$1:$I$88,3,0)*0.475*44/12</f>
        <v>#N/A</v>
      </c>
      <c r="FR36" s="23" t="e">
        <f>EXP(-LN(2)/25)*FR35+(1-EXP(-LN(2)/25))/(LN(2)/25)*Calculateur!FM36*Calculateur!FO36*VLOOKUP('Données projet'!$B$16,Paramètres!$A$1:$I$88,3,0)*0.475*44/12</f>
        <v>#N/A</v>
      </c>
      <c r="FS36" s="23" t="e">
        <f>EXP(-LN(2)/2)*FS35+(1-EXP(-LN(2)/2))/(LN(2)/2)*FM36*FP36*VLOOKUP('Données projet'!$B$16,Paramètres!$A$1:$I$88,3,0)*0.475*44/12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projet'!$B$17,Paramètres!$A$1:$I$88,3,0)*VLOOKUP('Données projet'!$B$17,Paramètres!$A$1:$I$88,5,0)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projet'!$B$17,Paramètres!$A$1:$I$88,7,0))</f>
        <v>0</v>
      </c>
      <c r="GJ36" s="17">
        <f>IF(ISNA(VLOOKUP(A36,'Données projet'!$A$243:$I$263,6,0)),0%,VLOOKUP(A36,'Données projet'!$A$243:$I$263,6,0)*VLOOKUP('Données projet'!$B$17,Paramètres!$A$1:$I$88,7,0))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projet'!$B$17,Paramètres!$A$1:$I$88,3,0)*0.475*44/12</f>
        <v>#N/A</v>
      </c>
      <c r="GM36" s="23" t="e">
        <f>EXP(-LN(2)/25)*GM35+(1-EXP(-LN(2)/25))/(LN(2)/25)*Calculateur!GH36*Calculateur!GJ36*VLOOKUP('Données projet'!$B$17,Paramètres!$A$1:$I$88,3,0)*0.475*44/12</f>
        <v>#N/A</v>
      </c>
      <c r="GN36" s="23" t="e">
        <f>EXP(-LN(2)/2)*GN35+(1-EXP(-LN(2)/2))/(LN(2)/2)*GH36*GK36*VLOOKUP('Données projet'!$B$17,Paramètres!$A$1:$I$88,3,0)*0.475*44/12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projet'!$B$18,Paramètres!$A$1:$I$88,3,0)*VLOOKUP('Données projet'!$B$18,Paramètres!$A$1:$I$88,5,0)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projet'!$B$18,Paramètres!$A$1:$I$88,7,0))</f>
        <v>0</v>
      </c>
      <c r="HE36" s="17">
        <f>IF(ISNA(VLOOKUP(A36,'Données projet'!$A$269:$I$289,6,0)),0%,VLOOKUP(A36,'Données projet'!$A$269:$I$289,6,0)*VLOOKUP('Données projet'!$B$18,Paramètres!$A$1:$I$88,7,0))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projet'!$B$18,Paramètres!$A$1:$I$88,3,0)*0.475*44/12</f>
        <v>#N/A</v>
      </c>
      <c r="HH36" s="23" t="e">
        <f>EXP(-LN(2)/25)*HH35+(1-EXP(-LN(2)/25))/(LN(2)/25)*Calculateur!HC36*Calculateur!HE36*VLOOKUP('Données projet'!$B$18,Paramètres!$A$1:$I$88,3,0)*0.475*44/12</f>
        <v>#N/A</v>
      </c>
      <c r="HI36" s="23" t="e">
        <f>EXP(-LN(2)/2)*HI35+(1-EXP(-LN(2)/2))/(LN(2)/2)*HC36*HF36*VLOOKUP('Données projet'!$B$18,Paramètres!$A$1:$I$88,3,0)*0.475*44/12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12.833333333333334</v>
      </c>
      <c r="N37" s="14">
        <f>IF('Données projet'!$A$36&gt;35,N36+M37-V36,IF(A37&lt;'Données projet'!$A$36,$K$205^A37,IF(A37='Données projet'!$A$36,'Données projet'!$B$36,N36+M37-V36)))</f>
        <v>222.33333333333331</v>
      </c>
      <c r="O37" s="14">
        <f>N37*VLOOKUP('Données projet'!$B$9,Paramètres!$A$1:$I$88,3,0)*VLOOKUP('Données projet'!$B$9,Paramètres!$A$1:$I$88,5,0)</f>
        <v>138.73599999999999</v>
      </c>
      <c r="P37" s="14">
        <f t="shared" si="33"/>
        <v>36.007288175538044</v>
      </c>
      <c r="Q37" s="22">
        <f t="shared" si="53"/>
        <v>304.34456023906205</v>
      </c>
      <c r="R37" s="62">
        <f t="shared" si="0"/>
        <v>597.67789357239531</v>
      </c>
      <c r="S37" s="62">
        <f ca="1">AVERAGE(OFFSET($R$3,0,0,'Données projet'!$E$9+1,1))-AVERAGE(OFFSET($H$3,0,0,'Données projet'!$E$9+1,1))</f>
        <v>175.05987582828078</v>
      </c>
      <c r="T37" s="62">
        <f t="shared" si="34"/>
        <v>268.54782308462387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projet'!$B$9,Paramètres!$A$1:$I$88,7,0))</f>
        <v>0</v>
      </c>
      <c r="X37" s="17">
        <f>IF(ISNA(VLOOKUP(A37,'Données projet'!$A$35:$I$55,6,0)),0%,VLOOKUP(A37,'Données projet'!$A$35:$I$55,6,0)*VLOOKUP('Données projet'!$B$9,Paramètres!$A$1:$I$88,7,0))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projet'!$B$9,Paramètres!$A$1:$I$88,3,0)*0.475*44/12</f>
        <v>0</v>
      </c>
      <c r="AA37" s="23">
        <f>EXP(-LN(2)/25)*AA36+(1-EXP(-LN(2)/25))/(LN(2)/25)*Calculateur!V37*Calculateur!X37*VLOOKUP('Données projet'!$B$9,Paramètres!$A$1:$I$88,3,0)*0.475*44/12</f>
        <v>9.2147074380839555</v>
      </c>
      <c r="AB37" s="23">
        <f>EXP(-LN(2)/2)*AB36+(1-EXP(-LN(2)/2))/(LN(2)/2)*V37*Y37*VLOOKUP('Données projet'!$B$9,Paramètres!$A$1:$I$88,3,0)*0.475*44/12</f>
        <v>4.1297049702516997</v>
      </c>
      <c r="AC37" s="24">
        <f t="shared" si="3"/>
        <v>13.344412408335655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25.733333333333334</v>
      </c>
      <c r="AI37" s="14">
        <f>IF('Données projet'!$A$62&gt;35,AI36+AH37-AQ36,IF(A37&lt;'Données projet'!$A$62,$AF$205^A37,IF(A37='Données projet'!$A$62,'Données projet'!$B$62,AI36+AH37-AQ36)))</f>
        <v>412.93333333333339</v>
      </c>
      <c r="AJ37" s="14">
        <f>AI37*VLOOKUP('Données projet'!$B$10,Paramètres!$A$1:$I$88,3,0)*VLOOKUP('Données projet'!$B$10,Paramètres!$A$1:$I$88,5,0)</f>
        <v>198.62093333333334</v>
      </c>
      <c r="AK37" s="14">
        <f t="shared" si="35"/>
        <v>49.440968671617085</v>
      </c>
      <c r="AL37" s="22">
        <f t="shared" si="4"/>
        <v>432.04114599195532</v>
      </c>
      <c r="AM37" s="62">
        <f t="shared" si="5"/>
        <v>725.37447932528858</v>
      </c>
      <c r="AN37" s="62">
        <f ca="1">AVERAGE(OFFSET($AM$3,0,0,'Données projet'!$E$10+1,1))-AVERAGE(OFFSET($H$3,0,0,'Données projet'!$E$10+1,1))</f>
        <v>576.61210817354549</v>
      </c>
      <c r="AO37" s="62">
        <f t="shared" si="36"/>
        <v>343.9428747444544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projet'!$B$10,Paramètres!$A$1:$I$88,7,0))</f>
        <v>0</v>
      </c>
      <c r="AS37" s="17">
        <f>IF(ISNA(VLOOKUP(A37,'Données projet'!$A$61:$I$81,6,0)),0%,VLOOKUP(A37,'Données projet'!$A$61:$I$81,6,0)*VLOOKUP('Données projet'!$B$10,Paramètres!$A$1:$I$88,7,0))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projet'!$B$10,Paramètres!$A$1:$I$88,3,0)*0.475*44/12</f>
        <v>0</v>
      </c>
      <c r="AV37" s="23">
        <f>EXP(-LN(2)/25)*AV36+(1-EXP(-LN(2)/25))/(LN(2)/25)*Calculateur!AQ37*Calculateur!AS37*VLOOKUP('Données projet'!$B$10,Paramètres!$A$1:$I$88,3,0)*0.475*44/12</f>
        <v>5.0684244747238347</v>
      </c>
      <c r="AW37" s="23">
        <f>EXP(-LN(2)/2)*AW36+(1-EXP(-LN(2)/2))/(LN(2)/2)*AQ37*AT37*VLOOKUP('Données projet'!$B$10,Paramètres!$A$1:$I$88,3,0)*0.475*44/12</f>
        <v>2.9408601695952434</v>
      </c>
      <c r="AX37" s="23">
        <f t="shared" si="6"/>
        <v>8.0092846443190773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12.919999999999998</v>
      </c>
      <c r="BD37" s="13">
        <f>IF('Données projet'!$A$88&gt;35,BD36+BC37-BL36,IF(A37&lt;'Données projet'!$A$88,$BA$205^A37,IF(A37='Données projet'!$A$88,'Données projet'!$B$88,BD36+BC37-BL36)))</f>
        <v>228.47999999999996</v>
      </c>
      <c r="BE37" s="14">
        <f>BD37*VLOOKUP('Données projet'!$B$11,Paramètres!$A$1:$I$88,3,0)*VLOOKUP('Données projet'!$B$11,Paramètres!$A$1:$I$88,5,0)</f>
        <v>181.77868799999999</v>
      </c>
      <c r="BF37" s="14">
        <f t="shared" si="37"/>
        <v>45.717684723491686</v>
      </c>
      <c r="BG37" s="22">
        <f t="shared" si="7"/>
        <v>396.22284916008135</v>
      </c>
      <c r="BH37" s="62">
        <f t="shared" si="8"/>
        <v>689.55618249341467</v>
      </c>
      <c r="BI37" s="62">
        <f ca="1">AVERAGE(OFFSET($BH$3,0,0,'Données projet'!$E$11+1,1))-AVERAGE(OFFSET($H$3,0,0,'Données projet'!$E$11+1,1))</f>
        <v>298.38448036212861</v>
      </c>
      <c r="BJ37" s="62">
        <f t="shared" si="38"/>
        <v>270.4445531106897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projet'!$B$11,Paramètres!$A$1:$I$88,7,0))</f>
        <v>0</v>
      </c>
      <c r="BN37" s="17">
        <f>IF(ISNA(VLOOKUP(A37,'Données projet'!$A$87:$I$107,6,0)),0%,VLOOKUP(A37,'Données projet'!$A$87:$I$107,6,0)*VLOOKUP('Données projet'!$B$11,Paramètres!$A$1:$I$88,7,0))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projet'!$B$11,Paramètres!$A$1:$I$88,3,0)*0.475*44/12</f>
        <v>0</v>
      </c>
      <c r="BQ37" s="23">
        <f>EXP(-LN(2)/25)*BQ36+(1-EXP(-LN(2)/25))/(LN(2)/25)*Calculateur!BL37*Calculateur!BN37*VLOOKUP('Données projet'!$B$11,Paramètres!$A$1:$I$88,3,0)*0.475*44/12</f>
        <v>0</v>
      </c>
      <c r="BR37" s="23">
        <f>EXP(-LN(2)/2)*BR36+(1-EXP(-LN(2)/2))/(LN(2)/2)*BL37*BO37*VLOOKUP('Données projet'!$B$11,Paramètres!$A$1:$I$88,3,0)*0.475*44/12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11.5</v>
      </c>
      <c r="BY37" s="13">
        <f>IF('Données projet'!$A$114&gt;35,BY36+BX37-CG36,IF(A37&lt;'Données projet'!$A$114,$BV$205^A37,IF(A37='Données projet'!$A$114,'Données projet'!$B$114,BY36+BX37-CG36)))</f>
        <v>153.49999999999994</v>
      </c>
      <c r="BZ37" s="14">
        <f>BY37*VLOOKUP('Données projet'!$B$12,Paramètres!$A$1:$I$88,3,0)*VLOOKUP('Données projet'!$B$12,Paramètres!$A$1:$I$88,5,0)</f>
        <v>119.72999999999996</v>
      </c>
      <c r="CA37" s="14">
        <f t="shared" si="39"/>
        <v>31.612017974790529</v>
      </c>
      <c r="CB37" s="22">
        <f t="shared" si="10"/>
        <v>263.58734797276003</v>
      </c>
      <c r="CC37" s="62">
        <f t="shared" si="11"/>
        <v>556.92068130609334</v>
      </c>
      <c r="CD37" s="62">
        <f ca="1">AVERAGE(OFFSET($CC$3,0,0,'Données projet'!$E$12+1,1))-AVERAGE(OFFSET($H$3,0,0,'Données projet'!$E$12+1,1))</f>
        <v>217.32600829266818</v>
      </c>
      <c r="CE37" s="62">
        <f t="shared" si="40"/>
        <v>208.79744153433245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projet'!$B$12,Paramètres!$A$1:$I$88,7,0))</f>
        <v>0</v>
      </c>
      <c r="CI37" s="17">
        <f>IF(ISNA(VLOOKUP(A37,'Données projet'!$A$113:$I$133,6,0)),0%,VLOOKUP(A37,'Données projet'!$A$113:$I$133,6,0)*VLOOKUP('Données projet'!$B$12,Paramètres!$A$1:$I$88,7,0))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projet'!$B$12,Paramètres!$A$1:$I$88,3,0)*0.475*44/12</f>
        <v>0</v>
      </c>
      <c r="CL37" s="23">
        <f>EXP(-LN(2)/25)*CL36+(1-EXP(-LN(2)/25))/(LN(2)/25)*Calculateur!CG37*Calculateur!CI37*VLOOKUP('Données projet'!$B$12,Paramètres!$A$1:$I$88,3,0)*0.475*44/12</f>
        <v>0</v>
      </c>
      <c r="CM37" s="23">
        <f>EXP(-LN(2)/2)*CM36+(1-EXP(-LN(2)/2))/(LN(2)/2)*CG37*CJ37*VLOOKUP('Données projet'!$B$12,Paramètres!$A$1:$I$88,3,0)*0.475*44/12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19.857142857142858</v>
      </c>
      <c r="CT37" s="13">
        <f>IF('Données projet'!$A$140&gt;35,CT36+CS37-DB36,IF(A37&lt;'Données projet'!$A$140,$CQ$205^A37,IF(A37='Données projet'!$A$140,'Données projet'!$B$140,CT36+CS37-DB36)))</f>
        <v>335.14285714285705</v>
      </c>
      <c r="CU37" s="18">
        <f>CT37*VLOOKUP('Données projet'!$B$13,Paramètres!$A$1:$I$88,3,0)*VLOOKUP('Données projet'!$B$13,Paramètres!$A$1:$I$88,5,0)</f>
        <v>187.34485714285708</v>
      </c>
      <c r="CV37" s="14">
        <f t="shared" si="41"/>
        <v>46.95245853654621</v>
      </c>
      <c r="CW37" s="22">
        <f t="shared" si="13"/>
        <v>408.06782480829406</v>
      </c>
      <c r="CX37" s="62">
        <f t="shared" si="14"/>
        <v>701.40115814162732</v>
      </c>
      <c r="CY37" s="62">
        <f ca="1">AVERAGE(OFFSET($CX$3,0,0,'Données projet'!$E$13+1,1))-AVERAGE(OFFSET($H$3,0,0,'Données projet'!$E$13+1,1))</f>
        <v>302.20483575440988</v>
      </c>
      <c r="CZ37" s="62">
        <f t="shared" si="42"/>
        <v>275.32862097158687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projet'!$B$13,Paramètres!$A$1:$I$88,7,0))</f>
        <v>0</v>
      </c>
      <c r="DD37" s="17">
        <f>IF(ISNA(VLOOKUP(A37,'Données projet'!$A$139:$I$159,6,0)),0%,VLOOKUP(A37,'Données projet'!$A$139:$I$159,6,0)*VLOOKUP('Données projet'!$B$13,Paramètres!$A$1:$I$88,7,0))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projet'!$B$13,Paramètres!$A$1:$I$88,3,0)*0.475*44/12</f>
        <v>0</v>
      </c>
      <c r="DG37" s="23">
        <f>EXP(-LN(2)/25)*DG36+(1-EXP(-LN(2)/25))/(LN(2)/25)*Calculateur!DB37*Calculateur!DD37*VLOOKUP('Données projet'!$B$13,Paramètres!$A$1:$I$88,3,0)*0.475*44/12</f>
        <v>12.375712802236912</v>
      </c>
      <c r="DH37" s="23">
        <f>EXP(-LN(2)/2)*DH36+(1-EXP(-LN(2)/2))/(LN(2)/2)*DB37*DE37*VLOOKUP('Données projet'!$B$13,Paramètres!$A$1:$I$88,3,0)*0.475*44/12</f>
        <v>1.6952219248832154</v>
      </c>
      <c r="DI37" s="24">
        <f t="shared" si="15"/>
        <v>14.070934727120127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projet'!$B$14,Paramètres!$A$1:$I$88,3,0)*VLOOKUP('Données projet'!$B$14,Paramètres!$A$1:$I$88,5,0)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projet'!$B$14,Paramètres!$A$1:$I$88,7,0))</f>
        <v>0</v>
      </c>
      <c r="DY37" s="17">
        <f>IF(ISNA(VLOOKUP(A37,'Données projet'!$A$165:$I$185,6,0)),0%,VLOOKUP(A37,'Données projet'!$A$165:$I$185,6,0)*VLOOKUP('Données projet'!$B$14,Paramètres!$A$1:$I$88,7,0))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projet'!$B$14,Paramètres!$A$1:$I$88,3,0)*0.475*44/12</f>
        <v>#N/A</v>
      </c>
      <c r="EB37" s="23" t="e">
        <f>EXP(-LN(2)/25)*EB36+(1-EXP(-LN(2)/25))/(LN(2)/25)*Calculateur!DW37*Calculateur!DY37*VLOOKUP('Données projet'!$B$14,Paramètres!$A$1:$I$88,3,0)*0.475*44/12</f>
        <v>#N/A</v>
      </c>
      <c r="EC37" s="23" t="e">
        <f>EXP(-LN(2)/2)*EC36+(1-EXP(-LN(2)/2))/(LN(2)/2)*DW37*DZ37*VLOOKUP('Données projet'!$B$14,Paramètres!$A$1:$I$88,3,0)*0.475*44/12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projet'!$B$15,Paramètres!$A$1:$I$88,3,0)*VLOOKUP('Données projet'!$B$15,Paramètres!$A$1:$I$88,5,0)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projet'!$B$15,Paramètres!$A$1:$I$88,7,0))</f>
        <v>0</v>
      </c>
      <c r="ET37" s="17">
        <f>IF(ISNA(VLOOKUP(A37,'Données projet'!$A$191:$I$211,6,0)),0%,VLOOKUP(A37,'Données projet'!$A$191:$I$211,6,0)*VLOOKUP('Données projet'!$B$15,Paramètres!$A$1:$I$88,7,0))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projet'!$B$15,Paramètres!$A$1:$I$88,3,0)*0.475*44/12</f>
        <v>#N/A</v>
      </c>
      <c r="EW37" s="23" t="e">
        <f>EXP(-LN(2)/25)*EW36+(1-EXP(-LN(2)/25))/(LN(2)/25)*Calculateur!ER37*Calculateur!ET37*VLOOKUP('Données projet'!$B$15,Paramètres!$A$1:$I$88,3,0)*0.475*44/12</f>
        <v>#N/A</v>
      </c>
      <c r="EX37" s="23" t="e">
        <f>EXP(-LN(2)/2)*EX36+(1-EXP(-LN(2)/2))/(LN(2)/2)*ER37*EU37*VLOOKUP('Données projet'!$B$15,Paramètres!$A$1:$I$88,3,0)*0.475*44/12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projet'!$B$16,Paramètres!$A$1:$I$88,3,0)*VLOOKUP('Données projet'!$B$16,Paramètres!$A$1:$I$88,5,0)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projet'!$B$16,Paramètres!$A$1:$I$88,7,0))</f>
        <v>0</v>
      </c>
      <c r="FO37" s="17">
        <f>IF(ISNA(VLOOKUP(A37,'Données projet'!$A$217:$I$237,6,0)),0%,VLOOKUP(A37,'Données projet'!$A$217:$I$237,6,0)*VLOOKUP('Données projet'!$B$16,Paramètres!$A$1:$I$88,7,0))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projet'!$B$16,Paramètres!$A$1:$I$88,3,0)*0.475*44/12</f>
        <v>#N/A</v>
      </c>
      <c r="FR37" s="23" t="e">
        <f>EXP(-LN(2)/25)*FR36+(1-EXP(-LN(2)/25))/(LN(2)/25)*Calculateur!FM37*Calculateur!FO37*VLOOKUP('Données projet'!$B$16,Paramètres!$A$1:$I$88,3,0)*0.475*44/12</f>
        <v>#N/A</v>
      </c>
      <c r="FS37" s="23" t="e">
        <f>EXP(-LN(2)/2)*FS36+(1-EXP(-LN(2)/2))/(LN(2)/2)*FM37*FP37*VLOOKUP('Données projet'!$B$16,Paramètres!$A$1:$I$88,3,0)*0.475*44/12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projet'!$B$17,Paramètres!$A$1:$I$88,3,0)*VLOOKUP('Données projet'!$B$17,Paramètres!$A$1:$I$88,5,0)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projet'!$B$17,Paramètres!$A$1:$I$88,7,0))</f>
        <v>0</v>
      </c>
      <c r="GJ37" s="17">
        <f>IF(ISNA(VLOOKUP(A37,'Données projet'!$A$243:$I$263,6,0)),0%,VLOOKUP(A37,'Données projet'!$A$243:$I$263,6,0)*VLOOKUP('Données projet'!$B$17,Paramètres!$A$1:$I$88,7,0))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projet'!$B$17,Paramètres!$A$1:$I$88,3,0)*0.475*44/12</f>
        <v>#N/A</v>
      </c>
      <c r="GM37" s="23" t="e">
        <f>EXP(-LN(2)/25)*GM36+(1-EXP(-LN(2)/25))/(LN(2)/25)*Calculateur!GH37*Calculateur!GJ37*VLOOKUP('Données projet'!$B$17,Paramètres!$A$1:$I$88,3,0)*0.475*44/12</f>
        <v>#N/A</v>
      </c>
      <c r="GN37" s="23" t="e">
        <f>EXP(-LN(2)/2)*GN36+(1-EXP(-LN(2)/2))/(LN(2)/2)*GH37*GK37*VLOOKUP('Données projet'!$B$17,Paramètres!$A$1:$I$88,3,0)*0.475*44/12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projet'!$B$18,Paramètres!$A$1:$I$88,3,0)*VLOOKUP('Données projet'!$B$18,Paramètres!$A$1:$I$88,5,0)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projet'!$B$18,Paramètres!$A$1:$I$88,7,0))</f>
        <v>0</v>
      </c>
      <c r="HE37" s="17">
        <f>IF(ISNA(VLOOKUP(A37,'Données projet'!$A$269:$I$289,6,0)),0%,VLOOKUP(A37,'Données projet'!$A$269:$I$289,6,0)*VLOOKUP('Données projet'!$B$18,Paramètres!$A$1:$I$88,7,0))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projet'!$B$18,Paramètres!$A$1:$I$88,3,0)*0.475*44/12</f>
        <v>#N/A</v>
      </c>
      <c r="HH37" s="23" t="e">
        <f>EXP(-LN(2)/25)*HH36+(1-EXP(-LN(2)/25))/(LN(2)/25)*Calculateur!HC37*Calculateur!HE37*VLOOKUP('Données projet'!$B$18,Paramètres!$A$1:$I$88,3,0)*0.475*44/12</f>
        <v>#N/A</v>
      </c>
      <c r="HI37" s="23" t="e">
        <f>EXP(-LN(2)/2)*HI36+(1-EXP(-LN(2)/2))/(LN(2)/2)*HC37*HF37*VLOOKUP('Données projet'!$B$18,Paramètres!$A$1:$I$88,3,0)*0.475*44/12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12.833333333333334</v>
      </c>
      <c r="N38" s="14">
        <f>IF('Données projet'!$A$36&gt;35,N37+M38-V37,IF(A38&lt;'Données projet'!$A$36,$K$205^A38,IF(A38='Données projet'!$A$36,'Données projet'!$B$36,N37+M38-V37)))</f>
        <v>235.16666666666666</v>
      </c>
      <c r="O38" s="14">
        <f>N38*VLOOKUP('Données projet'!$B$9,Paramètres!$A$1:$I$88,3,0)*VLOOKUP('Données projet'!$B$9,Paramètres!$A$1:$I$88,5,0)</f>
        <v>146.744</v>
      </c>
      <c r="P38" s="14">
        <f t="shared" si="33"/>
        <v>37.837705514258651</v>
      </c>
      <c r="Q38" s="22">
        <f t="shared" si="53"/>
        <v>321.47980377066716</v>
      </c>
      <c r="R38" s="62">
        <f t="shared" si="0"/>
        <v>614.81313710400048</v>
      </c>
      <c r="S38" s="62">
        <f ca="1">AVERAGE(OFFSET($R$3,0,0,'Données projet'!$E$9+1,1))-AVERAGE(OFFSET($H$3,0,0,'Données projet'!$E$9+1,1))</f>
        <v>175.05987582828078</v>
      </c>
      <c r="T38" s="62">
        <f t="shared" si="34"/>
        <v>268.54782308462387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projet'!$B$9,Paramètres!$A$1:$I$88,7,0))</f>
        <v>0</v>
      </c>
      <c r="X38" s="17">
        <f>IF(ISNA(VLOOKUP(A38,'Données projet'!$A$35:$I$55,6,0)),0%,VLOOKUP(A38,'Données projet'!$A$35:$I$55,6,0)*VLOOKUP('Données projet'!$B$9,Paramètres!$A$1:$I$88,7,0))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projet'!$B$9,Paramètres!$A$1:$I$88,3,0)*0.475*44/12</f>
        <v>0</v>
      </c>
      <c r="AA38" s="23">
        <f>EXP(-LN(2)/25)*AA37+(1-EXP(-LN(2)/25))/(LN(2)/25)*Calculateur!V38*Calculateur!X38*VLOOKUP('Données projet'!$B$9,Paramètres!$A$1:$I$88,3,0)*0.475*44/12</f>
        <v>8.9627307786091457</v>
      </c>
      <c r="AB38" s="23">
        <f>EXP(-LN(2)/2)*AB37+(1-EXP(-LN(2)/2))/(LN(2)/2)*V38*Y38*VLOOKUP('Données projet'!$B$9,Paramètres!$A$1:$I$88,3,0)*0.475*44/12</f>
        <v>2.9201423887647664</v>
      </c>
      <c r="AC38" s="24">
        <f t="shared" si="3"/>
        <v>11.882873167373912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25.733333333333334</v>
      </c>
      <c r="AI38" s="14">
        <f>IF('Données projet'!$A$62&gt;35,AI37+AH38-AQ37,IF(A38&lt;'Données projet'!$A$62,$AF$205^A38,IF(A38='Données projet'!$A$62,'Données projet'!$B$62,AI37+AH38-AQ37)))</f>
        <v>438.66666666666674</v>
      </c>
      <c r="AJ38" s="14">
        <f>AI38*VLOOKUP('Données projet'!$B$10,Paramètres!$A$1:$I$88,3,0)*VLOOKUP('Données projet'!$B$10,Paramètres!$A$1:$I$88,5,0)</f>
        <v>210.99866666666671</v>
      </c>
      <c r="AK38" s="14">
        <f t="shared" si="35"/>
        <v>52.153759196384655</v>
      </c>
      <c r="AL38" s="22">
        <f t="shared" si="4"/>
        <v>458.32380837814776</v>
      </c>
      <c r="AM38" s="62">
        <f t="shared" si="5"/>
        <v>751.65714171148102</v>
      </c>
      <c r="AN38" s="62">
        <f ca="1">AVERAGE(OFFSET($AM$3,0,0,'Données projet'!$E$10+1,1))-AVERAGE(OFFSET($H$3,0,0,'Données projet'!$E$10+1,1))</f>
        <v>576.61210817354549</v>
      </c>
      <c r="AO38" s="62">
        <f t="shared" si="36"/>
        <v>343.9428747444544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projet'!$B$10,Paramètres!$A$1:$I$88,7,0))</f>
        <v>0</v>
      </c>
      <c r="AS38" s="17">
        <f>IF(ISNA(VLOOKUP(A38,'Données projet'!$A$61:$I$81,6,0)),0%,VLOOKUP(A38,'Données projet'!$A$61:$I$81,6,0)*VLOOKUP('Données projet'!$B$10,Paramètres!$A$1:$I$88,7,0))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projet'!$B$10,Paramètres!$A$1:$I$88,3,0)*0.475*44/12</f>
        <v>0</v>
      </c>
      <c r="AV38" s="23">
        <f>EXP(-LN(2)/25)*AV37+(1-EXP(-LN(2)/25))/(LN(2)/25)*Calculateur!AQ38*Calculateur!AS38*VLOOKUP('Données projet'!$B$10,Paramètres!$A$1:$I$88,3,0)*0.475*44/12</f>
        <v>4.9298281409256521</v>
      </c>
      <c r="AW38" s="23">
        <f>EXP(-LN(2)/2)*AW37+(1-EXP(-LN(2)/2))/(LN(2)/2)*AQ38*AT38*VLOOKUP('Données projet'!$B$10,Paramètres!$A$1:$I$88,3,0)*0.475*44/12</f>
        <v>2.0795021684422168</v>
      </c>
      <c r="AX38" s="23">
        <f t="shared" si="6"/>
        <v>7.0093303093678685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241.4</v>
      </c>
      <c r="BB38" s="13">
        <f>VLOOKUP(A38,'Données projet'!$A$87:$I$107,9,0)</f>
        <v>12.919999999999998</v>
      </c>
      <c r="BC38" s="13">
        <f t="array" ref="BC38">INDEX(BB:BB,MIN(IF(ISNUMBER(BB38:BB234),ROW(BB38:BB234),"")))</f>
        <v>12.919999999999998</v>
      </c>
      <c r="BD38" s="13">
        <f>IF('Données projet'!$A$88&gt;35,BD37+BC38-BL37,IF(A38&lt;'Données projet'!$A$88,$BA$205^A38,IF(A38='Données projet'!$A$88,'Données projet'!$B$88,BD37+BC38-BL37)))</f>
        <v>241.39999999999995</v>
      </c>
      <c r="BE38" s="14">
        <f>BD38*VLOOKUP('Données projet'!$B$11,Paramètres!$A$1:$I$88,3,0)*VLOOKUP('Données projet'!$B$11,Paramètres!$A$1:$I$88,5,0)</f>
        <v>192.05783999999997</v>
      </c>
      <c r="BF38" s="14">
        <f t="shared" si="37"/>
        <v>47.994626423840657</v>
      </c>
      <c r="BG38" s="22">
        <f t="shared" si="7"/>
        <v>418.09137902152241</v>
      </c>
      <c r="BH38" s="62">
        <f t="shared" si="8"/>
        <v>711.42471235485573</v>
      </c>
      <c r="BI38" s="62">
        <f ca="1">AVERAGE(OFFSET($BH$3,0,0,'Données projet'!$E$11+1,1))-AVERAGE(OFFSET($H$3,0,0,'Données projet'!$E$11+1,1))</f>
        <v>298.38448036212861</v>
      </c>
      <c r="BJ38" s="62">
        <f t="shared" si="38"/>
        <v>270.4445531106897</v>
      </c>
      <c r="BK38" s="16">
        <f>IF(ISNA(VLOOKUP(A38,'Données projet'!$A$87:$I$107,3,0)),0,VLOOKUP(A38,'Données projet'!$A$87:$I$107,3,0))</f>
        <v>2</v>
      </c>
      <c r="BL38" s="16">
        <f>IF(ISNA(VLOOKUP(A38,'Données projet'!$A$87:$I$107,4,0)),0,VLOOKUP(A38,'Données projet'!$A$87:$I$107,4,0))</f>
        <v>70</v>
      </c>
      <c r="BM38" s="17">
        <f>IF(ISNA(VLOOKUP(A38,'Données projet'!$A$87:$I$107,5,0)),0%,VLOOKUP(A38,'Données projet'!$A$87:$I$107,5,0)*VLOOKUP('Données projet'!$B$11,Paramètres!$A$1:$I$88,7,0))</f>
        <v>0</v>
      </c>
      <c r="BN38" s="17">
        <f>IF(ISNA(VLOOKUP(A38,'Données projet'!$A$87:$I$107,6,0)),0%,VLOOKUP(A38,'Données projet'!$A$87:$I$107,6,0)*VLOOKUP('Données projet'!$B$11,Paramètres!$A$1:$I$88,7,0))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projet'!$B$11,Paramètres!$A$1:$I$88,3,0)*0.475*44/12</f>
        <v>0</v>
      </c>
      <c r="BQ38" s="23">
        <f>EXP(-LN(2)/25)*BQ37+(1-EXP(-LN(2)/25))/(LN(2)/25)*Calculateur!BL38*Calculateur!BN38*VLOOKUP('Données projet'!$B$11,Paramètres!$A$1:$I$88,3,0)*0.475*44/12</f>
        <v>0</v>
      </c>
      <c r="BR38" s="23">
        <f>EXP(-LN(2)/2)*BR37+(1-EXP(-LN(2)/2))/(LN(2)/2)*BL38*BO38*VLOOKUP('Données projet'!$B$11,Paramètres!$A$1:$I$88,3,0)*0.475*44/12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11.5</v>
      </c>
      <c r="BY38" s="13">
        <f>IF('Données projet'!$A$114&gt;35,BY37+BX38-CG37,IF(A38&lt;'Données projet'!$A$114,$BV$205^A38,IF(A38='Données projet'!$A$114,'Données projet'!$B$114,BY37+BX38-CG37)))</f>
        <v>164.99999999999994</v>
      </c>
      <c r="BZ38" s="14">
        <f>BY38*VLOOKUP('Données projet'!$B$12,Paramètres!$A$1:$I$88,3,0)*VLOOKUP('Données projet'!$B$12,Paramètres!$A$1:$I$88,5,0)</f>
        <v>128.69999999999996</v>
      </c>
      <c r="CA38" s="14">
        <f t="shared" si="39"/>
        <v>33.695792019186115</v>
      </c>
      <c r="CB38" s="22">
        <f t="shared" si="10"/>
        <v>282.83933776674911</v>
      </c>
      <c r="CC38" s="62">
        <f t="shared" si="11"/>
        <v>576.17267110008243</v>
      </c>
      <c r="CD38" s="62">
        <f ca="1">AVERAGE(OFFSET($CC$3,0,0,'Données projet'!$E$12+1,1))-AVERAGE(OFFSET($H$3,0,0,'Données projet'!$E$12+1,1))</f>
        <v>217.32600829266818</v>
      </c>
      <c r="CE38" s="62">
        <f t="shared" si="40"/>
        <v>208.79744153433245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projet'!$B$12,Paramètres!$A$1:$I$88,7,0))</f>
        <v>0</v>
      </c>
      <c r="CI38" s="17">
        <f>IF(ISNA(VLOOKUP(A38,'Données projet'!$A$113:$I$133,6,0)),0%,VLOOKUP(A38,'Données projet'!$A$113:$I$133,6,0)*VLOOKUP('Données projet'!$B$12,Paramètres!$A$1:$I$88,7,0))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projet'!$B$12,Paramètres!$A$1:$I$88,3,0)*0.475*44/12</f>
        <v>0</v>
      </c>
      <c r="CL38" s="23">
        <f>EXP(-LN(2)/25)*CL37+(1-EXP(-LN(2)/25))/(LN(2)/25)*Calculateur!CG38*Calculateur!CI38*VLOOKUP('Données projet'!$B$12,Paramètres!$A$1:$I$88,3,0)*0.475*44/12</f>
        <v>0</v>
      </c>
      <c r="CM38" s="23">
        <f>EXP(-LN(2)/2)*CM37+(1-EXP(-LN(2)/2))/(LN(2)/2)*CG38*CJ38*VLOOKUP('Données projet'!$B$12,Paramètres!$A$1:$I$88,3,0)*0.475*44/12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355</v>
      </c>
      <c r="CR38" s="13">
        <f>VLOOKUP(A38,'Données projet'!$A$139:$I$159,9,0)</f>
        <v>19.857142857142858</v>
      </c>
      <c r="CS38" s="13">
        <f t="array" ref="CS38">INDEX(CR:CR,MIN(IF(ISNUMBER(CR38:CR234),ROW(CR38:CR234),"")))</f>
        <v>19.857142857142858</v>
      </c>
      <c r="CT38" s="13">
        <f>IF('Données projet'!$A$140&gt;35,CT37+CS38-DB37,IF(A38&lt;'Données projet'!$A$140,$CQ$205^A38,IF(A38='Données projet'!$A$140,'Données projet'!$B$140,CT37+CS38-DB37)))</f>
        <v>354.99999999999989</v>
      </c>
      <c r="CU38" s="18">
        <f>CT38*VLOOKUP('Données projet'!$B$13,Paramètres!$A$1:$I$88,3,0)*VLOOKUP('Données projet'!$B$13,Paramètres!$A$1:$I$88,5,0)</f>
        <v>198.44499999999994</v>
      </c>
      <c r="CV38" s="14">
        <f t="shared" si="41"/>
        <v>49.40227070134226</v>
      </c>
      <c r="CW38" s="22">
        <f t="shared" si="13"/>
        <v>431.66732980483766</v>
      </c>
      <c r="CX38" s="62">
        <f t="shared" si="14"/>
        <v>725.00066313817092</v>
      </c>
      <c r="CY38" s="62">
        <f ca="1">AVERAGE(OFFSET($CX$3,0,0,'Données projet'!$E$13+1,1))-AVERAGE(OFFSET($H$3,0,0,'Données projet'!$E$13+1,1))</f>
        <v>302.20483575440988</v>
      </c>
      <c r="CZ38" s="62">
        <f t="shared" si="42"/>
        <v>275.32862097158687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73</v>
      </c>
      <c r="DC38" s="17">
        <f>IF(ISNA(VLOOKUP(A38,'Données projet'!$A$139:$I$159,5,0)),0%,VLOOKUP(A38,'Données projet'!$A$139:$I$159,5,0)*VLOOKUP('Données projet'!$B$13,Paramètres!$A$1:$I$88,7,0))</f>
        <v>0</v>
      </c>
      <c r="DD38" s="17">
        <f>IF(ISNA(VLOOKUP(A38,'Données projet'!$A$139:$I$159,6,0)),0%,VLOOKUP(A38,'Données projet'!$A$139:$I$159,6,0)*VLOOKUP('Données projet'!$B$13,Paramètres!$A$1:$I$88,7,0))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projet'!$B$13,Paramètres!$A$1:$I$88,3,0)*0.475*44/12</f>
        <v>0</v>
      </c>
      <c r="DG38" s="23">
        <f>EXP(-LN(2)/25)*DG37+(1-EXP(-LN(2)/25))/(LN(2)/25)*Calculateur!DB38*Calculateur!DD38*VLOOKUP('Données projet'!$B$13,Paramètres!$A$1:$I$88,3,0)*0.475*44/12</f>
        <v>12.037298284849292</v>
      </c>
      <c r="DH38" s="23">
        <f>EXP(-LN(2)/2)*DH37+(1-EXP(-LN(2)/2))/(LN(2)/2)*DB38*DE38*VLOOKUP('Données projet'!$B$13,Paramètres!$A$1:$I$88,3,0)*0.475*44/12</f>
        <v>1.1987029187010338</v>
      </c>
      <c r="DI38" s="24">
        <f t="shared" si="15"/>
        <v>13.236001203550327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projet'!$B$14,Paramètres!$A$1:$I$88,3,0)*VLOOKUP('Données projet'!$B$14,Paramètres!$A$1:$I$88,5,0)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projet'!$B$14,Paramètres!$A$1:$I$88,7,0))</f>
        <v>0</v>
      </c>
      <c r="DY38" s="17">
        <f>IF(ISNA(VLOOKUP(A38,'Données projet'!$A$165:$I$185,6,0)),0%,VLOOKUP(A38,'Données projet'!$A$165:$I$185,6,0)*VLOOKUP('Données projet'!$B$14,Paramètres!$A$1:$I$88,7,0))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projet'!$B$14,Paramètres!$A$1:$I$88,3,0)*0.475*44/12</f>
        <v>#N/A</v>
      </c>
      <c r="EB38" s="23" t="e">
        <f>EXP(-LN(2)/25)*EB37+(1-EXP(-LN(2)/25))/(LN(2)/25)*Calculateur!DW38*Calculateur!DY38*VLOOKUP('Données projet'!$B$14,Paramètres!$A$1:$I$88,3,0)*0.475*44/12</f>
        <v>#N/A</v>
      </c>
      <c r="EC38" s="23" t="e">
        <f>EXP(-LN(2)/2)*EC37+(1-EXP(-LN(2)/2))/(LN(2)/2)*DW38*DZ38*VLOOKUP('Données projet'!$B$14,Paramètres!$A$1:$I$88,3,0)*0.475*44/12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projet'!$B$15,Paramètres!$A$1:$I$88,3,0)*VLOOKUP('Données projet'!$B$15,Paramètres!$A$1:$I$88,5,0)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projet'!$B$15,Paramètres!$A$1:$I$88,7,0))</f>
        <v>0</v>
      </c>
      <c r="ET38" s="17">
        <f>IF(ISNA(VLOOKUP(A38,'Données projet'!$A$191:$I$211,6,0)),0%,VLOOKUP(A38,'Données projet'!$A$191:$I$211,6,0)*VLOOKUP('Données projet'!$B$15,Paramètres!$A$1:$I$88,7,0))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projet'!$B$15,Paramètres!$A$1:$I$88,3,0)*0.475*44/12</f>
        <v>#N/A</v>
      </c>
      <c r="EW38" s="23" t="e">
        <f>EXP(-LN(2)/25)*EW37+(1-EXP(-LN(2)/25))/(LN(2)/25)*Calculateur!ER38*Calculateur!ET38*VLOOKUP('Données projet'!$B$15,Paramètres!$A$1:$I$88,3,0)*0.475*44/12</f>
        <v>#N/A</v>
      </c>
      <c r="EX38" s="23" t="e">
        <f>EXP(-LN(2)/2)*EX37+(1-EXP(-LN(2)/2))/(LN(2)/2)*ER38*EU38*VLOOKUP('Données projet'!$B$15,Paramètres!$A$1:$I$88,3,0)*0.475*44/12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projet'!$B$16,Paramètres!$A$1:$I$88,3,0)*VLOOKUP('Données projet'!$B$16,Paramètres!$A$1:$I$88,5,0)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projet'!$B$16,Paramètres!$A$1:$I$88,7,0))</f>
        <v>0</v>
      </c>
      <c r="FO38" s="17">
        <f>IF(ISNA(VLOOKUP(A38,'Données projet'!$A$217:$I$237,6,0)),0%,VLOOKUP(A38,'Données projet'!$A$217:$I$237,6,0)*VLOOKUP('Données projet'!$B$16,Paramètres!$A$1:$I$88,7,0))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projet'!$B$16,Paramètres!$A$1:$I$88,3,0)*0.475*44/12</f>
        <v>#N/A</v>
      </c>
      <c r="FR38" s="23" t="e">
        <f>EXP(-LN(2)/25)*FR37+(1-EXP(-LN(2)/25))/(LN(2)/25)*Calculateur!FM38*Calculateur!FO38*VLOOKUP('Données projet'!$B$16,Paramètres!$A$1:$I$88,3,0)*0.475*44/12</f>
        <v>#N/A</v>
      </c>
      <c r="FS38" s="23" t="e">
        <f>EXP(-LN(2)/2)*FS37+(1-EXP(-LN(2)/2))/(LN(2)/2)*FM38*FP38*VLOOKUP('Données projet'!$B$16,Paramètres!$A$1:$I$88,3,0)*0.475*44/12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projet'!$B$17,Paramètres!$A$1:$I$88,3,0)*VLOOKUP('Données projet'!$B$17,Paramètres!$A$1:$I$88,5,0)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projet'!$B$17,Paramètres!$A$1:$I$88,7,0))</f>
        <v>0</v>
      </c>
      <c r="GJ38" s="17">
        <f>IF(ISNA(VLOOKUP(A38,'Données projet'!$A$243:$I$263,6,0)),0%,VLOOKUP(A38,'Données projet'!$A$243:$I$263,6,0)*VLOOKUP('Données projet'!$B$17,Paramètres!$A$1:$I$88,7,0))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projet'!$B$17,Paramètres!$A$1:$I$88,3,0)*0.475*44/12</f>
        <v>#N/A</v>
      </c>
      <c r="GM38" s="23" t="e">
        <f>EXP(-LN(2)/25)*GM37+(1-EXP(-LN(2)/25))/(LN(2)/25)*Calculateur!GH38*Calculateur!GJ38*VLOOKUP('Données projet'!$B$17,Paramètres!$A$1:$I$88,3,0)*0.475*44/12</f>
        <v>#N/A</v>
      </c>
      <c r="GN38" s="23" t="e">
        <f>EXP(-LN(2)/2)*GN37+(1-EXP(-LN(2)/2))/(LN(2)/2)*GH38*GK38*VLOOKUP('Données projet'!$B$17,Paramètres!$A$1:$I$88,3,0)*0.475*44/12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projet'!$B$18,Paramètres!$A$1:$I$88,3,0)*VLOOKUP('Données projet'!$B$18,Paramètres!$A$1:$I$88,5,0)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projet'!$B$18,Paramètres!$A$1:$I$88,7,0))</f>
        <v>0</v>
      </c>
      <c r="HE38" s="17">
        <f>IF(ISNA(VLOOKUP(A38,'Données projet'!$A$269:$I$289,6,0)),0%,VLOOKUP(A38,'Données projet'!$A$269:$I$289,6,0)*VLOOKUP('Données projet'!$B$18,Paramètres!$A$1:$I$88,7,0))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projet'!$B$18,Paramètres!$A$1:$I$88,3,0)*0.475*44/12</f>
        <v>#N/A</v>
      </c>
      <c r="HH38" s="23" t="e">
        <f>EXP(-LN(2)/25)*HH37+(1-EXP(-LN(2)/25))/(LN(2)/25)*Calculateur!HC38*Calculateur!HE38*VLOOKUP('Données projet'!$B$18,Paramètres!$A$1:$I$88,3,0)*0.475*44/12</f>
        <v>#N/A</v>
      </c>
      <c r="HI38" s="23" t="e">
        <f>EXP(-LN(2)/2)*HI37+(1-EXP(-LN(2)/2))/(LN(2)/2)*HC38*HF38*VLOOKUP('Données projet'!$B$18,Paramètres!$A$1:$I$88,3,0)*0.475*44/12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248</v>
      </c>
      <c r="L39" s="13">
        <f>VLOOKUP(A39,'Données projet'!$A$35:$I$55,9,0)</f>
        <v>12.833333333333334</v>
      </c>
      <c r="M39" s="13">
        <f t="array" ref="M39">INDEX(L:L,MIN(IF(ISNUMBER(L39:L235),ROW(L39:L235),"")))</f>
        <v>12.833333333333334</v>
      </c>
      <c r="N39" s="14">
        <f>IF('Données projet'!$A$36&gt;35,N38+M39-V38,IF(A39&lt;'Données projet'!$A$36,$K$205^A39,IF(A39='Données projet'!$A$36,'Données projet'!$B$36,N38+M39-V38)))</f>
        <v>248</v>
      </c>
      <c r="O39" s="14">
        <f>N39*VLOOKUP('Données projet'!$B$9,Paramètres!$A$1:$I$88,3,0)*VLOOKUP('Données projet'!$B$9,Paramètres!$A$1:$I$88,5,0)</f>
        <v>154.75199999999998</v>
      </c>
      <c r="P39" s="14">
        <f t="shared" si="33"/>
        <v>39.656526650076415</v>
      </c>
      <c r="Q39" s="22">
        <f t="shared" si="53"/>
        <v>338.5948505822164</v>
      </c>
      <c r="R39" s="62">
        <f t="shared" si="0"/>
        <v>631.92818391554965</v>
      </c>
      <c r="S39" s="62">
        <f ca="1">AVERAGE(OFFSET($R$3,0,0,'Données projet'!$E$9+1,1))-AVERAGE(OFFSET($H$3,0,0,'Données projet'!$E$9+1,1))</f>
        <v>175.05987582828078</v>
      </c>
      <c r="T39" s="62">
        <f t="shared" si="34"/>
        <v>268.54782308462387</v>
      </c>
      <c r="U39" s="16">
        <f>IF(ISNA(VLOOKUP(A39,'Données projet'!$A$35:$I$55,3,0)),0,VLOOKUP(A39,'Données projet'!$A$35:$I$55,3,0))</f>
        <v>5</v>
      </c>
      <c r="V39" s="16">
        <f>IF(ISNA(VLOOKUP(A39,'Données projet'!$A$35:$I$55,4,0)),0,VLOOKUP(A39,'Données projet'!$A$35:$I$55,4,0))</f>
        <v>62</v>
      </c>
      <c r="W39" s="17">
        <f>IF(ISNA(VLOOKUP(A39,'Données projet'!$A$35:$I$55,5,0)),0%,VLOOKUP(A39,'Données projet'!$A$35:$I$55,5,0)*VLOOKUP('Données projet'!$B$9,Paramètres!$A$1:$I$88,7,0))</f>
        <v>0</v>
      </c>
      <c r="X39" s="17">
        <f>IF(ISNA(VLOOKUP(A39,'Données projet'!$A$35:$I$55,6,0)),0%,VLOOKUP(A39,'Données projet'!$A$35:$I$55,6,0)*VLOOKUP('Données projet'!$B$9,Paramètres!$A$1:$I$88,7,0))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projet'!$B$9,Paramètres!$A$1:$I$88,3,0)*0.475*44/12</f>
        <v>0</v>
      </c>
      <c r="AA39" s="23">
        <f>EXP(-LN(2)/25)*AA38+(1-EXP(-LN(2)/25))/(LN(2)/25)*Calculateur!V39*Calculateur!X39*VLOOKUP('Données projet'!$B$9,Paramètres!$A$1:$I$88,3,0)*0.475*44/12</f>
        <v>8.7176444341385508</v>
      </c>
      <c r="AB39" s="23">
        <f>EXP(-LN(2)/2)*AB38+(1-EXP(-LN(2)/2))/(LN(2)/2)*V39*Y39*VLOOKUP('Données projet'!$B$9,Paramètres!$A$1:$I$88,3,0)*0.475*44/12</f>
        <v>2.0648524851258498</v>
      </c>
      <c r="AC39" s="24">
        <f t="shared" si="3"/>
        <v>10.7824969192644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25.733333333333334</v>
      </c>
      <c r="AI39" s="14">
        <f>IF('Données projet'!$A$62&gt;35,AI38+AH39-AQ38,IF(A39&lt;'Données projet'!$A$62,$AF$205^A39,IF(A39='Données projet'!$A$62,'Données projet'!$B$62,AI38+AH39-AQ38)))</f>
        <v>464.40000000000009</v>
      </c>
      <c r="AJ39" s="14">
        <f>AI39*VLOOKUP('Données projet'!$B$10,Paramètres!$A$1:$I$88,3,0)*VLOOKUP('Données projet'!$B$10,Paramètres!$A$1:$I$88,5,0)</f>
        <v>223.37640000000005</v>
      </c>
      <c r="AK39" s="14">
        <f t="shared" si="35"/>
        <v>54.848077814326416</v>
      </c>
      <c r="AL39" s="22">
        <f t="shared" si="4"/>
        <v>484.57429885995197</v>
      </c>
      <c r="AM39" s="62">
        <f t="shared" si="5"/>
        <v>777.90763219328528</v>
      </c>
      <c r="AN39" s="62">
        <f ca="1">AVERAGE(OFFSET($AM$3,0,0,'Données projet'!$E$10+1,1))-AVERAGE(OFFSET($H$3,0,0,'Données projet'!$E$10+1,1))</f>
        <v>576.61210817354549</v>
      </c>
      <c r="AO39" s="62">
        <f t="shared" si="36"/>
        <v>343.9428747444544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projet'!$B$10,Paramètres!$A$1:$I$88,7,0))</f>
        <v>0</v>
      </c>
      <c r="AS39" s="17">
        <f>IF(ISNA(VLOOKUP(A39,'Données projet'!$A$61:$I$81,6,0)),0%,VLOOKUP(A39,'Données projet'!$A$61:$I$81,6,0)*VLOOKUP('Données projet'!$B$10,Paramètres!$A$1:$I$88,7,0))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projet'!$B$10,Paramètres!$A$1:$I$88,3,0)*0.475*44/12</f>
        <v>0</v>
      </c>
      <c r="AV39" s="23">
        <f>EXP(-LN(2)/25)*AV38+(1-EXP(-LN(2)/25))/(LN(2)/25)*Calculateur!AQ39*Calculateur!AS39*VLOOKUP('Données projet'!$B$10,Paramètres!$A$1:$I$88,3,0)*0.475*44/12</f>
        <v>4.7950217311636454</v>
      </c>
      <c r="AW39" s="23">
        <f>EXP(-LN(2)/2)*AW38+(1-EXP(-LN(2)/2))/(LN(2)/2)*AQ39*AT39*VLOOKUP('Données projet'!$B$10,Paramètres!$A$1:$I$88,3,0)*0.475*44/12</f>
        <v>1.4704300847976217</v>
      </c>
      <c r="AX39" s="23">
        <f t="shared" si="6"/>
        <v>6.2654518159612671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11.339999999999998</v>
      </c>
      <c r="BD39" s="13">
        <f>IF('Données projet'!$A$88&gt;35,BD38+BC39-BL38,IF(A39&lt;'Données projet'!$A$88,$BA$205^A39,IF(A39='Données projet'!$A$88,'Données projet'!$B$88,BD38+BC39-BL38)))</f>
        <v>182.73999999999995</v>
      </c>
      <c r="BE39" s="14">
        <f>BD39*VLOOKUP('Données projet'!$B$11,Paramètres!$A$1:$I$88,3,0)*VLOOKUP('Données projet'!$B$11,Paramètres!$A$1:$I$88,5,0)</f>
        <v>145.38794399999998</v>
      </c>
      <c r="BF39" s="14">
        <f t="shared" si="37"/>
        <v>37.52858196613942</v>
      </c>
      <c r="BG39" s="22">
        <f t="shared" si="7"/>
        <v>318.57961605769276</v>
      </c>
      <c r="BH39" s="62">
        <f t="shared" si="8"/>
        <v>611.91294939102613</v>
      </c>
      <c r="BI39" s="62">
        <f ca="1">AVERAGE(OFFSET($BH$3,0,0,'Données projet'!$E$11+1,1))-AVERAGE(OFFSET($H$3,0,0,'Données projet'!$E$11+1,1))</f>
        <v>298.38448036212861</v>
      </c>
      <c r="BJ39" s="62">
        <f t="shared" si="38"/>
        <v>270.4445531106897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projet'!$B$11,Paramètres!$A$1:$I$88,7,0))</f>
        <v>0</v>
      </c>
      <c r="BN39" s="17">
        <f>IF(ISNA(VLOOKUP(A39,'Données projet'!$A$87:$I$107,6,0)),0%,VLOOKUP(A39,'Données projet'!$A$87:$I$107,6,0)*VLOOKUP('Données projet'!$B$11,Paramètres!$A$1:$I$88,7,0))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projet'!$B$11,Paramètres!$A$1:$I$88,3,0)*0.475*44/12</f>
        <v>0</v>
      </c>
      <c r="BQ39" s="23">
        <f>EXP(-LN(2)/25)*BQ38+(1-EXP(-LN(2)/25))/(LN(2)/25)*Calculateur!BL39*Calculateur!BN39*VLOOKUP('Données projet'!$B$11,Paramètres!$A$1:$I$88,3,0)*0.475*44/12</f>
        <v>0</v>
      </c>
      <c r="BR39" s="23">
        <f>EXP(-LN(2)/2)*BR38+(1-EXP(-LN(2)/2))/(LN(2)/2)*BL39*BO39*VLOOKUP('Données projet'!$B$11,Paramètres!$A$1:$I$88,3,0)*0.475*44/12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11.5</v>
      </c>
      <c r="BY39" s="13">
        <f>IF('Données projet'!$A$114&gt;35,BY38+BX39-CG38,IF(A39&lt;'Données projet'!$A$114,$BV$205^A39,IF(A39='Données projet'!$A$114,'Données projet'!$B$114,BY38+BX39-CG38)))</f>
        <v>176.49999999999994</v>
      </c>
      <c r="BZ39" s="14">
        <f>BY39*VLOOKUP('Données projet'!$B$12,Paramètres!$A$1:$I$88,3,0)*VLOOKUP('Données projet'!$B$12,Paramètres!$A$1:$I$88,5,0)</f>
        <v>137.66999999999996</v>
      </c>
      <c r="CA39" s="14">
        <f t="shared" si="39"/>
        <v>35.762714965854656</v>
      </c>
      <c r="CB39" s="22">
        <f t="shared" si="10"/>
        <v>302.06197856553007</v>
      </c>
      <c r="CC39" s="62">
        <f t="shared" si="11"/>
        <v>595.39531189886338</v>
      </c>
      <c r="CD39" s="62">
        <f ca="1">AVERAGE(OFFSET($CC$3,0,0,'Données projet'!$E$12+1,1))-AVERAGE(OFFSET($H$3,0,0,'Données projet'!$E$12+1,1))</f>
        <v>217.32600829266818</v>
      </c>
      <c r="CE39" s="62">
        <f t="shared" si="40"/>
        <v>208.79744153433245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projet'!$B$12,Paramètres!$A$1:$I$88,7,0))</f>
        <v>0</v>
      </c>
      <c r="CI39" s="17">
        <f>IF(ISNA(VLOOKUP(A39,'Données projet'!$A$113:$I$133,6,0)),0%,VLOOKUP(A39,'Données projet'!$A$113:$I$133,6,0)*VLOOKUP('Données projet'!$B$12,Paramètres!$A$1:$I$88,7,0))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projet'!$B$12,Paramètres!$A$1:$I$88,3,0)*0.475*44/12</f>
        <v>0</v>
      </c>
      <c r="CL39" s="23">
        <f>EXP(-LN(2)/25)*CL38+(1-EXP(-LN(2)/25))/(LN(2)/25)*Calculateur!CG39*Calculateur!CI39*VLOOKUP('Données projet'!$B$12,Paramètres!$A$1:$I$88,3,0)*0.475*44/12</f>
        <v>0</v>
      </c>
      <c r="CM39" s="23">
        <f>EXP(-LN(2)/2)*CM38+(1-EXP(-LN(2)/2))/(LN(2)/2)*CG39*CJ39*VLOOKUP('Données projet'!$B$12,Paramètres!$A$1:$I$88,3,0)*0.475*44/12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19.571428571428573</v>
      </c>
      <c r="CT39" s="13">
        <f>IF('Données projet'!$A$140&gt;35,CT38+CS39-DB38,IF(A39&lt;'Données projet'!$A$140,$CQ$205^A39,IF(A39='Données projet'!$A$140,'Données projet'!$B$140,CT38+CS39-DB38)))</f>
        <v>301.57142857142844</v>
      </c>
      <c r="CU39" s="18">
        <f>CT39*VLOOKUP('Données projet'!$B$13,Paramètres!$A$1:$I$88,3,0)*VLOOKUP('Données projet'!$B$13,Paramètres!$A$1:$I$88,5,0)</f>
        <v>168.5784285714285</v>
      </c>
      <c r="CV39" s="14">
        <f t="shared" si="41"/>
        <v>42.771483439273169</v>
      </c>
      <c r="CW39" s="22">
        <f t="shared" si="13"/>
        <v>368.10109675197208</v>
      </c>
      <c r="CX39" s="62">
        <f t="shared" si="14"/>
        <v>661.43443008530539</v>
      </c>
      <c r="CY39" s="62">
        <f ca="1">AVERAGE(OFFSET($CX$3,0,0,'Données projet'!$E$13+1,1))-AVERAGE(OFFSET($H$3,0,0,'Données projet'!$E$13+1,1))</f>
        <v>302.20483575440988</v>
      </c>
      <c r="CZ39" s="62">
        <f t="shared" si="42"/>
        <v>275.32862097158687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projet'!$B$13,Paramètres!$A$1:$I$88,7,0))</f>
        <v>0</v>
      </c>
      <c r="DD39" s="17">
        <f>IF(ISNA(VLOOKUP(A39,'Données projet'!$A$139:$I$159,6,0)),0%,VLOOKUP(A39,'Données projet'!$A$139:$I$159,6,0)*VLOOKUP('Données projet'!$B$13,Paramètres!$A$1:$I$88,7,0))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projet'!$B$13,Paramètres!$A$1:$I$88,3,0)*0.475*44/12</f>
        <v>0</v>
      </c>
      <c r="DG39" s="23">
        <f>EXP(-LN(2)/25)*DG38+(1-EXP(-LN(2)/25))/(LN(2)/25)*Calculateur!DB39*Calculateur!DD39*VLOOKUP('Données projet'!$B$13,Paramètres!$A$1:$I$88,3,0)*0.475*44/12</f>
        <v>11.708137730236084</v>
      </c>
      <c r="DH39" s="23">
        <f>EXP(-LN(2)/2)*DH38+(1-EXP(-LN(2)/2))/(LN(2)/2)*DB39*DE39*VLOOKUP('Données projet'!$B$13,Paramètres!$A$1:$I$88,3,0)*0.475*44/12</f>
        <v>0.84761096244160783</v>
      </c>
      <c r="DI39" s="24">
        <f t="shared" si="15"/>
        <v>12.555748692677692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projet'!$B$14,Paramètres!$A$1:$I$88,3,0)*VLOOKUP('Données projet'!$B$14,Paramètres!$A$1:$I$88,5,0)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projet'!$B$14,Paramètres!$A$1:$I$88,7,0))</f>
        <v>0</v>
      </c>
      <c r="DY39" s="17">
        <f>IF(ISNA(VLOOKUP(A39,'Données projet'!$A$165:$I$185,6,0)),0%,VLOOKUP(A39,'Données projet'!$A$165:$I$185,6,0)*VLOOKUP('Données projet'!$B$14,Paramètres!$A$1:$I$88,7,0))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projet'!$B$14,Paramètres!$A$1:$I$88,3,0)*0.475*44/12</f>
        <v>#N/A</v>
      </c>
      <c r="EB39" s="23" t="e">
        <f>EXP(-LN(2)/25)*EB38+(1-EXP(-LN(2)/25))/(LN(2)/25)*Calculateur!DW39*Calculateur!DY39*VLOOKUP('Données projet'!$B$14,Paramètres!$A$1:$I$88,3,0)*0.475*44/12</f>
        <v>#N/A</v>
      </c>
      <c r="EC39" s="23" t="e">
        <f>EXP(-LN(2)/2)*EC38+(1-EXP(-LN(2)/2))/(LN(2)/2)*DW39*DZ39*VLOOKUP('Données projet'!$B$14,Paramètres!$A$1:$I$88,3,0)*0.475*44/12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projet'!$B$15,Paramètres!$A$1:$I$88,3,0)*VLOOKUP('Données projet'!$B$15,Paramètres!$A$1:$I$88,5,0)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projet'!$B$15,Paramètres!$A$1:$I$88,7,0))</f>
        <v>0</v>
      </c>
      <c r="ET39" s="17">
        <f>IF(ISNA(VLOOKUP(A39,'Données projet'!$A$191:$I$211,6,0)),0%,VLOOKUP(A39,'Données projet'!$A$191:$I$211,6,0)*VLOOKUP('Données projet'!$B$15,Paramètres!$A$1:$I$88,7,0))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projet'!$B$15,Paramètres!$A$1:$I$88,3,0)*0.475*44/12</f>
        <v>#N/A</v>
      </c>
      <c r="EW39" s="23" t="e">
        <f>EXP(-LN(2)/25)*EW38+(1-EXP(-LN(2)/25))/(LN(2)/25)*Calculateur!ER39*Calculateur!ET39*VLOOKUP('Données projet'!$B$15,Paramètres!$A$1:$I$88,3,0)*0.475*44/12</f>
        <v>#N/A</v>
      </c>
      <c r="EX39" s="23" t="e">
        <f>EXP(-LN(2)/2)*EX38+(1-EXP(-LN(2)/2))/(LN(2)/2)*ER39*EU39*VLOOKUP('Données projet'!$B$15,Paramètres!$A$1:$I$88,3,0)*0.475*44/12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projet'!$B$16,Paramètres!$A$1:$I$88,3,0)*VLOOKUP('Données projet'!$B$16,Paramètres!$A$1:$I$88,5,0)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projet'!$B$16,Paramètres!$A$1:$I$88,7,0))</f>
        <v>0</v>
      </c>
      <c r="FO39" s="17">
        <f>IF(ISNA(VLOOKUP(A39,'Données projet'!$A$217:$I$237,6,0)),0%,VLOOKUP(A39,'Données projet'!$A$217:$I$237,6,0)*VLOOKUP('Données projet'!$B$16,Paramètres!$A$1:$I$88,7,0))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projet'!$B$16,Paramètres!$A$1:$I$88,3,0)*0.475*44/12</f>
        <v>#N/A</v>
      </c>
      <c r="FR39" s="23" t="e">
        <f>EXP(-LN(2)/25)*FR38+(1-EXP(-LN(2)/25))/(LN(2)/25)*Calculateur!FM39*Calculateur!FO39*VLOOKUP('Données projet'!$B$16,Paramètres!$A$1:$I$88,3,0)*0.475*44/12</f>
        <v>#N/A</v>
      </c>
      <c r="FS39" s="23" t="e">
        <f>EXP(-LN(2)/2)*FS38+(1-EXP(-LN(2)/2))/(LN(2)/2)*FM39*FP39*VLOOKUP('Données projet'!$B$16,Paramètres!$A$1:$I$88,3,0)*0.475*44/12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projet'!$B$17,Paramètres!$A$1:$I$88,3,0)*VLOOKUP('Données projet'!$B$17,Paramètres!$A$1:$I$88,5,0)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projet'!$B$17,Paramètres!$A$1:$I$88,7,0))</f>
        <v>0</v>
      </c>
      <c r="GJ39" s="17">
        <f>IF(ISNA(VLOOKUP(A39,'Données projet'!$A$243:$I$263,6,0)),0%,VLOOKUP(A39,'Données projet'!$A$243:$I$263,6,0)*VLOOKUP('Données projet'!$B$17,Paramètres!$A$1:$I$88,7,0))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projet'!$B$17,Paramètres!$A$1:$I$88,3,0)*0.475*44/12</f>
        <v>#N/A</v>
      </c>
      <c r="GM39" s="23" t="e">
        <f>EXP(-LN(2)/25)*GM38+(1-EXP(-LN(2)/25))/(LN(2)/25)*Calculateur!GH39*Calculateur!GJ39*VLOOKUP('Données projet'!$B$17,Paramètres!$A$1:$I$88,3,0)*0.475*44/12</f>
        <v>#N/A</v>
      </c>
      <c r="GN39" s="23" t="e">
        <f>EXP(-LN(2)/2)*GN38+(1-EXP(-LN(2)/2))/(LN(2)/2)*GH39*GK39*VLOOKUP('Données projet'!$B$17,Paramètres!$A$1:$I$88,3,0)*0.475*44/12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projet'!$B$18,Paramètres!$A$1:$I$88,3,0)*VLOOKUP('Données projet'!$B$18,Paramètres!$A$1:$I$88,5,0)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projet'!$B$18,Paramètres!$A$1:$I$88,7,0))</f>
        <v>0</v>
      </c>
      <c r="HE39" s="17">
        <f>IF(ISNA(VLOOKUP(A39,'Données projet'!$A$269:$I$289,6,0)),0%,VLOOKUP(A39,'Données projet'!$A$269:$I$289,6,0)*VLOOKUP('Données projet'!$B$18,Paramètres!$A$1:$I$88,7,0))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projet'!$B$18,Paramètres!$A$1:$I$88,3,0)*0.475*44/12</f>
        <v>#N/A</v>
      </c>
      <c r="HH39" s="23" t="e">
        <f>EXP(-LN(2)/25)*HH38+(1-EXP(-LN(2)/25))/(LN(2)/25)*Calculateur!HC39*Calculateur!HE39*VLOOKUP('Données projet'!$B$18,Paramètres!$A$1:$I$88,3,0)*0.475*44/12</f>
        <v>#N/A</v>
      </c>
      <c r="HI39" s="23" t="e">
        <f>EXP(-LN(2)/2)*HI38+(1-EXP(-LN(2)/2))/(LN(2)/2)*HC39*HF39*VLOOKUP('Données projet'!$B$18,Paramètres!$A$1:$I$88,3,0)*0.475*44/12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11.5</v>
      </c>
      <c r="N40" s="14">
        <f>IF('Données projet'!$A$36&gt;35,N39+M40-V39,IF(A40&lt;'Données projet'!$A$36,$K$205^A40,IF(A40='Données projet'!$A$36,'Données projet'!$B$36,N39+M40-V39)))</f>
        <v>197.5</v>
      </c>
      <c r="O40" s="14">
        <f>N40*VLOOKUP('Données projet'!$B$9,Paramètres!$A$1:$I$88,3,0)*VLOOKUP('Données projet'!$B$9,Paramètres!$A$1:$I$88,5,0)</f>
        <v>123.24</v>
      </c>
      <c r="P40" s="14">
        <f t="shared" si="33"/>
        <v>32.429500380369056</v>
      </c>
      <c r="Q40" s="22">
        <f t="shared" si="53"/>
        <v>271.12437982914275</v>
      </c>
      <c r="R40" s="62">
        <f t="shared" si="0"/>
        <v>564.45771316247601</v>
      </c>
      <c r="S40" s="62">
        <f ca="1">AVERAGE(OFFSET($R$3,0,0,'Données projet'!$E$9+1,1))-AVERAGE(OFFSET($H$3,0,0,'Données projet'!$E$9+1,1))</f>
        <v>175.05987582828078</v>
      </c>
      <c r="T40" s="62">
        <f t="shared" si="34"/>
        <v>268.54782308462387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projet'!$B$9,Paramètres!$A$1:$I$88,7,0))</f>
        <v>0</v>
      </c>
      <c r="X40" s="17">
        <f>IF(ISNA(VLOOKUP(A40,'Données projet'!$A$35:$I$55,6,0)),0%,VLOOKUP(A40,'Données projet'!$A$35:$I$55,6,0)*VLOOKUP('Données projet'!$B$9,Paramètres!$A$1:$I$88,7,0))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projet'!$B$9,Paramètres!$A$1:$I$88,3,0)*0.475*44/12</f>
        <v>0</v>
      </c>
      <c r="AA40" s="23">
        <f>EXP(-LN(2)/25)*AA39+(1-EXP(-LN(2)/25))/(LN(2)/25)*Calculateur!V40*Calculateur!X40*VLOOKUP('Données projet'!$B$9,Paramètres!$A$1:$I$88,3,0)*0.475*44/12</f>
        <v>8.4792599886460351</v>
      </c>
      <c r="AB40" s="23">
        <f>EXP(-LN(2)/2)*AB39+(1-EXP(-LN(2)/2))/(LN(2)/2)*V40*Y40*VLOOKUP('Données projet'!$B$9,Paramètres!$A$1:$I$88,3,0)*0.475*44/12</f>
        <v>1.4600711943823832</v>
      </c>
      <c r="AC40" s="24">
        <f t="shared" si="3"/>
        <v>9.9393311830284183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25.733333333333334</v>
      </c>
      <c r="AI40" s="14">
        <f>IF('Données projet'!$A$62&gt;35,AI39+AH40-AQ39,IF(A40&lt;'Données projet'!$A$62,$AF$205^A40,IF(A40='Données projet'!$A$62,'Données projet'!$B$62,AI39+AH40-AQ39)))</f>
        <v>490.13333333333344</v>
      </c>
      <c r="AJ40" s="14">
        <f>AI40*VLOOKUP('Données projet'!$B$10,Paramètres!$A$1:$I$88,3,0)*VLOOKUP('Données projet'!$B$10,Paramètres!$A$1:$I$88,5,0)</f>
        <v>235.75413333333339</v>
      </c>
      <c r="AK40" s="14">
        <f t="shared" si="35"/>
        <v>57.525064754967111</v>
      </c>
      <c r="AL40" s="22">
        <f t="shared" si="4"/>
        <v>510.79460333712336</v>
      </c>
      <c r="AM40" s="62">
        <f t="shared" si="5"/>
        <v>804.12793667045662</v>
      </c>
      <c r="AN40" s="62">
        <f ca="1">AVERAGE(OFFSET($AM$3,0,0,'Données projet'!$E$10+1,1))-AVERAGE(OFFSET($H$3,0,0,'Données projet'!$E$10+1,1))</f>
        <v>576.61210817354549</v>
      </c>
      <c r="AO40" s="62">
        <f t="shared" si="36"/>
        <v>343.9428747444544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projet'!$B$10,Paramètres!$A$1:$I$88,7,0))</f>
        <v>0</v>
      </c>
      <c r="AS40" s="17">
        <f>IF(ISNA(VLOOKUP(A40,'Données projet'!$A$61:$I$81,6,0)),0%,VLOOKUP(A40,'Données projet'!$A$61:$I$81,6,0)*VLOOKUP('Données projet'!$B$10,Paramètres!$A$1:$I$88,7,0))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projet'!$B$10,Paramètres!$A$1:$I$88,3,0)*0.475*44/12</f>
        <v>0</v>
      </c>
      <c r="AV40" s="23">
        <f>EXP(-LN(2)/25)*AV39+(1-EXP(-LN(2)/25))/(LN(2)/25)*Calculateur!AQ40*Calculateur!AS40*VLOOKUP('Données projet'!$B$10,Paramètres!$A$1:$I$88,3,0)*0.475*44/12</f>
        <v>4.663901609765742</v>
      </c>
      <c r="AW40" s="23">
        <f>EXP(-LN(2)/2)*AW39+(1-EXP(-LN(2)/2))/(LN(2)/2)*AQ40*AT40*VLOOKUP('Données projet'!$B$10,Paramètres!$A$1:$I$88,3,0)*0.475*44/12</f>
        <v>1.0397510842211084</v>
      </c>
      <c r="AX40" s="23">
        <f t="shared" si="6"/>
        <v>5.7036526939868502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11.339999999999998</v>
      </c>
      <c r="BD40" s="13">
        <f>IF('Données projet'!$A$88&gt;35,BD39+BC40-BL39,IF(A40&lt;'Données projet'!$A$88,$BA$205^A40,IF(A40='Données projet'!$A$88,'Données projet'!$B$88,BD39+BC40-BL39)))</f>
        <v>194.07999999999996</v>
      </c>
      <c r="BE40" s="14">
        <f>BD40*VLOOKUP('Données projet'!$B$11,Paramètres!$A$1:$I$88,3,0)*VLOOKUP('Données projet'!$B$11,Paramètres!$A$1:$I$88,5,0)</f>
        <v>154.41004799999996</v>
      </c>
      <c r="BF40" s="14">
        <f t="shared" si="37"/>
        <v>39.579088467394584</v>
      </c>
      <c r="BG40" s="22">
        <f t="shared" si="7"/>
        <v>337.86441268071212</v>
      </c>
      <c r="BH40" s="62">
        <f t="shared" si="8"/>
        <v>631.19774601404538</v>
      </c>
      <c r="BI40" s="62">
        <f ca="1">AVERAGE(OFFSET($BH$3,0,0,'Données projet'!$E$11+1,1))-AVERAGE(OFFSET($H$3,0,0,'Données projet'!$E$11+1,1))</f>
        <v>298.38448036212861</v>
      </c>
      <c r="BJ40" s="62">
        <f t="shared" si="38"/>
        <v>270.4445531106897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projet'!$B$11,Paramètres!$A$1:$I$88,7,0))</f>
        <v>0</v>
      </c>
      <c r="BN40" s="17">
        <f>IF(ISNA(VLOOKUP(A40,'Données projet'!$A$87:$I$107,6,0)),0%,VLOOKUP(A40,'Données projet'!$A$87:$I$107,6,0)*VLOOKUP('Données projet'!$B$11,Paramètres!$A$1:$I$88,7,0))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projet'!$B$11,Paramètres!$A$1:$I$88,3,0)*0.475*44/12</f>
        <v>0</v>
      </c>
      <c r="BQ40" s="23">
        <f>EXP(-LN(2)/25)*BQ39+(1-EXP(-LN(2)/25))/(LN(2)/25)*Calculateur!BL40*Calculateur!BN40*VLOOKUP('Données projet'!$B$11,Paramètres!$A$1:$I$88,3,0)*0.475*44/12</f>
        <v>0</v>
      </c>
      <c r="BR40" s="23">
        <f>EXP(-LN(2)/2)*BR39+(1-EXP(-LN(2)/2))/(LN(2)/2)*BL40*BO40*VLOOKUP('Données projet'!$B$11,Paramètres!$A$1:$I$88,3,0)*0.475*44/12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>
        <f>VLOOKUP(A40,'Données projet'!$A$113:$I$133,2,0)</f>
        <v>188</v>
      </c>
      <c r="BW40" s="13">
        <f>VLOOKUP(A40,'Données projet'!$A$113:$I$133,9,0)</f>
        <v>11.5</v>
      </c>
      <c r="BX40" s="13">
        <f t="array" ref="BX40">INDEX(BW:BW,MIN(IF(ISNUMBER(BW40:BW236),ROW(BW40:BW236),"")))</f>
        <v>11.5</v>
      </c>
      <c r="BY40" s="13">
        <f>IF('Données projet'!$A$114&gt;35,BY39+BX40-CG39,IF(A40&lt;'Données projet'!$A$114,$BV$205^A40,IF(A40='Données projet'!$A$114,'Données projet'!$B$114,BY39+BX40-CG39)))</f>
        <v>187.99999999999994</v>
      </c>
      <c r="BZ40" s="14">
        <f>BY40*VLOOKUP('Données projet'!$B$12,Paramètres!$A$1:$I$88,3,0)*VLOOKUP('Données projet'!$B$12,Paramètres!$A$1:$I$88,5,0)</f>
        <v>146.63999999999996</v>
      </c>
      <c r="CA40" s="14">
        <f t="shared" si="39"/>
        <v>37.814009712703026</v>
      </c>
      <c r="CB40" s="22">
        <f t="shared" si="10"/>
        <v>321.25740024962437</v>
      </c>
      <c r="CC40" s="62">
        <f t="shared" si="11"/>
        <v>614.59073358295768</v>
      </c>
      <c r="CD40" s="62">
        <f ca="1">AVERAGE(OFFSET($CC$3,0,0,'Données projet'!$E$12+1,1))-AVERAGE(OFFSET($H$3,0,0,'Données projet'!$E$12+1,1))</f>
        <v>217.32600829266818</v>
      </c>
      <c r="CE40" s="62">
        <f t="shared" si="40"/>
        <v>208.79744153433245</v>
      </c>
      <c r="CF40" s="16">
        <f>IF(ISNA(VLOOKUP(A40,'Données projet'!$A$113:$I$133,3,0)),0,VLOOKUP(A40,'Données projet'!$A$113:$I$133,3,0))</f>
        <v>4</v>
      </c>
      <c r="CG40" s="16">
        <f>IF(ISNA(VLOOKUP(A40,'Données projet'!$A$113:$I$133,4,0)),0,VLOOKUP(A40,'Données projet'!$A$113:$I$133,4,0))</f>
        <v>36</v>
      </c>
      <c r="CH40" s="17">
        <f>IF(ISNA(VLOOKUP(A40,'Données projet'!$A$113:$I$133,5,0)),0%,VLOOKUP(A40,'Données projet'!$A$113:$I$133,5,0)*VLOOKUP('Données projet'!$B$12,Paramètres!$A$1:$I$88,7,0))</f>
        <v>0</v>
      </c>
      <c r="CI40" s="17">
        <f>IF(ISNA(VLOOKUP(A40,'Données projet'!$A$113:$I$133,6,0)),0%,VLOOKUP(A40,'Données projet'!$A$113:$I$133,6,0)*VLOOKUP('Données projet'!$B$12,Paramètres!$A$1:$I$88,7,0))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projet'!$B$12,Paramètres!$A$1:$I$88,3,0)*0.475*44/12</f>
        <v>0</v>
      </c>
      <c r="CL40" s="23">
        <f>EXP(-LN(2)/25)*CL39+(1-EXP(-LN(2)/25))/(LN(2)/25)*Calculateur!CG40*Calculateur!CI40*VLOOKUP('Données projet'!$B$12,Paramètres!$A$1:$I$88,3,0)*0.475*44/12</f>
        <v>0</v>
      </c>
      <c r="CM40" s="23">
        <f>EXP(-LN(2)/2)*CM39+(1-EXP(-LN(2)/2))/(LN(2)/2)*CG40*CJ40*VLOOKUP('Données projet'!$B$12,Paramètres!$A$1:$I$88,3,0)*0.475*44/12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19.571428571428573</v>
      </c>
      <c r="CT40" s="13">
        <f>IF('Données projet'!$A$140&gt;35,CT39+CS40-DB39,IF(A40&lt;'Données projet'!$A$140,$CQ$205^A40,IF(A40='Données projet'!$A$140,'Données projet'!$B$140,CT39+CS40-DB39)))</f>
        <v>321.142857142857</v>
      </c>
      <c r="CU40" s="18">
        <f>CT40*VLOOKUP('Données projet'!$B$13,Paramètres!$A$1:$I$88,3,0)*VLOOKUP('Données projet'!$B$13,Paramètres!$A$1:$I$88,5,0)</f>
        <v>179.51885714285706</v>
      </c>
      <c r="CV40" s="14">
        <f t="shared" si="41"/>
        <v>45.215124075787188</v>
      </c>
      <c r="CW40" s="22">
        <f t="shared" si="13"/>
        <v>391.41168395580547</v>
      </c>
      <c r="CX40" s="62">
        <f t="shared" si="14"/>
        <v>684.74501728913879</v>
      </c>
      <c r="CY40" s="62">
        <f ca="1">AVERAGE(OFFSET($CX$3,0,0,'Données projet'!$E$13+1,1))-AVERAGE(OFFSET($H$3,0,0,'Données projet'!$E$13+1,1))</f>
        <v>302.20483575440988</v>
      </c>
      <c r="CZ40" s="62">
        <f t="shared" si="42"/>
        <v>275.32862097158687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projet'!$B$13,Paramètres!$A$1:$I$88,7,0))</f>
        <v>0</v>
      </c>
      <c r="DD40" s="17">
        <f>IF(ISNA(VLOOKUP(A40,'Données projet'!$A$139:$I$159,6,0)),0%,VLOOKUP(A40,'Données projet'!$A$139:$I$159,6,0)*VLOOKUP('Données projet'!$B$13,Paramètres!$A$1:$I$88,7,0))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projet'!$B$13,Paramètres!$A$1:$I$88,3,0)*0.475*44/12</f>
        <v>0</v>
      </c>
      <c r="DG40" s="23">
        <f>EXP(-LN(2)/25)*DG39+(1-EXP(-LN(2)/25))/(LN(2)/25)*Calculateur!DB40*Calculateur!DD40*VLOOKUP('Données projet'!$B$13,Paramètres!$A$1:$I$88,3,0)*0.475*44/12</f>
        <v>11.387978088298574</v>
      </c>
      <c r="DH40" s="23">
        <f>EXP(-LN(2)/2)*DH39+(1-EXP(-LN(2)/2))/(LN(2)/2)*DB40*DE40*VLOOKUP('Données projet'!$B$13,Paramètres!$A$1:$I$88,3,0)*0.475*44/12</f>
        <v>0.59935145935051704</v>
      </c>
      <c r="DI40" s="24">
        <f t="shared" si="15"/>
        <v>11.987329547649091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projet'!$B$14,Paramètres!$A$1:$I$88,3,0)*VLOOKUP('Données projet'!$B$14,Paramètres!$A$1:$I$88,5,0)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projet'!$B$14,Paramètres!$A$1:$I$88,7,0))</f>
        <v>0</v>
      </c>
      <c r="DY40" s="17">
        <f>IF(ISNA(VLOOKUP(A40,'Données projet'!$A$165:$I$185,6,0)),0%,VLOOKUP(A40,'Données projet'!$A$165:$I$185,6,0)*VLOOKUP('Données projet'!$B$14,Paramètres!$A$1:$I$88,7,0))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projet'!$B$14,Paramètres!$A$1:$I$88,3,0)*0.475*44/12</f>
        <v>#N/A</v>
      </c>
      <c r="EB40" s="23" t="e">
        <f>EXP(-LN(2)/25)*EB39+(1-EXP(-LN(2)/25))/(LN(2)/25)*Calculateur!DW40*Calculateur!DY40*VLOOKUP('Données projet'!$B$14,Paramètres!$A$1:$I$88,3,0)*0.475*44/12</f>
        <v>#N/A</v>
      </c>
      <c r="EC40" s="23" t="e">
        <f>EXP(-LN(2)/2)*EC39+(1-EXP(-LN(2)/2))/(LN(2)/2)*DW40*DZ40*VLOOKUP('Données projet'!$B$14,Paramètres!$A$1:$I$88,3,0)*0.475*44/12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projet'!$B$15,Paramètres!$A$1:$I$88,3,0)*VLOOKUP('Données projet'!$B$15,Paramètres!$A$1:$I$88,5,0)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projet'!$B$15,Paramètres!$A$1:$I$88,7,0))</f>
        <v>0</v>
      </c>
      <c r="ET40" s="17">
        <f>IF(ISNA(VLOOKUP(A40,'Données projet'!$A$191:$I$211,6,0)),0%,VLOOKUP(A40,'Données projet'!$A$191:$I$211,6,0)*VLOOKUP('Données projet'!$B$15,Paramètres!$A$1:$I$88,7,0))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projet'!$B$15,Paramètres!$A$1:$I$88,3,0)*0.475*44/12</f>
        <v>#N/A</v>
      </c>
      <c r="EW40" s="23" t="e">
        <f>EXP(-LN(2)/25)*EW39+(1-EXP(-LN(2)/25))/(LN(2)/25)*Calculateur!ER40*Calculateur!ET40*VLOOKUP('Données projet'!$B$15,Paramètres!$A$1:$I$88,3,0)*0.475*44/12</f>
        <v>#N/A</v>
      </c>
      <c r="EX40" s="23" t="e">
        <f>EXP(-LN(2)/2)*EX39+(1-EXP(-LN(2)/2))/(LN(2)/2)*ER40*EU40*VLOOKUP('Données projet'!$B$15,Paramètres!$A$1:$I$88,3,0)*0.475*44/12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projet'!$B$16,Paramètres!$A$1:$I$88,3,0)*VLOOKUP('Données projet'!$B$16,Paramètres!$A$1:$I$88,5,0)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projet'!$B$16,Paramètres!$A$1:$I$88,7,0))</f>
        <v>0</v>
      </c>
      <c r="FO40" s="17">
        <f>IF(ISNA(VLOOKUP(A40,'Données projet'!$A$217:$I$237,6,0)),0%,VLOOKUP(A40,'Données projet'!$A$217:$I$237,6,0)*VLOOKUP('Données projet'!$B$16,Paramètres!$A$1:$I$88,7,0))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projet'!$B$16,Paramètres!$A$1:$I$88,3,0)*0.475*44/12</f>
        <v>#N/A</v>
      </c>
      <c r="FR40" s="23" t="e">
        <f>EXP(-LN(2)/25)*FR39+(1-EXP(-LN(2)/25))/(LN(2)/25)*Calculateur!FM40*Calculateur!FO40*VLOOKUP('Données projet'!$B$16,Paramètres!$A$1:$I$88,3,0)*0.475*44/12</f>
        <v>#N/A</v>
      </c>
      <c r="FS40" s="23" t="e">
        <f>EXP(-LN(2)/2)*FS39+(1-EXP(-LN(2)/2))/(LN(2)/2)*FM40*FP40*VLOOKUP('Données projet'!$B$16,Paramètres!$A$1:$I$88,3,0)*0.475*44/12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projet'!$B$17,Paramètres!$A$1:$I$88,3,0)*VLOOKUP('Données projet'!$B$17,Paramètres!$A$1:$I$88,5,0)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projet'!$B$17,Paramètres!$A$1:$I$88,7,0))</f>
        <v>0</v>
      </c>
      <c r="GJ40" s="17">
        <f>IF(ISNA(VLOOKUP(A40,'Données projet'!$A$243:$I$263,6,0)),0%,VLOOKUP(A40,'Données projet'!$A$243:$I$263,6,0)*VLOOKUP('Données projet'!$B$17,Paramètres!$A$1:$I$88,7,0))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projet'!$B$17,Paramètres!$A$1:$I$88,3,0)*0.475*44/12</f>
        <v>#N/A</v>
      </c>
      <c r="GM40" s="23" t="e">
        <f>EXP(-LN(2)/25)*GM39+(1-EXP(-LN(2)/25))/(LN(2)/25)*Calculateur!GH40*Calculateur!GJ40*VLOOKUP('Données projet'!$B$17,Paramètres!$A$1:$I$88,3,0)*0.475*44/12</f>
        <v>#N/A</v>
      </c>
      <c r="GN40" s="23" t="e">
        <f>EXP(-LN(2)/2)*GN39+(1-EXP(-LN(2)/2))/(LN(2)/2)*GH40*GK40*VLOOKUP('Données projet'!$B$17,Paramètres!$A$1:$I$88,3,0)*0.475*44/12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projet'!$B$18,Paramètres!$A$1:$I$88,3,0)*VLOOKUP('Données projet'!$B$18,Paramètres!$A$1:$I$88,5,0)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projet'!$B$18,Paramètres!$A$1:$I$88,7,0))</f>
        <v>0</v>
      </c>
      <c r="HE40" s="17">
        <f>IF(ISNA(VLOOKUP(A40,'Données projet'!$A$269:$I$289,6,0)),0%,VLOOKUP(A40,'Données projet'!$A$269:$I$289,6,0)*VLOOKUP('Données projet'!$B$18,Paramètres!$A$1:$I$88,7,0))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projet'!$B$18,Paramètres!$A$1:$I$88,3,0)*0.475*44/12</f>
        <v>#N/A</v>
      </c>
      <c r="HH40" s="23" t="e">
        <f>EXP(-LN(2)/25)*HH39+(1-EXP(-LN(2)/25))/(LN(2)/25)*Calculateur!HC40*Calculateur!HE40*VLOOKUP('Données projet'!$B$18,Paramètres!$A$1:$I$88,3,0)*0.475*44/12</f>
        <v>#N/A</v>
      </c>
      <c r="HI40" s="23" t="e">
        <f>EXP(-LN(2)/2)*HI39+(1-EXP(-LN(2)/2))/(LN(2)/2)*HC40*HF40*VLOOKUP('Données projet'!$B$18,Paramètres!$A$1:$I$88,3,0)*0.475*44/12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11.5</v>
      </c>
      <c r="N41" s="14">
        <f>IF('Données projet'!$A$36&gt;35,N40+M41-V40,IF(A41&lt;'Données projet'!$A$36,$K$205^A41,IF(A41='Données projet'!$A$36,'Données projet'!$B$36,N40+M41-V40)))</f>
        <v>209</v>
      </c>
      <c r="O41" s="14">
        <f>N41*VLOOKUP('Données projet'!$B$9,Paramètres!$A$1:$I$88,3,0)*VLOOKUP('Données projet'!$B$9,Paramètres!$A$1:$I$88,5,0)</f>
        <v>130.416</v>
      </c>
      <c r="P41" s="14">
        <f t="shared" si="33"/>
        <v>34.092466837179941</v>
      </c>
      <c r="Q41" s="22">
        <f t="shared" si="53"/>
        <v>286.51891307475506</v>
      </c>
      <c r="R41" s="62">
        <f t="shared" si="0"/>
        <v>579.85224640808838</v>
      </c>
      <c r="S41" s="62">
        <f ca="1">AVERAGE(OFFSET($R$3,0,0,'Données projet'!$E$9+1,1))-AVERAGE(OFFSET($H$3,0,0,'Données projet'!$E$9+1,1))</f>
        <v>175.05987582828078</v>
      </c>
      <c r="T41" s="62">
        <f t="shared" si="34"/>
        <v>268.54782308462387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projet'!$B$9,Paramètres!$A$1:$I$88,7,0))</f>
        <v>0</v>
      </c>
      <c r="X41" s="17">
        <f>IF(ISNA(VLOOKUP(A41,'Données projet'!$A$35:$I$55,6,0)),0%,VLOOKUP(A41,'Données projet'!$A$35:$I$55,6,0)*VLOOKUP('Données projet'!$B$9,Paramètres!$A$1:$I$88,7,0))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projet'!$B$9,Paramètres!$A$1:$I$88,3,0)*0.475*44/12</f>
        <v>0</v>
      </c>
      <c r="AA41" s="23">
        <f>EXP(-LN(2)/25)*AA40+(1-EXP(-LN(2)/25))/(LN(2)/25)*Calculateur!V41*Calculateur!X41*VLOOKUP('Données projet'!$B$9,Paramètres!$A$1:$I$88,3,0)*0.475*44/12</f>
        <v>8.2473941783516054</v>
      </c>
      <c r="AB41" s="23">
        <f>EXP(-LN(2)/2)*AB40+(1-EXP(-LN(2)/2))/(LN(2)/2)*V41*Y41*VLOOKUP('Données projet'!$B$9,Paramètres!$A$1:$I$88,3,0)*0.475*44/12</f>
        <v>1.0324262425629249</v>
      </c>
      <c r="AC41" s="24">
        <f t="shared" si="3"/>
        <v>9.2798204209145307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25.733333333333334</v>
      </c>
      <c r="AI41" s="14">
        <f>IF('Données projet'!$A$62&gt;35,AI40+AH41-AQ40,IF(A41&lt;'Données projet'!$A$62,$AF$205^A41,IF(A41='Données projet'!$A$62,'Données projet'!$B$62,AI40+AH41-AQ40)))</f>
        <v>515.86666666666679</v>
      </c>
      <c r="AJ41" s="14">
        <f>AI41*VLOOKUP('Données projet'!$B$10,Paramètres!$A$1:$I$88,3,0)*VLOOKUP('Données projet'!$B$10,Paramètres!$A$1:$I$88,5,0)</f>
        <v>248.13186666666675</v>
      </c>
      <c r="AK41" s="14">
        <f t="shared" si="35"/>
        <v>60.18573375515836</v>
      </c>
      <c r="AL41" s="22">
        <f t="shared" si="4"/>
        <v>536.98648740134536</v>
      </c>
      <c r="AM41" s="62">
        <f t="shared" si="5"/>
        <v>830.31982073467861</v>
      </c>
      <c r="AN41" s="62">
        <f ca="1">AVERAGE(OFFSET($AM$3,0,0,'Données projet'!$E$10+1,1))-AVERAGE(OFFSET($H$3,0,0,'Données projet'!$E$10+1,1))</f>
        <v>576.61210817354549</v>
      </c>
      <c r="AO41" s="62">
        <f t="shared" si="36"/>
        <v>343.9428747444544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projet'!$B$10,Paramètres!$A$1:$I$88,7,0))</f>
        <v>0</v>
      </c>
      <c r="AS41" s="17">
        <f>IF(ISNA(VLOOKUP(A41,'Données projet'!$A$61:$I$81,6,0)),0%,VLOOKUP(A41,'Données projet'!$A$61:$I$81,6,0)*VLOOKUP('Données projet'!$B$10,Paramètres!$A$1:$I$88,7,0))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projet'!$B$10,Paramètres!$A$1:$I$88,3,0)*0.475*44/12</f>
        <v>0</v>
      </c>
      <c r="AV41" s="23">
        <f>EXP(-LN(2)/25)*AV40+(1-EXP(-LN(2)/25))/(LN(2)/25)*Calculateur!AQ41*Calculateur!AS41*VLOOKUP('Données projet'!$B$10,Paramètres!$A$1:$I$88,3,0)*0.475*44/12</f>
        <v>4.536366974982772</v>
      </c>
      <c r="AW41" s="23">
        <f>EXP(-LN(2)/2)*AW40+(1-EXP(-LN(2)/2))/(LN(2)/2)*AQ41*AT41*VLOOKUP('Données projet'!$B$10,Paramètres!$A$1:$I$88,3,0)*0.475*44/12</f>
        <v>0.73521504239881086</v>
      </c>
      <c r="AX41" s="23">
        <f t="shared" si="6"/>
        <v>5.2715820173815828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11.339999999999998</v>
      </c>
      <c r="BD41" s="13">
        <f>IF('Données projet'!$A$88&gt;35,BD40+BC41-BL40,IF(A41&lt;'Données projet'!$A$88,$BA$205^A41,IF(A41='Données projet'!$A$88,'Données projet'!$B$88,BD40+BC41-BL40)))</f>
        <v>205.41999999999996</v>
      </c>
      <c r="BE41" s="14">
        <f>BD41*VLOOKUP('Données projet'!$B$11,Paramètres!$A$1:$I$88,3,0)*VLOOKUP('Données projet'!$B$11,Paramètres!$A$1:$I$88,5,0)</f>
        <v>163.43215199999997</v>
      </c>
      <c r="BF41" s="14">
        <f t="shared" si="37"/>
        <v>41.615688038271728</v>
      </c>
      <c r="BG41" s="22">
        <f t="shared" si="7"/>
        <v>357.12498806665661</v>
      </c>
      <c r="BH41" s="62">
        <f t="shared" si="8"/>
        <v>650.45832139998993</v>
      </c>
      <c r="BI41" s="62">
        <f ca="1">AVERAGE(OFFSET($BH$3,0,0,'Données projet'!$E$11+1,1))-AVERAGE(OFFSET($H$3,0,0,'Données projet'!$E$11+1,1))</f>
        <v>298.38448036212861</v>
      </c>
      <c r="BJ41" s="62">
        <f t="shared" si="38"/>
        <v>270.4445531106897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projet'!$B$11,Paramètres!$A$1:$I$88,7,0))</f>
        <v>0</v>
      </c>
      <c r="BN41" s="17">
        <f>IF(ISNA(VLOOKUP(A41,'Données projet'!$A$87:$I$107,6,0)),0%,VLOOKUP(A41,'Données projet'!$A$87:$I$107,6,0)*VLOOKUP('Données projet'!$B$11,Paramètres!$A$1:$I$88,7,0))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projet'!$B$11,Paramètres!$A$1:$I$88,3,0)*0.475*44/12</f>
        <v>0</v>
      </c>
      <c r="BQ41" s="23">
        <f>EXP(-LN(2)/25)*BQ40+(1-EXP(-LN(2)/25))/(LN(2)/25)*Calculateur!BL41*Calculateur!BN41*VLOOKUP('Données projet'!$B$11,Paramètres!$A$1:$I$88,3,0)*0.475*44/12</f>
        <v>0</v>
      </c>
      <c r="BR41" s="23">
        <f>EXP(-LN(2)/2)*BR40+(1-EXP(-LN(2)/2))/(LN(2)/2)*BL41*BO41*VLOOKUP('Données projet'!$B$11,Paramètres!$A$1:$I$88,3,0)*0.475*44/12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11.142857142857142</v>
      </c>
      <c r="BY41" s="13">
        <f>IF('Données projet'!$A$114&gt;35,BY40+BX41-CG40,IF(A41&lt;'Données projet'!$A$114,$BV$205^A41,IF(A41='Données projet'!$A$114,'Données projet'!$B$114,BY40+BX41-CG40)))</f>
        <v>163.14285714285708</v>
      </c>
      <c r="BZ41" s="14">
        <f>BY41*VLOOKUP('Données projet'!$B$12,Paramètres!$A$1:$I$88,3,0)*VLOOKUP('Données projet'!$B$12,Paramètres!$A$1:$I$88,5,0)</f>
        <v>127.25142857142853</v>
      </c>
      <c r="CA41" s="14">
        <f t="shared" si="39"/>
        <v>33.360457439554281</v>
      </c>
      <c r="CB41" s="22">
        <f t="shared" si="10"/>
        <v>279.73236813579501</v>
      </c>
      <c r="CC41" s="62">
        <f t="shared" si="11"/>
        <v>573.06570146912827</v>
      </c>
      <c r="CD41" s="62">
        <f ca="1">AVERAGE(OFFSET($CC$3,0,0,'Données projet'!$E$12+1,1))-AVERAGE(OFFSET($H$3,0,0,'Données projet'!$E$12+1,1))</f>
        <v>217.32600829266818</v>
      </c>
      <c r="CE41" s="62">
        <f t="shared" si="40"/>
        <v>208.79744153433245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projet'!$B$12,Paramètres!$A$1:$I$88,7,0))</f>
        <v>0</v>
      </c>
      <c r="CI41" s="17">
        <f>IF(ISNA(VLOOKUP(A41,'Données projet'!$A$113:$I$133,6,0)),0%,VLOOKUP(A41,'Données projet'!$A$113:$I$133,6,0)*VLOOKUP('Données projet'!$B$12,Paramètres!$A$1:$I$88,7,0))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projet'!$B$12,Paramètres!$A$1:$I$88,3,0)*0.475*44/12</f>
        <v>0</v>
      </c>
      <c r="CL41" s="23">
        <f>EXP(-LN(2)/25)*CL40+(1-EXP(-LN(2)/25))/(LN(2)/25)*Calculateur!CG41*Calculateur!CI41*VLOOKUP('Données projet'!$B$12,Paramètres!$A$1:$I$88,3,0)*0.475*44/12</f>
        <v>0</v>
      </c>
      <c r="CM41" s="23">
        <f>EXP(-LN(2)/2)*CM40+(1-EXP(-LN(2)/2))/(LN(2)/2)*CG41*CJ41*VLOOKUP('Données projet'!$B$12,Paramètres!$A$1:$I$88,3,0)*0.475*44/12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19.571428571428573</v>
      </c>
      <c r="CT41" s="13">
        <f>IF('Données projet'!$A$140&gt;35,CT40+CS41-DB40,IF(A41&lt;'Données projet'!$A$140,$CQ$205^A41,IF(A41='Données projet'!$A$140,'Données projet'!$B$140,CT40+CS41-DB40)))</f>
        <v>340.71428571428555</v>
      </c>
      <c r="CU41" s="18">
        <f>CT41*VLOOKUP('Données projet'!$B$13,Paramètres!$A$1:$I$88,3,0)*VLOOKUP('Données projet'!$B$13,Paramètres!$A$1:$I$88,5,0)</f>
        <v>190.45928571428561</v>
      </c>
      <c r="CV41" s="14">
        <f t="shared" si="41"/>
        <v>47.641480128932045</v>
      </c>
      <c r="CW41" s="22">
        <f t="shared" si="13"/>
        <v>414.6921671769374</v>
      </c>
      <c r="CX41" s="62">
        <f t="shared" si="14"/>
        <v>708.02550051027072</v>
      </c>
      <c r="CY41" s="62">
        <f ca="1">AVERAGE(OFFSET($CX$3,0,0,'Données projet'!$E$13+1,1))-AVERAGE(OFFSET($H$3,0,0,'Données projet'!$E$13+1,1))</f>
        <v>302.20483575440988</v>
      </c>
      <c r="CZ41" s="62">
        <f t="shared" si="42"/>
        <v>275.32862097158687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projet'!$B$13,Paramètres!$A$1:$I$88,7,0))</f>
        <v>0</v>
      </c>
      <c r="DD41" s="17">
        <f>IF(ISNA(VLOOKUP(A41,'Données projet'!$A$139:$I$159,6,0)),0%,VLOOKUP(A41,'Données projet'!$A$139:$I$159,6,0)*VLOOKUP('Données projet'!$B$13,Paramètres!$A$1:$I$88,7,0))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projet'!$B$13,Paramètres!$A$1:$I$88,3,0)*0.475*44/12</f>
        <v>0</v>
      </c>
      <c r="DG41" s="23">
        <f>EXP(-LN(2)/25)*DG40+(1-EXP(-LN(2)/25))/(LN(2)/25)*Calculateur!DB41*Calculateur!DD41*VLOOKUP('Données projet'!$B$13,Paramètres!$A$1:$I$88,3,0)*0.475*44/12</f>
        <v>11.076573228606309</v>
      </c>
      <c r="DH41" s="23">
        <f>EXP(-LN(2)/2)*DH40+(1-EXP(-LN(2)/2))/(LN(2)/2)*DB41*DE41*VLOOKUP('Données projet'!$B$13,Paramètres!$A$1:$I$88,3,0)*0.475*44/12</f>
        <v>0.42380548122080403</v>
      </c>
      <c r="DI41" s="24">
        <f t="shared" si="15"/>
        <v>11.500378709827112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projet'!$B$14,Paramètres!$A$1:$I$88,3,0)*VLOOKUP('Données projet'!$B$14,Paramètres!$A$1:$I$88,5,0)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projet'!$B$14,Paramètres!$A$1:$I$88,7,0))</f>
        <v>0</v>
      </c>
      <c r="DY41" s="17">
        <f>IF(ISNA(VLOOKUP(A41,'Données projet'!$A$165:$I$185,6,0)),0%,VLOOKUP(A41,'Données projet'!$A$165:$I$185,6,0)*VLOOKUP('Données projet'!$B$14,Paramètres!$A$1:$I$88,7,0))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projet'!$B$14,Paramètres!$A$1:$I$88,3,0)*0.475*44/12</f>
        <v>#N/A</v>
      </c>
      <c r="EB41" s="23" t="e">
        <f>EXP(-LN(2)/25)*EB40+(1-EXP(-LN(2)/25))/(LN(2)/25)*Calculateur!DW41*Calculateur!DY41*VLOOKUP('Données projet'!$B$14,Paramètres!$A$1:$I$88,3,0)*0.475*44/12</f>
        <v>#N/A</v>
      </c>
      <c r="EC41" s="23" t="e">
        <f>EXP(-LN(2)/2)*EC40+(1-EXP(-LN(2)/2))/(LN(2)/2)*DW41*DZ41*VLOOKUP('Données projet'!$B$14,Paramètres!$A$1:$I$88,3,0)*0.475*44/12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projet'!$B$15,Paramètres!$A$1:$I$88,3,0)*VLOOKUP('Données projet'!$B$15,Paramètres!$A$1:$I$88,5,0)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projet'!$B$15,Paramètres!$A$1:$I$88,7,0))</f>
        <v>0</v>
      </c>
      <c r="ET41" s="17">
        <f>IF(ISNA(VLOOKUP(A41,'Données projet'!$A$191:$I$211,6,0)),0%,VLOOKUP(A41,'Données projet'!$A$191:$I$211,6,0)*VLOOKUP('Données projet'!$B$15,Paramètres!$A$1:$I$88,7,0))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projet'!$B$15,Paramètres!$A$1:$I$88,3,0)*0.475*44/12</f>
        <v>#N/A</v>
      </c>
      <c r="EW41" s="23" t="e">
        <f>EXP(-LN(2)/25)*EW40+(1-EXP(-LN(2)/25))/(LN(2)/25)*Calculateur!ER41*Calculateur!ET41*VLOOKUP('Données projet'!$B$15,Paramètres!$A$1:$I$88,3,0)*0.475*44/12</f>
        <v>#N/A</v>
      </c>
      <c r="EX41" s="23" t="e">
        <f>EXP(-LN(2)/2)*EX40+(1-EXP(-LN(2)/2))/(LN(2)/2)*ER41*EU41*VLOOKUP('Données projet'!$B$15,Paramètres!$A$1:$I$88,3,0)*0.475*44/12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projet'!$B$16,Paramètres!$A$1:$I$88,3,0)*VLOOKUP('Données projet'!$B$16,Paramètres!$A$1:$I$88,5,0)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projet'!$B$16,Paramètres!$A$1:$I$88,7,0))</f>
        <v>0</v>
      </c>
      <c r="FO41" s="17">
        <f>IF(ISNA(VLOOKUP(A41,'Données projet'!$A$217:$I$237,6,0)),0%,VLOOKUP(A41,'Données projet'!$A$217:$I$237,6,0)*VLOOKUP('Données projet'!$B$16,Paramètres!$A$1:$I$88,7,0))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projet'!$B$16,Paramètres!$A$1:$I$88,3,0)*0.475*44/12</f>
        <v>#N/A</v>
      </c>
      <c r="FR41" s="23" t="e">
        <f>EXP(-LN(2)/25)*FR40+(1-EXP(-LN(2)/25))/(LN(2)/25)*Calculateur!FM41*Calculateur!FO41*VLOOKUP('Données projet'!$B$16,Paramètres!$A$1:$I$88,3,0)*0.475*44/12</f>
        <v>#N/A</v>
      </c>
      <c r="FS41" s="23" t="e">
        <f>EXP(-LN(2)/2)*FS40+(1-EXP(-LN(2)/2))/(LN(2)/2)*FM41*FP41*VLOOKUP('Données projet'!$B$16,Paramètres!$A$1:$I$88,3,0)*0.475*44/12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projet'!$B$17,Paramètres!$A$1:$I$88,3,0)*VLOOKUP('Données projet'!$B$17,Paramètres!$A$1:$I$88,5,0)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projet'!$B$17,Paramètres!$A$1:$I$88,7,0))</f>
        <v>0</v>
      </c>
      <c r="GJ41" s="17">
        <f>IF(ISNA(VLOOKUP(A41,'Données projet'!$A$243:$I$263,6,0)),0%,VLOOKUP(A41,'Données projet'!$A$243:$I$263,6,0)*VLOOKUP('Données projet'!$B$17,Paramètres!$A$1:$I$88,7,0))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projet'!$B$17,Paramètres!$A$1:$I$88,3,0)*0.475*44/12</f>
        <v>#N/A</v>
      </c>
      <c r="GM41" s="23" t="e">
        <f>EXP(-LN(2)/25)*GM40+(1-EXP(-LN(2)/25))/(LN(2)/25)*Calculateur!GH41*Calculateur!GJ41*VLOOKUP('Données projet'!$B$17,Paramètres!$A$1:$I$88,3,0)*0.475*44/12</f>
        <v>#N/A</v>
      </c>
      <c r="GN41" s="23" t="e">
        <f>EXP(-LN(2)/2)*GN40+(1-EXP(-LN(2)/2))/(LN(2)/2)*GH41*GK41*VLOOKUP('Données projet'!$B$17,Paramètres!$A$1:$I$88,3,0)*0.475*44/12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projet'!$B$18,Paramètres!$A$1:$I$88,3,0)*VLOOKUP('Données projet'!$B$18,Paramètres!$A$1:$I$88,5,0)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projet'!$B$18,Paramètres!$A$1:$I$88,7,0))</f>
        <v>0</v>
      </c>
      <c r="HE41" s="17">
        <f>IF(ISNA(VLOOKUP(A41,'Données projet'!$A$269:$I$289,6,0)),0%,VLOOKUP(A41,'Données projet'!$A$269:$I$289,6,0)*VLOOKUP('Données projet'!$B$18,Paramètres!$A$1:$I$88,7,0))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projet'!$B$18,Paramètres!$A$1:$I$88,3,0)*0.475*44/12</f>
        <v>#N/A</v>
      </c>
      <c r="HH41" s="23" t="e">
        <f>EXP(-LN(2)/25)*HH40+(1-EXP(-LN(2)/25))/(LN(2)/25)*Calculateur!HC41*Calculateur!HE41*VLOOKUP('Données projet'!$B$18,Paramètres!$A$1:$I$88,3,0)*0.475*44/12</f>
        <v>#N/A</v>
      </c>
      <c r="HI41" s="23" t="e">
        <f>EXP(-LN(2)/2)*HI40+(1-EXP(-LN(2)/2))/(LN(2)/2)*HC41*HF41*VLOOKUP('Données projet'!$B$18,Paramètres!$A$1:$I$88,3,0)*0.475*44/12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11.5</v>
      </c>
      <c r="N42" s="14">
        <f>IF('Données projet'!$A$36&gt;35,N41+M42-V41,IF(A42&lt;'Données projet'!$A$36,$K$205^A42,IF(A42='Données projet'!$A$36,'Données projet'!$B$36,N41+M42-V41)))</f>
        <v>220.5</v>
      </c>
      <c r="O42" s="14">
        <f>N42*VLOOKUP('Données projet'!$B$9,Paramètres!$A$1:$I$88,3,0)*VLOOKUP('Données projet'!$B$9,Paramètres!$A$1:$I$88,5,0)</f>
        <v>137.59199999999998</v>
      </c>
      <c r="P42" s="14">
        <f t="shared" si="33"/>
        <v>35.744810729505772</v>
      </c>
      <c r="Q42" s="22">
        <f t="shared" si="53"/>
        <v>301.89494535388923</v>
      </c>
      <c r="R42" s="62">
        <f t="shared" si="0"/>
        <v>595.22827868722254</v>
      </c>
      <c r="S42" s="62">
        <f ca="1">AVERAGE(OFFSET($R$3,0,0,'Données projet'!$E$9+1,1))-AVERAGE(OFFSET($H$3,0,0,'Données projet'!$E$9+1,1))</f>
        <v>175.05987582828078</v>
      </c>
      <c r="T42" s="62">
        <f t="shared" si="34"/>
        <v>268.54782308462387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projet'!$B$9,Paramètres!$A$1:$I$88,7,0))</f>
        <v>0</v>
      </c>
      <c r="X42" s="17">
        <f>IF(ISNA(VLOOKUP(A42,'Données projet'!$A$35:$I$55,6,0)),0%,VLOOKUP(A42,'Données projet'!$A$35:$I$55,6,0)*VLOOKUP('Données projet'!$B$9,Paramètres!$A$1:$I$88,7,0))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projet'!$B$9,Paramètres!$A$1:$I$88,3,0)*0.475*44/12</f>
        <v>0</v>
      </c>
      <c r="AA42" s="23">
        <f>EXP(-LN(2)/25)*AA41+(1-EXP(-LN(2)/25))/(LN(2)/25)*Calculateur!V42*Calculateur!X42*VLOOKUP('Données projet'!$B$9,Paramètres!$A$1:$I$88,3,0)*0.475*44/12</f>
        <v>8.0218687508329705</v>
      </c>
      <c r="AB42" s="23">
        <f>EXP(-LN(2)/2)*AB41+(1-EXP(-LN(2)/2))/(LN(2)/2)*V42*Y42*VLOOKUP('Données projet'!$B$9,Paramètres!$A$1:$I$88,3,0)*0.475*44/12</f>
        <v>0.7300355971911916</v>
      </c>
      <c r="AC42" s="24">
        <f t="shared" si="3"/>
        <v>8.7519043480241621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25.733333333333334</v>
      </c>
      <c r="AI42" s="14">
        <f>IF('Données projet'!$A$62&gt;35,AI41+AH42-AQ41,IF(A42&lt;'Données projet'!$A$62,$AF$205^A42,IF(A42='Données projet'!$A$62,'Données projet'!$B$62,AI41+AH42-AQ41)))</f>
        <v>541.60000000000014</v>
      </c>
      <c r="AJ42" s="14">
        <f>AI42*VLOOKUP('Données projet'!$B$10,Paramètres!$A$1:$I$88,3,0)*VLOOKUP('Données projet'!$B$10,Paramètres!$A$1:$I$88,5,0)</f>
        <v>260.50960000000009</v>
      </c>
      <c r="AK42" s="14">
        <f t="shared" si="35"/>
        <v>62.830991700589358</v>
      </c>
      <c r="AL42" s="22">
        <f t="shared" si="4"/>
        <v>563.1515305451934</v>
      </c>
      <c r="AM42" s="62">
        <f t="shared" si="5"/>
        <v>856.48486387852677</v>
      </c>
      <c r="AN42" s="62">
        <f ca="1">AVERAGE(OFFSET($AM$3,0,0,'Données projet'!$E$10+1,1))-AVERAGE(OFFSET($H$3,0,0,'Données projet'!$E$10+1,1))</f>
        <v>576.61210817354549</v>
      </c>
      <c r="AO42" s="62">
        <f t="shared" si="36"/>
        <v>343.9428747444544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projet'!$B$10,Paramètres!$A$1:$I$88,7,0))</f>
        <v>0</v>
      </c>
      <c r="AS42" s="17">
        <f>IF(ISNA(VLOOKUP(A42,'Données projet'!$A$61:$I$81,6,0)),0%,VLOOKUP(A42,'Données projet'!$A$61:$I$81,6,0)*VLOOKUP('Données projet'!$B$10,Paramètres!$A$1:$I$88,7,0))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projet'!$B$10,Paramètres!$A$1:$I$88,3,0)*0.475*44/12</f>
        <v>0</v>
      </c>
      <c r="AV42" s="23">
        <f>EXP(-LN(2)/25)*AV41+(1-EXP(-LN(2)/25))/(LN(2)/25)*Calculateur!AQ42*Calculateur!AS42*VLOOKUP('Données projet'!$B$10,Paramètres!$A$1:$I$88,3,0)*0.475*44/12</f>
        <v>4.4123197814946966</v>
      </c>
      <c r="AW42" s="23">
        <f>EXP(-LN(2)/2)*AW41+(1-EXP(-LN(2)/2))/(LN(2)/2)*AQ42*AT42*VLOOKUP('Données projet'!$B$10,Paramètres!$A$1:$I$88,3,0)*0.475*44/12</f>
        <v>0.5198755421105542</v>
      </c>
      <c r="AX42" s="23">
        <f t="shared" si="6"/>
        <v>4.9321953236052511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11.339999999999998</v>
      </c>
      <c r="BD42" s="13">
        <f>IF('Données projet'!$A$88&gt;35,BD41+BC42-BL41,IF(A42&lt;'Données projet'!$A$88,$BA$205^A42,IF(A42='Données projet'!$A$88,'Données projet'!$B$88,BD41+BC42-BL41)))</f>
        <v>216.75999999999996</v>
      </c>
      <c r="BE42" s="14">
        <f>BD42*VLOOKUP('Données projet'!$B$11,Paramètres!$A$1:$I$88,3,0)*VLOOKUP('Données projet'!$B$11,Paramètres!$A$1:$I$88,5,0)</f>
        <v>172.45425599999999</v>
      </c>
      <c r="BF42" s="14">
        <f t="shared" si="37"/>
        <v>43.63923590321825</v>
      </c>
      <c r="BG42" s="22">
        <f t="shared" si="7"/>
        <v>376.36283173143846</v>
      </c>
      <c r="BH42" s="62">
        <f t="shared" si="8"/>
        <v>669.69616506477178</v>
      </c>
      <c r="BI42" s="62">
        <f ca="1">AVERAGE(OFFSET($BH$3,0,0,'Données projet'!$E$11+1,1))-AVERAGE(OFFSET($H$3,0,0,'Données projet'!$E$11+1,1))</f>
        <v>298.38448036212861</v>
      </c>
      <c r="BJ42" s="62">
        <f t="shared" si="38"/>
        <v>270.4445531106897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projet'!$B$11,Paramètres!$A$1:$I$88,7,0))</f>
        <v>0</v>
      </c>
      <c r="BN42" s="17">
        <f>IF(ISNA(VLOOKUP(A42,'Données projet'!$A$87:$I$107,6,0)),0%,VLOOKUP(A42,'Données projet'!$A$87:$I$107,6,0)*VLOOKUP('Données projet'!$B$11,Paramètres!$A$1:$I$88,7,0))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projet'!$B$11,Paramètres!$A$1:$I$88,3,0)*0.475*44/12</f>
        <v>0</v>
      </c>
      <c r="BQ42" s="23">
        <f>EXP(-LN(2)/25)*BQ41+(1-EXP(-LN(2)/25))/(LN(2)/25)*Calculateur!BL42*Calculateur!BN42*VLOOKUP('Données projet'!$B$11,Paramètres!$A$1:$I$88,3,0)*0.475*44/12</f>
        <v>0</v>
      </c>
      <c r="BR42" s="23">
        <f>EXP(-LN(2)/2)*BR41+(1-EXP(-LN(2)/2))/(LN(2)/2)*BL42*BO42*VLOOKUP('Données projet'!$B$11,Paramètres!$A$1:$I$88,3,0)*0.475*44/12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11.142857142857142</v>
      </c>
      <c r="BY42" s="13">
        <f>IF('Données projet'!$A$114&gt;35,BY41+BX42-CG41,IF(A42&lt;'Données projet'!$A$114,$BV$205^A42,IF(A42='Données projet'!$A$114,'Données projet'!$B$114,BY41+BX42-CG41)))</f>
        <v>174.28571428571422</v>
      </c>
      <c r="BZ42" s="14">
        <f>BY42*VLOOKUP('Données projet'!$B$12,Paramètres!$A$1:$I$88,3,0)*VLOOKUP('Données projet'!$B$12,Paramètres!$A$1:$I$88,5,0)</f>
        <v>135.94285714285709</v>
      </c>
      <c r="CA42" s="14">
        <f t="shared" si="39"/>
        <v>35.365986273808367</v>
      </c>
      <c r="CB42" s="22">
        <f t="shared" si="10"/>
        <v>298.36290228402567</v>
      </c>
      <c r="CC42" s="62">
        <f t="shared" si="11"/>
        <v>591.69623561735898</v>
      </c>
      <c r="CD42" s="62">
        <f ca="1">AVERAGE(OFFSET($CC$3,0,0,'Données projet'!$E$12+1,1))-AVERAGE(OFFSET($H$3,0,0,'Données projet'!$E$12+1,1))</f>
        <v>217.32600829266818</v>
      </c>
      <c r="CE42" s="62">
        <f t="shared" si="40"/>
        <v>208.79744153433245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projet'!$B$12,Paramètres!$A$1:$I$88,7,0))</f>
        <v>0</v>
      </c>
      <c r="CI42" s="17">
        <f>IF(ISNA(VLOOKUP(A42,'Données projet'!$A$113:$I$133,6,0)),0%,VLOOKUP(A42,'Données projet'!$A$113:$I$133,6,0)*VLOOKUP('Données projet'!$B$12,Paramètres!$A$1:$I$88,7,0))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projet'!$B$12,Paramètres!$A$1:$I$88,3,0)*0.475*44/12</f>
        <v>0</v>
      </c>
      <c r="CL42" s="23">
        <f>EXP(-LN(2)/25)*CL41+(1-EXP(-LN(2)/25))/(LN(2)/25)*Calculateur!CG42*Calculateur!CI42*VLOOKUP('Données projet'!$B$12,Paramètres!$A$1:$I$88,3,0)*0.475*44/12</f>
        <v>0</v>
      </c>
      <c r="CM42" s="23">
        <f>EXP(-LN(2)/2)*CM41+(1-EXP(-LN(2)/2))/(LN(2)/2)*CG42*CJ42*VLOOKUP('Données projet'!$B$12,Paramètres!$A$1:$I$88,3,0)*0.475*44/12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19.571428571428573</v>
      </c>
      <c r="CT42" s="13">
        <f>IF('Données projet'!$A$140&gt;35,CT41+CS42-DB41,IF(A42&lt;'Données projet'!$A$140,$CQ$205^A42,IF(A42='Données projet'!$A$140,'Données projet'!$B$140,CT41+CS42-DB41)))</f>
        <v>360.28571428571411</v>
      </c>
      <c r="CU42" s="18">
        <f>CT42*VLOOKUP('Données projet'!$B$13,Paramètres!$A$1:$I$88,3,0)*VLOOKUP('Données projet'!$B$13,Paramètres!$A$1:$I$88,5,0)</f>
        <v>201.39971428571417</v>
      </c>
      <c r="CV42" s="14">
        <f t="shared" si="41"/>
        <v>50.051657588658017</v>
      </c>
      <c r="CW42" s="22">
        <f t="shared" si="13"/>
        <v>437.94447268119819</v>
      </c>
      <c r="CX42" s="62">
        <f t="shared" si="14"/>
        <v>731.27780601453151</v>
      </c>
      <c r="CY42" s="62">
        <f ca="1">AVERAGE(OFFSET($CX$3,0,0,'Données projet'!$E$13+1,1))-AVERAGE(OFFSET($H$3,0,0,'Données projet'!$E$13+1,1))</f>
        <v>302.20483575440988</v>
      </c>
      <c r="CZ42" s="62">
        <f t="shared" si="42"/>
        <v>275.32862097158687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projet'!$B$13,Paramètres!$A$1:$I$88,7,0))</f>
        <v>0</v>
      </c>
      <c r="DD42" s="17">
        <f>IF(ISNA(VLOOKUP(A42,'Données projet'!$A$139:$I$159,6,0)),0%,VLOOKUP(A42,'Données projet'!$A$139:$I$159,6,0)*VLOOKUP('Données projet'!$B$13,Paramètres!$A$1:$I$88,7,0))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projet'!$B$13,Paramètres!$A$1:$I$88,3,0)*0.475*44/12</f>
        <v>0</v>
      </c>
      <c r="DG42" s="23">
        <f>EXP(-LN(2)/25)*DG41+(1-EXP(-LN(2)/25))/(LN(2)/25)*Calculateur!DB42*Calculateur!DD42*VLOOKUP('Données projet'!$B$13,Paramètres!$A$1:$I$88,3,0)*0.475*44/12</f>
        <v>10.7736837511784</v>
      </c>
      <c r="DH42" s="23">
        <f>EXP(-LN(2)/2)*DH41+(1-EXP(-LN(2)/2))/(LN(2)/2)*DB42*DE42*VLOOKUP('Données projet'!$B$13,Paramètres!$A$1:$I$88,3,0)*0.475*44/12</f>
        <v>0.29967572967525857</v>
      </c>
      <c r="DI42" s="24">
        <f t="shared" si="15"/>
        <v>11.073359480853657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projet'!$B$14,Paramètres!$A$1:$I$88,3,0)*VLOOKUP('Données projet'!$B$14,Paramètres!$A$1:$I$88,5,0)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projet'!$B$14,Paramètres!$A$1:$I$88,7,0))</f>
        <v>0</v>
      </c>
      <c r="DY42" s="17">
        <f>IF(ISNA(VLOOKUP(A42,'Données projet'!$A$165:$I$185,6,0)),0%,VLOOKUP(A42,'Données projet'!$A$165:$I$185,6,0)*VLOOKUP('Données projet'!$B$14,Paramètres!$A$1:$I$88,7,0))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projet'!$B$14,Paramètres!$A$1:$I$88,3,0)*0.475*44/12</f>
        <v>#N/A</v>
      </c>
      <c r="EB42" s="23" t="e">
        <f>EXP(-LN(2)/25)*EB41+(1-EXP(-LN(2)/25))/(LN(2)/25)*Calculateur!DW42*Calculateur!DY42*VLOOKUP('Données projet'!$B$14,Paramètres!$A$1:$I$88,3,0)*0.475*44/12</f>
        <v>#N/A</v>
      </c>
      <c r="EC42" s="23" t="e">
        <f>EXP(-LN(2)/2)*EC41+(1-EXP(-LN(2)/2))/(LN(2)/2)*DW42*DZ42*VLOOKUP('Données projet'!$B$14,Paramètres!$A$1:$I$88,3,0)*0.475*44/12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projet'!$B$15,Paramètres!$A$1:$I$88,3,0)*VLOOKUP('Données projet'!$B$15,Paramètres!$A$1:$I$88,5,0)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projet'!$B$15,Paramètres!$A$1:$I$88,7,0))</f>
        <v>0</v>
      </c>
      <c r="ET42" s="17">
        <f>IF(ISNA(VLOOKUP(A42,'Données projet'!$A$191:$I$211,6,0)),0%,VLOOKUP(A42,'Données projet'!$A$191:$I$211,6,0)*VLOOKUP('Données projet'!$B$15,Paramètres!$A$1:$I$88,7,0))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projet'!$B$15,Paramètres!$A$1:$I$88,3,0)*0.475*44/12</f>
        <v>#N/A</v>
      </c>
      <c r="EW42" s="23" t="e">
        <f>EXP(-LN(2)/25)*EW41+(1-EXP(-LN(2)/25))/(LN(2)/25)*Calculateur!ER42*Calculateur!ET42*VLOOKUP('Données projet'!$B$15,Paramètres!$A$1:$I$88,3,0)*0.475*44/12</f>
        <v>#N/A</v>
      </c>
      <c r="EX42" s="23" t="e">
        <f>EXP(-LN(2)/2)*EX41+(1-EXP(-LN(2)/2))/(LN(2)/2)*ER42*EU42*VLOOKUP('Données projet'!$B$15,Paramètres!$A$1:$I$88,3,0)*0.475*44/12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projet'!$B$16,Paramètres!$A$1:$I$88,3,0)*VLOOKUP('Données projet'!$B$16,Paramètres!$A$1:$I$88,5,0)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projet'!$B$16,Paramètres!$A$1:$I$88,7,0))</f>
        <v>0</v>
      </c>
      <c r="FO42" s="17">
        <f>IF(ISNA(VLOOKUP(A42,'Données projet'!$A$217:$I$237,6,0)),0%,VLOOKUP(A42,'Données projet'!$A$217:$I$237,6,0)*VLOOKUP('Données projet'!$B$16,Paramètres!$A$1:$I$88,7,0))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projet'!$B$16,Paramètres!$A$1:$I$88,3,0)*0.475*44/12</f>
        <v>#N/A</v>
      </c>
      <c r="FR42" s="23" t="e">
        <f>EXP(-LN(2)/25)*FR41+(1-EXP(-LN(2)/25))/(LN(2)/25)*Calculateur!FM42*Calculateur!FO42*VLOOKUP('Données projet'!$B$16,Paramètres!$A$1:$I$88,3,0)*0.475*44/12</f>
        <v>#N/A</v>
      </c>
      <c r="FS42" s="23" t="e">
        <f>EXP(-LN(2)/2)*FS41+(1-EXP(-LN(2)/2))/(LN(2)/2)*FM42*FP42*VLOOKUP('Données projet'!$B$16,Paramètres!$A$1:$I$88,3,0)*0.475*44/12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projet'!$B$17,Paramètres!$A$1:$I$88,3,0)*VLOOKUP('Données projet'!$B$17,Paramètres!$A$1:$I$88,5,0)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projet'!$B$17,Paramètres!$A$1:$I$88,7,0))</f>
        <v>0</v>
      </c>
      <c r="GJ42" s="17">
        <f>IF(ISNA(VLOOKUP(A42,'Données projet'!$A$243:$I$263,6,0)),0%,VLOOKUP(A42,'Données projet'!$A$243:$I$263,6,0)*VLOOKUP('Données projet'!$B$17,Paramètres!$A$1:$I$88,7,0))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projet'!$B$17,Paramètres!$A$1:$I$88,3,0)*0.475*44/12</f>
        <v>#N/A</v>
      </c>
      <c r="GM42" s="23" t="e">
        <f>EXP(-LN(2)/25)*GM41+(1-EXP(-LN(2)/25))/(LN(2)/25)*Calculateur!GH42*Calculateur!GJ42*VLOOKUP('Données projet'!$B$17,Paramètres!$A$1:$I$88,3,0)*0.475*44/12</f>
        <v>#N/A</v>
      </c>
      <c r="GN42" s="23" t="e">
        <f>EXP(-LN(2)/2)*GN41+(1-EXP(-LN(2)/2))/(LN(2)/2)*GH42*GK42*VLOOKUP('Données projet'!$B$17,Paramètres!$A$1:$I$88,3,0)*0.475*44/12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projet'!$B$18,Paramètres!$A$1:$I$88,3,0)*VLOOKUP('Données projet'!$B$18,Paramètres!$A$1:$I$88,5,0)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projet'!$B$18,Paramètres!$A$1:$I$88,7,0))</f>
        <v>0</v>
      </c>
      <c r="HE42" s="17">
        <f>IF(ISNA(VLOOKUP(A42,'Données projet'!$A$269:$I$289,6,0)),0%,VLOOKUP(A42,'Données projet'!$A$269:$I$289,6,0)*VLOOKUP('Données projet'!$B$18,Paramètres!$A$1:$I$88,7,0))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projet'!$B$18,Paramètres!$A$1:$I$88,3,0)*0.475*44/12</f>
        <v>#N/A</v>
      </c>
      <c r="HH42" s="23" t="e">
        <f>EXP(-LN(2)/25)*HH41+(1-EXP(-LN(2)/25))/(LN(2)/25)*Calculateur!HC42*Calculateur!HE42*VLOOKUP('Données projet'!$B$18,Paramètres!$A$1:$I$88,3,0)*0.475*44/12</f>
        <v>#N/A</v>
      </c>
      <c r="HI42" s="23" t="e">
        <f>EXP(-LN(2)/2)*HI41+(1-EXP(-LN(2)/2))/(LN(2)/2)*HC42*HF42*VLOOKUP('Données projet'!$B$18,Paramètres!$A$1:$I$88,3,0)*0.475*44/12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11.5</v>
      </c>
      <c r="N43" s="14">
        <f>IF('Données projet'!$A$36&gt;35,N42+M43-V42,IF(A43&lt;'Données projet'!$A$36,$K$205^A43,IF(A43='Données projet'!$A$36,'Données projet'!$B$36,N42+M43-V42)))</f>
        <v>232</v>
      </c>
      <c r="O43" s="14">
        <f>N43*VLOOKUP('Données projet'!$B$9,Paramètres!$A$1:$I$88,3,0)*VLOOKUP('Données projet'!$B$9,Paramètres!$A$1:$I$88,5,0)</f>
        <v>144.768</v>
      </c>
      <c r="P43" s="14">
        <f t="shared" si="33"/>
        <v>37.387149255707826</v>
      </c>
      <c r="Q43" s="22">
        <f t="shared" si="53"/>
        <v>317.25355162035777</v>
      </c>
      <c r="R43" s="62">
        <f t="shared" si="0"/>
        <v>610.58688495369108</v>
      </c>
      <c r="S43" s="62">
        <f ca="1">AVERAGE(OFFSET($R$3,0,0,'Données projet'!$E$9+1,1))-AVERAGE(OFFSET($H$3,0,0,'Données projet'!$E$9+1,1))</f>
        <v>175.05987582828078</v>
      </c>
      <c r="T43" s="62">
        <f t="shared" si="34"/>
        <v>268.54782308462387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projet'!$B$9,Paramètres!$A$1:$I$88,7,0))</f>
        <v>0</v>
      </c>
      <c r="X43" s="17">
        <f>IF(ISNA(VLOOKUP(A43,'Données projet'!$A$35:$I$55,6,0)),0%,VLOOKUP(A43,'Données projet'!$A$35:$I$55,6,0)*VLOOKUP('Données projet'!$B$9,Paramètres!$A$1:$I$88,7,0))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projet'!$B$9,Paramètres!$A$1:$I$88,3,0)*0.475*44/12</f>
        <v>0</v>
      </c>
      <c r="AA43" s="23">
        <f>EXP(-LN(2)/25)*AA42+(1-EXP(-LN(2)/25))/(LN(2)/25)*Calculateur!V43*Calculateur!X43*VLOOKUP('Données projet'!$B$9,Paramètres!$A$1:$I$88,3,0)*0.475*44/12</f>
        <v>7.8025103279896992</v>
      </c>
      <c r="AB43" s="23">
        <f>EXP(-LN(2)/2)*AB42+(1-EXP(-LN(2)/2))/(LN(2)/2)*V43*Y43*VLOOKUP('Données projet'!$B$9,Paramètres!$A$1:$I$88,3,0)*0.475*44/12</f>
        <v>0.51621312128146246</v>
      </c>
      <c r="AC43" s="24">
        <f t="shared" si="3"/>
        <v>8.318723449271161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25.733333333333334</v>
      </c>
      <c r="AI43" s="14">
        <f>IF('Données projet'!$A$62&gt;35,AI42+AH43-AQ42,IF(A43&lt;'Données projet'!$A$62,$AF$205^A43,IF(A43='Données projet'!$A$62,'Données projet'!$B$62,AI42+AH43-AQ42)))</f>
        <v>567.33333333333348</v>
      </c>
      <c r="AJ43" s="14">
        <f>AI43*VLOOKUP('Données projet'!$B$10,Paramètres!$A$1:$I$88,3,0)*VLOOKUP('Données projet'!$B$10,Paramètres!$A$1:$I$88,5,0)</f>
        <v>272.8873333333334</v>
      </c>
      <c r="AK43" s="14">
        <f t="shared" si="35"/>
        <v>65.461654428593192</v>
      </c>
      <c r="AL43" s="22">
        <f t="shared" si="4"/>
        <v>589.29115368535543</v>
      </c>
      <c r="AM43" s="62">
        <f t="shared" si="5"/>
        <v>882.6244870186888</v>
      </c>
      <c r="AN43" s="62">
        <f ca="1">AVERAGE(OFFSET($AM$3,0,0,'Données projet'!$E$10+1,1))-AVERAGE(OFFSET($H$3,0,0,'Données projet'!$E$10+1,1))</f>
        <v>576.61210817354549</v>
      </c>
      <c r="AO43" s="62">
        <f t="shared" si="36"/>
        <v>343.9428747444544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projet'!$B$10,Paramètres!$A$1:$I$88,7,0))</f>
        <v>0</v>
      </c>
      <c r="AS43" s="17">
        <f>IF(ISNA(VLOOKUP(A43,'Données projet'!$A$61:$I$81,6,0)),0%,VLOOKUP(A43,'Données projet'!$A$61:$I$81,6,0)*VLOOKUP('Données projet'!$B$10,Paramètres!$A$1:$I$88,7,0))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projet'!$B$10,Paramètres!$A$1:$I$88,3,0)*0.475*44/12</f>
        <v>0</v>
      </c>
      <c r="AV43" s="23">
        <f>EXP(-LN(2)/25)*AV42+(1-EXP(-LN(2)/25))/(LN(2)/25)*Calculateur!AQ43*Calculateur!AS43*VLOOKUP('Données projet'!$B$10,Paramètres!$A$1:$I$88,3,0)*0.475*44/12</f>
        <v>4.2916646650359116</v>
      </c>
      <c r="AW43" s="23">
        <f>EXP(-LN(2)/2)*AW42+(1-EXP(-LN(2)/2))/(LN(2)/2)*AQ43*AT43*VLOOKUP('Données projet'!$B$10,Paramètres!$A$1:$I$88,3,0)*0.475*44/12</f>
        <v>0.36760752119940543</v>
      </c>
      <c r="AX43" s="23">
        <f t="shared" si="6"/>
        <v>4.6592721862353166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228.1</v>
      </c>
      <c r="BB43" s="13">
        <f>VLOOKUP(A43,'Données projet'!$A$87:$I$107,9,0)</f>
        <v>11.339999999999998</v>
      </c>
      <c r="BC43" s="13">
        <f t="array" ref="BC43">INDEX(BB:BB,MIN(IF(ISNUMBER(BB43:BB239),ROW(BB43:BB239),"")))</f>
        <v>11.339999999999998</v>
      </c>
      <c r="BD43" s="13">
        <f>IF('Données projet'!$A$88&gt;35,BD42+BC43-BL42,IF(A43&lt;'Données projet'!$A$88,$BA$205^A43,IF(A43='Données projet'!$A$88,'Données projet'!$B$88,BD42+BC43-BL42)))</f>
        <v>228.09999999999997</v>
      </c>
      <c r="BE43" s="14">
        <f>BD43*VLOOKUP('Données projet'!$B$11,Paramètres!$A$1:$I$88,3,0)*VLOOKUP('Données projet'!$B$11,Paramètres!$A$1:$I$88,5,0)</f>
        <v>181.47636</v>
      </c>
      <c r="BF43" s="14">
        <f t="shared" si="37"/>
        <v>45.650492748883501</v>
      </c>
      <c r="BG43" s="22">
        <f t="shared" si="7"/>
        <v>395.57926853763871</v>
      </c>
      <c r="BH43" s="62">
        <f t="shared" si="8"/>
        <v>688.91260187097203</v>
      </c>
      <c r="BI43" s="62">
        <f ca="1">AVERAGE(OFFSET($BH$3,0,0,'Données projet'!$E$11+1,1))-AVERAGE(OFFSET($H$3,0,0,'Données projet'!$E$11+1,1))</f>
        <v>298.38448036212861</v>
      </c>
      <c r="BJ43" s="62">
        <f t="shared" si="38"/>
        <v>270.4445531106897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projet'!$B$11,Paramètres!$A$1:$I$88,7,0))</f>
        <v>0</v>
      </c>
      <c r="BN43" s="17">
        <f>IF(ISNA(VLOOKUP(A43,'Données projet'!$A$87:$I$107,6,0)),0%,VLOOKUP(A43,'Données projet'!$A$87:$I$107,6,0)*VLOOKUP('Données projet'!$B$11,Paramètres!$A$1:$I$88,7,0))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projet'!$B$11,Paramètres!$A$1:$I$88,3,0)*0.475*44/12</f>
        <v>0</v>
      </c>
      <c r="BQ43" s="23">
        <f>EXP(-LN(2)/25)*BQ42+(1-EXP(-LN(2)/25))/(LN(2)/25)*Calculateur!BL43*Calculateur!BN43*VLOOKUP('Données projet'!$B$11,Paramètres!$A$1:$I$88,3,0)*0.475*44/12</f>
        <v>0</v>
      </c>
      <c r="BR43" s="23">
        <f>EXP(-LN(2)/2)*BR42+(1-EXP(-LN(2)/2))/(LN(2)/2)*BL43*BO43*VLOOKUP('Données projet'!$B$11,Paramètres!$A$1:$I$88,3,0)*0.475*44/12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11.142857142857142</v>
      </c>
      <c r="BY43" s="13">
        <f>IF('Données projet'!$A$114&gt;35,BY42+BX43-CG42,IF(A43&lt;'Données projet'!$A$114,$BV$205^A43,IF(A43='Données projet'!$A$114,'Données projet'!$B$114,BY42+BX43-CG42)))</f>
        <v>185.42857142857136</v>
      </c>
      <c r="BZ43" s="14">
        <f>BY43*VLOOKUP('Données projet'!$B$12,Paramètres!$A$1:$I$88,3,0)*VLOOKUP('Données projet'!$B$12,Paramètres!$A$1:$I$88,5,0)</f>
        <v>144.63428571428565</v>
      </c>
      <c r="CA43" s="14">
        <f t="shared" si="39"/>
        <v>37.356634728420524</v>
      </c>
      <c r="CB43" s="22">
        <f t="shared" si="10"/>
        <v>316.96751977104657</v>
      </c>
      <c r="CC43" s="62">
        <f t="shared" si="11"/>
        <v>610.30085310437994</v>
      </c>
      <c r="CD43" s="62">
        <f ca="1">AVERAGE(OFFSET($CC$3,0,0,'Données projet'!$E$12+1,1))-AVERAGE(OFFSET($H$3,0,0,'Données projet'!$E$12+1,1))</f>
        <v>217.32600829266818</v>
      </c>
      <c r="CE43" s="62">
        <f t="shared" si="40"/>
        <v>208.79744153433245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projet'!$B$12,Paramètres!$A$1:$I$88,7,0))</f>
        <v>0</v>
      </c>
      <c r="CI43" s="17">
        <f>IF(ISNA(VLOOKUP(A43,'Données projet'!$A$113:$I$133,6,0)),0%,VLOOKUP(A43,'Données projet'!$A$113:$I$133,6,0)*VLOOKUP('Données projet'!$B$12,Paramètres!$A$1:$I$88,7,0))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projet'!$B$12,Paramètres!$A$1:$I$88,3,0)*0.475*44/12</f>
        <v>0</v>
      </c>
      <c r="CL43" s="23">
        <f>EXP(-LN(2)/25)*CL42+(1-EXP(-LN(2)/25))/(LN(2)/25)*Calculateur!CG43*Calculateur!CI43*VLOOKUP('Données projet'!$B$12,Paramètres!$A$1:$I$88,3,0)*0.475*44/12</f>
        <v>0</v>
      </c>
      <c r="CM43" s="23">
        <f>EXP(-LN(2)/2)*CM42+(1-EXP(-LN(2)/2))/(LN(2)/2)*CG43*CJ43*VLOOKUP('Données projet'!$B$12,Paramètres!$A$1:$I$88,3,0)*0.475*44/12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19.571428571428573</v>
      </c>
      <c r="CT43" s="13">
        <f>IF('Données projet'!$A$140&gt;35,CT42+CS43-DB42,IF(A43&lt;'Données projet'!$A$140,$CQ$205^A43,IF(A43='Données projet'!$A$140,'Données projet'!$B$140,CT42+CS43-DB42)))</f>
        <v>379.85714285714266</v>
      </c>
      <c r="CU43" s="18">
        <f>CT43*VLOOKUP('Données projet'!$B$13,Paramètres!$A$1:$I$88,3,0)*VLOOKUP('Données projet'!$B$13,Paramètres!$A$1:$I$88,5,0)</f>
        <v>212.34014285714278</v>
      </c>
      <c r="CV43" s="14">
        <f t="shared" si="41"/>
        <v>52.446635499473253</v>
      </c>
      <c r="CW43" s="22">
        <f t="shared" si="13"/>
        <v>461.17030563777286</v>
      </c>
      <c r="CX43" s="62">
        <f t="shared" si="14"/>
        <v>754.50363897110617</v>
      </c>
      <c r="CY43" s="62">
        <f ca="1">AVERAGE(OFFSET($CX$3,0,0,'Données projet'!$E$13+1,1))-AVERAGE(OFFSET($H$3,0,0,'Données projet'!$E$13+1,1))</f>
        <v>302.20483575440988</v>
      </c>
      <c r="CZ43" s="62">
        <f t="shared" si="42"/>
        <v>275.32862097158687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projet'!$B$13,Paramètres!$A$1:$I$88,7,0))</f>
        <v>0</v>
      </c>
      <c r="DD43" s="17">
        <f>IF(ISNA(VLOOKUP(A43,'Données projet'!$A$139:$I$159,6,0)),0%,VLOOKUP(A43,'Données projet'!$A$139:$I$159,6,0)*VLOOKUP('Données projet'!$B$13,Paramètres!$A$1:$I$88,7,0))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projet'!$B$13,Paramètres!$A$1:$I$88,3,0)*0.475*44/12</f>
        <v>0</v>
      </c>
      <c r="DG43" s="23">
        <f>EXP(-LN(2)/25)*DG42+(1-EXP(-LN(2)/25))/(LN(2)/25)*Calculateur!DB43*Calculateur!DD43*VLOOKUP('Données projet'!$B$13,Paramètres!$A$1:$I$88,3,0)*0.475*44/12</f>
        <v>10.479076802439021</v>
      </c>
      <c r="DH43" s="23">
        <f>EXP(-LN(2)/2)*DH42+(1-EXP(-LN(2)/2))/(LN(2)/2)*DB43*DE43*VLOOKUP('Données projet'!$B$13,Paramètres!$A$1:$I$88,3,0)*0.475*44/12</f>
        <v>0.21190274061040204</v>
      </c>
      <c r="DI43" s="24">
        <f t="shared" si="15"/>
        <v>10.690979543049423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projet'!$B$14,Paramètres!$A$1:$I$88,3,0)*VLOOKUP('Données projet'!$B$14,Paramètres!$A$1:$I$88,5,0)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projet'!$B$14,Paramètres!$A$1:$I$88,7,0))</f>
        <v>0</v>
      </c>
      <c r="DY43" s="17">
        <f>IF(ISNA(VLOOKUP(A43,'Données projet'!$A$165:$I$185,6,0)),0%,VLOOKUP(A43,'Données projet'!$A$165:$I$185,6,0)*VLOOKUP('Données projet'!$B$14,Paramètres!$A$1:$I$88,7,0))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projet'!$B$14,Paramètres!$A$1:$I$88,3,0)*0.475*44/12</f>
        <v>#N/A</v>
      </c>
      <c r="EB43" s="23" t="e">
        <f>EXP(-LN(2)/25)*EB42+(1-EXP(-LN(2)/25))/(LN(2)/25)*Calculateur!DW43*Calculateur!DY43*VLOOKUP('Données projet'!$B$14,Paramètres!$A$1:$I$88,3,0)*0.475*44/12</f>
        <v>#N/A</v>
      </c>
      <c r="EC43" s="23" t="e">
        <f>EXP(-LN(2)/2)*EC42+(1-EXP(-LN(2)/2))/(LN(2)/2)*DW43*DZ43*VLOOKUP('Données projet'!$B$14,Paramètres!$A$1:$I$88,3,0)*0.475*44/12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projet'!$B$15,Paramètres!$A$1:$I$88,3,0)*VLOOKUP('Données projet'!$B$15,Paramètres!$A$1:$I$88,5,0)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projet'!$B$15,Paramètres!$A$1:$I$88,7,0))</f>
        <v>0</v>
      </c>
      <c r="ET43" s="17">
        <f>IF(ISNA(VLOOKUP(A43,'Données projet'!$A$191:$I$211,6,0)),0%,VLOOKUP(A43,'Données projet'!$A$191:$I$211,6,0)*VLOOKUP('Données projet'!$B$15,Paramètres!$A$1:$I$88,7,0))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projet'!$B$15,Paramètres!$A$1:$I$88,3,0)*0.475*44/12</f>
        <v>#N/A</v>
      </c>
      <c r="EW43" s="23" t="e">
        <f>EXP(-LN(2)/25)*EW42+(1-EXP(-LN(2)/25))/(LN(2)/25)*Calculateur!ER43*Calculateur!ET43*VLOOKUP('Données projet'!$B$15,Paramètres!$A$1:$I$88,3,0)*0.475*44/12</f>
        <v>#N/A</v>
      </c>
      <c r="EX43" s="23" t="e">
        <f>EXP(-LN(2)/2)*EX42+(1-EXP(-LN(2)/2))/(LN(2)/2)*ER43*EU43*VLOOKUP('Données projet'!$B$15,Paramètres!$A$1:$I$88,3,0)*0.475*44/12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projet'!$B$16,Paramètres!$A$1:$I$88,3,0)*VLOOKUP('Données projet'!$B$16,Paramètres!$A$1:$I$88,5,0)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projet'!$B$16,Paramètres!$A$1:$I$88,7,0))</f>
        <v>0</v>
      </c>
      <c r="FO43" s="17">
        <f>IF(ISNA(VLOOKUP(A43,'Données projet'!$A$217:$I$237,6,0)),0%,VLOOKUP(A43,'Données projet'!$A$217:$I$237,6,0)*VLOOKUP('Données projet'!$B$16,Paramètres!$A$1:$I$88,7,0))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projet'!$B$16,Paramètres!$A$1:$I$88,3,0)*0.475*44/12</f>
        <v>#N/A</v>
      </c>
      <c r="FR43" s="23" t="e">
        <f>EXP(-LN(2)/25)*FR42+(1-EXP(-LN(2)/25))/(LN(2)/25)*Calculateur!FM43*Calculateur!FO43*VLOOKUP('Données projet'!$B$16,Paramètres!$A$1:$I$88,3,0)*0.475*44/12</f>
        <v>#N/A</v>
      </c>
      <c r="FS43" s="23" t="e">
        <f>EXP(-LN(2)/2)*FS42+(1-EXP(-LN(2)/2))/(LN(2)/2)*FM43*FP43*VLOOKUP('Données projet'!$B$16,Paramètres!$A$1:$I$88,3,0)*0.475*44/12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projet'!$B$17,Paramètres!$A$1:$I$88,3,0)*VLOOKUP('Données projet'!$B$17,Paramètres!$A$1:$I$88,5,0)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projet'!$B$17,Paramètres!$A$1:$I$88,7,0))</f>
        <v>0</v>
      </c>
      <c r="GJ43" s="17">
        <f>IF(ISNA(VLOOKUP(A43,'Données projet'!$A$243:$I$263,6,0)),0%,VLOOKUP(A43,'Données projet'!$A$243:$I$263,6,0)*VLOOKUP('Données projet'!$B$17,Paramètres!$A$1:$I$88,7,0))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projet'!$B$17,Paramètres!$A$1:$I$88,3,0)*0.475*44/12</f>
        <v>#N/A</v>
      </c>
      <c r="GM43" s="23" t="e">
        <f>EXP(-LN(2)/25)*GM42+(1-EXP(-LN(2)/25))/(LN(2)/25)*Calculateur!GH43*Calculateur!GJ43*VLOOKUP('Données projet'!$B$17,Paramètres!$A$1:$I$88,3,0)*0.475*44/12</f>
        <v>#N/A</v>
      </c>
      <c r="GN43" s="23" t="e">
        <f>EXP(-LN(2)/2)*GN42+(1-EXP(-LN(2)/2))/(LN(2)/2)*GH43*GK43*VLOOKUP('Données projet'!$B$17,Paramètres!$A$1:$I$88,3,0)*0.475*44/12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projet'!$B$18,Paramètres!$A$1:$I$88,3,0)*VLOOKUP('Données projet'!$B$18,Paramètres!$A$1:$I$88,5,0)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projet'!$B$18,Paramètres!$A$1:$I$88,7,0))</f>
        <v>0</v>
      </c>
      <c r="HE43" s="17">
        <f>IF(ISNA(VLOOKUP(A43,'Données projet'!$A$269:$I$289,6,0)),0%,VLOOKUP(A43,'Données projet'!$A$269:$I$289,6,0)*VLOOKUP('Données projet'!$B$18,Paramètres!$A$1:$I$88,7,0))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projet'!$B$18,Paramètres!$A$1:$I$88,3,0)*0.475*44/12</f>
        <v>#N/A</v>
      </c>
      <c r="HH43" s="23" t="e">
        <f>EXP(-LN(2)/25)*HH42+(1-EXP(-LN(2)/25))/(LN(2)/25)*Calculateur!HC43*Calculateur!HE43*VLOOKUP('Données projet'!$B$18,Paramètres!$A$1:$I$88,3,0)*0.475*44/12</f>
        <v>#N/A</v>
      </c>
      <c r="HI43" s="23" t="e">
        <f>EXP(-LN(2)/2)*HI42+(1-EXP(-LN(2)/2))/(LN(2)/2)*HC43*HF43*VLOOKUP('Données projet'!$B$18,Paramètres!$A$1:$I$88,3,0)*0.475*44/12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11.5</v>
      </c>
      <c r="N44" s="14">
        <f>IF('Données projet'!$A$36&gt;35,N43+M44-V43,IF(A44&lt;'Données projet'!$A$36,$K$205^A44,IF(A44='Données projet'!$A$36,'Données projet'!$B$36,N43+M44-V43)))</f>
        <v>243.5</v>
      </c>
      <c r="O44" s="14">
        <f>N44*VLOOKUP('Données projet'!$B$9,Paramètres!$A$1:$I$88,3,0)*VLOOKUP('Données projet'!$B$9,Paramètres!$A$1:$I$88,5,0)</f>
        <v>151.94399999999999</v>
      </c>
      <c r="P44" s="14">
        <f t="shared" si="33"/>
        <v>39.02003496976517</v>
      </c>
      <c r="Q44" s="22">
        <f t="shared" si="53"/>
        <v>332.59569423900763</v>
      </c>
      <c r="R44" s="62">
        <f t="shared" si="0"/>
        <v>625.92902757234094</v>
      </c>
      <c r="S44" s="62">
        <f ca="1">AVERAGE(OFFSET($R$3,0,0,'Données projet'!$E$9+1,1))-AVERAGE(OFFSET($H$3,0,0,'Données projet'!$E$9+1,1))</f>
        <v>175.05987582828078</v>
      </c>
      <c r="T44" s="62">
        <f t="shared" si="34"/>
        <v>268.54782308462387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projet'!$B$9,Paramètres!$A$1:$I$88,7,0))</f>
        <v>0</v>
      </c>
      <c r="X44" s="17">
        <f>IF(ISNA(VLOOKUP(A44,'Données projet'!$A$35:$I$55,6,0)),0%,VLOOKUP(A44,'Données projet'!$A$35:$I$55,6,0)*VLOOKUP('Données projet'!$B$9,Paramètres!$A$1:$I$88,7,0))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projet'!$B$9,Paramètres!$A$1:$I$88,3,0)*0.475*44/12</f>
        <v>0</v>
      </c>
      <c r="AA44" s="23">
        <f>EXP(-LN(2)/25)*AA43+(1-EXP(-LN(2)/25))/(LN(2)/25)*Calculateur!V44*Calculateur!X44*VLOOKUP('Données projet'!$B$9,Paramètres!$A$1:$I$88,3,0)*0.475*44/12</f>
        <v>7.5891502727546358</v>
      </c>
      <c r="AB44" s="23">
        <f>EXP(-LN(2)/2)*AB43+(1-EXP(-LN(2)/2))/(LN(2)/2)*V44*Y44*VLOOKUP('Données projet'!$B$9,Paramètres!$A$1:$I$88,3,0)*0.475*44/12</f>
        <v>0.3650177985955958</v>
      </c>
      <c r="AC44" s="24">
        <f t="shared" si="3"/>
        <v>7.9541680713502316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25.733333333333334</v>
      </c>
      <c r="AI44" s="14">
        <f>IF('Données projet'!$A$62&gt;35,AI43+AH44-AQ43,IF(A44&lt;'Données projet'!$A$62,$AF$205^A44,IF(A44='Données projet'!$A$62,'Données projet'!$B$62,AI43+AH44-AQ43)))</f>
        <v>593.06666666666683</v>
      </c>
      <c r="AJ44" s="14">
        <f>AI44*VLOOKUP('Données projet'!$B$10,Paramètres!$A$1:$I$88,3,0)*VLOOKUP('Données projet'!$B$10,Paramètres!$A$1:$I$88,5,0)</f>
        <v>285.26506666666671</v>
      </c>
      <c r="AK44" s="14">
        <f t="shared" si="35"/>
        <v>68.078459582751762</v>
      </c>
      <c r="AL44" s="22">
        <f t="shared" si="4"/>
        <v>615.40664155107049</v>
      </c>
      <c r="AM44" s="62">
        <f t="shared" si="5"/>
        <v>908.73997488440386</v>
      </c>
      <c r="AN44" s="62">
        <f ca="1">AVERAGE(OFFSET($AM$3,0,0,'Données projet'!$E$10+1,1))-AVERAGE(OFFSET($H$3,0,0,'Données projet'!$E$10+1,1))</f>
        <v>576.61210817354549</v>
      </c>
      <c r="AO44" s="62">
        <f t="shared" si="36"/>
        <v>343.9428747444544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projet'!$B$10,Paramètres!$A$1:$I$88,7,0))</f>
        <v>0</v>
      </c>
      <c r="AS44" s="17">
        <f>IF(ISNA(VLOOKUP(A44,'Données projet'!$A$61:$I$81,6,0)),0%,VLOOKUP(A44,'Données projet'!$A$61:$I$81,6,0)*VLOOKUP('Données projet'!$B$10,Paramètres!$A$1:$I$88,7,0))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projet'!$B$10,Paramètres!$A$1:$I$88,3,0)*0.475*44/12</f>
        <v>0</v>
      </c>
      <c r="AV44" s="23">
        <f>EXP(-LN(2)/25)*AV43+(1-EXP(-LN(2)/25))/(LN(2)/25)*Calculateur!AQ44*Calculateur!AS44*VLOOKUP('Données projet'!$B$10,Paramètres!$A$1:$I$88,3,0)*0.475*44/12</f>
        <v>4.1743088690816688</v>
      </c>
      <c r="AW44" s="23">
        <f>EXP(-LN(2)/2)*AW43+(1-EXP(-LN(2)/2))/(LN(2)/2)*AQ44*AT44*VLOOKUP('Données projet'!$B$10,Paramètres!$A$1:$I$88,3,0)*0.475*44/12</f>
        <v>0.2599377710552771</v>
      </c>
      <c r="AX44" s="23">
        <f t="shared" si="6"/>
        <v>4.434246640136946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9.8199999999999985</v>
      </c>
      <c r="BD44" s="13">
        <f>IF('Données projet'!$A$88&gt;35,BD43+BC44-BL43,IF(A44&lt;'Données projet'!$A$88,$BA$205^A44,IF(A44='Données projet'!$A$88,'Données projet'!$B$88,BD43+BC44-BL43)))</f>
        <v>237.91999999999996</v>
      </c>
      <c r="BE44" s="14">
        <f>BD44*VLOOKUP('Données projet'!$B$11,Paramètres!$A$1:$I$88,3,0)*VLOOKUP('Données projet'!$B$11,Paramètres!$A$1:$I$88,5,0)</f>
        <v>189.28915199999997</v>
      </c>
      <c r="BF44" s="14">
        <f t="shared" si="37"/>
        <v>47.382760183168436</v>
      </c>
      <c r="BG44" s="22">
        <f t="shared" si="7"/>
        <v>412.20358038568497</v>
      </c>
      <c r="BH44" s="62">
        <f t="shared" si="8"/>
        <v>705.53691371901823</v>
      </c>
      <c r="BI44" s="62">
        <f ca="1">AVERAGE(OFFSET($BH$3,0,0,'Données projet'!$E$11+1,1))-AVERAGE(OFFSET($H$3,0,0,'Données projet'!$E$11+1,1))</f>
        <v>298.38448036212861</v>
      </c>
      <c r="BJ44" s="62">
        <f t="shared" si="38"/>
        <v>270.4445531106897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projet'!$B$11,Paramètres!$A$1:$I$88,7,0))</f>
        <v>0</v>
      </c>
      <c r="BN44" s="17">
        <f>IF(ISNA(VLOOKUP(A44,'Données projet'!$A$87:$I$107,6,0)),0%,VLOOKUP(A44,'Données projet'!$A$87:$I$107,6,0)*VLOOKUP('Données projet'!$B$11,Paramètres!$A$1:$I$88,7,0))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projet'!$B$11,Paramètres!$A$1:$I$88,3,0)*0.475*44/12</f>
        <v>0</v>
      </c>
      <c r="BQ44" s="23">
        <f>EXP(-LN(2)/25)*BQ43+(1-EXP(-LN(2)/25))/(LN(2)/25)*Calculateur!BL44*Calculateur!BN44*VLOOKUP('Données projet'!$B$11,Paramètres!$A$1:$I$88,3,0)*0.475*44/12</f>
        <v>0</v>
      </c>
      <c r="BR44" s="23">
        <f>EXP(-LN(2)/2)*BR43+(1-EXP(-LN(2)/2))/(LN(2)/2)*BL44*BO44*VLOOKUP('Données projet'!$B$11,Paramètres!$A$1:$I$88,3,0)*0.475*44/12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11.142857142857142</v>
      </c>
      <c r="BY44" s="13">
        <f>IF('Données projet'!$A$114&gt;35,BY43+BX44-CG43,IF(A44&lt;'Données projet'!$A$114,$BV$205^A44,IF(A44='Données projet'!$A$114,'Données projet'!$B$114,BY43+BX44-CG43)))</f>
        <v>196.5714285714285</v>
      </c>
      <c r="BZ44" s="14">
        <f>BY44*VLOOKUP('Données projet'!$B$12,Paramètres!$A$1:$I$88,3,0)*VLOOKUP('Données projet'!$B$12,Paramètres!$A$1:$I$88,5,0)</f>
        <v>153.32571428571424</v>
      </c>
      <c r="CA44" s="14">
        <f t="shared" si="39"/>
        <v>39.333398837614155</v>
      </c>
      <c r="CB44" s="22">
        <f t="shared" si="10"/>
        <v>335.5479553564636</v>
      </c>
      <c r="CC44" s="62">
        <f t="shared" si="11"/>
        <v>628.88128868979697</v>
      </c>
      <c r="CD44" s="62">
        <f ca="1">AVERAGE(OFFSET($CC$3,0,0,'Données projet'!$E$12+1,1))-AVERAGE(OFFSET($H$3,0,0,'Données projet'!$E$12+1,1))</f>
        <v>217.32600829266818</v>
      </c>
      <c r="CE44" s="62">
        <f t="shared" si="40"/>
        <v>208.79744153433245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projet'!$B$12,Paramètres!$A$1:$I$88,7,0))</f>
        <v>0</v>
      </c>
      <c r="CI44" s="17">
        <f>IF(ISNA(VLOOKUP(A44,'Données projet'!$A$113:$I$133,6,0)),0%,VLOOKUP(A44,'Données projet'!$A$113:$I$133,6,0)*VLOOKUP('Données projet'!$B$12,Paramètres!$A$1:$I$88,7,0))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projet'!$B$12,Paramètres!$A$1:$I$88,3,0)*0.475*44/12</f>
        <v>0</v>
      </c>
      <c r="CL44" s="23">
        <f>EXP(-LN(2)/25)*CL43+(1-EXP(-LN(2)/25))/(LN(2)/25)*Calculateur!CG44*Calculateur!CI44*VLOOKUP('Données projet'!$B$12,Paramètres!$A$1:$I$88,3,0)*0.475*44/12</f>
        <v>0</v>
      </c>
      <c r="CM44" s="23">
        <f>EXP(-LN(2)/2)*CM43+(1-EXP(-LN(2)/2))/(LN(2)/2)*CG44*CJ44*VLOOKUP('Données projet'!$B$12,Paramètres!$A$1:$I$88,3,0)*0.475*44/12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19.571428571428573</v>
      </c>
      <c r="CT44" s="13">
        <f>IF('Données projet'!$A$140&gt;35,CT43+CS44-DB43,IF(A44&lt;'Données projet'!$A$140,$CQ$205^A44,IF(A44='Données projet'!$A$140,'Données projet'!$B$140,CT43+CS44-DB43)))</f>
        <v>399.42857142857122</v>
      </c>
      <c r="CU44" s="18">
        <f>CT44*VLOOKUP('Données projet'!$B$13,Paramètres!$A$1:$I$88,3,0)*VLOOKUP('Données projet'!$B$13,Paramètres!$A$1:$I$88,5,0)</f>
        <v>223.28057142857133</v>
      </c>
      <c r="CV44" s="14">
        <f t="shared" si="41"/>
        <v>54.827286320639246</v>
      </c>
      <c r="CW44" s="22">
        <f t="shared" si="13"/>
        <v>484.37118557987498</v>
      </c>
      <c r="CX44" s="62">
        <f t="shared" si="14"/>
        <v>777.70451891320829</v>
      </c>
      <c r="CY44" s="62">
        <f ca="1">AVERAGE(OFFSET($CX$3,0,0,'Données projet'!$E$13+1,1))-AVERAGE(OFFSET($H$3,0,0,'Données projet'!$E$13+1,1))</f>
        <v>302.20483575440988</v>
      </c>
      <c r="CZ44" s="62">
        <f t="shared" si="42"/>
        <v>275.32862097158687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projet'!$B$13,Paramètres!$A$1:$I$88,7,0))</f>
        <v>0</v>
      </c>
      <c r="DD44" s="17">
        <f>IF(ISNA(VLOOKUP(A44,'Données projet'!$A$139:$I$159,6,0)),0%,VLOOKUP(A44,'Données projet'!$A$139:$I$159,6,0)*VLOOKUP('Données projet'!$B$13,Paramètres!$A$1:$I$88,7,0))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projet'!$B$13,Paramètres!$A$1:$I$88,3,0)*0.475*44/12</f>
        <v>0</v>
      </c>
      <c r="DG44" s="23">
        <f>EXP(-LN(2)/25)*DG43+(1-EXP(-LN(2)/25))/(LN(2)/25)*Calculateur!DB44*Calculateur!DD44*VLOOKUP('Données projet'!$B$13,Paramètres!$A$1:$I$88,3,0)*0.475*44/12</f>
        <v>10.192525896205627</v>
      </c>
      <c r="DH44" s="23">
        <f>EXP(-LN(2)/2)*DH43+(1-EXP(-LN(2)/2))/(LN(2)/2)*DB44*DE44*VLOOKUP('Données projet'!$B$13,Paramètres!$A$1:$I$88,3,0)*0.475*44/12</f>
        <v>0.14983786483762931</v>
      </c>
      <c r="DI44" s="24">
        <f t="shared" si="15"/>
        <v>10.342363761043256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projet'!$B$14,Paramètres!$A$1:$I$88,3,0)*VLOOKUP('Données projet'!$B$14,Paramètres!$A$1:$I$88,5,0)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projet'!$B$14,Paramètres!$A$1:$I$88,7,0))</f>
        <v>0</v>
      </c>
      <c r="DY44" s="17">
        <f>IF(ISNA(VLOOKUP(A44,'Données projet'!$A$165:$I$185,6,0)),0%,VLOOKUP(A44,'Données projet'!$A$165:$I$185,6,0)*VLOOKUP('Données projet'!$B$14,Paramètres!$A$1:$I$88,7,0))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projet'!$B$14,Paramètres!$A$1:$I$88,3,0)*0.475*44/12</f>
        <v>#N/A</v>
      </c>
      <c r="EB44" s="23" t="e">
        <f>EXP(-LN(2)/25)*EB43+(1-EXP(-LN(2)/25))/(LN(2)/25)*Calculateur!DW44*Calculateur!DY44*VLOOKUP('Données projet'!$B$14,Paramètres!$A$1:$I$88,3,0)*0.475*44/12</f>
        <v>#N/A</v>
      </c>
      <c r="EC44" s="23" t="e">
        <f>EXP(-LN(2)/2)*EC43+(1-EXP(-LN(2)/2))/(LN(2)/2)*DW44*DZ44*VLOOKUP('Données projet'!$B$14,Paramètres!$A$1:$I$88,3,0)*0.475*44/12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projet'!$B$15,Paramètres!$A$1:$I$88,3,0)*VLOOKUP('Données projet'!$B$15,Paramètres!$A$1:$I$88,5,0)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projet'!$B$15,Paramètres!$A$1:$I$88,7,0))</f>
        <v>0</v>
      </c>
      <c r="ET44" s="17">
        <f>IF(ISNA(VLOOKUP(A44,'Données projet'!$A$191:$I$211,6,0)),0%,VLOOKUP(A44,'Données projet'!$A$191:$I$211,6,0)*VLOOKUP('Données projet'!$B$15,Paramètres!$A$1:$I$88,7,0))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projet'!$B$15,Paramètres!$A$1:$I$88,3,0)*0.475*44/12</f>
        <v>#N/A</v>
      </c>
      <c r="EW44" s="23" t="e">
        <f>EXP(-LN(2)/25)*EW43+(1-EXP(-LN(2)/25))/(LN(2)/25)*Calculateur!ER44*Calculateur!ET44*VLOOKUP('Données projet'!$B$15,Paramètres!$A$1:$I$88,3,0)*0.475*44/12</f>
        <v>#N/A</v>
      </c>
      <c r="EX44" s="23" t="e">
        <f>EXP(-LN(2)/2)*EX43+(1-EXP(-LN(2)/2))/(LN(2)/2)*ER44*EU44*VLOOKUP('Données projet'!$B$15,Paramètres!$A$1:$I$88,3,0)*0.475*44/12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projet'!$B$16,Paramètres!$A$1:$I$88,3,0)*VLOOKUP('Données projet'!$B$16,Paramètres!$A$1:$I$88,5,0)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projet'!$B$16,Paramètres!$A$1:$I$88,7,0))</f>
        <v>0</v>
      </c>
      <c r="FO44" s="17">
        <f>IF(ISNA(VLOOKUP(A44,'Données projet'!$A$217:$I$237,6,0)),0%,VLOOKUP(A44,'Données projet'!$A$217:$I$237,6,0)*VLOOKUP('Données projet'!$B$16,Paramètres!$A$1:$I$88,7,0))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projet'!$B$16,Paramètres!$A$1:$I$88,3,0)*0.475*44/12</f>
        <v>#N/A</v>
      </c>
      <c r="FR44" s="23" t="e">
        <f>EXP(-LN(2)/25)*FR43+(1-EXP(-LN(2)/25))/(LN(2)/25)*Calculateur!FM44*Calculateur!FO44*VLOOKUP('Données projet'!$B$16,Paramètres!$A$1:$I$88,3,0)*0.475*44/12</f>
        <v>#N/A</v>
      </c>
      <c r="FS44" s="23" t="e">
        <f>EXP(-LN(2)/2)*FS43+(1-EXP(-LN(2)/2))/(LN(2)/2)*FM44*FP44*VLOOKUP('Données projet'!$B$16,Paramètres!$A$1:$I$88,3,0)*0.475*44/12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projet'!$B$17,Paramètres!$A$1:$I$88,3,0)*VLOOKUP('Données projet'!$B$17,Paramètres!$A$1:$I$88,5,0)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projet'!$B$17,Paramètres!$A$1:$I$88,7,0))</f>
        <v>0</v>
      </c>
      <c r="GJ44" s="17">
        <f>IF(ISNA(VLOOKUP(A44,'Données projet'!$A$243:$I$263,6,0)),0%,VLOOKUP(A44,'Données projet'!$A$243:$I$263,6,0)*VLOOKUP('Données projet'!$B$17,Paramètres!$A$1:$I$88,7,0))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projet'!$B$17,Paramètres!$A$1:$I$88,3,0)*0.475*44/12</f>
        <v>#N/A</v>
      </c>
      <c r="GM44" s="23" t="e">
        <f>EXP(-LN(2)/25)*GM43+(1-EXP(-LN(2)/25))/(LN(2)/25)*Calculateur!GH44*Calculateur!GJ44*VLOOKUP('Données projet'!$B$17,Paramètres!$A$1:$I$88,3,0)*0.475*44/12</f>
        <v>#N/A</v>
      </c>
      <c r="GN44" s="23" t="e">
        <f>EXP(-LN(2)/2)*GN43+(1-EXP(-LN(2)/2))/(LN(2)/2)*GH44*GK44*VLOOKUP('Données projet'!$B$17,Paramètres!$A$1:$I$88,3,0)*0.475*44/12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projet'!$B$18,Paramètres!$A$1:$I$88,3,0)*VLOOKUP('Données projet'!$B$18,Paramètres!$A$1:$I$88,5,0)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projet'!$B$18,Paramètres!$A$1:$I$88,7,0))</f>
        <v>0</v>
      </c>
      <c r="HE44" s="17">
        <f>IF(ISNA(VLOOKUP(A44,'Données projet'!$A$269:$I$289,6,0)),0%,VLOOKUP(A44,'Données projet'!$A$269:$I$289,6,0)*VLOOKUP('Données projet'!$B$18,Paramètres!$A$1:$I$88,7,0))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projet'!$B$18,Paramètres!$A$1:$I$88,3,0)*0.475*44/12</f>
        <v>#N/A</v>
      </c>
      <c r="HH44" s="23" t="e">
        <f>EXP(-LN(2)/25)*HH43+(1-EXP(-LN(2)/25))/(LN(2)/25)*Calculateur!HC44*Calculateur!HE44*VLOOKUP('Données projet'!$B$18,Paramètres!$A$1:$I$88,3,0)*0.475*44/12</f>
        <v>#N/A</v>
      </c>
      <c r="HI44" s="23" t="e">
        <f>EXP(-LN(2)/2)*HI43+(1-EXP(-LN(2)/2))/(LN(2)/2)*HC44*HF44*VLOOKUP('Données projet'!$B$18,Paramètres!$A$1:$I$88,3,0)*0.475*44/12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255</v>
      </c>
      <c r="L45" s="13">
        <f>VLOOKUP(A45,'Données projet'!$A$35:$I$55,9,0)</f>
        <v>11.5</v>
      </c>
      <c r="M45" s="13">
        <f t="array" ref="M45">INDEX(L:L,MIN(IF(ISNUMBER(L45:L241),ROW(L45:L241),"")))</f>
        <v>11.5</v>
      </c>
      <c r="N45" s="14">
        <f>IF('Données projet'!$A$36&gt;35,N44+M45-V44,IF(A45&lt;'Données projet'!$A$36,$K$205^A45,IF(A45='Données projet'!$A$36,'Données projet'!$B$36,N44+M45-V44)))</f>
        <v>255</v>
      </c>
      <c r="O45" s="14">
        <f>N45*VLOOKUP('Données projet'!$B$9,Paramètres!$A$1:$I$88,3,0)*VLOOKUP('Données projet'!$B$9,Paramètres!$A$1:$I$88,5,0)</f>
        <v>159.12</v>
      </c>
      <c r="P45" s="14">
        <f t="shared" si="33"/>
        <v>40.643965284387697</v>
      </c>
      <c r="Q45" s="22">
        <f t="shared" si="53"/>
        <v>347.92223953697521</v>
      </c>
      <c r="R45" s="62">
        <f t="shared" si="0"/>
        <v>641.25557287030847</v>
      </c>
      <c r="S45" s="62">
        <f ca="1">AVERAGE(OFFSET($R$3,0,0,'Données projet'!$E$9+1,1))-AVERAGE(OFFSET($H$3,0,0,'Données projet'!$E$9+1,1))</f>
        <v>175.05987582828078</v>
      </c>
      <c r="T45" s="62">
        <f t="shared" si="34"/>
        <v>268.54782308462387</v>
      </c>
      <c r="U45" s="16">
        <f>IF(ISNA(VLOOKUP(A45,'Données projet'!$A$35:$I$55,3,0)),0,VLOOKUP(A45,'Données projet'!$A$35:$I$55,3,0))</f>
        <v>6</v>
      </c>
      <c r="V45" s="16">
        <f>IF(ISNA(VLOOKUP(A45,'Données projet'!$A$35:$I$55,4,0)),0,VLOOKUP(A45,'Données projet'!$A$35:$I$55,4,0))</f>
        <v>67</v>
      </c>
      <c r="W45" s="17">
        <f>IF(ISNA(VLOOKUP(A45,'Données projet'!$A$35:$I$55,5,0)),0%,VLOOKUP(A45,'Données projet'!$A$35:$I$55,5,0)*VLOOKUP('Données projet'!$B$9,Paramètres!$A$1:$I$88,7,0))</f>
        <v>0</v>
      </c>
      <c r="X45" s="17">
        <f>IF(ISNA(VLOOKUP(A45,'Données projet'!$A$35:$I$55,6,0)),0%,VLOOKUP(A45,'Données projet'!$A$35:$I$55,6,0)*VLOOKUP('Données projet'!$B$9,Paramètres!$A$1:$I$88,7,0))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projet'!$B$9,Paramètres!$A$1:$I$88,3,0)*0.475*44/12</f>
        <v>0</v>
      </c>
      <c r="AA45" s="23">
        <f>EXP(-LN(2)/25)*AA44+(1-EXP(-LN(2)/25))/(LN(2)/25)*Calculateur!V45*Calculateur!X45*VLOOKUP('Données projet'!$B$9,Paramètres!$A$1:$I$88,3,0)*0.475*44/12</f>
        <v>7.3816245594500929</v>
      </c>
      <c r="AB45" s="23">
        <f>EXP(-LN(2)/2)*AB44+(1-EXP(-LN(2)/2))/(LN(2)/2)*V45*Y45*VLOOKUP('Données projet'!$B$9,Paramètres!$A$1:$I$88,3,0)*0.475*44/12</f>
        <v>0.25810656064073123</v>
      </c>
      <c r="AC45" s="24">
        <f t="shared" si="3"/>
        <v>7.6397311200908238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25.733333333333334</v>
      </c>
      <c r="AI45" s="14">
        <f>IF('Données projet'!$A$62&gt;35,AI44+AH45-AQ44,IF(A45&lt;'Données projet'!$A$62,$AF$205^A45,IF(A45='Données projet'!$A$62,'Données projet'!$B$62,AI44+AH45-AQ44)))</f>
        <v>618.80000000000018</v>
      </c>
      <c r="AJ45" s="14">
        <f>AI45*VLOOKUP('Données projet'!$B$10,Paramètres!$A$1:$I$88,3,0)*VLOOKUP('Données projet'!$B$10,Paramètres!$A$1:$I$88,5,0)</f>
        <v>297.64280000000008</v>
      </c>
      <c r="AK45" s="14">
        <f t="shared" si="35"/>
        <v>70.682077173492218</v>
      </c>
      <c r="AL45" s="22">
        <f t="shared" si="4"/>
        <v>641.4991610771657</v>
      </c>
      <c r="AM45" s="62">
        <f t="shared" si="5"/>
        <v>934.83249441049907</v>
      </c>
      <c r="AN45" s="62">
        <f ca="1">AVERAGE(OFFSET($AM$3,0,0,'Données projet'!$E$10+1,1))-AVERAGE(OFFSET($H$3,0,0,'Données projet'!$E$10+1,1))</f>
        <v>576.61210817354549</v>
      </c>
      <c r="AO45" s="62">
        <f t="shared" si="36"/>
        <v>343.9428747444544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projet'!$B$10,Paramètres!$A$1:$I$88,7,0))</f>
        <v>0</v>
      </c>
      <c r="AS45" s="17">
        <f>IF(ISNA(VLOOKUP(A45,'Données projet'!$A$61:$I$81,6,0)),0%,VLOOKUP(A45,'Données projet'!$A$61:$I$81,6,0)*VLOOKUP('Données projet'!$B$10,Paramètres!$A$1:$I$88,7,0))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projet'!$B$10,Paramètres!$A$1:$I$88,3,0)*0.475*44/12</f>
        <v>0</v>
      </c>
      <c r="AV45" s="23">
        <f>EXP(-LN(2)/25)*AV44+(1-EXP(-LN(2)/25))/(LN(2)/25)*Calculateur!AQ45*Calculateur!AS45*VLOOKUP('Données projet'!$B$10,Paramètres!$A$1:$I$88,3,0)*0.475*44/12</f>
        <v>4.0601621735392674</v>
      </c>
      <c r="AW45" s="23">
        <f>EXP(-LN(2)/2)*AW44+(1-EXP(-LN(2)/2))/(LN(2)/2)*AQ45*AT45*VLOOKUP('Données projet'!$B$10,Paramètres!$A$1:$I$88,3,0)*0.475*44/12</f>
        <v>0.18380376059970271</v>
      </c>
      <c r="AX45" s="23">
        <f t="shared" si="6"/>
        <v>4.2439659341389699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9.8199999999999985</v>
      </c>
      <c r="BD45" s="13">
        <f>IF('Données projet'!$A$88&gt;35,BD44+BC45-BL44,IF(A45&lt;'Données projet'!$A$88,$BA$205^A45,IF(A45='Données projet'!$A$88,'Données projet'!$B$88,BD44+BC45-BL44)))</f>
        <v>247.73999999999995</v>
      </c>
      <c r="BE45" s="14">
        <f>BD45*VLOOKUP('Données projet'!$B$11,Paramètres!$A$1:$I$88,3,0)*VLOOKUP('Données projet'!$B$11,Paramètres!$A$1:$I$88,5,0)</f>
        <v>197.10194399999997</v>
      </c>
      <c r="BF45" s="14">
        <f t="shared" si="37"/>
        <v>49.106722689439017</v>
      </c>
      <c r="BG45" s="22">
        <f t="shared" si="7"/>
        <v>428.81342781743956</v>
      </c>
      <c r="BH45" s="62">
        <f t="shared" si="8"/>
        <v>722.14676115077282</v>
      </c>
      <c r="BI45" s="62">
        <f ca="1">AVERAGE(OFFSET($BH$3,0,0,'Données projet'!$E$11+1,1))-AVERAGE(OFFSET($H$3,0,0,'Données projet'!$E$11+1,1))</f>
        <v>298.38448036212861</v>
      </c>
      <c r="BJ45" s="62">
        <f t="shared" si="38"/>
        <v>270.4445531106897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projet'!$B$11,Paramètres!$A$1:$I$88,7,0))</f>
        <v>0</v>
      </c>
      <c r="BN45" s="17">
        <f>IF(ISNA(VLOOKUP(A45,'Données projet'!$A$87:$I$107,6,0)),0%,VLOOKUP(A45,'Données projet'!$A$87:$I$107,6,0)*VLOOKUP('Données projet'!$B$11,Paramètres!$A$1:$I$88,7,0))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projet'!$B$11,Paramètres!$A$1:$I$88,3,0)*0.475*44/12</f>
        <v>0</v>
      </c>
      <c r="BQ45" s="23">
        <f>EXP(-LN(2)/25)*BQ44+(1-EXP(-LN(2)/25))/(LN(2)/25)*Calculateur!BL45*Calculateur!BN45*VLOOKUP('Données projet'!$B$11,Paramètres!$A$1:$I$88,3,0)*0.475*44/12</f>
        <v>0</v>
      </c>
      <c r="BR45" s="23">
        <f>EXP(-LN(2)/2)*BR44+(1-EXP(-LN(2)/2))/(LN(2)/2)*BL45*BO45*VLOOKUP('Données projet'!$B$11,Paramètres!$A$1:$I$88,3,0)*0.475*44/12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11.142857142857142</v>
      </c>
      <c r="BY45" s="13">
        <f>IF('Données projet'!$A$114&gt;35,BY44+BX45-CG44,IF(A45&lt;'Données projet'!$A$114,$BV$205^A45,IF(A45='Données projet'!$A$114,'Données projet'!$B$114,BY44+BX45-CG44)))</f>
        <v>207.71428571428564</v>
      </c>
      <c r="BZ45" s="14">
        <f>BY45*VLOOKUP('Données projet'!$B$12,Paramètres!$A$1:$I$88,3,0)*VLOOKUP('Données projet'!$B$12,Paramètres!$A$1:$I$88,5,0)</f>
        <v>162.0171428571428</v>
      </c>
      <c r="CA45" s="14">
        <f t="shared" si="39"/>
        <v>41.29715533509664</v>
      </c>
      <c r="CB45" s="22">
        <f t="shared" si="10"/>
        <v>354.10573601815037</v>
      </c>
      <c r="CC45" s="62">
        <f t="shared" si="11"/>
        <v>647.43906935148368</v>
      </c>
      <c r="CD45" s="62">
        <f ca="1">AVERAGE(OFFSET($CC$3,0,0,'Données projet'!$E$12+1,1))-AVERAGE(OFFSET($H$3,0,0,'Données projet'!$E$12+1,1))</f>
        <v>217.32600829266818</v>
      </c>
      <c r="CE45" s="62">
        <f t="shared" si="40"/>
        <v>208.79744153433245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projet'!$B$12,Paramètres!$A$1:$I$88,7,0))</f>
        <v>0</v>
      </c>
      <c r="CI45" s="17">
        <f>IF(ISNA(VLOOKUP(A45,'Données projet'!$A$113:$I$133,6,0)),0%,VLOOKUP(A45,'Données projet'!$A$113:$I$133,6,0)*VLOOKUP('Données projet'!$B$12,Paramètres!$A$1:$I$88,7,0))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projet'!$B$12,Paramètres!$A$1:$I$88,3,0)*0.475*44/12</f>
        <v>0</v>
      </c>
      <c r="CL45" s="23">
        <f>EXP(-LN(2)/25)*CL44+(1-EXP(-LN(2)/25))/(LN(2)/25)*Calculateur!CG45*Calculateur!CI45*VLOOKUP('Données projet'!$B$12,Paramètres!$A$1:$I$88,3,0)*0.475*44/12</f>
        <v>0</v>
      </c>
      <c r="CM45" s="23">
        <f>EXP(-LN(2)/2)*CM44+(1-EXP(-LN(2)/2))/(LN(2)/2)*CG45*CJ45*VLOOKUP('Données projet'!$B$12,Paramètres!$A$1:$I$88,3,0)*0.475*44/12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>
        <f>VLOOKUP(A45,'Données projet'!$A$139:$I$159,2,0)</f>
        <v>419</v>
      </c>
      <c r="CR45" s="13">
        <f>VLOOKUP(A45,'Données projet'!$A$139:$I$159,9,0)</f>
        <v>19.571428571428573</v>
      </c>
      <c r="CS45" s="13">
        <f t="array" ref="CS45">INDEX(CR:CR,MIN(IF(ISNUMBER(CR45:CR241),ROW(CR45:CR241),"")))</f>
        <v>19.571428571428573</v>
      </c>
      <c r="CT45" s="13">
        <f>IF('Données projet'!$A$140&gt;35,CT44+CS45-DB44,IF(A45&lt;'Données projet'!$A$140,$CQ$205^A45,IF(A45='Données projet'!$A$140,'Données projet'!$B$140,CT44+CS45-DB44)))</f>
        <v>418.99999999999977</v>
      </c>
      <c r="CU45" s="18">
        <f>CT45*VLOOKUP('Données projet'!$B$13,Paramètres!$A$1:$I$88,3,0)*VLOOKUP('Données projet'!$B$13,Paramètres!$A$1:$I$88,5,0)</f>
        <v>234.22099999999989</v>
      </c>
      <c r="CV45" s="14">
        <f t="shared" si="41"/>
        <v>57.194392182630075</v>
      </c>
      <c r="CW45" s="22">
        <f t="shared" si="13"/>
        <v>507.54847471808051</v>
      </c>
      <c r="CX45" s="62">
        <f t="shared" si="14"/>
        <v>800.88180805141383</v>
      </c>
      <c r="CY45" s="62">
        <f ca="1">AVERAGE(OFFSET($CX$3,0,0,'Données projet'!$E$13+1,1))-AVERAGE(OFFSET($H$3,0,0,'Données projet'!$E$13+1,1))</f>
        <v>302.20483575440988</v>
      </c>
      <c r="CZ45" s="62">
        <f t="shared" si="42"/>
        <v>275.32862097158687</v>
      </c>
      <c r="DA45" s="16">
        <f>IF(ISNA(VLOOKUP(A45,'Données projet'!$A$139:$I$159,3,0)),0,VLOOKUP(A45,'Données projet'!$A$139:$I$159,3,0))</f>
        <v>4</v>
      </c>
      <c r="DB45" s="16">
        <f>IF(ISNA(VLOOKUP(A45,'Données projet'!$A$139:$I$159,4,0)),0,VLOOKUP(A45,'Données projet'!$A$139:$I$159,4,0))</f>
        <v>77</v>
      </c>
      <c r="DC45" s="17">
        <f>IF(ISNA(VLOOKUP(A45,'Données projet'!$A$139:$I$159,5,0)),0%,VLOOKUP(A45,'Données projet'!$A$139:$I$159,5,0)*VLOOKUP('Données projet'!$B$13,Paramètres!$A$1:$I$88,7,0))</f>
        <v>0</v>
      </c>
      <c r="DD45" s="17">
        <f>IF(ISNA(VLOOKUP(A45,'Données projet'!$A$139:$I$159,6,0)),0%,VLOOKUP(A45,'Données projet'!$A$139:$I$159,6,0)*VLOOKUP('Données projet'!$B$13,Paramètres!$A$1:$I$88,7,0))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projet'!$B$13,Paramètres!$A$1:$I$88,3,0)*0.475*44/12</f>
        <v>0</v>
      </c>
      <c r="DG45" s="23">
        <f>EXP(-LN(2)/25)*DG44+(1-EXP(-LN(2)/25))/(LN(2)/25)*Calculateur!DB45*Calculateur!DD45*VLOOKUP('Données projet'!$B$13,Paramètres!$A$1:$I$88,3,0)*0.475*44/12</f>
        <v>9.9138107395722432</v>
      </c>
      <c r="DH45" s="23">
        <f>EXP(-LN(2)/2)*DH44+(1-EXP(-LN(2)/2))/(LN(2)/2)*DB45*DE45*VLOOKUP('Données projet'!$B$13,Paramètres!$A$1:$I$88,3,0)*0.475*44/12</f>
        <v>0.10595137030520105</v>
      </c>
      <c r="DI45" s="24">
        <f t="shared" si="15"/>
        <v>10.019762109877444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projet'!$B$14,Paramètres!$A$1:$I$88,3,0)*VLOOKUP('Données projet'!$B$14,Paramètres!$A$1:$I$88,5,0)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projet'!$B$14,Paramètres!$A$1:$I$88,7,0))</f>
        <v>0</v>
      </c>
      <c r="DY45" s="17">
        <f>IF(ISNA(VLOOKUP(A45,'Données projet'!$A$165:$I$185,6,0)),0%,VLOOKUP(A45,'Données projet'!$A$165:$I$185,6,0)*VLOOKUP('Données projet'!$B$14,Paramètres!$A$1:$I$88,7,0))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projet'!$B$14,Paramètres!$A$1:$I$88,3,0)*0.475*44/12</f>
        <v>#N/A</v>
      </c>
      <c r="EB45" s="23" t="e">
        <f>EXP(-LN(2)/25)*EB44+(1-EXP(-LN(2)/25))/(LN(2)/25)*Calculateur!DW45*Calculateur!DY45*VLOOKUP('Données projet'!$B$14,Paramètres!$A$1:$I$88,3,0)*0.475*44/12</f>
        <v>#N/A</v>
      </c>
      <c r="EC45" s="23" t="e">
        <f>EXP(-LN(2)/2)*EC44+(1-EXP(-LN(2)/2))/(LN(2)/2)*DW45*DZ45*VLOOKUP('Données projet'!$B$14,Paramètres!$A$1:$I$88,3,0)*0.475*44/12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projet'!$B$15,Paramètres!$A$1:$I$88,3,0)*VLOOKUP('Données projet'!$B$15,Paramètres!$A$1:$I$88,5,0)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projet'!$B$15,Paramètres!$A$1:$I$88,7,0))</f>
        <v>0</v>
      </c>
      <c r="ET45" s="17">
        <f>IF(ISNA(VLOOKUP(A45,'Données projet'!$A$191:$I$211,6,0)),0%,VLOOKUP(A45,'Données projet'!$A$191:$I$211,6,0)*VLOOKUP('Données projet'!$B$15,Paramètres!$A$1:$I$88,7,0))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projet'!$B$15,Paramètres!$A$1:$I$88,3,0)*0.475*44/12</f>
        <v>#N/A</v>
      </c>
      <c r="EW45" s="23" t="e">
        <f>EXP(-LN(2)/25)*EW44+(1-EXP(-LN(2)/25))/(LN(2)/25)*Calculateur!ER45*Calculateur!ET45*VLOOKUP('Données projet'!$B$15,Paramètres!$A$1:$I$88,3,0)*0.475*44/12</f>
        <v>#N/A</v>
      </c>
      <c r="EX45" s="23" t="e">
        <f>EXP(-LN(2)/2)*EX44+(1-EXP(-LN(2)/2))/(LN(2)/2)*ER45*EU45*VLOOKUP('Données projet'!$B$15,Paramètres!$A$1:$I$88,3,0)*0.475*44/12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projet'!$B$16,Paramètres!$A$1:$I$88,3,0)*VLOOKUP('Données projet'!$B$16,Paramètres!$A$1:$I$88,5,0)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projet'!$B$16,Paramètres!$A$1:$I$88,7,0))</f>
        <v>0</v>
      </c>
      <c r="FO45" s="17">
        <f>IF(ISNA(VLOOKUP(A45,'Données projet'!$A$217:$I$237,6,0)),0%,VLOOKUP(A45,'Données projet'!$A$217:$I$237,6,0)*VLOOKUP('Données projet'!$B$16,Paramètres!$A$1:$I$88,7,0))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projet'!$B$16,Paramètres!$A$1:$I$88,3,0)*0.475*44/12</f>
        <v>#N/A</v>
      </c>
      <c r="FR45" s="23" t="e">
        <f>EXP(-LN(2)/25)*FR44+(1-EXP(-LN(2)/25))/(LN(2)/25)*Calculateur!FM45*Calculateur!FO45*VLOOKUP('Données projet'!$B$16,Paramètres!$A$1:$I$88,3,0)*0.475*44/12</f>
        <v>#N/A</v>
      </c>
      <c r="FS45" s="23" t="e">
        <f>EXP(-LN(2)/2)*FS44+(1-EXP(-LN(2)/2))/(LN(2)/2)*FM45*FP45*VLOOKUP('Données projet'!$B$16,Paramètres!$A$1:$I$88,3,0)*0.475*44/12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projet'!$B$17,Paramètres!$A$1:$I$88,3,0)*VLOOKUP('Données projet'!$B$17,Paramètres!$A$1:$I$88,5,0)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projet'!$B$17,Paramètres!$A$1:$I$88,7,0))</f>
        <v>0</v>
      </c>
      <c r="GJ45" s="17">
        <f>IF(ISNA(VLOOKUP(A45,'Données projet'!$A$243:$I$263,6,0)),0%,VLOOKUP(A45,'Données projet'!$A$243:$I$263,6,0)*VLOOKUP('Données projet'!$B$17,Paramètres!$A$1:$I$88,7,0))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projet'!$B$17,Paramètres!$A$1:$I$88,3,0)*0.475*44/12</f>
        <v>#N/A</v>
      </c>
      <c r="GM45" s="23" t="e">
        <f>EXP(-LN(2)/25)*GM44+(1-EXP(-LN(2)/25))/(LN(2)/25)*Calculateur!GH45*Calculateur!GJ45*VLOOKUP('Données projet'!$B$17,Paramètres!$A$1:$I$88,3,0)*0.475*44/12</f>
        <v>#N/A</v>
      </c>
      <c r="GN45" s="23" t="e">
        <f>EXP(-LN(2)/2)*GN44+(1-EXP(-LN(2)/2))/(LN(2)/2)*GH45*GK45*VLOOKUP('Données projet'!$B$17,Paramètres!$A$1:$I$88,3,0)*0.475*44/12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projet'!$B$18,Paramètres!$A$1:$I$88,3,0)*VLOOKUP('Données projet'!$B$18,Paramètres!$A$1:$I$88,5,0)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projet'!$B$18,Paramètres!$A$1:$I$88,7,0))</f>
        <v>0</v>
      </c>
      <c r="HE45" s="17">
        <f>IF(ISNA(VLOOKUP(A45,'Données projet'!$A$269:$I$289,6,0)),0%,VLOOKUP(A45,'Données projet'!$A$269:$I$289,6,0)*VLOOKUP('Données projet'!$B$18,Paramètres!$A$1:$I$88,7,0))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projet'!$B$18,Paramètres!$A$1:$I$88,3,0)*0.475*44/12</f>
        <v>#N/A</v>
      </c>
      <c r="HH45" s="23" t="e">
        <f>EXP(-LN(2)/25)*HH44+(1-EXP(-LN(2)/25))/(LN(2)/25)*Calculateur!HC45*Calculateur!HE45*VLOOKUP('Données projet'!$B$18,Paramètres!$A$1:$I$88,3,0)*0.475*44/12</f>
        <v>#N/A</v>
      </c>
      <c r="HI45" s="23" t="e">
        <f>EXP(-LN(2)/2)*HI44+(1-EXP(-LN(2)/2))/(LN(2)/2)*HC45*HF45*VLOOKUP('Données projet'!$B$18,Paramètres!$A$1:$I$88,3,0)*0.475*44/12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10.666666666666666</v>
      </c>
      <c r="N46" s="14">
        <f>IF('Données projet'!$A$36&gt;35,N45+M46-V45,IF(A46&lt;'Données projet'!$A$36,$K$205^A46,IF(A46='Données projet'!$A$36,'Données projet'!$B$36,N45+M46-V45)))</f>
        <v>198.66666666666669</v>
      </c>
      <c r="O46" s="14">
        <f>N46*VLOOKUP('Données projet'!$B$9,Paramètres!$A$1:$I$88,3,0)*VLOOKUP('Données projet'!$B$9,Paramètres!$A$1:$I$88,5,0)</f>
        <v>123.968</v>
      </c>
      <c r="P46" s="14">
        <f t="shared" si="33"/>
        <v>32.598710622532096</v>
      </c>
      <c r="Q46" s="22">
        <f t="shared" si="53"/>
        <v>272.68702100091008</v>
      </c>
      <c r="R46" s="62">
        <f t="shared" si="0"/>
        <v>566.02035433424339</v>
      </c>
      <c r="S46" s="62">
        <f ca="1">AVERAGE(OFFSET($R$3,0,0,'Données projet'!$E$9+1,1))-AVERAGE(OFFSET($H$3,0,0,'Données projet'!$E$9+1,1))</f>
        <v>175.05987582828078</v>
      </c>
      <c r="T46" s="62">
        <f t="shared" si="34"/>
        <v>268.54782308462387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projet'!$B$9,Paramètres!$A$1:$I$88,7,0))</f>
        <v>0</v>
      </c>
      <c r="X46" s="17">
        <f>IF(ISNA(VLOOKUP(A46,'Données projet'!$A$35:$I$55,6,0)),0%,VLOOKUP(A46,'Données projet'!$A$35:$I$55,6,0)*VLOOKUP('Données projet'!$B$9,Paramètres!$A$1:$I$88,7,0))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projet'!$B$9,Paramètres!$A$1:$I$88,3,0)*0.475*44/12</f>
        <v>0</v>
      </c>
      <c r="AA46" s="23">
        <f>EXP(-LN(2)/25)*AA45+(1-EXP(-LN(2)/25))/(LN(2)/25)*Calculateur!V46*Calculateur!X46*VLOOKUP('Données projet'!$B$9,Paramètres!$A$1:$I$88,3,0)*0.475*44/12</f>
        <v>7.1797736476891654</v>
      </c>
      <c r="AB46" s="23">
        <f>EXP(-LN(2)/2)*AB45+(1-EXP(-LN(2)/2))/(LN(2)/2)*V46*Y46*VLOOKUP('Données projet'!$B$9,Paramètres!$A$1:$I$88,3,0)*0.475*44/12</f>
        <v>0.1825088992977979</v>
      </c>
      <c r="AC46" s="24">
        <f t="shared" si="3"/>
        <v>7.3622825469869628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25.733333333333334</v>
      </c>
      <c r="AI46" s="14">
        <f>IF('Données projet'!$A$62&gt;35,AI45+AH46-AQ45,IF(A46&lt;'Données projet'!$A$62,$AF$205^A46,IF(A46='Données projet'!$A$62,'Données projet'!$B$62,AI45+AH46-AQ45)))</f>
        <v>644.53333333333353</v>
      </c>
      <c r="AJ46" s="14">
        <f>AI46*VLOOKUP('Données projet'!$B$10,Paramètres!$A$1:$I$88,3,0)*VLOOKUP('Données projet'!$B$10,Paramètres!$A$1:$I$88,5,0)</f>
        <v>310.02053333333345</v>
      </c>
      <c r="AK46" s="14">
        <f t="shared" si="35"/>
        <v>73.273118332499592</v>
      </c>
      <c r="AL46" s="22">
        <f t="shared" si="4"/>
        <v>667.56977665132592</v>
      </c>
      <c r="AM46" s="62">
        <f t="shared" si="5"/>
        <v>960.9031099846593</v>
      </c>
      <c r="AN46" s="62">
        <f ca="1">AVERAGE(OFFSET($AM$3,0,0,'Données projet'!$E$10+1,1))-AVERAGE(OFFSET($H$3,0,0,'Données projet'!$E$10+1,1))</f>
        <v>576.61210817354549</v>
      </c>
      <c r="AO46" s="62">
        <f t="shared" si="36"/>
        <v>343.9428747444544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projet'!$B$10,Paramètres!$A$1:$I$88,7,0))</f>
        <v>0</v>
      </c>
      <c r="AS46" s="17">
        <f>IF(ISNA(VLOOKUP(A46,'Données projet'!$A$61:$I$81,6,0)),0%,VLOOKUP(A46,'Données projet'!$A$61:$I$81,6,0)*VLOOKUP('Données projet'!$B$10,Paramètres!$A$1:$I$88,7,0))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projet'!$B$10,Paramètres!$A$1:$I$88,3,0)*0.475*44/12</f>
        <v>0</v>
      </c>
      <c r="AV46" s="23">
        <f>EXP(-LN(2)/25)*AV45+(1-EXP(-LN(2)/25))/(LN(2)/25)*Calculateur!AQ46*Calculateur!AS46*VLOOKUP('Données projet'!$B$10,Paramètres!$A$1:$I$88,3,0)*0.475*44/12</f>
        <v>3.949136825389187</v>
      </c>
      <c r="AW46" s="23">
        <f>EXP(-LN(2)/2)*AW45+(1-EXP(-LN(2)/2))/(LN(2)/2)*AQ46*AT46*VLOOKUP('Données projet'!$B$10,Paramètres!$A$1:$I$88,3,0)*0.475*44/12</f>
        <v>0.12996888552763855</v>
      </c>
      <c r="AX46" s="23">
        <f t="shared" si="6"/>
        <v>4.0791057109168252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9.8199999999999985</v>
      </c>
      <c r="BD46" s="13">
        <f>IF('Données projet'!$A$88&gt;35,BD45+BC46-BL45,IF(A46&lt;'Données projet'!$A$88,$BA$205^A46,IF(A46='Données projet'!$A$88,'Données projet'!$B$88,BD45+BC46-BL45)))</f>
        <v>257.55999999999995</v>
      </c>
      <c r="BE46" s="14">
        <f>BD46*VLOOKUP('Données projet'!$B$11,Paramètres!$A$1:$I$88,3,0)*VLOOKUP('Données projet'!$B$11,Paramètres!$A$1:$I$88,5,0)</f>
        <v>204.91473599999998</v>
      </c>
      <c r="BF46" s="14">
        <f t="shared" si="37"/>
        <v>50.822747128506975</v>
      </c>
      <c r="BG46" s="22">
        <f t="shared" si="7"/>
        <v>445.40944978214952</v>
      </c>
      <c r="BH46" s="62">
        <f t="shared" si="8"/>
        <v>738.74278311548278</v>
      </c>
      <c r="BI46" s="62">
        <f ca="1">AVERAGE(OFFSET($BH$3,0,0,'Données projet'!$E$11+1,1))-AVERAGE(OFFSET($H$3,0,0,'Données projet'!$E$11+1,1))</f>
        <v>298.38448036212861</v>
      </c>
      <c r="BJ46" s="62">
        <f t="shared" si="38"/>
        <v>270.4445531106897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projet'!$B$11,Paramètres!$A$1:$I$88,7,0))</f>
        <v>0</v>
      </c>
      <c r="BN46" s="17">
        <f>IF(ISNA(VLOOKUP(A46,'Données projet'!$A$87:$I$107,6,0)),0%,VLOOKUP(A46,'Données projet'!$A$87:$I$107,6,0)*VLOOKUP('Données projet'!$B$11,Paramètres!$A$1:$I$88,7,0))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projet'!$B$11,Paramètres!$A$1:$I$88,3,0)*0.475*44/12</f>
        <v>0</v>
      </c>
      <c r="BQ46" s="23">
        <f>EXP(-LN(2)/25)*BQ45+(1-EXP(-LN(2)/25))/(LN(2)/25)*Calculateur!BL46*Calculateur!BN46*VLOOKUP('Données projet'!$B$11,Paramètres!$A$1:$I$88,3,0)*0.475*44/12</f>
        <v>0</v>
      </c>
      <c r="BR46" s="23">
        <f>EXP(-LN(2)/2)*BR45+(1-EXP(-LN(2)/2))/(LN(2)/2)*BL46*BO46*VLOOKUP('Données projet'!$B$11,Paramètres!$A$1:$I$88,3,0)*0.475*44/12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11.142857142857142</v>
      </c>
      <c r="BY46" s="13">
        <f>IF('Données projet'!$A$114&gt;35,BY45+BX46-CG45,IF(A46&lt;'Données projet'!$A$114,$BV$205^A46,IF(A46='Données projet'!$A$114,'Données projet'!$B$114,BY45+BX46-CG45)))</f>
        <v>218.85714285714278</v>
      </c>
      <c r="BZ46" s="14">
        <f>BY46*VLOOKUP('Données projet'!$B$12,Paramètres!$A$1:$I$88,3,0)*VLOOKUP('Données projet'!$B$12,Paramètres!$A$1:$I$88,5,0)</f>
        <v>170.70857142857136</v>
      </c>
      <c r="CA46" s="14">
        <f t="shared" si="39"/>
        <v>43.248681576985376</v>
      </c>
      <c r="CB46" s="22">
        <f t="shared" si="10"/>
        <v>372.64221565134466</v>
      </c>
      <c r="CC46" s="62">
        <f t="shared" si="11"/>
        <v>665.97554898467797</v>
      </c>
      <c r="CD46" s="62">
        <f ca="1">AVERAGE(OFFSET($CC$3,0,0,'Données projet'!$E$12+1,1))-AVERAGE(OFFSET($H$3,0,0,'Données projet'!$E$12+1,1))</f>
        <v>217.32600829266818</v>
      </c>
      <c r="CE46" s="62">
        <f t="shared" si="40"/>
        <v>208.79744153433245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projet'!$B$12,Paramètres!$A$1:$I$88,7,0))</f>
        <v>0</v>
      </c>
      <c r="CI46" s="17">
        <f>IF(ISNA(VLOOKUP(A46,'Données projet'!$A$113:$I$133,6,0)),0%,VLOOKUP(A46,'Données projet'!$A$113:$I$133,6,0)*VLOOKUP('Données projet'!$B$12,Paramètres!$A$1:$I$88,7,0))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projet'!$B$12,Paramètres!$A$1:$I$88,3,0)*0.475*44/12</f>
        <v>0</v>
      </c>
      <c r="CL46" s="23">
        <f>EXP(-LN(2)/25)*CL45+(1-EXP(-LN(2)/25))/(LN(2)/25)*Calculateur!CG46*Calculateur!CI46*VLOOKUP('Données projet'!$B$12,Paramètres!$A$1:$I$88,3,0)*0.475*44/12</f>
        <v>0</v>
      </c>
      <c r="CM46" s="23">
        <f>EXP(-LN(2)/2)*CM45+(1-EXP(-LN(2)/2))/(LN(2)/2)*CG46*CJ46*VLOOKUP('Données projet'!$B$12,Paramètres!$A$1:$I$88,3,0)*0.475*44/12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18.714285714285715</v>
      </c>
      <c r="CT46" s="13">
        <f>IF('Données projet'!$A$140&gt;35,CT45+CS46-DB45,IF(A46&lt;'Données projet'!$A$140,$CQ$205^A46,IF(A46='Données projet'!$A$140,'Données projet'!$B$140,CT45+CS46-DB45)))</f>
        <v>360.7142857142855</v>
      </c>
      <c r="CU46" s="18">
        <f>CT46*VLOOKUP('Données projet'!$B$13,Paramètres!$A$1:$I$88,3,0)*VLOOKUP('Données projet'!$B$13,Paramètres!$A$1:$I$88,5,0)</f>
        <v>201.63928571428559</v>
      </c>
      <c r="CV46" s="14">
        <f t="shared" si="41"/>
        <v>50.104261772905943</v>
      </c>
      <c r="CW46" s="22">
        <f t="shared" si="13"/>
        <v>438.45334520685856</v>
      </c>
      <c r="CX46" s="62">
        <f t="shared" si="14"/>
        <v>731.78667854019182</v>
      </c>
      <c r="CY46" s="62">
        <f ca="1">AVERAGE(OFFSET($CX$3,0,0,'Données projet'!$E$13+1,1))-AVERAGE(OFFSET($H$3,0,0,'Données projet'!$E$13+1,1))</f>
        <v>302.20483575440988</v>
      </c>
      <c r="CZ46" s="62">
        <f t="shared" si="42"/>
        <v>275.32862097158687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projet'!$B$13,Paramètres!$A$1:$I$88,7,0))</f>
        <v>0</v>
      </c>
      <c r="DD46" s="17">
        <f>IF(ISNA(VLOOKUP(A46,'Données projet'!$A$139:$I$159,6,0)),0%,VLOOKUP(A46,'Données projet'!$A$139:$I$159,6,0)*VLOOKUP('Données projet'!$B$13,Paramètres!$A$1:$I$88,7,0))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projet'!$B$13,Paramètres!$A$1:$I$88,3,0)*0.475*44/12</f>
        <v>0</v>
      </c>
      <c r="DG46" s="23">
        <f>EXP(-LN(2)/25)*DG45+(1-EXP(-LN(2)/25))/(LN(2)/25)*Calculateur!DB46*Calculateur!DD46*VLOOKUP('Données projet'!$B$13,Paramètres!$A$1:$I$88,3,0)*0.475*44/12</f>
        <v>9.6427170635539916</v>
      </c>
      <c r="DH46" s="23">
        <f>EXP(-LN(2)/2)*DH45+(1-EXP(-LN(2)/2))/(LN(2)/2)*DB46*DE46*VLOOKUP('Données projet'!$B$13,Paramètres!$A$1:$I$88,3,0)*0.475*44/12</f>
        <v>7.4918932418814671E-2</v>
      </c>
      <c r="DI46" s="24">
        <f t="shared" si="15"/>
        <v>9.717635995972806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projet'!$B$14,Paramètres!$A$1:$I$88,3,0)*VLOOKUP('Données projet'!$B$14,Paramètres!$A$1:$I$88,5,0)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projet'!$B$14,Paramètres!$A$1:$I$88,7,0))</f>
        <v>0</v>
      </c>
      <c r="DY46" s="17">
        <f>IF(ISNA(VLOOKUP(A46,'Données projet'!$A$165:$I$185,6,0)),0%,VLOOKUP(A46,'Données projet'!$A$165:$I$185,6,0)*VLOOKUP('Données projet'!$B$14,Paramètres!$A$1:$I$88,7,0))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projet'!$B$14,Paramètres!$A$1:$I$88,3,0)*0.475*44/12</f>
        <v>#N/A</v>
      </c>
      <c r="EB46" s="23" t="e">
        <f>EXP(-LN(2)/25)*EB45+(1-EXP(-LN(2)/25))/(LN(2)/25)*Calculateur!DW46*Calculateur!DY46*VLOOKUP('Données projet'!$B$14,Paramètres!$A$1:$I$88,3,0)*0.475*44/12</f>
        <v>#N/A</v>
      </c>
      <c r="EC46" s="23" t="e">
        <f>EXP(-LN(2)/2)*EC45+(1-EXP(-LN(2)/2))/(LN(2)/2)*DW46*DZ46*VLOOKUP('Données projet'!$B$14,Paramètres!$A$1:$I$88,3,0)*0.475*44/12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projet'!$B$15,Paramètres!$A$1:$I$88,3,0)*VLOOKUP('Données projet'!$B$15,Paramètres!$A$1:$I$88,5,0)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projet'!$B$15,Paramètres!$A$1:$I$88,7,0))</f>
        <v>0</v>
      </c>
      <c r="ET46" s="17">
        <f>IF(ISNA(VLOOKUP(A46,'Données projet'!$A$191:$I$211,6,0)),0%,VLOOKUP(A46,'Données projet'!$A$191:$I$211,6,0)*VLOOKUP('Données projet'!$B$15,Paramètres!$A$1:$I$88,7,0))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projet'!$B$15,Paramètres!$A$1:$I$88,3,0)*0.475*44/12</f>
        <v>#N/A</v>
      </c>
      <c r="EW46" s="23" t="e">
        <f>EXP(-LN(2)/25)*EW45+(1-EXP(-LN(2)/25))/(LN(2)/25)*Calculateur!ER46*Calculateur!ET46*VLOOKUP('Données projet'!$B$15,Paramètres!$A$1:$I$88,3,0)*0.475*44/12</f>
        <v>#N/A</v>
      </c>
      <c r="EX46" s="23" t="e">
        <f>EXP(-LN(2)/2)*EX45+(1-EXP(-LN(2)/2))/(LN(2)/2)*ER46*EU46*VLOOKUP('Données projet'!$B$15,Paramètres!$A$1:$I$88,3,0)*0.475*44/12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projet'!$B$16,Paramètres!$A$1:$I$88,3,0)*VLOOKUP('Données projet'!$B$16,Paramètres!$A$1:$I$88,5,0)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projet'!$B$16,Paramètres!$A$1:$I$88,7,0))</f>
        <v>0</v>
      </c>
      <c r="FO46" s="17">
        <f>IF(ISNA(VLOOKUP(A46,'Données projet'!$A$217:$I$237,6,0)),0%,VLOOKUP(A46,'Données projet'!$A$217:$I$237,6,0)*VLOOKUP('Données projet'!$B$16,Paramètres!$A$1:$I$88,7,0))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projet'!$B$16,Paramètres!$A$1:$I$88,3,0)*0.475*44/12</f>
        <v>#N/A</v>
      </c>
      <c r="FR46" s="23" t="e">
        <f>EXP(-LN(2)/25)*FR45+(1-EXP(-LN(2)/25))/(LN(2)/25)*Calculateur!FM46*Calculateur!FO46*VLOOKUP('Données projet'!$B$16,Paramètres!$A$1:$I$88,3,0)*0.475*44/12</f>
        <v>#N/A</v>
      </c>
      <c r="FS46" s="23" t="e">
        <f>EXP(-LN(2)/2)*FS45+(1-EXP(-LN(2)/2))/(LN(2)/2)*FM46*FP46*VLOOKUP('Données projet'!$B$16,Paramètres!$A$1:$I$88,3,0)*0.475*44/12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projet'!$B$17,Paramètres!$A$1:$I$88,3,0)*VLOOKUP('Données projet'!$B$17,Paramètres!$A$1:$I$88,5,0)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projet'!$B$17,Paramètres!$A$1:$I$88,7,0))</f>
        <v>0</v>
      </c>
      <c r="GJ46" s="17">
        <f>IF(ISNA(VLOOKUP(A46,'Données projet'!$A$243:$I$263,6,0)),0%,VLOOKUP(A46,'Données projet'!$A$243:$I$263,6,0)*VLOOKUP('Données projet'!$B$17,Paramètres!$A$1:$I$88,7,0))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projet'!$B$17,Paramètres!$A$1:$I$88,3,0)*0.475*44/12</f>
        <v>#N/A</v>
      </c>
      <c r="GM46" s="23" t="e">
        <f>EXP(-LN(2)/25)*GM45+(1-EXP(-LN(2)/25))/(LN(2)/25)*Calculateur!GH46*Calculateur!GJ46*VLOOKUP('Données projet'!$B$17,Paramètres!$A$1:$I$88,3,0)*0.475*44/12</f>
        <v>#N/A</v>
      </c>
      <c r="GN46" s="23" t="e">
        <f>EXP(-LN(2)/2)*GN45+(1-EXP(-LN(2)/2))/(LN(2)/2)*GH46*GK46*VLOOKUP('Données projet'!$B$17,Paramètres!$A$1:$I$88,3,0)*0.475*44/12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projet'!$B$18,Paramètres!$A$1:$I$88,3,0)*VLOOKUP('Données projet'!$B$18,Paramètres!$A$1:$I$88,5,0)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projet'!$B$18,Paramètres!$A$1:$I$88,7,0))</f>
        <v>0</v>
      </c>
      <c r="HE46" s="17">
        <f>IF(ISNA(VLOOKUP(A46,'Données projet'!$A$269:$I$289,6,0)),0%,VLOOKUP(A46,'Données projet'!$A$269:$I$289,6,0)*VLOOKUP('Données projet'!$B$18,Paramètres!$A$1:$I$88,7,0))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projet'!$B$18,Paramètres!$A$1:$I$88,3,0)*0.475*44/12</f>
        <v>#N/A</v>
      </c>
      <c r="HH46" s="23" t="e">
        <f>EXP(-LN(2)/25)*HH45+(1-EXP(-LN(2)/25))/(LN(2)/25)*Calculateur!HC46*Calculateur!HE46*VLOOKUP('Données projet'!$B$18,Paramètres!$A$1:$I$88,3,0)*0.475*44/12</f>
        <v>#N/A</v>
      </c>
      <c r="HI46" s="23" t="e">
        <f>EXP(-LN(2)/2)*HI45+(1-EXP(-LN(2)/2))/(LN(2)/2)*HC46*HF46*VLOOKUP('Données projet'!$B$18,Paramètres!$A$1:$I$88,3,0)*0.475*44/12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10.666666666666666</v>
      </c>
      <c r="N47" s="14">
        <f>IF('Données projet'!$A$36&gt;35,N46+M47-V46,IF(A47&lt;'Données projet'!$A$36,$K$205^A47,IF(A47='Données projet'!$A$36,'Données projet'!$B$36,N46+M47-V46)))</f>
        <v>209.33333333333334</v>
      </c>
      <c r="O47" s="14">
        <f>N47*VLOOKUP('Données projet'!$B$9,Paramètres!$A$1:$I$88,3,0)*VLOOKUP('Données projet'!$B$9,Paramètres!$A$1:$I$88,5,0)</f>
        <v>130.62400000000002</v>
      </c>
      <c r="P47" s="14">
        <f t="shared" si="33"/>
        <v>34.140507202645395</v>
      </c>
      <c r="Q47" s="22">
        <f t="shared" si="53"/>
        <v>286.96485004460743</v>
      </c>
      <c r="R47" s="62">
        <f t="shared" si="0"/>
        <v>580.29818337794075</v>
      </c>
      <c r="S47" s="62">
        <f ca="1">AVERAGE(OFFSET($R$3,0,0,'Données projet'!$E$9+1,1))-AVERAGE(OFFSET($H$3,0,0,'Données projet'!$E$9+1,1))</f>
        <v>175.05987582828078</v>
      </c>
      <c r="T47" s="62">
        <f t="shared" si="34"/>
        <v>268.54782308462387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projet'!$B$9,Paramètres!$A$1:$I$88,7,0))</f>
        <v>0</v>
      </c>
      <c r="X47" s="17">
        <f>IF(ISNA(VLOOKUP(A47,'Données projet'!$A$35:$I$55,6,0)),0%,VLOOKUP(A47,'Données projet'!$A$35:$I$55,6,0)*VLOOKUP('Données projet'!$B$9,Paramètres!$A$1:$I$88,7,0))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projet'!$B$9,Paramètres!$A$1:$I$88,3,0)*0.475*44/12</f>
        <v>0</v>
      </c>
      <c r="AA47" s="23">
        <f>EXP(-LN(2)/25)*AA46+(1-EXP(-LN(2)/25))/(LN(2)/25)*Calculateur!V47*Calculateur!X47*VLOOKUP('Données projet'!$B$9,Paramètres!$A$1:$I$88,3,0)*0.475*44/12</f>
        <v>6.9834423597252187</v>
      </c>
      <c r="AB47" s="23">
        <f>EXP(-LN(2)/2)*AB46+(1-EXP(-LN(2)/2))/(LN(2)/2)*V47*Y47*VLOOKUP('Données projet'!$B$9,Paramètres!$A$1:$I$88,3,0)*0.475*44/12</f>
        <v>0.12905328032036562</v>
      </c>
      <c r="AC47" s="24">
        <f t="shared" si="3"/>
        <v>7.1124956400455845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25.733333333333334</v>
      </c>
      <c r="AI47" s="14">
        <f>IF('Données projet'!$A$62&gt;35,AI46+AH47-AQ46,IF(A47&lt;'Données projet'!$A$62,$AF$205^A47,IF(A47='Données projet'!$A$62,'Données projet'!$B$62,AI46+AH47-AQ46)))</f>
        <v>670.26666666666688</v>
      </c>
      <c r="AJ47" s="14">
        <f>AI47*VLOOKUP('Données projet'!$B$10,Paramètres!$A$1:$I$88,3,0)*VLOOKUP('Données projet'!$B$10,Paramètres!$A$1:$I$88,5,0)</f>
        <v>322.39826666666676</v>
      </c>
      <c r="AK47" s="14">
        <f t="shared" si="35"/>
        <v>75.852142629677672</v>
      </c>
      <c r="AL47" s="22">
        <f t="shared" si="4"/>
        <v>693.6194628577997</v>
      </c>
      <c r="AM47" s="62">
        <f t="shared" si="5"/>
        <v>986.95279619113307</v>
      </c>
      <c r="AN47" s="62">
        <f ca="1">AVERAGE(OFFSET($AM$3,0,0,'Données projet'!$E$10+1,1))-AVERAGE(OFFSET($H$3,0,0,'Données projet'!$E$10+1,1))</f>
        <v>576.61210817354549</v>
      </c>
      <c r="AO47" s="62">
        <f t="shared" si="36"/>
        <v>343.9428747444544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projet'!$B$10,Paramètres!$A$1:$I$88,7,0))</f>
        <v>0</v>
      </c>
      <c r="AS47" s="17">
        <f>IF(ISNA(VLOOKUP(A47,'Données projet'!$A$61:$I$81,6,0)),0%,VLOOKUP(A47,'Données projet'!$A$61:$I$81,6,0)*VLOOKUP('Données projet'!$B$10,Paramètres!$A$1:$I$88,7,0))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projet'!$B$10,Paramètres!$A$1:$I$88,3,0)*0.475*44/12</f>
        <v>0</v>
      </c>
      <c r="AV47" s="23">
        <f>EXP(-LN(2)/25)*AV46+(1-EXP(-LN(2)/25))/(LN(2)/25)*Calculateur!AQ47*Calculateur!AS47*VLOOKUP('Données projet'!$B$10,Paramètres!$A$1:$I$88,3,0)*0.475*44/12</f>
        <v>3.8411474712228397</v>
      </c>
      <c r="AW47" s="23">
        <f>EXP(-LN(2)/2)*AW46+(1-EXP(-LN(2)/2))/(LN(2)/2)*AQ47*AT47*VLOOKUP('Données projet'!$B$10,Paramètres!$A$1:$I$88,3,0)*0.475*44/12</f>
        <v>9.1901880299851357E-2</v>
      </c>
      <c r="AX47" s="23">
        <f t="shared" si="6"/>
        <v>3.933049351522691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9.8199999999999985</v>
      </c>
      <c r="BD47" s="13">
        <f>IF('Données projet'!$A$88&gt;35,BD46+BC47-BL46,IF(A47&lt;'Données projet'!$A$88,$BA$205^A47,IF(A47='Données projet'!$A$88,'Données projet'!$B$88,BD46+BC47-BL46)))</f>
        <v>267.37999999999994</v>
      </c>
      <c r="BE47" s="14">
        <f>BD47*VLOOKUP('Données projet'!$B$11,Paramètres!$A$1:$I$88,3,0)*VLOOKUP('Données projet'!$B$11,Paramètres!$A$1:$I$88,5,0)</f>
        <v>212.72752799999995</v>
      </c>
      <c r="BF47" s="14">
        <f t="shared" si="37"/>
        <v>52.531170802131648</v>
      </c>
      <c r="BG47" s="22">
        <f t="shared" si="7"/>
        <v>461.99223374704587</v>
      </c>
      <c r="BH47" s="62">
        <f t="shared" si="8"/>
        <v>755.32556708037919</v>
      </c>
      <c r="BI47" s="62">
        <f ca="1">AVERAGE(OFFSET($BH$3,0,0,'Données projet'!$E$11+1,1))-AVERAGE(OFFSET($H$3,0,0,'Données projet'!$E$11+1,1))</f>
        <v>298.38448036212861</v>
      </c>
      <c r="BJ47" s="62">
        <f t="shared" si="38"/>
        <v>270.4445531106897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projet'!$B$11,Paramètres!$A$1:$I$88,7,0))</f>
        <v>0</v>
      </c>
      <c r="BN47" s="17">
        <f>IF(ISNA(VLOOKUP(A47,'Données projet'!$A$87:$I$107,6,0)),0%,VLOOKUP(A47,'Données projet'!$A$87:$I$107,6,0)*VLOOKUP('Données projet'!$B$11,Paramètres!$A$1:$I$88,7,0))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projet'!$B$11,Paramètres!$A$1:$I$88,3,0)*0.475*44/12</f>
        <v>0</v>
      </c>
      <c r="BQ47" s="23">
        <f>EXP(-LN(2)/25)*BQ46+(1-EXP(-LN(2)/25))/(LN(2)/25)*Calculateur!BL47*Calculateur!BN47*VLOOKUP('Données projet'!$B$11,Paramètres!$A$1:$I$88,3,0)*0.475*44/12</f>
        <v>0</v>
      </c>
      <c r="BR47" s="23">
        <f>EXP(-LN(2)/2)*BR46+(1-EXP(-LN(2)/2))/(LN(2)/2)*BL47*BO47*VLOOKUP('Données projet'!$B$11,Paramètres!$A$1:$I$88,3,0)*0.475*44/12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>
        <f>VLOOKUP(A47,'Données projet'!$A$113:$I$133,2,0)</f>
        <v>230</v>
      </c>
      <c r="BW47" s="13">
        <f>VLOOKUP(A47,'Données projet'!$A$113:$I$133,9,0)</f>
        <v>11.142857142857142</v>
      </c>
      <c r="BX47" s="13">
        <f t="array" ref="BX47">INDEX(BW:BW,MIN(IF(ISNUMBER(BW47:BW243),ROW(BW47:BW243),"")))</f>
        <v>11.142857142857142</v>
      </c>
      <c r="BY47" s="13">
        <f>IF('Données projet'!$A$114&gt;35,BY46+BX47-CG46,IF(A47&lt;'Données projet'!$A$114,$BV$205^A47,IF(A47='Données projet'!$A$114,'Données projet'!$B$114,BY46+BX47-CG46)))</f>
        <v>229.99999999999991</v>
      </c>
      <c r="BZ47" s="14">
        <f>BY47*VLOOKUP('Données projet'!$B$12,Paramètres!$A$1:$I$88,3,0)*VLOOKUP('Données projet'!$B$12,Paramètres!$A$1:$I$88,5,0)</f>
        <v>179.39999999999995</v>
      </c>
      <c r="CA47" s="14">
        <f t="shared" si="39"/>
        <v>45.188671291872232</v>
      </c>
      <c r="CB47" s="22">
        <f t="shared" si="10"/>
        <v>391.15860250001066</v>
      </c>
      <c r="CC47" s="62">
        <f t="shared" si="11"/>
        <v>684.49193583334397</v>
      </c>
      <c r="CD47" s="62">
        <f ca="1">AVERAGE(OFFSET($CC$3,0,0,'Données projet'!$E$12+1,1))-AVERAGE(OFFSET($H$3,0,0,'Données projet'!$E$12+1,1))</f>
        <v>217.32600829266818</v>
      </c>
      <c r="CE47" s="62">
        <f t="shared" si="40"/>
        <v>208.79744153433245</v>
      </c>
      <c r="CF47" s="16">
        <f>IF(ISNA(VLOOKUP(A47,'Données projet'!$A$113:$I$133,3,0)),0,VLOOKUP(A47,'Données projet'!$A$113:$I$133,3,0))</f>
        <v>5</v>
      </c>
      <c r="CG47" s="16">
        <f>IF(ISNA(VLOOKUP(A47,'Données projet'!$A$113:$I$133,4,0)),0,VLOOKUP(A47,'Données projet'!$A$113:$I$133,4,0))</f>
        <v>43</v>
      </c>
      <c r="CH47" s="17">
        <f>IF(ISNA(VLOOKUP(A47,'Données projet'!$A$113:$I$133,5,0)),0%,VLOOKUP(A47,'Données projet'!$A$113:$I$133,5,0)*VLOOKUP('Données projet'!$B$12,Paramètres!$A$1:$I$88,7,0))</f>
        <v>0</v>
      </c>
      <c r="CI47" s="17">
        <f>IF(ISNA(VLOOKUP(A47,'Données projet'!$A$113:$I$133,6,0)),0%,VLOOKUP(A47,'Données projet'!$A$113:$I$133,6,0)*VLOOKUP('Données projet'!$B$12,Paramètres!$A$1:$I$88,7,0))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projet'!$B$12,Paramètres!$A$1:$I$88,3,0)*0.475*44/12</f>
        <v>0</v>
      </c>
      <c r="CL47" s="23">
        <f>EXP(-LN(2)/25)*CL46+(1-EXP(-LN(2)/25))/(LN(2)/25)*Calculateur!CG47*Calculateur!CI47*VLOOKUP('Données projet'!$B$12,Paramètres!$A$1:$I$88,3,0)*0.475*44/12</f>
        <v>0</v>
      </c>
      <c r="CM47" s="23">
        <f>EXP(-LN(2)/2)*CM46+(1-EXP(-LN(2)/2))/(LN(2)/2)*CG47*CJ47*VLOOKUP('Données projet'!$B$12,Paramètres!$A$1:$I$88,3,0)*0.475*44/12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18.714285714285715</v>
      </c>
      <c r="CT47" s="13">
        <f>IF('Données projet'!$A$140&gt;35,CT46+CS47-DB46,IF(A47&lt;'Données projet'!$A$140,$CQ$205^A47,IF(A47='Données projet'!$A$140,'Données projet'!$B$140,CT46+CS47-DB46)))</f>
        <v>379.42857142857122</v>
      </c>
      <c r="CU47" s="18">
        <f>CT47*VLOOKUP('Données projet'!$B$13,Paramètres!$A$1:$I$88,3,0)*VLOOKUP('Données projet'!$B$13,Paramètres!$A$1:$I$88,5,0)</f>
        <v>212.10057142857133</v>
      </c>
      <c r="CV47" s="14">
        <f t="shared" si="41"/>
        <v>52.394347167709434</v>
      </c>
      <c r="CW47" s="22">
        <f t="shared" si="13"/>
        <v>460.66198322185556</v>
      </c>
      <c r="CX47" s="62">
        <f t="shared" si="14"/>
        <v>753.99531655518888</v>
      </c>
      <c r="CY47" s="62">
        <f ca="1">AVERAGE(OFFSET($CX$3,0,0,'Données projet'!$E$13+1,1))-AVERAGE(OFFSET($H$3,0,0,'Données projet'!$E$13+1,1))</f>
        <v>302.20483575440988</v>
      </c>
      <c r="CZ47" s="62">
        <f t="shared" si="42"/>
        <v>275.32862097158687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projet'!$B$13,Paramètres!$A$1:$I$88,7,0))</f>
        <v>0</v>
      </c>
      <c r="DD47" s="17">
        <f>IF(ISNA(VLOOKUP(A47,'Données projet'!$A$139:$I$159,6,0)),0%,VLOOKUP(A47,'Données projet'!$A$139:$I$159,6,0)*VLOOKUP('Données projet'!$B$13,Paramètres!$A$1:$I$88,7,0))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projet'!$B$13,Paramètres!$A$1:$I$88,3,0)*0.475*44/12</f>
        <v>0</v>
      </c>
      <c r="DG47" s="23">
        <f>EXP(-LN(2)/25)*DG46+(1-EXP(-LN(2)/25))/(LN(2)/25)*Calculateur!DB47*Calculateur!DD47*VLOOKUP('Données projet'!$B$13,Paramètres!$A$1:$I$88,3,0)*0.475*44/12</f>
        <v>9.3790364583626555</v>
      </c>
      <c r="DH47" s="23">
        <f>EXP(-LN(2)/2)*DH46+(1-EXP(-LN(2)/2))/(LN(2)/2)*DB47*DE47*VLOOKUP('Données projet'!$B$13,Paramètres!$A$1:$I$88,3,0)*0.475*44/12</f>
        <v>5.2975685152600531E-2</v>
      </c>
      <c r="DI47" s="24">
        <f t="shared" si="15"/>
        <v>9.4320121435152569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projet'!$B$14,Paramètres!$A$1:$I$88,3,0)*VLOOKUP('Données projet'!$B$14,Paramètres!$A$1:$I$88,5,0)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projet'!$B$14,Paramètres!$A$1:$I$88,7,0))</f>
        <v>0</v>
      </c>
      <c r="DY47" s="17">
        <f>IF(ISNA(VLOOKUP(A47,'Données projet'!$A$165:$I$185,6,0)),0%,VLOOKUP(A47,'Données projet'!$A$165:$I$185,6,0)*VLOOKUP('Données projet'!$B$14,Paramètres!$A$1:$I$88,7,0))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projet'!$B$14,Paramètres!$A$1:$I$88,3,0)*0.475*44/12</f>
        <v>#N/A</v>
      </c>
      <c r="EB47" s="23" t="e">
        <f>EXP(-LN(2)/25)*EB46+(1-EXP(-LN(2)/25))/(LN(2)/25)*Calculateur!DW47*Calculateur!DY47*VLOOKUP('Données projet'!$B$14,Paramètres!$A$1:$I$88,3,0)*0.475*44/12</f>
        <v>#N/A</v>
      </c>
      <c r="EC47" s="23" t="e">
        <f>EXP(-LN(2)/2)*EC46+(1-EXP(-LN(2)/2))/(LN(2)/2)*DW47*DZ47*VLOOKUP('Données projet'!$B$14,Paramètres!$A$1:$I$88,3,0)*0.475*44/12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projet'!$B$15,Paramètres!$A$1:$I$88,3,0)*VLOOKUP('Données projet'!$B$15,Paramètres!$A$1:$I$88,5,0)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projet'!$B$15,Paramètres!$A$1:$I$88,7,0))</f>
        <v>0</v>
      </c>
      <c r="ET47" s="17">
        <f>IF(ISNA(VLOOKUP(A47,'Données projet'!$A$191:$I$211,6,0)),0%,VLOOKUP(A47,'Données projet'!$A$191:$I$211,6,0)*VLOOKUP('Données projet'!$B$15,Paramètres!$A$1:$I$88,7,0))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projet'!$B$15,Paramètres!$A$1:$I$88,3,0)*0.475*44/12</f>
        <v>#N/A</v>
      </c>
      <c r="EW47" s="23" t="e">
        <f>EXP(-LN(2)/25)*EW46+(1-EXP(-LN(2)/25))/(LN(2)/25)*Calculateur!ER47*Calculateur!ET47*VLOOKUP('Données projet'!$B$15,Paramètres!$A$1:$I$88,3,0)*0.475*44/12</f>
        <v>#N/A</v>
      </c>
      <c r="EX47" s="23" t="e">
        <f>EXP(-LN(2)/2)*EX46+(1-EXP(-LN(2)/2))/(LN(2)/2)*ER47*EU47*VLOOKUP('Données projet'!$B$15,Paramètres!$A$1:$I$88,3,0)*0.475*44/12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projet'!$B$16,Paramètres!$A$1:$I$88,3,0)*VLOOKUP('Données projet'!$B$16,Paramètres!$A$1:$I$88,5,0)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projet'!$B$16,Paramètres!$A$1:$I$88,7,0))</f>
        <v>0</v>
      </c>
      <c r="FO47" s="17">
        <f>IF(ISNA(VLOOKUP(A47,'Données projet'!$A$217:$I$237,6,0)),0%,VLOOKUP(A47,'Données projet'!$A$217:$I$237,6,0)*VLOOKUP('Données projet'!$B$16,Paramètres!$A$1:$I$88,7,0))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projet'!$B$16,Paramètres!$A$1:$I$88,3,0)*0.475*44/12</f>
        <v>#N/A</v>
      </c>
      <c r="FR47" s="23" t="e">
        <f>EXP(-LN(2)/25)*FR46+(1-EXP(-LN(2)/25))/(LN(2)/25)*Calculateur!FM47*Calculateur!FO47*VLOOKUP('Données projet'!$B$16,Paramètres!$A$1:$I$88,3,0)*0.475*44/12</f>
        <v>#N/A</v>
      </c>
      <c r="FS47" s="23" t="e">
        <f>EXP(-LN(2)/2)*FS46+(1-EXP(-LN(2)/2))/(LN(2)/2)*FM47*FP47*VLOOKUP('Données projet'!$B$16,Paramètres!$A$1:$I$88,3,0)*0.475*44/12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projet'!$B$17,Paramètres!$A$1:$I$88,3,0)*VLOOKUP('Données projet'!$B$17,Paramètres!$A$1:$I$88,5,0)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projet'!$B$17,Paramètres!$A$1:$I$88,7,0))</f>
        <v>0</v>
      </c>
      <c r="GJ47" s="17">
        <f>IF(ISNA(VLOOKUP(A47,'Données projet'!$A$243:$I$263,6,0)),0%,VLOOKUP(A47,'Données projet'!$A$243:$I$263,6,0)*VLOOKUP('Données projet'!$B$17,Paramètres!$A$1:$I$88,7,0))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projet'!$B$17,Paramètres!$A$1:$I$88,3,0)*0.475*44/12</f>
        <v>#N/A</v>
      </c>
      <c r="GM47" s="23" t="e">
        <f>EXP(-LN(2)/25)*GM46+(1-EXP(-LN(2)/25))/(LN(2)/25)*Calculateur!GH47*Calculateur!GJ47*VLOOKUP('Données projet'!$B$17,Paramètres!$A$1:$I$88,3,0)*0.475*44/12</f>
        <v>#N/A</v>
      </c>
      <c r="GN47" s="23" t="e">
        <f>EXP(-LN(2)/2)*GN46+(1-EXP(-LN(2)/2))/(LN(2)/2)*GH47*GK47*VLOOKUP('Données projet'!$B$17,Paramètres!$A$1:$I$88,3,0)*0.475*44/12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projet'!$B$18,Paramètres!$A$1:$I$88,3,0)*VLOOKUP('Données projet'!$B$18,Paramètres!$A$1:$I$88,5,0)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projet'!$B$18,Paramètres!$A$1:$I$88,7,0))</f>
        <v>0</v>
      </c>
      <c r="HE47" s="17">
        <f>IF(ISNA(VLOOKUP(A47,'Données projet'!$A$269:$I$289,6,0)),0%,VLOOKUP(A47,'Données projet'!$A$269:$I$289,6,0)*VLOOKUP('Données projet'!$B$18,Paramètres!$A$1:$I$88,7,0))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projet'!$B$18,Paramètres!$A$1:$I$88,3,0)*0.475*44/12</f>
        <v>#N/A</v>
      </c>
      <c r="HH47" s="23" t="e">
        <f>EXP(-LN(2)/25)*HH46+(1-EXP(-LN(2)/25))/(LN(2)/25)*Calculateur!HC47*Calculateur!HE47*VLOOKUP('Données projet'!$B$18,Paramètres!$A$1:$I$88,3,0)*0.475*44/12</f>
        <v>#N/A</v>
      </c>
      <c r="HI47" s="23" t="e">
        <f>EXP(-LN(2)/2)*HI46+(1-EXP(-LN(2)/2))/(LN(2)/2)*HC47*HF47*VLOOKUP('Données projet'!$B$18,Paramètres!$A$1:$I$88,3,0)*0.475*44/12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10.666666666666666</v>
      </c>
      <c r="N48" s="14">
        <f>IF('Données projet'!$A$36&gt;35,N47+M48-V47,IF(A48&lt;'Données projet'!$A$36,$K$205^A48,IF(A48='Données projet'!$A$36,'Données projet'!$B$36,N47+M48-V47)))</f>
        <v>220</v>
      </c>
      <c r="O48" s="14">
        <f>N48*VLOOKUP('Données projet'!$B$9,Paramètres!$A$1:$I$88,3,0)*VLOOKUP('Données projet'!$B$9,Paramètres!$A$1:$I$88,5,0)</f>
        <v>137.28</v>
      </c>
      <c r="P48" s="14">
        <f t="shared" si="33"/>
        <v>35.673181961873446</v>
      </c>
      <c r="Q48" s="22">
        <f t="shared" si="53"/>
        <v>301.22679191692959</v>
      </c>
      <c r="R48" s="62">
        <f t="shared" si="0"/>
        <v>594.5601252502629</v>
      </c>
      <c r="S48" s="62">
        <f ca="1">AVERAGE(OFFSET($R$3,0,0,'Données projet'!$E$9+1,1))-AVERAGE(OFFSET($H$3,0,0,'Données projet'!$E$9+1,1))</f>
        <v>175.05987582828078</v>
      </c>
      <c r="T48" s="62">
        <f t="shared" si="34"/>
        <v>268.54782308462387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projet'!$B$9,Paramètres!$A$1:$I$88,7,0))</f>
        <v>0</v>
      </c>
      <c r="X48" s="17">
        <f>IF(ISNA(VLOOKUP(A48,'Données projet'!$A$35:$I$55,6,0)),0%,VLOOKUP(A48,'Données projet'!$A$35:$I$55,6,0)*VLOOKUP('Données projet'!$B$9,Paramètres!$A$1:$I$88,7,0))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projet'!$B$9,Paramètres!$A$1:$I$88,3,0)*0.475*44/12</f>
        <v>0</v>
      </c>
      <c r="AA48" s="23">
        <f>EXP(-LN(2)/25)*AA47+(1-EXP(-LN(2)/25))/(LN(2)/25)*Calculateur!V48*Calculateur!X48*VLOOKUP('Données projet'!$B$9,Paramètres!$A$1:$I$88,3,0)*0.475*44/12</f>
        <v>6.7924797611552599</v>
      </c>
      <c r="AB48" s="23">
        <f>EXP(-LN(2)/2)*AB47+(1-EXP(-LN(2)/2))/(LN(2)/2)*V48*Y48*VLOOKUP('Données projet'!$B$9,Paramètres!$A$1:$I$88,3,0)*0.475*44/12</f>
        <v>9.125444964889895E-2</v>
      </c>
      <c r="AC48" s="24">
        <f t="shared" si="3"/>
        <v>6.8837342108041586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696</v>
      </c>
      <c r="AG48" s="13">
        <f>VLOOKUP(A48,'Données projet'!$A$61:$I$81,9,0)</f>
        <v>25.733333333333334</v>
      </c>
      <c r="AH48" s="13">
        <f t="array" ref="AH48">INDEX(AG:AG,MIN(IF(ISNUMBER(AG48:AG244),ROW(AG48:AG244),"")))</f>
        <v>25.733333333333334</v>
      </c>
      <c r="AI48" s="14">
        <f>IF('Données projet'!$A$62&gt;35,AI47+AH48-AQ47,IF(A48&lt;'Données projet'!$A$62,$AF$205^A48,IF(A48='Données projet'!$A$62,'Données projet'!$B$62,AI47+AH48-AQ47)))</f>
        <v>696.00000000000023</v>
      </c>
      <c r="AJ48" s="14">
        <f>AI48*VLOOKUP('Données projet'!$B$10,Paramètres!$A$1:$I$88,3,0)*VLOOKUP('Données projet'!$B$10,Paramètres!$A$1:$I$88,5,0)</f>
        <v>334.77600000000012</v>
      </c>
      <c r="AK48" s="14">
        <f t="shared" si="35"/>
        <v>78.419664234834855</v>
      </c>
      <c r="AL48" s="22">
        <f t="shared" si="4"/>
        <v>719.64911520900421</v>
      </c>
      <c r="AM48" s="62">
        <f t="shared" si="5"/>
        <v>1012.9824485423376</v>
      </c>
      <c r="AN48" s="62">
        <f ca="1">AVERAGE(OFFSET($AM$3,0,0,'Données projet'!$E$10+1,1))-AVERAGE(OFFSET($H$3,0,0,'Données projet'!$E$10+1,1))</f>
        <v>576.61210817354549</v>
      </c>
      <c r="AO48" s="62">
        <f t="shared" si="36"/>
        <v>343.9428747444544</v>
      </c>
      <c r="AP48" s="16">
        <f>IF(ISNA(VLOOKUP(A48,'Données projet'!$A$61:$I$81,3,0)),0,VLOOKUP(A48,'Données projet'!$A$61:$I$81,3,0))</f>
        <v>2</v>
      </c>
      <c r="AQ48" s="16">
        <f>IF(ISNA(VLOOKUP(A48,'Données projet'!$A$61:$I$81,4,0)),0,VLOOKUP(A48,'Données projet'!$A$61:$I$81,4,0))</f>
        <v>218</v>
      </c>
      <c r="AR48" s="17">
        <f>IF(ISNA(VLOOKUP(A48,'Données projet'!$A$61:$I$81,5,0)),0%,VLOOKUP(A48,'Données projet'!$A$61:$I$81,5,0)*VLOOKUP('Données projet'!$B$10,Paramètres!$A$1:$I$88,7,0))</f>
        <v>0</v>
      </c>
      <c r="AS48" s="17">
        <f>IF(ISNA(VLOOKUP(A48,'Données projet'!$A$61:$I$81,6,0)),0%,VLOOKUP(A48,'Données projet'!$A$61:$I$81,6,0)*VLOOKUP('Données projet'!$B$10,Paramètres!$A$1:$I$88,7,0))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projet'!$B$10,Paramètres!$A$1:$I$88,3,0)*0.475*44/12</f>
        <v>0</v>
      </c>
      <c r="AV48" s="23">
        <f>EXP(-LN(2)/25)*AV47+(1-EXP(-LN(2)/25))/(LN(2)/25)*Calculateur!AQ48*Calculateur!AS48*VLOOKUP('Données projet'!$B$10,Paramètres!$A$1:$I$88,3,0)*0.475*44/12</f>
        <v>3.7361110916250846</v>
      </c>
      <c r="AW48" s="23">
        <f>EXP(-LN(2)/2)*AW47+(1-EXP(-LN(2)/2))/(LN(2)/2)*AQ48*AT48*VLOOKUP('Données projet'!$B$10,Paramètres!$A$1:$I$88,3,0)*0.475*44/12</f>
        <v>6.4984442763819275E-2</v>
      </c>
      <c r="AX48" s="23">
        <f t="shared" si="6"/>
        <v>3.8010955343889039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277.2</v>
      </c>
      <c r="BB48" s="13">
        <f>VLOOKUP(A48,'Données projet'!$A$87:$I$107,9,0)</f>
        <v>9.8199999999999985</v>
      </c>
      <c r="BC48" s="13">
        <f t="array" ref="BC48">INDEX(BB:BB,MIN(IF(ISNUMBER(BB48:BB244),ROW(BB48:BB244),"")))</f>
        <v>9.8199999999999985</v>
      </c>
      <c r="BD48" s="13">
        <f>IF('Données projet'!$A$88&gt;35,BD47+BC48-BL47,IF(A48&lt;'Données projet'!$A$88,$BA$205^A48,IF(A48='Données projet'!$A$88,'Données projet'!$B$88,BD47+BC48-BL47)))</f>
        <v>277.19999999999993</v>
      </c>
      <c r="BE48" s="14">
        <f>BD48*VLOOKUP('Données projet'!$B$11,Paramètres!$A$1:$I$88,3,0)*VLOOKUP('Données projet'!$B$11,Paramètres!$A$1:$I$88,5,0)</f>
        <v>220.54031999999995</v>
      </c>
      <c r="BF48" s="14">
        <f t="shared" si="37"/>
        <v>54.232304832110685</v>
      </c>
      <c r="BG48" s="22">
        <f t="shared" si="7"/>
        <v>478.56232158259263</v>
      </c>
      <c r="BH48" s="62">
        <f t="shared" si="8"/>
        <v>771.89565491592589</v>
      </c>
      <c r="BI48" s="62">
        <f ca="1">AVERAGE(OFFSET($BH$3,0,0,'Données projet'!$E$11+1,1))-AVERAGE(OFFSET($H$3,0,0,'Données projet'!$E$11+1,1))</f>
        <v>298.38448036212861</v>
      </c>
      <c r="BJ48" s="62">
        <f t="shared" si="38"/>
        <v>270.4445531106897</v>
      </c>
      <c r="BK48" s="16">
        <f>IF(ISNA(VLOOKUP(A48,'Données projet'!$A$87:$I$107,3,0)),0,VLOOKUP(A48,'Données projet'!$A$87:$I$107,3,0))</f>
        <v>3</v>
      </c>
      <c r="BL48" s="16">
        <f>IF(ISNA(VLOOKUP(A48,'Données projet'!$A$87:$I$107,4,0)),0,VLOOKUP(A48,'Données projet'!$A$87:$I$107,4,0))</f>
        <v>59.2</v>
      </c>
      <c r="BM48" s="17">
        <f>IF(ISNA(VLOOKUP(A48,'Données projet'!$A$87:$I$107,5,0)),0%,VLOOKUP(A48,'Données projet'!$A$87:$I$107,5,0)*VLOOKUP('Données projet'!$B$11,Paramètres!$A$1:$I$88,7,0))</f>
        <v>0</v>
      </c>
      <c r="BN48" s="17">
        <f>IF(ISNA(VLOOKUP(A48,'Données projet'!$A$87:$I$107,6,0)),0%,VLOOKUP(A48,'Données projet'!$A$87:$I$107,6,0)*VLOOKUP('Données projet'!$B$11,Paramètres!$A$1:$I$88,7,0))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projet'!$B$11,Paramètres!$A$1:$I$88,3,0)*0.475*44/12</f>
        <v>0</v>
      </c>
      <c r="BQ48" s="23">
        <f>EXP(-LN(2)/25)*BQ47+(1-EXP(-LN(2)/25))/(LN(2)/25)*Calculateur!BL48*Calculateur!BN48*VLOOKUP('Données projet'!$B$11,Paramètres!$A$1:$I$88,3,0)*0.475*44/12</f>
        <v>0</v>
      </c>
      <c r="BR48" s="23">
        <f>EXP(-LN(2)/2)*BR47+(1-EXP(-LN(2)/2))/(LN(2)/2)*BL48*BO48*VLOOKUP('Données projet'!$B$11,Paramètres!$A$1:$I$88,3,0)*0.475*44/12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10.375</v>
      </c>
      <c r="BY48" s="13">
        <f>IF('Données projet'!$A$114&gt;35,BY47+BX48-CG47,IF(A48&lt;'Données projet'!$A$114,$BV$205^A48,IF(A48='Données projet'!$A$114,'Données projet'!$B$114,BY47+BX48-CG47)))</f>
        <v>197.37499999999991</v>
      </c>
      <c r="BZ48" s="14">
        <f>BY48*VLOOKUP('Données projet'!$B$12,Paramètres!$A$1:$I$88,3,0)*VLOOKUP('Données projet'!$B$12,Paramètres!$A$1:$I$88,5,0)</f>
        <v>153.95249999999993</v>
      </c>
      <c r="CA48" s="14">
        <f t="shared" si="39"/>
        <v>39.475441267837361</v>
      </c>
      <c r="CB48" s="22">
        <f t="shared" si="10"/>
        <v>336.88699770814992</v>
      </c>
      <c r="CC48" s="62">
        <f t="shared" si="11"/>
        <v>630.22033104148318</v>
      </c>
      <c r="CD48" s="62">
        <f ca="1">AVERAGE(OFFSET($CC$3,0,0,'Données projet'!$E$12+1,1))-AVERAGE(OFFSET($H$3,0,0,'Données projet'!$E$12+1,1))</f>
        <v>217.32600829266818</v>
      </c>
      <c r="CE48" s="62">
        <f t="shared" si="40"/>
        <v>208.79744153433245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projet'!$B$12,Paramètres!$A$1:$I$88,7,0))</f>
        <v>0</v>
      </c>
      <c r="CI48" s="17">
        <f>IF(ISNA(VLOOKUP(A48,'Données projet'!$A$113:$I$133,6,0)),0%,VLOOKUP(A48,'Données projet'!$A$113:$I$133,6,0)*VLOOKUP('Données projet'!$B$12,Paramètres!$A$1:$I$88,7,0))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projet'!$B$12,Paramètres!$A$1:$I$88,3,0)*0.475*44/12</f>
        <v>0</v>
      </c>
      <c r="CL48" s="23">
        <f>EXP(-LN(2)/25)*CL47+(1-EXP(-LN(2)/25))/(LN(2)/25)*Calculateur!CG48*Calculateur!CI48*VLOOKUP('Données projet'!$B$12,Paramètres!$A$1:$I$88,3,0)*0.475*44/12</f>
        <v>0</v>
      </c>
      <c r="CM48" s="23">
        <f>EXP(-LN(2)/2)*CM47+(1-EXP(-LN(2)/2))/(LN(2)/2)*CG48*CJ48*VLOOKUP('Données projet'!$B$12,Paramètres!$A$1:$I$88,3,0)*0.475*44/12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18.714285714285715</v>
      </c>
      <c r="CT48" s="13">
        <f>IF('Données projet'!$A$140&gt;35,CT47+CS48-DB47,IF(A48&lt;'Données projet'!$A$140,$CQ$205^A48,IF(A48='Données projet'!$A$140,'Données projet'!$B$140,CT47+CS48-DB47)))</f>
        <v>398.14285714285694</v>
      </c>
      <c r="CU48" s="18">
        <f>CT48*VLOOKUP('Données projet'!$B$13,Paramètres!$A$1:$I$88,3,0)*VLOOKUP('Données projet'!$B$13,Paramètres!$A$1:$I$88,5,0)</f>
        <v>222.56185714285704</v>
      </c>
      <c r="CV48" s="14">
        <f t="shared" si="41"/>
        <v>54.671316974727738</v>
      </c>
      <c r="CW48" s="22">
        <f t="shared" si="13"/>
        <v>482.84777825479341</v>
      </c>
      <c r="CX48" s="62">
        <f t="shared" si="14"/>
        <v>776.18111158812667</v>
      </c>
      <c r="CY48" s="62">
        <f ca="1">AVERAGE(OFFSET($CX$3,0,0,'Données projet'!$E$13+1,1))-AVERAGE(OFFSET($H$3,0,0,'Données projet'!$E$13+1,1))</f>
        <v>302.20483575440988</v>
      </c>
      <c r="CZ48" s="62">
        <f t="shared" si="42"/>
        <v>275.32862097158687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projet'!$B$13,Paramètres!$A$1:$I$88,7,0))</f>
        <v>0</v>
      </c>
      <c r="DD48" s="17">
        <f>IF(ISNA(VLOOKUP(A48,'Données projet'!$A$139:$I$159,6,0)),0%,VLOOKUP(A48,'Données projet'!$A$139:$I$159,6,0)*VLOOKUP('Données projet'!$B$13,Paramètres!$A$1:$I$88,7,0))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projet'!$B$13,Paramètres!$A$1:$I$88,3,0)*0.475*44/12</f>
        <v>0</v>
      </c>
      <c r="DG48" s="23">
        <f>EXP(-LN(2)/25)*DG47+(1-EXP(-LN(2)/25))/(LN(2)/25)*Calculateur!DB48*Calculateur!DD48*VLOOKUP('Données projet'!$B$13,Paramètres!$A$1:$I$88,3,0)*0.475*44/12</f>
        <v>9.1225662131866372</v>
      </c>
      <c r="DH48" s="23">
        <f>EXP(-LN(2)/2)*DH47+(1-EXP(-LN(2)/2))/(LN(2)/2)*DB48*DE48*VLOOKUP('Données projet'!$B$13,Paramètres!$A$1:$I$88,3,0)*0.475*44/12</f>
        <v>3.7459466209407342E-2</v>
      </c>
      <c r="DI48" s="24">
        <f t="shared" si="15"/>
        <v>9.1600256793960444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projet'!$B$14,Paramètres!$A$1:$I$88,3,0)*VLOOKUP('Données projet'!$B$14,Paramètres!$A$1:$I$88,5,0)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projet'!$B$14,Paramètres!$A$1:$I$88,7,0))</f>
        <v>0</v>
      </c>
      <c r="DY48" s="17">
        <f>IF(ISNA(VLOOKUP(A48,'Données projet'!$A$165:$I$185,6,0)),0%,VLOOKUP(A48,'Données projet'!$A$165:$I$185,6,0)*VLOOKUP('Données projet'!$B$14,Paramètres!$A$1:$I$88,7,0))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projet'!$B$14,Paramètres!$A$1:$I$88,3,0)*0.475*44/12</f>
        <v>#N/A</v>
      </c>
      <c r="EB48" s="23" t="e">
        <f>EXP(-LN(2)/25)*EB47+(1-EXP(-LN(2)/25))/(LN(2)/25)*Calculateur!DW48*Calculateur!DY48*VLOOKUP('Données projet'!$B$14,Paramètres!$A$1:$I$88,3,0)*0.475*44/12</f>
        <v>#N/A</v>
      </c>
      <c r="EC48" s="23" t="e">
        <f>EXP(-LN(2)/2)*EC47+(1-EXP(-LN(2)/2))/(LN(2)/2)*DW48*DZ48*VLOOKUP('Données projet'!$B$14,Paramètres!$A$1:$I$88,3,0)*0.475*44/12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projet'!$B$15,Paramètres!$A$1:$I$88,3,0)*VLOOKUP('Données projet'!$B$15,Paramètres!$A$1:$I$88,5,0)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projet'!$B$15,Paramètres!$A$1:$I$88,7,0))</f>
        <v>0</v>
      </c>
      <c r="ET48" s="17">
        <f>IF(ISNA(VLOOKUP(A48,'Données projet'!$A$191:$I$211,6,0)),0%,VLOOKUP(A48,'Données projet'!$A$191:$I$211,6,0)*VLOOKUP('Données projet'!$B$15,Paramètres!$A$1:$I$88,7,0))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projet'!$B$15,Paramètres!$A$1:$I$88,3,0)*0.475*44/12</f>
        <v>#N/A</v>
      </c>
      <c r="EW48" s="23" t="e">
        <f>EXP(-LN(2)/25)*EW47+(1-EXP(-LN(2)/25))/(LN(2)/25)*Calculateur!ER48*Calculateur!ET48*VLOOKUP('Données projet'!$B$15,Paramètres!$A$1:$I$88,3,0)*0.475*44/12</f>
        <v>#N/A</v>
      </c>
      <c r="EX48" s="23" t="e">
        <f>EXP(-LN(2)/2)*EX47+(1-EXP(-LN(2)/2))/(LN(2)/2)*ER48*EU48*VLOOKUP('Données projet'!$B$15,Paramètres!$A$1:$I$88,3,0)*0.475*44/12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projet'!$B$16,Paramètres!$A$1:$I$88,3,0)*VLOOKUP('Données projet'!$B$16,Paramètres!$A$1:$I$88,5,0)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projet'!$B$16,Paramètres!$A$1:$I$88,7,0))</f>
        <v>0</v>
      </c>
      <c r="FO48" s="17">
        <f>IF(ISNA(VLOOKUP(A48,'Données projet'!$A$217:$I$237,6,0)),0%,VLOOKUP(A48,'Données projet'!$A$217:$I$237,6,0)*VLOOKUP('Données projet'!$B$16,Paramètres!$A$1:$I$88,7,0))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projet'!$B$16,Paramètres!$A$1:$I$88,3,0)*0.475*44/12</f>
        <v>#N/A</v>
      </c>
      <c r="FR48" s="23" t="e">
        <f>EXP(-LN(2)/25)*FR47+(1-EXP(-LN(2)/25))/(LN(2)/25)*Calculateur!FM48*Calculateur!FO48*VLOOKUP('Données projet'!$B$16,Paramètres!$A$1:$I$88,3,0)*0.475*44/12</f>
        <v>#N/A</v>
      </c>
      <c r="FS48" s="23" t="e">
        <f>EXP(-LN(2)/2)*FS47+(1-EXP(-LN(2)/2))/(LN(2)/2)*FM48*FP48*VLOOKUP('Données projet'!$B$16,Paramètres!$A$1:$I$88,3,0)*0.475*44/12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projet'!$B$17,Paramètres!$A$1:$I$88,3,0)*VLOOKUP('Données projet'!$B$17,Paramètres!$A$1:$I$88,5,0)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projet'!$B$17,Paramètres!$A$1:$I$88,7,0))</f>
        <v>0</v>
      </c>
      <c r="GJ48" s="17">
        <f>IF(ISNA(VLOOKUP(A48,'Données projet'!$A$243:$I$263,6,0)),0%,VLOOKUP(A48,'Données projet'!$A$243:$I$263,6,0)*VLOOKUP('Données projet'!$B$17,Paramètres!$A$1:$I$88,7,0))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projet'!$B$17,Paramètres!$A$1:$I$88,3,0)*0.475*44/12</f>
        <v>#N/A</v>
      </c>
      <c r="GM48" s="23" t="e">
        <f>EXP(-LN(2)/25)*GM47+(1-EXP(-LN(2)/25))/(LN(2)/25)*Calculateur!GH48*Calculateur!GJ48*VLOOKUP('Données projet'!$B$17,Paramètres!$A$1:$I$88,3,0)*0.475*44/12</f>
        <v>#N/A</v>
      </c>
      <c r="GN48" s="23" t="e">
        <f>EXP(-LN(2)/2)*GN47+(1-EXP(-LN(2)/2))/(LN(2)/2)*GH48*GK48*VLOOKUP('Données projet'!$B$17,Paramètres!$A$1:$I$88,3,0)*0.475*44/12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projet'!$B$18,Paramètres!$A$1:$I$88,3,0)*VLOOKUP('Données projet'!$B$18,Paramètres!$A$1:$I$88,5,0)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projet'!$B$18,Paramètres!$A$1:$I$88,7,0))</f>
        <v>0</v>
      </c>
      <c r="HE48" s="17">
        <f>IF(ISNA(VLOOKUP(A48,'Données projet'!$A$269:$I$289,6,0)),0%,VLOOKUP(A48,'Données projet'!$A$269:$I$289,6,0)*VLOOKUP('Données projet'!$B$18,Paramètres!$A$1:$I$88,7,0))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projet'!$B$18,Paramètres!$A$1:$I$88,3,0)*0.475*44/12</f>
        <v>#N/A</v>
      </c>
      <c r="HH48" s="23" t="e">
        <f>EXP(-LN(2)/25)*HH47+(1-EXP(-LN(2)/25))/(LN(2)/25)*Calculateur!HC48*Calculateur!HE48*VLOOKUP('Données projet'!$B$18,Paramètres!$A$1:$I$88,3,0)*0.475*44/12</f>
        <v>#N/A</v>
      </c>
      <c r="HI48" s="23" t="e">
        <f>EXP(-LN(2)/2)*HI47+(1-EXP(-LN(2)/2))/(LN(2)/2)*HC48*HF48*VLOOKUP('Données projet'!$B$18,Paramètres!$A$1:$I$88,3,0)*0.475*44/12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10.666666666666666</v>
      </c>
      <c r="N49" s="14">
        <f>IF('Données projet'!$A$36&gt;35,N48+M49-V48,IF(A49&lt;'Données projet'!$A$36,$K$205^A49,IF(A49='Données projet'!$A$36,'Données projet'!$B$36,N48+M49-V48)))</f>
        <v>230.66666666666666</v>
      </c>
      <c r="O49" s="14">
        <f>N49*VLOOKUP('Données projet'!$B$9,Paramètres!$A$1:$I$88,3,0)*VLOOKUP('Données projet'!$B$9,Paramètres!$A$1:$I$88,5,0)</f>
        <v>143.93599999999998</v>
      </c>
      <c r="P49" s="14">
        <f t="shared" si="33"/>
        <v>37.197227655019397</v>
      </c>
      <c r="Q49" s="22">
        <f t="shared" si="53"/>
        <v>315.47370483249205</v>
      </c>
      <c r="R49" s="62">
        <f t="shared" si="0"/>
        <v>608.80703816582536</v>
      </c>
      <c r="S49" s="62">
        <f ca="1">AVERAGE(OFFSET($R$3,0,0,'Données projet'!$E$9+1,1))-AVERAGE(OFFSET($H$3,0,0,'Données projet'!$E$9+1,1))</f>
        <v>175.05987582828078</v>
      </c>
      <c r="T49" s="62">
        <f t="shared" si="34"/>
        <v>268.54782308462387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projet'!$B$9,Paramètres!$A$1:$I$88,7,0))</f>
        <v>0</v>
      </c>
      <c r="X49" s="17">
        <f>IF(ISNA(VLOOKUP(A49,'Données projet'!$A$35:$I$55,6,0)),0%,VLOOKUP(A49,'Données projet'!$A$35:$I$55,6,0)*VLOOKUP('Données projet'!$B$9,Paramètres!$A$1:$I$88,7,0))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projet'!$B$9,Paramètres!$A$1:$I$88,3,0)*0.475*44/12</f>
        <v>0</v>
      </c>
      <c r="AA49" s="23">
        <f>EXP(-LN(2)/25)*AA48+(1-EXP(-LN(2)/25))/(LN(2)/25)*Calculateur!V49*Calculateur!X49*VLOOKUP('Données projet'!$B$9,Paramètres!$A$1:$I$88,3,0)*0.475*44/12</f>
        <v>6.606739044885483</v>
      </c>
      <c r="AB49" s="23">
        <f>EXP(-LN(2)/2)*AB48+(1-EXP(-LN(2)/2))/(LN(2)/2)*V49*Y49*VLOOKUP('Données projet'!$B$9,Paramètres!$A$1:$I$88,3,0)*0.475*44/12</f>
        <v>6.4526640160182808E-2</v>
      </c>
      <c r="AC49" s="24">
        <f t="shared" si="3"/>
        <v>6.6712656850456655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19.933333333333334</v>
      </c>
      <c r="AI49" s="14">
        <f>IF('Données projet'!$A$62&gt;35,AI48+AH49-AQ48,IF(A49&lt;'Données projet'!$A$62,$AF$205^A49,IF(A49='Données projet'!$A$62,'Données projet'!$B$62,AI48+AH49-AQ48)))</f>
        <v>497.93333333333351</v>
      </c>
      <c r="AJ49" s="14">
        <f>AI49*VLOOKUP('Données projet'!$B$10,Paramètres!$A$1:$I$88,3,0)*VLOOKUP('Données projet'!$B$10,Paramètres!$A$1:$I$88,5,0)</f>
        <v>239.50593333333342</v>
      </c>
      <c r="AK49" s="14">
        <f t="shared" si="35"/>
        <v>58.333216886292497</v>
      </c>
      <c r="AL49" s="22">
        <f t="shared" si="4"/>
        <v>518.73651996584852</v>
      </c>
      <c r="AM49" s="62">
        <f t="shared" si="5"/>
        <v>812.06985329918189</v>
      </c>
      <c r="AN49" s="62">
        <f ca="1">AVERAGE(OFFSET($AM$3,0,0,'Données projet'!$E$10+1,1))-AVERAGE(OFFSET($H$3,0,0,'Données projet'!$E$10+1,1))</f>
        <v>576.61210817354549</v>
      </c>
      <c r="AO49" s="62">
        <f t="shared" si="36"/>
        <v>343.9428747444544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projet'!$B$10,Paramètres!$A$1:$I$88,7,0))</f>
        <v>0</v>
      </c>
      <c r="AS49" s="17">
        <f>IF(ISNA(VLOOKUP(A49,'Données projet'!$A$61:$I$81,6,0)),0%,VLOOKUP(A49,'Données projet'!$A$61:$I$81,6,0)*VLOOKUP('Données projet'!$B$10,Paramètres!$A$1:$I$88,7,0))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projet'!$B$10,Paramètres!$A$1:$I$88,3,0)*0.475*44/12</f>
        <v>0</v>
      </c>
      <c r="AV49" s="23">
        <f>EXP(-LN(2)/25)*AV48+(1-EXP(-LN(2)/25))/(LN(2)/25)*Calculateur!AQ49*Calculateur!AS49*VLOOKUP('Données projet'!$B$10,Paramètres!$A$1:$I$88,3,0)*0.475*44/12</f>
        <v>3.6339469373510536</v>
      </c>
      <c r="AW49" s="23">
        <f>EXP(-LN(2)/2)*AW48+(1-EXP(-LN(2)/2))/(LN(2)/2)*AQ49*AT49*VLOOKUP('Données projet'!$B$10,Paramètres!$A$1:$I$88,3,0)*0.475*44/12</f>
        <v>4.5950940149925679E-2</v>
      </c>
      <c r="AX49" s="23">
        <f t="shared" si="6"/>
        <v>3.6798978775009794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8.5399999999999974</v>
      </c>
      <c r="BD49" s="13">
        <f>IF('Données projet'!$A$88&gt;35,BD48+BC49-BL48,IF(A49&lt;'Données projet'!$A$88,$BA$205^A49,IF(A49='Données projet'!$A$88,'Données projet'!$B$88,BD48+BC49-BL48)))</f>
        <v>226.53999999999996</v>
      </c>
      <c r="BE49" s="14">
        <f>BD49*VLOOKUP('Données projet'!$B$11,Paramètres!$A$1:$I$88,3,0)*VLOOKUP('Données projet'!$B$11,Paramètres!$A$1:$I$88,5,0)</f>
        <v>180.23522399999999</v>
      </c>
      <c r="BF49" s="14">
        <f t="shared" si="37"/>
        <v>45.374515194526651</v>
      </c>
      <c r="BG49" s="22">
        <f t="shared" si="7"/>
        <v>392.93696243046719</v>
      </c>
      <c r="BH49" s="62">
        <f t="shared" si="8"/>
        <v>686.2702957638005</v>
      </c>
      <c r="BI49" s="62">
        <f ca="1">AVERAGE(OFFSET($BH$3,0,0,'Données projet'!$E$11+1,1))-AVERAGE(OFFSET($H$3,0,0,'Données projet'!$E$11+1,1))</f>
        <v>298.38448036212861</v>
      </c>
      <c r="BJ49" s="62">
        <f t="shared" si="38"/>
        <v>270.4445531106897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projet'!$B$11,Paramètres!$A$1:$I$88,7,0))</f>
        <v>0</v>
      </c>
      <c r="BN49" s="17">
        <f>IF(ISNA(VLOOKUP(A49,'Données projet'!$A$87:$I$107,6,0)),0%,VLOOKUP(A49,'Données projet'!$A$87:$I$107,6,0)*VLOOKUP('Données projet'!$B$11,Paramètres!$A$1:$I$88,7,0))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projet'!$B$11,Paramètres!$A$1:$I$88,3,0)*0.475*44/12</f>
        <v>0</v>
      </c>
      <c r="BQ49" s="23">
        <f>EXP(-LN(2)/25)*BQ48+(1-EXP(-LN(2)/25))/(LN(2)/25)*Calculateur!BL49*Calculateur!BN49*VLOOKUP('Données projet'!$B$11,Paramètres!$A$1:$I$88,3,0)*0.475*44/12</f>
        <v>0</v>
      </c>
      <c r="BR49" s="23">
        <f>EXP(-LN(2)/2)*BR48+(1-EXP(-LN(2)/2))/(LN(2)/2)*BL49*BO49*VLOOKUP('Données projet'!$B$11,Paramètres!$A$1:$I$88,3,0)*0.475*44/12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10.375</v>
      </c>
      <c r="BY49" s="13">
        <f>IF('Données projet'!$A$114&gt;35,BY48+BX49-CG48,IF(A49&lt;'Données projet'!$A$114,$BV$205^A49,IF(A49='Données projet'!$A$114,'Données projet'!$B$114,BY48+BX49-CG48)))</f>
        <v>207.74999999999991</v>
      </c>
      <c r="BZ49" s="14">
        <f>BY49*VLOOKUP('Données projet'!$B$12,Paramètres!$A$1:$I$88,3,0)*VLOOKUP('Données projet'!$B$12,Paramètres!$A$1:$I$88,5,0)</f>
        <v>162.04499999999993</v>
      </c>
      <c r="CA49" s="14">
        <f t="shared" si="39"/>
        <v>41.303429372463391</v>
      </c>
      <c r="CB49" s="22">
        <f t="shared" si="10"/>
        <v>354.16518115704025</v>
      </c>
      <c r="CC49" s="62">
        <f t="shared" si="11"/>
        <v>647.49851449037351</v>
      </c>
      <c r="CD49" s="62">
        <f ca="1">AVERAGE(OFFSET($CC$3,0,0,'Données projet'!$E$12+1,1))-AVERAGE(OFFSET($H$3,0,0,'Données projet'!$E$12+1,1))</f>
        <v>217.32600829266818</v>
      </c>
      <c r="CE49" s="62">
        <f t="shared" si="40"/>
        <v>208.79744153433245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projet'!$B$12,Paramètres!$A$1:$I$88,7,0))</f>
        <v>0</v>
      </c>
      <c r="CI49" s="17">
        <f>IF(ISNA(VLOOKUP(A49,'Données projet'!$A$113:$I$133,6,0)),0%,VLOOKUP(A49,'Données projet'!$A$113:$I$133,6,0)*VLOOKUP('Données projet'!$B$12,Paramètres!$A$1:$I$88,7,0))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projet'!$B$12,Paramètres!$A$1:$I$88,3,0)*0.475*44/12</f>
        <v>0</v>
      </c>
      <c r="CL49" s="23">
        <f>EXP(-LN(2)/25)*CL48+(1-EXP(-LN(2)/25))/(LN(2)/25)*Calculateur!CG49*Calculateur!CI49*VLOOKUP('Données projet'!$B$12,Paramètres!$A$1:$I$88,3,0)*0.475*44/12</f>
        <v>0</v>
      </c>
      <c r="CM49" s="23">
        <f>EXP(-LN(2)/2)*CM48+(1-EXP(-LN(2)/2))/(LN(2)/2)*CG49*CJ49*VLOOKUP('Données projet'!$B$12,Paramètres!$A$1:$I$88,3,0)*0.475*44/12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18.714285714285715</v>
      </c>
      <c r="CT49" s="13">
        <f>IF('Données projet'!$A$140&gt;35,CT48+CS49-DB48,IF(A49&lt;'Données projet'!$A$140,$CQ$205^A49,IF(A49='Données projet'!$A$140,'Données projet'!$B$140,CT48+CS49-DB48)))</f>
        <v>416.85714285714266</v>
      </c>
      <c r="CU49" s="18">
        <f>CT49*VLOOKUP('Données projet'!$B$13,Paramètres!$A$1:$I$88,3,0)*VLOOKUP('Données projet'!$B$13,Paramètres!$A$1:$I$88,5,0)</f>
        <v>233.02314285714277</v>
      </c>
      <c r="CV49" s="14">
        <f t="shared" si="41"/>
        <v>56.935858075040223</v>
      </c>
      <c r="CW49" s="22">
        <f t="shared" si="13"/>
        <v>505.01192662355203</v>
      </c>
      <c r="CX49" s="62">
        <f t="shared" si="14"/>
        <v>798.34525995688534</v>
      </c>
      <c r="CY49" s="62">
        <f ca="1">AVERAGE(OFFSET($CX$3,0,0,'Données projet'!$E$13+1,1))-AVERAGE(OFFSET($H$3,0,0,'Données projet'!$E$13+1,1))</f>
        <v>302.20483575440988</v>
      </c>
      <c r="CZ49" s="62">
        <f t="shared" si="42"/>
        <v>275.32862097158687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projet'!$B$13,Paramètres!$A$1:$I$88,7,0))</f>
        <v>0</v>
      </c>
      <c r="DD49" s="17">
        <f>IF(ISNA(VLOOKUP(A49,'Données projet'!$A$139:$I$159,6,0)),0%,VLOOKUP(A49,'Données projet'!$A$139:$I$159,6,0)*VLOOKUP('Données projet'!$B$13,Paramètres!$A$1:$I$88,7,0))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projet'!$B$13,Paramètres!$A$1:$I$88,3,0)*0.475*44/12</f>
        <v>0</v>
      </c>
      <c r="DG49" s="23">
        <f>EXP(-LN(2)/25)*DG48+(1-EXP(-LN(2)/25))/(LN(2)/25)*Calculateur!DB49*Calculateur!DD49*VLOOKUP('Données projet'!$B$13,Paramètres!$A$1:$I$88,3,0)*0.475*44/12</f>
        <v>8.8731091603521417</v>
      </c>
      <c r="DH49" s="23">
        <f>EXP(-LN(2)/2)*DH48+(1-EXP(-LN(2)/2))/(LN(2)/2)*DB49*DE49*VLOOKUP('Données projet'!$B$13,Paramètres!$A$1:$I$88,3,0)*0.475*44/12</f>
        <v>2.6487842576300269E-2</v>
      </c>
      <c r="DI49" s="24">
        <f t="shared" si="15"/>
        <v>8.8995970029284415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projet'!$B$14,Paramètres!$A$1:$I$88,3,0)*VLOOKUP('Données projet'!$B$14,Paramètres!$A$1:$I$88,5,0)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projet'!$B$14,Paramètres!$A$1:$I$88,7,0))</f>
        <v>0</v>
      </c>
      <c r="DY49" s="17">
        <f>IF(ISNA(VLOOKUP(A49,'Données projet'!$A$165:$I$185,6,0)),0%,VLOOKUP(A49,'Données projet'!$A$165:$I$185,6,0)*VLOOKUP('Données projet'!$B$14,Paramètres!$A$1:$I$88,7,0))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projet'!$B$14,Paramètres!$A$1:$I$88,3,0)*0.475*44/12</f>
        <v>#N/A</v>
      </c>
      <c r="EB49" s="23" t="e">
        <f>EXP(-LN(2)/25)*EB48+(1-EXP(-LN(2)/25))/(LN(2)/25)*Calculateur!DW49*Calculateur!DY49*VLOOKUP('Données projet'!$B$14,Paramètres!$A$1:$I$88,3,0)*0.475*44/12</f>
        <v>#N/A</v>
      </c>
      <c r="EC49" s="23" t="e">
        <f>EXP(-LN(2)/2)*EC48+(1-EXP(-LN(2)/2))/(LN(2)/2)*DW49*DZ49*VLOOKUP('Données projet'!$B$14,Paramètres!$A$1:$I$88,3,0)*0.475*44/12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projet'!$B$15,Paramètres!$A$1:$I$88,3,0)*VLOOKUP('Données projet'!$B$15,Paramètres!$A$1:$I$88,5,0)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projet'!$B$15,Paramètres!$A$1:$I$88,7,0))</f>
        <v>0</v>
      </c>
      <c r="ET49" s="17">
        <f>IF(ISNA(VLOOKUP(A49,'Données projet'!$A$191:$I$211,6,0)),0%,VLOOKUP(A49,'Données projet'!$A$191:$I$211,6,0)*VLOOKUP('Données projet'!$B$15,Paramètres!$A$1:$I$88,7,0))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projet'!$B$15,Paramètres!$A$1:$I$88,3,0)*0.475*44/12</f>
        <v>#N/A</v>
      </c>
      <c r="EW49" s="23" t="e">
        <f>EXP(-LN(2)/25)*EW48+(1-EXP(-LN(2)/25))/(LN(2)/25)*Calculateur!ER49*Calculateur!ET49*VLOOKUP('Données projet'!$B$15,Paramètres!$A$1:$I$88,3,0)*0.475*44/12</f>
        <v>#N/A</v>
      </c>
      <c r="EX49" s="23" t="e">
        <f>EXP(-LN(2)/2)*EX48+(1-EXP(-LN(2)/2))/(LN(2)/2)*ER49*EU49*VLOOKUP('Données projet'!$B$15,Paramètres!$A$1:$I$88,3,0)*0.475*44/12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projet'!$B$16,Paramètres!$A$1:$I$88,3,0)*VLOOKUP('Données projet'!$B$16,Paramètres!$A$1:$I$88,5,0)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projet'!$B$16,Paramètres!$A$1:$I$88,7,0))</f>
        <v>0</v>
      </c>
      <c r="FO49" s="17">
        <f>IF(ISNA(VLOOKUP(A49,'Données projet'!$A$217:$I$237,6,0)),0%,VLOOKUP(A49,'Données projet'!$A$217:$I$237,6,0)*VLOOKUP('Données projet'!$B$16,Paramètres!$A$1:$I$88,7,0))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projet'!$B$16,Paramètres!$A$1:$I$88,3,0)*0.475*44/12</f>
        <v>#N/A</v>
      </c>
      <c r="FR49" s="23" t="e">
        <f>EXP(-LN(2)/25)*FR48+(1-EXP(-LN(2)/25))/(LN(2)/25)*Calculateur!FM49*Calculateur!FO49*VLOOKUP('Données projet'!$B$16,Paramètres!$A$1:$I$88,3,0)*0.475*44/12</f>
        <v>#N/A</v>
      </c>
      <c r="FS49" s="23" t="e">
        <f>EXP(-LN(2)/2)*FS48+(1-EXP(-LN(2)/2))/(LN(2)/2)*FM49*FP49*VLOOKUP('Données projet'!$B$16,Paramètres!$A$1:$I$88,3,0)*0.475*44/12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projet'!$B$17,Paramètres!$A$1:$I$88,3,0)*VLOOKUP('Données projet'!$B$17,Paramètres!$A$1:$I$88,5,0)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projet'!$B$17,Paramètres!$A$1:$I$88,7,0))</f>
        <v>0</v>
      </c>
      <c r="GJ49" s="17">
        <f>IF(ISNA(VLOOKUP(A49,'Données projet'!$A$243:$I$263,6,0)),0%,VLOOKUP(A49,'Données projet'!$A$243:$I$263,6,0)*VLOOKUP('Données projet'!$B$17,Paramètres!$A$1:$I$88,7,0))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projet'!$B$17,Paramètres!$A$1:$I$88,3,0)*0.475*44/12</f>
        <v>#N/A</v>
      </c>
      <c r="GM49" s="23" t="e">
        <f>EXP(-LN(2)/25)*GM48+(1-EXP(-LN(2)/25))/(LN(2)/25)*Calculateur!GH49*Calculateur!GJ49*VLOOKUP('Données projet'!$B$17,Paramètres!$A$1:$I$88,3,0)*0.475*44/12</f>
        <v>#N/A</v>
      </c>
      <c r="GN49" s="23" t="e">
        <f>EXP(-LN(2)/2)*GN48+(1-EXP(-LN(2)/2))/(LN(2)/2)*GH49*GK49*VLOOKUP('Données projet'!$B$17,Paramètres!$A$1:$I$88,3,0)*0.475*44/12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projet'!$B$18,Paramètres!$A$1:$I$88,3,0)*VLOOKUP('Données projet'!$B$18,Paramètres!$A$1:$I$88,5,0)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projet'!$B$18,Paramètres!$A$1:$I$88,7,0))</f>
        <v>0</v>
      </c>
      <c r="HE49" s="17">
        <f>IF(ISNA(VLOOKUP(A49,'Données projet'!$A$269:$I$289,6,0)),0%,VLOOKUP(A49,'Données projet'!$A$269:$I$289,6,0)*VLOOKUP('Données projet'!$B$18,Paramètres!$A$1:$I$88,7,0))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projet'!$B$18,Paramètres!$A$1:$I$88,3,0)*0.475*44/12</f>
        <v>#N/A</v>
      </c>
      <c r="HH49" s="23" t="e">
        <f>EXP(-LN(2)/25)*HH48+(1-EXP(-LN(2)/25))/(LN(2)/25)*Calculateur!HC49*Calculateur!HE49*VLOOKUP('Données projet'!$B$18,Paramètres!$A$1:$I$88,3,0)*0.475*44/12</f>
        <v>#N/A</v>
      </c>
      <c r="HI49" s="23" t="e">
        <f>EXP(-LN(2)/2)*HI48+(1-EXP(-LN(2)/2))/(LN(2)/2)*HC49*HF49*VLOOKUP('Données projet'!$B$18,Paramètres!$A$1:$I$88,3,0)*0.475*44/12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10.666666666666666</v>
      </c>
      <c r="N50" s="14">
        <f>IF('Données projet'!$A$36&gt;35,N49+M50-V49,IF(A50&lt;'Données projet'!$A$36,$K$205^A50,IF(A50='Données projet'!$A$36,'Données projet'!$B$36,N49+M50-V49)))</f>
        <v>241.33333333333331</v>
      </c>
      <c r="O50" s="14">
        <f>N50*VLOOKUP('Données projet'!$B$9,Paramètres!$A$1:$I$88,3,0)*VLOOKUP('Données projet'!$B$9,Paramètres!$A$1:$I$88,5,0)</f>
        <v>150.59199999999998</v>
      </c>
      <c r="P50" s="14">
        <f t="shared" si="33"/>
        <v>38.713088888505631</v>
      </c>
      <c r="Q50" s="22">
        <f t="shared" si="53"/>
        <v>329.70636314748066</v>
      </c>
      <c r="R50" s="62">
        <f t="shared" si="0"/>
        <v>623.03969648081397</v>
      </c>
      <c r="S50" s="62">
        <f ca="1">AVERAGE(OFFSET($R$3,0,0,'Données projet'!$E$9+1,1))-AVERAGE(OFFSET($H$3,0,0,'Données projet'!$E$9+1,1))</f>
        <v>175.05987582828078</v>
      </c>
      <c r="T50" s="62">
        <f t="shared" si="34"/>
        <v>268.54782308462387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projet'!$B$9,Paramètres!$A$1:$I$88,7,0))</f>
        <v>0</v>
      </c>
      <c r="X50" s="17">
        <f>IF(ISNA(VLOOKUP(A50,'Données projet'!$A$35:$I$55,6,0)),0%,VLOOKUP(A50,'Données projet'!$A$35:$I$55,6,0)*VLOOKUP('Données projet'!$B$9,Paramètres!$A$1:$I$88,7,0))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projet'!$B$9,Paramètres!$A$1:$I$88,3,0)*0.475*44/12</f>
        <v>0</v>
      </c>
      <c r="AA50" s="23">
        <f>EXP(-LN(2)/25)*AA49+(1-EXP(-LN(2)/25))/(LN(2)/25)*Calculateur!V50*Calculateur!X50*VLOOKUP('Données projet'!$B$9,Paramètres!$A$1:$I$88,3,0)*0.475*44/12</f>
        <v>6.4260774182697826</v>
      </c>
      <c r="AB50" s="23">
        <f>EXP(-LN(2)/2)*AB49+(1-EXP(-LN(2)/2))/(LN(2)/2)*V50*Y50*VLOOKUP('Données projet'!$B$9,Paramètres!$A$1:$I$88,3,0)*0.475*44/12</f>
        <v>4.5627224824449475E-2</v>
      </c>
      <c r="AC50" s="24">
        <f t="shared" si="3"/>
        <v>6.471704643094232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19.933333333333334</v>
      </c>
      <c r="AI50" s="14">
        <f>IF('Données projet'!$A$62&gt;35,AI49+AH50-AQ49,IF(A50&lt;'Données projet'!$A$62,$AF$205^A50,IF(A50='Données projet'!$A$62,'Données projet'!$B$62,AI49+AH50-AQ49)))</f>
        <v>517.86666666666679</v>
      </c>
      <c r="AJ50" s="14">
        <f>AI50*VLOOKUP('Données projet'!$B$10,Paramètres!$A$1:$I$88,3,0)*VLOOKUP('Données projet'!$B$10,Paramètres!$A$1:$I$88,5,0)</f>
        <v>249.09386666666671</v>
      </c>
      <c r="AK50" s="14">
        <f t="shared" si="35"/>
        <v>60.391865050368672</v>
      </c>
      <c r="AL50" s="22">
        <f t="shared" si="4"/>
        <v>539.02098274050331</v>
      </c>
      <c r="AM50" s="62">
        <f t="shared" si="5"/>
        <v>832.35431607383657</v>
      </c>
      <c r="AN50" s="62">
        <f ca="1">AVERAGE(OFFSET($AM$3,0,0,'Données projet'!$E$10+1,1))-AVERAGE(OFFSET($H$3,0,0,'Données projet'!$E$10+1,1))</f>
        <v>576.61210817354549</v>
      </c>
      <c r="AO50" s="62">
        <f t="shared" si="36"/>
        <v>343.9428747444544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projet'!$B$10,Paramètres!$A$1:$I$88,7,0))</f>
        <v>0</v>
      </c>
      <c r="AS50" s="17">
        <f>IF(ISNA(VLOOKUP(A50,'Données projet'!$A$61:$I$81,6,0)),0%,VLOOKUP(A50,'Données projet'!$A$61:$I$81,6,0)*VLOOKUP('Données projet'!$B$10,Paramètres!$A$1:$I$88,7,0))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projet'!$B$10,Paramètres!$A$1:$I$88,3,0)*0.475*44/12</f>
        <v>0</v>
      </c>
      <c r="AV50" s="23">
        <f>EXP(-LN(2)/25)*AV49+(1-EXP(-LN(2)/25))/(LN(2)/25)*Calculateur!AQ50*Calculateur!AS50*VLOOKUP('Données projet'!$B$10,Paramètres!$A$1:$I$88,3,0)*0.475*44/12</f>
        <v>3.5345764672482249</v>
      </c>
      <c r="AW50" s="23">
        <f>EXP(-LN(2)/2)*AW49+(1-EXP(-LN(2)/2))/(LN(2)/2)*AQ50*AT50*VLOOKUP('Données projet'!$B$10,Paramètres!$A$1:$I$88,3,0)*0.475*44/12</f>
        <v>3.2492221381909638E-2</v>
      </c>
      <c r="AX50" s="23">
        <f t="shared" si="6"/>
        <v>3.5670686886301346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8.5399999999999974</v>
      </c>
      <c r="BD50" s="13">
        <f>IF('Données projet'!$A$88&gt;35,BD49+BC50-BL49,IF(A50&lt;'Données projet'!$A$88,$BA$205^A50,IF(A50='Données projet'!$A$88,'Données projet'!$B$88,BD49+BC50-BL49)))</f>
        <v>235.07999999999996</v>
      </c>
      <c r="BE50" s="14">
        <f>BD50*VLOOKUP('Données projet'!$B$11,Paramètres!$A$1:$I$88,3,0)*VLOOKUP('Données projet'!$B$11,Paramètres!$A$1:$I$88,5,0)</f>
        <v>187.02964799999998</v>
      </c>
      <c r="BF50" s="14">
        <f t="shared" si="37"/>
        <v>46.882649181299655</v>
      </c>
      <c r="BG50" s="22">
        <f t="shared" si="7"/>
        <v>407.39725092409685</v>
      </c>
      <c r="BH50" s="62">
        <f t="shared" si="8"/>
        <v>700.73058425743011</v>
      </c>
      <c r="BI50" s="62">
        <f ca="1">AVERAGE(OFFSET($BH$3,0,0,'Données projet'!$E$11+1,1))-AVERAGE(OFFSET($H$3,0,0,'Données projet'!$E$11+1,1))</f>
        <v>298.38448036212861</v>
      </c>
      <c r="BJ50" s="62">
        <f t="shared" si="38"/>
        <v>270.4445531106897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projet'!$B$11,Paramètres!$A$1:$I$88,7,0))</f>
        <v>0</v>
      </c>
      <c r="BN50" s="17">
        <f>IF(ISNA(VLOOKUP(A50,'Données projet'!$A$87:$I$107,6,0)),0%,VLOOKUP(A50,'Données projet'!$A$87:$I$107,6,0)*VLOOKUP('Données projet'!$B$11,Paramètres!$A$1:$I$88,7,0))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projet'!$B$11,Paramètres!$A$1:$I$88,3,0)*0.475*44/12</f>
        <v>0</v>
      </c>
      <c r="BQ50" s="23">
        <f>EXP(-LN(2)/25)*BQ49+(1-EXP(-LN(2)/25))/(LN(2)/25)*Calculateur!BL50*Calculateur!BN50*VLOOKUP('Données projet'!$B$11,Paramètres!$A$1:$I$88,3,0)*0.475*44/12</f>
        <v>0</v>
      </c>
      <c r="BR50" s="23">
        <f>EXP(-LN(2)/2)*BR49+(1-EXP(-LN(2)/2))/(LN(2)/2)*BL50*BO50*VLOOKUP('Données projet'!$B$11,Paramètres!$A$1:$I$88,3,0)*0.475*44/12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10.375</v>
      </c>
      <c r="BY50" s="13">
        <f>IF('Données projet'!$A$114&gt;35,BY49+BX50-CG49,IF(A50&lt;'Données projet'!$A$114,$BV$205^A50,IF(A50='Données projet'!$A$114,'Données projet'!$B$114,BY49+BX50-CG49)))</f>
        <v>218.12499999999991</v>
      </c>
      <c r="BZ50" s="14">
        <f>BY50*VLOOKUP('Données projet'!$B$12,Paramètres!$A$1:$I$88,3,0)*VLOOKUP('Données projet'!$B$12,Paramètres!$A$1:$I$88,5,0)</f>
        <v>170.13749999999993</v>
      </c>
      <c r="CA50" s="14">
        <f t="shared" si="39"/>
        <v>43.120817562072375</v>
      </c>
      <c r="CB50" s="22">
        <f t="shared" si="10"/>
        <v>371.42490308727588</v>
      </c>
      <c r="CC50" s="62">
        <f t="shared" si="11"/>
        <v>664.75823642060914</v>
      </c>
      <c r="CD50" s="62">
        <f ca="1">AVERAGE(OFFSET($CC$3,0,0,'Données projet'!$E$12+1,1))-AVERAGE(OFFSET($H$3,0,0,'Données projet'!$E$12+1,1))</f>
        <v>217.32600829266818</v>
      </c>
      <c r="CE50" s="62">
        <f t="shared" si="40"/>
        <v>208.79744153433245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projet'!$B$12,Paramètres!$A$1:$I$88,7,0))</f>
        <v>0</v>
      </c>
      <c r="CI50" s="17">
        <f>IF(ISNA(VLOOKUP(A50,'Données projet'!$A$113:$I$133,6,0)),0%,VLOOKUP(A50,'Données projet'!$A$113:$I$133,6,0)*VLOOKUP('Données projet'!$B$12,Paramètres!$A$1:$I$88,7,0))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projet'!$B$12,Paramètres!$A$1:$I$88,3,0)*0.475*44/12</f>
        <v>0</v>
      </c>
      <c r="CL50" s="23">
        <f>EXP(-LN(2)/25)*CL49+(1-EXP(-LN(2)/25))/(LN(2)/25)*Calculateur!CG50*Calculateur!CI50*VLOOKUP('Données projet'!$B$12,Paramètres!$A$1:$I$88,3,0)*0.475*44/12</f>
        <v>0</v>
      </c>
      <c r="CM50" s="23">
        <f>EXP(-LN(2)/2)*CM49+(1-EXP(-LN(2)/2))/(LN(2)/2)*CG50*CJ50*VLOOKUP('Données projet'!$B$12,Paramètres!$A$1:$I$88,3,0)*0.475*44/12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18.714285714285715</v>
      </c>
      <c r="CT50" s="13">
        <f>IF('Données projet'!$A$140&gt;35,CT49+CS50-DB49,IF(A50&lt;'Données projet'!$A$140,$CQ$205^A50,IF(A50='Données projet'!$A$140,'Données projet'!$B$140,CT49+CS50-DB49)))</f>
        <v>435.57142857142838</v>
      </c>
      <c r="CU50" s="18">
        <f>CT50*VLOOKUP('Données projet'!$B$13,Paramètres!$A$1:$I$88,3,0)*VLOOKUP('Données projet'!$B$13,Paramètres!$A$1:$I$88,5,0)</f>
        <v>243.48442857142848</v>
      </c>
      <c r="CV50" s="14">
        <f t="shared" si="41"/>
        <v>59.188592189821975</v>
      </c>
      <c r="CW50" s="22">
        <f t="shared" si="13"/>
        <v>527.15551115917788</v>
      </c>
      <c r="CX50" s="62">
        <f t="shared" si="14"/>
        <v>820.48884449251113</v>
      </c>
      <c r="CY50" s="62">
        <f ca="1">AVERAGE(OFFSET($CX$3,0,0,'Données projet'!$E$13+1,1))-AVERAGE(OFFSET($H$3,0,0,'Données projet'!$E$13+1,1))</f>
        <v>302.20483575440988</v>
      </c>
      <c r="CZ50" s="62">
        <f t="shared" si="42"/>
        <v>275.32862097158687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projet'!$B$13,Paramètres!$A$1:$I$88,7,0))</f>
        <v>0</v>
      </c>
      <c r="DD50" s="17">
        <f>IF(ISNA(VLOOKUP(A50,'Données projet'!$A$139:$I$159,6,0)),0%,VLOOKUP(A50,'Données projet'!$A$139:$I$159,6,0)*VLOOKUP('Données projet'!$B$13,Paramètres!$A$1:$I$88,7,0))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projet'!$B$13,Paramètres!$A$1:$I$88,3,0)*0.475*44/12</f>
        <v>0</v>
      </c>
      <c r="DG50" s="23">
        <f>EXP(-LN(2)/25)*DG49+(1-EXP(-LN(2)/25))/(LN(2)/25)*Calculateur!DB50*Calculateur!DD50*VLOOKUP('Données projet'!$B$13,Paramètres!$A$1:$I$88,3,0)*0.475*44/12</f>
        <v>8.6304735237457813</v>
      </c>
      <c r="DH50" s="23">
        <f>EXP(-LN(2)/2)*DH49+(1-EXP(-LN(2)/2))/(LN(2)/2)*DB50*DE50*VLOOKUP('Données projet'!$B$13,Paramètres!$A$1:$I$88,3,0)*0.475*44/12</f>
        <v>1.8729733104703671E-2</v>
      </c>
      <c r="DI50" s="24">
        <f t="shared" si="15"/>
        <v>8.6492032568504857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projet'!$B$14,Paramètres!$A$1:$I$88,3,0)*VLOOKUP('Données projet'!$B$14,Paramètres!$A$1:$I$88,5,0)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projet'!$B$14,Paramètres!$A$1:$I$88,7,0))</f>
        <v>0</v>
      </c>
      <c r="DY50" s="17">
        <f>IF(ISNA(VLOOKUP(A50,'Données projet'!$A$165:$I$185,6,0)),0%,VLOOKUP(A50,'Données projet'!$A$165:$I$185,6,0)*VLOOKUP('Données projet'!$B$14,Paramètres!$A$1:$I$88,7,0))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projet'!$B$14,Paramètres!$A$1:$I$88,3,0)*0.475*44/12</f>
        <v>#N/A</v>
      </c>
      <c r="EB50" s="23" t="e">
        <f>EXP(-LN(2)/25)*EB49+(1-EXP(-LN(2)/25))/(LN(2)/25)*Calculateur!DW50*Calculateur!DY50*VLOOKUP('Données projet'!$B$14,Paramètres!$A$1:$I$88,3,0)*0.475*44/12</f>
        <v>#N/A</v>
      </c>
      <c r="EC50" s="23" t="e">
        <f>EXP(-LN(2)/2)*EC49+(1-EXP(-LN(2)/2))/(LN(2)/2)*DW50*DZ50*VLOOKUP('Données projet'!$B$14,Paramètres!$A$1:$I$88,3,0)*0.475*44/12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projet'!$B$15,Paramètres!$A$1:$I$88,3,0)*VLOOKUP('Données projet'!$B$15,Paramètres!$A$1:$I$88,5,0)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projet'!$B$15,Paramètres!$A$1:$I$88,7,0))</f>
        <v>0</v>
      </c>
      <c r="ET50" s="17">
        <f>IF(ISNA(VLOOKUP(A50,'Données projet'!$A$191:$I$211,6,0)),0%,VLOOKUP(A50,'Données projet'!$A$191:$I$211,6,0)*VLOOKUP('Données projet'!$B$15,Paramètres!$A$1:$I$88,7,0))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projet'!$B$15,Paramètres!$A$1:$I$88,3,0)*0.475*44/12</f>
        <v>#N/A</v>
      </c>
      <c r="EW50" s="23" t="e">
        <f>EXP(-LN(2)/25)*EW49+(1-EXP(-LN(2)/25))/(LN(2)/25)*Calculateur!ER50*Calculateur!ET50*VLOOKUP('Données projet'!$B$15,Paramètres!$A$1:$I$88,3,0)*0.475*44/12</f>
        <v>#N/A</v>
      </c>
      <c r="EX50" s="23" t="e">
        <f>EXP(-LN(2)/2)*EX49+(1-EXP(-LN(2)/2))/(LN(2)/2)*ER50*EU50*VLOOKUP('Données projet'!$B$15,Paramètres!$A$1:$I$88,3,0)*0.475*44/12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projet'!$B$16,Paramètres!$A$1:$I$88,3,0)*VLOOKUP('Données projet'!$B$16,Paramètres!$A$1:$I$88,5,0)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projet'!$B$16,Paramètres!$A$1:$I$88,7,0))</f>
        <v>0</v>
      </c>
      <c r="FO50" s="17">
        <f>IF(ISNA(VLOOKUP(A50,'Données projet'!$A$217:$I$237,6,0)),0%,VLOOKUP(A50,'Données projet'!$A$217:$I$237,6,0)*VLOOKUP('Données projet'!$B$16,Paramètres!$A$1:$I$88,7,0))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projet'!$B$16,Paramètres!$A$1:$I$88,3,0)*0.475*44/12</f>
        <v>#N/A</v>
      </c>
      <c r="FR50" s="23" t="e">
        <f>EXP(-LN(2)/25)*FR49+(1-EXP(-LN(2)/25))/(LN(2)/25)*Calculateur!FM50*Calculateur!FO50*VLOOKUP('Données projet'!$B$16,Paramètres!$A$1:$I$88,3,0)*0.475*44/12</f>
        <v>#N/A</v>
      </c>
      <c r="FS50" s="23" t="e">
        <f>EXP(-LN(2)/2)*FS49+(1-EXP(-LN(2)/2))/(LN(2)/2)*FM50*FP50*VLOOKUP('Données projet'!$B$16,Paramètres!$A$1:$I$88,3,0)*0.475*44/12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projet'!$B$17,Paramètres!$A$1:$I$88,3,0)*VLOOKUP('Données projet'!$B$17,Paramètres!$A$1:$I$88,5,0)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projet'!$B$17,Paramètres!$A$1:$I$88,7,0))</f>
        <v>0</v>
      </c>
      <c r="GJ50" s="17">
        <f>IF(ISNA(VLOOKUP(A50,'Données projet'!$A$243:$I$263,6,0)),0%,VLOOKUP(A50,'Données projet'!$A$243:$I$263,6,0)*VLOOKUP('Données projet'!$B$17,Paramètres!$A$1:$I$88,7,0))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projet'!$B$17,Paramètres!$A$1:$I$88,3,0)*0.475*44/12</f>
        <v>#N/A</v>
      </c>
      <c r="GM50" s="23" t="e">
        <f>EXP(-LN(2)/25)*GM49+(1-EXP(-LN(2)/25))/(LN(2)/25)*Calculateur!GH50*Calculateur!GJ50*VLOOKUP('Données projet'!$B$17,Paramètres!$A$1:$I$88,3,0)*0.475*44/12</f>
        <v>#N/A</v>
      </c>
      <c r="GN50" s="23" t="e">
        <f>EXP(-LN(2)/2)*GN49+(1-EXP(-LN(2)/2))/(LN(2)/2)*GH50*GK50*VLOOKUP('Données projet'!$B$17,Paramètres!$A$1:$I$88,3,0)*0.475*44/12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projet'!$B$18,Paramètres!$A$1:$I$88,3,0)*VLOOKUP('Données projet'!$B$18,Paramètres!$A$1:$I$88,5,0)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projet'!$B$18,Paramètres!$A$1:$I$88,7,0))</f>
        <v>0</v>
      </c>
      <c r="HE50" s="17">
        <f>IF(ISNA(VLOOKUP(A50,'Données projet'!$A$269:$I$289,6,0)),0%,VLOOKUP(A50,'Données projet'!$A$269:$I$289,6,0)*VLOOKUP('Données projet'!$B$18,Paramètres!$A$1:$I$88,7,0))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projet'!$B$18,Paramètres!$A$1:$I$88,3,0)*0.475*44/12</f>
        <v>#N/A</v>
      </c>
      <c r="HH50" s="23" t="e">
        <f>EXP(-LN(2)/25)*HH49+(1-EXP(-LN(2)/25))/(LN(2)/25)*Calculateur!HC50*Calculateur!HE50*VLOOKUP('Données projet'!$B$18,Paramètres!$A$1:$I$88,3,0)*0.475*44/12</f>
        <v>#N/A</v>
      </c>
      <c r="HI50" s="23" t="e">
        <f>EXP(-LN(2)/2)*HI49+(1-EXP(-LN(2)/2))/(LN(2)/2)*HC50*HF50*VLOOKUP('Données projet'!$B$18,Paramètres!$A$1:$I$88,3,0)*0.475*44/12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252</v>
      </c>
      <c r="L51" s="13">
        <f>VLOOKUP(A51,'Données projet'!$A$35:$I$55,9,0)</f>
        <v>10.666666666666666</v>
      </c>
      <c r="M51" s="13">
        <f t="array" ref="M51">INDEX(L:L,MIN(IF(ISNUMBER(L51:L247),ROW(L51:L247),"")))</f>
        <v>10.666666666666666</v>
      </c>
      <c r="N51" s="14">
        <f>IF('Données projet'!$A$36&gt;35,N50+M51-V50,IF(A51&lt;'Données projet'!$A$36,$K$205^A51,IF(A51='Données projet'!$A$36,'Données projet'!$B$36,N50+M51-V50)))</f>
        <v>251.99999999999997</v>
      </c>
      <c r="O51" s="14">
        <f>N51*VLOOKUP('Données projet'!$B$9,Paramètres!$A$1:$I$88,3,0)*VLOOKUP('Données projet'!$B$9,Paramètres!$A$1:$I$88,5,0)</f>
        <v>157.24799999999999</v>
      </c>
      <c r="P51" s="14">
        <f t="shared" si="33"/>
        <v>40.22116874434861</v>
      </c>
      <c r="Q51" s="22">
        <f t="shared" si="53"/>
        <v>343.92546889640715</v>
      </c>
      <c r="R51" s="62">
        <f t="shared" si="0"/>
        <v>637.25880222974047</v>
      </c>
      <c r="S51" s="62">
        <f ca="1">AVERAGE(OFFSET($R$3,0,0,'Données projet'!$E$9+1,1))-AVERAGE(OFFSET($H$3,0,0,'Données projet'!$E$9+1,1))</f>
        <v>175.05987582828078</v>
      </c>
      <c r="T51" s="62">
        <f t="shared" si="34"/>
        <v>268.54782308462387</v>
      </c>
      <c r="U51" s="16">
        <f>IF(ISNA(VLOOKUP(A51,'Données projet'!$A$35:$I$55,3,0)),0,VLOOKUP(A51,'Données projet'!$A$35:$I$55,3,0))</f>
        <v>7</v>
      </c>
      <c r="V51" s="16">
        <f>IF(ISNA(VLOOKUP(A51,'Données projet'!$A$35:$I$55,4,0)),0,VLOOKUP(A51,'Données projet'!$A$35:$I$55,4,0))</f>
        <v>65</v>
      </c>
      <c r="W51" s="17">
        <f>IF(ISNA(VLOOKUP(A51,'Données projet'!$A$35:$I$55,5,0)),0%,VLOOKUP(A51,'Données projet'!$A$35:$I$55,5,0)*VLOOKUP('Données projet'!$B$9,Paramètres!$A$1:$I$88,7,0))</f>
        <v>0</v>
      </c>
      <c r="X51" s="17">
        <f>IF(ISNA(VLOOKUP(A51,'Données projet'!$A$35:$I$55,6,0)),0%,VLOOKUP(A51,'Données projet'!$A$35:$I$55,6,0)*VLOOKUP('Données projet'!$B$9,Paramètres!$A$1:$I$88,7,0))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projet'!$B$9,Paramètres!$A$1:$I$88,3,0)*0.475*44/12</f>
        <v>0</v>
      </c>
      <c r="AA51" s="23">
        <f>EXP(-LN(2)/25)*AA50+(1-EXP(-LN(2)/25))/(LN(2)/25)*Calculateur!V51*Calculateur!X51*VLOOKUP('Données projet'!$B$9,Paramètres!$A$1:$I$88,3,0)*0.475*44/12</f>
        <v>6.2503559933344706</v>
      </c>
      <c r="AB51" s="23">
        <f>EXP(-LN(2)/2)*AB50+(1-EXP(-LN(2)/2))/(LN(2)/2)*V51*Y51*VLOOKUP('Données projet'!$B$9,Paramètres!$A$1:$I$88,3,0)*0.475*44/12</f>
        <v>3.2263320080091404E-2</v>
      </c>
      <c r="AC51" s="24">
        <f t="shared" si="3"/>
        <v>6.2826193134145623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19.933333333333334</v>
      </c>
      <c r="AI51" s="14">
        <f>IF('Données projet'!$A$62&gt;35,AI50+AH51-AQ50,IF(A51&lt;'Données projet'!$A$62,$AF$205^A51,IF(A51='Données projet'!$A$62,'Données projet'!$B$62,AI50+AH51-AQ50)))</f>
        <v>537.80000000000007</v>
      </c>
      <c r="AJ51" s="14">
        <f>AI51*VLOOKUP('Données projet'!$B$10,Paramètres!$A$1:$I$88,3,0)*VLOOKUP('Données projet'!$B$10,Paramètres!$A$1:$I$88,5,0)</f>
        <v>258.68180000000001</v>
      </c>
      <c r="AK51" s="14">
        <f t="shared" si="35"/>
        <v>62.441307917029441</v>
      </c>
      <c r="AL51" s="22">
        <f t="shared" si="4"/>
        <v>559.28941295549305</v>
      </c>
      <c r="AM51" s="62">
        <f t="shared" si="5"/>
        <v>852.62274628882642</v>
      </c>
      <c r="AN51" s="62">
        <f ca="1">AVERAGE(OFFSET($AM$3,0,0,'Données projet'!$E$10+1,1))-AVERAGE(OFFSET($H$3,0,0,'Données projet'!$E$10+1,1))</f>
        <v>576.61210817354549</v>
      </c>
      <c r="AO51" s="62">
        <f t="shared" si="36"/>
        <v>343.9428747444544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projet'!$B$10,Paramètres!$A$1:$I$88,7,0))</f>
        <v>0</v>
      </c>
      <c r="AS51" s="17">
        <f>IF(ISNA(VLOOKUP(A51,'Données projet'!$A$61:$I$81,6,0)),0%,VLOOKUP(A51,'Données projet'!$A$61:$I$81,6,0)*VLOOKUP('Données projet'!$B$10,Paramètres!$A$1:$I$88,7,0))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projet'!$B$10,Paramètres!$A$1:$I$88,3,0)*0.475*44/12</f>
        <v>0</v>
      </c>
      <c r="AV51" s="23">
        <f>EXP(-LN(2)/25)*AV50+(1-EXP(-LN(2)/25))/(LN(2)/25)*Calculateur!AQ51*Calculateur!AS51*VLOOKUP('Données projet'!$B$10,Paramètres!$A$1:$I$88,3,0)*0.475*44/12</f>
        <v>3.4379232878760244</v>
      </c>
      <c r="AW51" s="23">
        <f>EXP(-LN(2)/2)*AW50+(1-EXP(-LN(2)/2))/(LN(2)/2)*AQ51*AT51*VLOOKUP('Données projet'!$B$10,Paramètres!$A$1:$I$88,3,0)*0.475*44/12</f>
        <v>2.2975470074962839E-2</v>
      </c>
      <c r="AX51" s="23">
        <f t="shared" si="6"/>
        <v>3.4608987579509871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8.5399999999999974</v>
      </c>
      <c r="BD51" s="13">
        <f>IF('Données projet'!$A$88&gt;35,BD50+BC51-BL50,IF(A51&lt;'Données projet'!$A$88,$BA$205^A51,IF(A51='Données projet'!$A$88,'Données projet'!$B$88,BD50+BC51-BL50)))</f>
        <v>243.61999999999995</v>
      </c>
      <c r="BE51" s="14">
        <f>BD51*VLOOKUP('Données projet'!$B$11,Paramètres!$A$1:$I$88,3,0)*VLOOKUP('Données projet'!$B$11,Paramètres!$A$1:$I$88,5,0)</f>
        <v>193.82407199999997</v>
      </c>
      <c r="BF51" s="14">
        <f t="shared" si="37"/>
        <v>48.384417879329099</v>
      </c>
      <c r="BG51" s="22">
        <f t="shared" si="7"/>
        <v>421.84645320649815</v>
      </c>
      <c r="BH51" s="62">
        <f t="shared" si="8"/>
        <v>715.17978653983141</v>
      </c>
      <c r="BI51" s="62">
        <f ca="1">AVERAGE(OFFSET($BH$3,0,0,'Données projet'!$E$11+1,1))-AVERAGE(OFFSET($H$3,0,0,'Données projet'!$E$11+1,1))</f>
        <v>298.38448036212861</v>
      </c>
      <c r="BJ51" s="62">
        <f t="shared" si="38"/>
        <v>270.4445531106897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projet'!$B$11,Paramètres!$A$1:$I$88,7,0))</f>
        <v>0</v>
      </c>
      <c r="BN51" s="17">
        <f>IF(ISNA(VLOOKUP(A51,'Données projet'!$A$87:$I$107,6,0)),0%,VLOOKUP(A51,'Données projet'!$A$87:$I$107,6,0)*VLOOKUP('Données projet'!$B$11,Paramètres!$A$1:$I$88,7,0))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projet'!$B$11,Paramètres!$A$1:$I$88,3,0)*0.475*44/12</f>
        <v>0</v>
      </c>
      <c r="BQ51" s="23">
        <f>EXP(-LN(2)/25)*BQ50+(1-EXP(-LN(2)/25))/(LN(2)/25)*Calculateur!BL51*Calculateur!BN51*VLOOKUP('Données projet'!$B$11,Paramètres!$A$1:$I$88,3,0)*0.475*44/12</f>
        <v>0</v>
      </c>
      <c r="BR51" s="23">
        <f>EXP(-LN(2)/2)*BR50+(1-EXP(-LN(2)/2))/(LN(2)/2)*BL51*BO51*VLOOKUP('Données projet'!$B$11,Paramètres!$A$1:$I$88,3,0)*0.475*44/12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10.375</v>
      </c>
      <c r="BY51" s="13">
        <f>IF('Données projet'!$A$114&gt;35,BY50+BX51-CG50,IF(A51&lt;'Données projet'!$A$114,$BV$205^A51,IF(A51='Données projet'!$A$114,'Données projet'!$B$114,BY50+BX51-CG50)))</f>
        <v>228.49999999999991</v>
      </c>
      <c r="BZ51" s="14">
        <f>BY51*VLOOKUP('Données projet'!$B$12,Paramètres!$A$1:$I$88,3,0)*VLOOKUP('Données projet'!$B$12,Paramètres!$A$1:$I$88,5,0)</f>
        <v>178.22999999999993</v>
      </c>
      <c r="CA51" s="14">
        <f t="shared" si="39"/>
        <v>44.928167580487852</v>
      </c>
      <c r="CB51" s="22">
        <f t="shared" si="10"/>
        <v>388.66714186934951</v>
      </c>
      <c r="CC51" s="62">
        <f t="shared" si="11"/>
        <v>682.00047520268276</v>
      </c>
      <c r="CD51" s="62">
        <f ca="1">AVERAGE(OFFSET($CC$3,0,0,'Données projet'!$E$12+1,1))-AVERAGE(OFFSET($H$3,0,0,'Données projet'!$E$12+1,1))</f>
        <v>217.32600829266818</v>
      </c>
      <c r="CE51" s="62">
        <f t="shared" si="40"/>
        <v>208.79744153433245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projet'!$B$12,Paramètres!$A$1:$I$88,7,0))</f>
        <v>0</v>
      </c>
      <c r="CI51" s="17">
        <f>IF(ISNA(VLOOKUP(A51,'Données projet'!$A$113:$I$133,6,0)),0%,VLOOKUP(A51,'Données projet'!$A$113:$I$133,6,0)*VLOOKUP('Données projet'!$B$12,Paramètres!$A$1:$I$88,7,0))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projet'!$B$12,Paramètres!$A$1:$I$88,3,0)*0.475*44/12</f>
        <v>0</v>
      </c>
      <c r="CL51" s="23">
        <f>EXP(-LN(2)/25)*CL50+(1-EXP(-LN(2)/25))/(LN(2)/25)*Calculateur!CG51*Calculateur!CI51*VLOOKUP('Données projet'!$B$12,Paramètres!$A$1:$I$88,3,0)*0.475*44/12</f>
        <v>0</v>
      </c>
      <c r="CM51" s="23">
        <f>EXP(-LN(2)/2)*CM50+(1-EXP(-LN(2)/2))/(LN(2)/2)*CG51*CJ51*VLOOKUP('Données projet'!$B$12,Paramètres!$A$1:$I$88,3,0)*0.475*44/12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18.714285714285715</v>
      </c>
      <c r="CT51" s="13">
        <f>IF('Données projet'!$A$140&gt;35,CT50+CS51-DB50,IF(A51&lt;'Données projet'!$A$140,$CQ$205^A51,IF(A51='Données projet'!$A$140,'Données projet'!$B$140,CT50+CS51-DB50)))</f>
        <v>454.28571428571411</v>
      </c>
      <c r="CU51" s="18">
        <f>CT51*VLOOKUP('Données projet'!$B$13,Paramètres!$A$1:$I$88,3,0)*VLOOKUP('Données projet'!$B$13,Paramètres!$A$1:$I$88,5,0)</f>
        <v>253.94571428571419</v>
      </c>
      <c r="CV51" s="14">
        <f t="shared" si="41"/>
        <v>61.430084594341928</v>
      </c>
      <c r="CW51" s="22">
        <f t="shared" si="13"/>
        <v>549.27951638276431</v>
      </c>
      <c r="CX51" s="62">
        <f t="shared" si="14"/>
        <v>842.61284971609757</v>
      </c>
      <c r="CY51" s="62">
        <f ca="1">AVERAGE(OFFSET($CX$3,0,0,'Données projet'!$E$13+1,1))-AVERAGE(OFFSET($H$3,0,0,'Données projet'!$E$13+1,1))</f>
        <v>302.20483575440988</v>
      </c>
      <c r="CZ51" s="62">
        <f t="shared" si="42"/>
        <v>275.32862097158687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projet'!$B$13,Paramètres!$A$1:$I$88,7,0))</f>
        <v>0</v>
      </c>
      <c r="DD51" s="17">
        <f>IF(ISNA(VLOOKUP(A51,'Données projet'!$A$139:$I$159,6,0)),0%,VLOOKUP(A51,'Données projet'!$A$139:$I$159,6,0)*VLOOKUP('Données projet'!$B$13,Paramètres!$A$1:$I$88,7,0))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projet'!$B$13,Paramètres!$A$1:$I$88,3,0)*0.475*44/12</f>
        <v>0</v>
      </c>
      <c r="DG51" s="23">
        <f>EXP(-LN(2)/25)*DG50+(1-EXP(-LN(2)/25))/(LN(2)/25)*Calculateur!DB51*Calculateur!DD51*VLOOKUP('Données projet'!$B$13,Paramètres!$A$1:$I$88,3,0)*0.475*44/12</f>
        <v>8.394472771382075</v>
      </c>
      <c r="DH51" s="23">
        <f>EXP(-LN(2)/2)*DH50+(1-EXP(-LN(2)/2))/(LN(2)/2)*DB51*DE51*VLOOKUP('Données projet'!$B$13,Paramètres!$A$1:$I$88,3,0)*0.475*44/12</f>
        <v>1.3243921288150134E-2</v>
      </c>
      <c r="DI51" s="24">
        <f t="shared" si="15"/>
        <v>8.4077166926702258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projet'!$B$14,Paramètres!$A$1:$I$88,3,0)*VLOOKUP('Données projet'!$B$14,Paramètres!$A$1:$I$88,5,0)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projet'!$B$14,Paramètres!$A$1:$I$88,7,0))</f>
        <v>0</v>
      </c>
      <c r="DY51" s="17">
        <f>IF(ISNA(VLOOKUP(A51,'Données projet'!$A$165:$I$185,6,0)),0%,VLOOKUP(A51,'Données projet'!$A$165:$I$185,6,0)*VLOOKUP('Données projet'!$B$14,Paramètres!$A$1:$I$88,7,0))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projet'!$B$14,Paramètres!$A$1:$I$88,3,0)*0.475*44/12</f>
        <v>#N/A</v>
      </c>
      <c r="EB51" s="23" t="e">
        <f>EXP(-LN(2)/25)*EB50+(1-EXP(-LN(2)/25))/(LN(2)/25)*Calculateur!DW51*Calculateur!DY51*VLOOKUP('Données projet'!$B$14,Paramètres!$A$1:$I$88,3,0)*0.475*44/12</f>
        <v>#N/A</v>
      </c>
      <c r="EC51" s="23" t="e">
        <f>EXP(-LN(2)/2)*EC50+(1-EXP(-LN(2)/2))/(LN(2)/2)*DW51*DZ51*VLOOKUP('Données projet'!$B$14,Paramètres!$A$1:$I$88,3,0)*0.475*44/12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projet'!$B$15,Paramètres!$A$1:$I$88,3,0)*VLOOKUP('Données projet'!$B$15,Paramètres!$A$1:$I$88,5,0)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projet'!$B$15,Paramètres!$A$1:$I$88,7,0))</f>
        <v>0</v>
      </c>
      <c r="ET51" s="17">
        <f>IF(ISNA(VLOOKUP(A51,'Données projet'!$A$191:$I$211,6,0)),0%,VLOOKUP(A51,'Données projet'!$A$191:$I$211,6,0)*VLOOKUP('Données projet'!$B$15,Paramètres!$A$1:$I$88,7,0))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projet'!$B$15,Paramètres!$A$1:$I$88,3,0)*0.475*44/12</f>
        <v>#N/A</v>
      </c>
      <c r="EW51" s="23" t="e">
        <f>EXP(-LN(2)/25)*EW50+(1-EXP(-LN(2)/25))/(LN(2)/25)*Calculateur!ER51*Calculateur!ET51*VLOOKUP('Données projet'!$B$15,Paramètres!$A$1:$I$88,3,0)*0.475*44/12</f>
        <v>#N/A</v>
      </c>
      <c r="EX51" s="23" t="e">
        <f>EXP(-LN(2)/2)*EX50+(1-EXP(-LN(2)/2))/(LN(2)/2)*ER51*EU51*VLOOKUP('Données projet'!$B$15,Paramètres!$A$1:$I$88,3,0)*0.475*44/12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projet'!$B$16,Paramètres!$A$1:$I$88,3,0)*VLOOKUP('Données projet'!$B$16,Paramètres!$A$1:$I$88,5,0)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projet'!$B$16,Paramètres!$A$1:$I$88,7,0))</f>
        <v>0</v>
      </c>
      <c r="FO51" s="17">
        <f>IF(ISNA(VLOOKUP(A51,'Données projet'!$A$217:$I$237,6,0)),0%,VLOOKUP(A51,'Données projet'!$A$217:$I$237,6,0)*VLOOKUP('Données projet'!$B$16,Paramètres!$A$1:$I$88,7,0))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projet'!$B$16,Paramètres!$A$1:$I$88,3,0)*0.475*44/12</f>
        <v>#N/A</v>
      </c>
      <c r="FR51" s="23" t="e">
        <f>EXP(-LN(2)/25)*FR50+(1-EXP(-LN(2)/25))/(LN(2)/25)*Calculateur!FM51*Calculateur!FO51*VLOOKUP('Données projet'!$B$16,Paramètres!$A$1:$I$88,3,0)*0.475*44/12</f>
        <v>#N/A</v>
      </c>
      <c r="FS51" s="23" t="e">
        <f>EXP(-LN(2)/2)*FS50+(1-EXP(-LN(2)/2))/(LN(2)/2)*FM51*FP51*VLOOKUP('Données projet'!$B$16,Paramètres!$A$1:$I$88,3,0)*0.475*44/12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projet'!$B$17,Paramètres!$A$1:$I$88,3,0)*VLOOKUP('Données projet'!$B$17,Paramètres!$A$1:$I$88,5,0)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projet'!$B$17,Paramètres!$A$1:$I$88,7,0))</f>
        <v>0</v>
      </c>
      <c r="GJ51" s="17">
        <f>IF(ISNA(VLOOKUP(A51,'Données projet'!$A$243:$I$263,6,0)),0%,VLOOKUP(A51,'Données projet'!$A$243:$I$263,6,0)*VLOOKUP('Données projet'!$B$17,Paramètres!$A$1:$I$88,7,0))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projet'!$B$17,Paramètres!$A$1:$I$88,3,0)*0.475*44/12</f>
        <v>#N/A</v>
      </c>
      <c r="GM51" s="23" t="e">
        <f>EXP(-LN(2)/25)*GM50+(1-EXP(-LN(2)/25))/(LN(2)/25)*Calculateur!GH51*Calculateur!GJ51*VLOOKUP('Données projet'!$B$17,Paramètres!$A$1:$I$88,3,0)*0.475*44/12</f>
        <v>#N/A</v>
      </c>
      <c r="GN51" s="23" t="e">
        <f>EXP(-LN(2)/2)*GN50+(1-EXP(-LN(2)/2))/(LN(2)/2)*GH51*GK51*VLOOKUP('Données projet'!$B$17,Paramètres!$A$1:$I$88,3,0)*0.475*44/12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projet'!$B$18,Paramètres!$A$1:$I$88,3,0)*VLOOKUP('Données projet'!$B$18,Paramètres!$A$1:$I$88,5,0)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projet'!$B$18,Paramètres!$A$1:$I$88,7,0))</f>
        <v>0</v>
      </c>
      <c r="HE51" s="17">
        <f>IF(ISNA(VLOOKUP(A51,'Données projet'!$A$269:$I$289,6,0)),0%,VLOOKUP(A51,'Données projet'!$A$269:$I$289,6,0)*VLOOKUP('Données projet'!$B$18,Paramètres!$A$1:$I$88,7,0))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projet'!$B$18,Paramètres!$A$1:$I$88,3,0)*0.475*44/12</f>
        <v>#N/A</v>
      </c>
      <c r="HH51" s="23" t="e">
        <f>EXP(-LN(2)/25)*HH50+(1-EXP(-LN(2)/25))/(LN(2)/25)*Calculateur!HC51*Calculateur!HE51*VLOOKUP('Données projet'!$B$18,Paramètres!$A$1:$I$88,3,0)*0.475*44/12</f>
        <v>#N/A</v>
      </c>
      <c r="HI51" s="23" t="e">
        <f>EXP(-LN(2)/2)*HI50+(1-EXP(-LN(2)/2))/(LN(2)/2)*HC51*HF51*VLOOKUP('Données projet'!$B$18,Paramètres!$A$1:$I$88,3,0)*0.475*44/12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9.75</v>
      </c>
      <c r="N52" s="14">
        <f>IF('Données projet'!$A$36&gt;35,N51+M52-V51,IF(A52&lt;'Données projet'!$A$36,$K$205^A52,IF(A52='Données projet'!$A$36,'Données projet'!$B$36,N51+M52-V51)))</f>
        <v>196.75</v>
      </c>
      <c r="O52" s="14">
        <f>N52*VLOOKUP('Données projet'!$B$9,Paramètres!$A$1:$I$88,3,0)*VLOOKUP('Données projet'!$B$9,Paramètres!$A$1:$I$88,5,0)</f>
        <v>122.77200000000001</v>
      </c>
      <c r="P52" s="14">
        <f t="shared" si="33"/>
        <v>32.320660955470466</v>
      </c>
      <c r="Q52" s="22">
        <f t="shared" si="53"/>
        <v>270.11971783077774</v>
      </c>
      <c r="R52" s="62">
        <f t="shared" si="0"/>
        <v>563.453051164111</v>
      </c>
      <c r="S52" s="62">
        <f ca="1">AVERAGE(OFFSET($R$3,0,0,'Données projet'!$E$9+1,1))-AVERAGE(OFFSET($H$3,0,0,'Données projet'!$E$9+1,1))</f>
        <v>175.05987582828078</v>
      </c>
      <c r="T52" s="62">
        <f t="shared" si="34"/>
        <v>268.54782308462387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projet'!$B$9,Paramètres!$A$1:$I$88,7,0))</f>
        <v>0</v>
      </c>
      <c r="X52" s="17">
        <f>IF(ISNA(VLOOKUP(A52,'Données projet'!$A$35:$I$55,6,0)),0%,VLOOKUP(A52,'Données projet'!$A$35:$I$55,6,0)*VLOOKUP('Données projet'!$B$9,Paramètres!$A$1:$I$88,7,0))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projet'!$B$9,Paramètres!$A$1:$I$88,3,0)*0.475*44/12</f>
        <v>0</v>
      </c>
      <c r="AA52" s="23">
        <f>EXP(-LN(2)/25)*AA51+(1-EXP(-LN(2)/25))/(LN(2)/25)*Calculateur!V52*Calculateur!X52*VLOOKUP('Données projet'!$B$9,Paramètres!$A$1:$I$88,3,0)*0.475*44/12</f>
        <v>6.0794396800048034</v>
      </c>
      <c r="AB52" s="23">
        <f>EXP(-LN(2)/2)*AB51+(1-EXP(-LN(2)/2))/(LN(2)/2)*V52*Y52*VLOOKUP('Données projet'!$B$9,Paramètres!$A$1:$I$88,3,0)*0.475*44/12</f>
        <v>2.2813612412224737E-2</v>
      </c>
      <c r="AC52" s="24">
        <f t="shared" si="3"/>
        <v>6.1022532924170285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19.933333333333334</v>
      </c>
      <c r="AI52" s="14">
        <f>IF('Données projet'!$A$62&gt;35,AI51+AH52-AQ51,IF(A52&lt;'Données projet'!$A$62,$AF$205^A52,IF(A52='Données projet'!$A$62,'Données projet'!$B$62,AI51+AH52-AQ51)))</f>
        <v>557.73333333333335</v>
      </c>
      <c r="AJ52" s="14">
        <f>AI52*VLOOKUP('Données projet'!$B$10,Paramètres!$A$1:$I$88,3,0)*VLOOKUP('Données projet'!$B$10,Paramètres!$A$1:$I$88,5,0)</f>
        <v>268.26973333333336</v>
      </c>
      <c r="AK52" s="14">
        <f t="shared" si="35"/>
        <v>64.481925748048951</v>
      </c>
      <c r="AL52" s="22">
        <f t="shared" si="4"/>
        <v>579.54247290007413</v>
      </c>
      <c r="AM52" s="62">
        <f t="shared" si="5"/>
        <v>872.8758062334075</v>
      </c>
      <c r="AN52" s="62">
        <f ca="1">AVERAGE(OFFSET($AM$3,0,0,'Données projet'!$E$10+1,1))-AVERAGE(OFFSET($H$3,0,0,'Données projet'!$E$10+1,1))</f>
        <v>576.61210817354549</v>
      </c>
      <c r="AO52" s="62">
        <f t="shared" si="36"/>
        <v>343.9428747444544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projet'!$B$10,Paramètres!$A$1:$I$88,7,0))</f>
        <v>0</v>
      </c>
      <c r="AS52" s="17">
        <f>IF(ISNA(VLOOKUP(A52,'Données projet'!$A$61:$I$81,6,0)),0%,VLOOKUP(A52,'Données projet'!$A$61:$I$81,6,0)*VLOOKUP('Données projet'!$B$10,Paramètres!$A$1:$I$88,7,0))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projet'!$B$10,Paramètres!$A$1:$I$88,3,0)*0.475*44/12</f>
        <v>0</v>
      </c>
      <c r="AV52" s="23">
        <f>EXP(-LN(2)/25)*AV51+(1-EXP(-LN(2)/25))/(LN(2)/25)*Calculateur!AQ52*Calculateur!AS52*VLOOKUP('Données projet'!$B$10,Paramètres!$A$1:$I$88,3,0)*0.475*44/12</f>
        <v>3.3439130947765263</v>
      </c>
      <c r="AW52" s="23">
        <f>EXP(-LN(2)/2)*AW51+(1-EXP(-LN(2)/2))/(LN(2)/2)*AQ52*AT52*VLOOKUP('Données projet'!$B$10,Paramètres!$A$1:$I$88,3,0)*0.475*44/12</f>
        <v>1.6246110690954819E-2</v>
      </c>
      <c r="AX52" s="23">
        <f t="shared" si="6"/>
        <v>3.3601592054674811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8.5399999999999974</v>
      </c>
      <c r="BD52" s="13">
        <f>IF('Données projet'!$A$88&gt;35,BD51+BC52-BL51,IF(A52&lt;'Données projet'!$A$88,$BA$205^A52,IF(A52='Données projet'!$A$88,'Données projet'!$B$88,BD51+BC52-BL51)))</f>
        <v>252.15999999999994</v>
      </c>
      <c r="BE52" s="14">
        <f>BD52*VLOOKUP('Données projet'!$B$11,Paramètres!$A$1:$I$88,3,0)*VLOOKUP('Données projet'!$B$11,Paramètres!$A$1:$I$88,5,0)</f>
        <v>200.61849599999994</v>
      </c>
      <c r="BF52" s="14">
        <f t="shared" si="37"/>
        <v>49.880069989874251</v>
      </c>
      <c r="BG52" s="22">
        <f t="shared" si="7"/>
        <v>436.28500243236414</v>
      </c>
      <c r="BH52" s="62">
        <f t="shared" si="8"/>
        <v>729.61833576569745</v>
      </c>
      <c r="BI52" s="62">
        <f ca="1">AVERAGE(OFFSET($BH$3,0,0,'Données projet'!$E$11+1,1))-AVERAGE(OFFSET($H$3,0,0,'Données projet'!$E$11+1,1))</f>
        <v>298.38448036212861</v>
      </c>
      <c r="BJ52" s="62">
        <f t="shared" si="38"/>
        <v>270.4445531106897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projet'!$B$11,Paramètres!$A$1:$I$88,7,0))</f>
        <v>0</v>
      </c>
      <c r="BN52" s="17">
        <f>IF(ISNA(VLOOKUP(A52,'Données projet'!$A$87:$I$107,6,0)),0%,VLOOKUP(A52,'Données projet'!$A$87:$I$107,6,0)*VLOOKUP('Données projet'!$B$11,Paramètres!$A$1:$I$88,7,0))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projet'!$B$11,Paramètres!$A$1:$I$88,3,0)*0.475*44/12</f>
        <v>0</v>
      </c>
      <c r="BQ52" s="23">
        <f>EXP(-LN(2)/25)*BQ51+(1-EXP(-LN(2)/25))/(LN(2)/25)*Calculateur!BL52*Calculateur!BN52*VLOOKUP('Données projet'!$B$11,Paramètres!$A$1:$I$88,3,0)*0.475*44/12</f>
        <v>0</v>
      </c>
      <c r="BR52" s="23">
        <f>EXP(-LN(2)/2)*BR51+(1-EXP(-LN(2)/2))/(LN(2)/2)*BL52*BO52*VLOOKUP('Données projet'!$B$11,Paramètres!$A$1:$I$88,3,0)*0.475*44/12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10.375</v>
      </c>
      <c r="BY52" s="13">
        <f>IF('Données projet'!$A$114&gt;35,BY51+BX52-CG51,IF(A52&lt;'Données projet'!$A$114,$BV$205^A52,IF(A52='Données projet'!$A$114,'Données projet'!$B$114,BY51+BX52-CG51)))</f>
        <v>238.87499999999991</v>
      </c>
      <c r="BZ52" s="14">
        <f>BY52*VLOOKUP('Données projet'!$B$12,Paramètres!$A$1:$I$88,3,0)*VLOOKUP('Données projet'!$B$12,Paramètres!$A$1:$I$88,5,0)</f>
        <v>186.32249999999993</v>
      </c>
      <c r="CA52" s="14">
        <f t="shared" si="39"/>
        <v>46.725987276254116</v>
      </c>
      <c r="CB52" s="22">
        <f t="shared" si="10"/>
        <v>405.8927820061424</v>
      </c>
      <c r="CC52" s="62">
        <f t="shared" si="11"/>
        <v>699.22611533947565</v>
      </c>
      <c r="CD52" s="62">
        <f ca="1">AVERAGE(OFFSET($CC$3,0,0,'Données projet'!$E$12+1,1))-AVERAGE(OFFSET($H$3,0,0,'Données projet'!$E$12+1,1))</f>
        <v>217.32600829266818</v>
      </c>
      <c r="CE52" s="62">
        <f t="shared" si="40"/>
        <v>208.79744153433245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projet'!$B$12,Paramètres!$A$1:$I$88,7,0))</f>
        <v>0</v>
      </c>
      <c r="CI52" s="17">
        <f>IF(ISNA(VLOOKUP(A52,'Données projet'!$A$113:$I$133,6,0)),0%,VLOOKUP(A52,'Données projet'!$A$113:$I$133,6,0)*VLOOKUP('Données projet'!$B$12,Paramètres!$A$1:$I$88,7,0))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projet'!$B$12,Paramètres!$A$1:$I$88,3,0)*0.475*44/12</f>
        <v>0</v>
      </c>
      <c r="CL52" s="23">
        <f>EXP(-LN(2)/25)*CL51+(1-EXP(-LN(2)/25))/(LN(2)/25)*Calculateur!CG52*Calculateur!CI52*VLOOKUP('Données projet'!$B$12,Paramètres!$A$1:$I$88,3,0)*0.475*44/12</f>
        <v>0</v>
      </c>
      <c r="CM52" s="23">
        <f>EXP(-LN(2)/2)*CM51+(1-EXP(-LN(2)/2))/(LN(2)/2)*CG52*CJ52*VLOOKUP('Données projet'!$B$12,Paramètres!$A$1:$I$88,3,0)*0.475*44/12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>
        <f>VLOOKUP(A52,'Données projet'!$A$139:$I$159,2,0)</f>
        <v>473</v>
      </c>
      <c r="CR52" s="13">
        <f>VLOOKUP(A52,'Données projet'!$A$139:$I$159,9,0)</f>
        <v>18.714285714285715</v>
      </c>
      <c r="CS52" s="13">
        <f t="array" ref="CS52">INDEX(CR:CR,MIN(IF(ISNUMBER(CR52:CR248),ROW(CR52:CR248),"")))</f>
        <v>18.714285714285715</v>
      </c>
      <c r="CT52" s="13">
        <f>IF('Données projet'!$A$140&gt;35,CT51+CS52-DB51,IF(A52&lt;'Données projet'!$A$140,$CQ$205^A52,IF(A52='Données projet'!$A$140,'Données projet'!$B$140,CT51+CS52-DB51)))</f>
        <v>472.99999999999983</v>
      </c>
      <c r="CU52" s="18">
        <f>CT52*VLOOKUP('Données projet'!$B$13,Paramètres!$A$1:$I$88,3,0)*VLOOKUP('Données projet'!$B$13,Paramètres!$A$1:$I$88,5,0)</f>
        <v>264.40699999999993</v>
      </c>
      <c r="CV52" s="14">
        <f t="shared" si="41"/>
        <v>63.660851355620842</v>
      </c>
      <c r="CW52" s="22">
        <f t="shared" si="13"/>
        <v>571.38484111103946</v>
      </c>
      <c r="CX52" s="62">
        <f t="shared" si="14"/>
        <v>864.71817444437283</v>
      </c>
      <c r="CY52" s="62">
        <f ca="1">AVERAGE(OFFSET($CX$3,0,0,'Données projet'!$E$13+1,1))-AVERAGE(OFFSET($H$3,0,0,'Données projet'!$E$13+1,1))</f>
        <v>302.20483575440988</v>
      </c>
      <c r="CZ52" s="62">
        <f t="shared" si="42"/>
        <v>275.32862097158687</v>
      </c>
      <c r="DA52" s="16">
        <f>IF(ISNA(VLOOKUP(A52,'Données projet'!$A$139:$I$159,3,0)),0,VLOOKUP(A52,'Données projet'!$A$139:$I$159,3,0))</f>
        <v>5</v>
      </c>
      <c r="DB52" s="16">
        <f>IF(ISNA(VLOOKUP(A52,'Données projet'!$A$139:$I$159,4,0)),0,VLOOKUP(A52,'Données projet'!$A$139:$I$159,4,0))</f>
        <v>80</v>
      </c>
      <c r="DC52" s="17">
        <f>IF(ISNA(VLOOKUP(A52,'Données projet'!$A$139:$I$159,5,0)),0%,VLOOKUP(A52,'Données projet'!$A$139:$I$159,5,0)*VLOOKUP('Données projet'!$B$13,Paramètres!$A$1:$I$88,7,0))</f>
        <v>0</v>
      </c>
      <c r="DD52" s="17">
        <f>IF(ISNA(VLOOKUP(A52,'Données projet'!$A$139:$I$159,6,0)),0%,VLOOKUP(A52,'Données projet'!$A$139:$I$159,6,0)*VLOOKUP('Données projet'!$B$13,Paramètres!$A$1:$I$88,7,0))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projet'!$B$13,Paramètres!$A$1:$I$88,3,0)*0.475*44/12</f>
        <v>0</v>
      </c>
      <c r="DG52" s="23">
        <f>EXP(-LN(2)/25)*DG51+(1-EXP(-LN(2)/25))/(LN(2)/25)*Calculateur!DB52*Calculateur!DD52*VLOOKUP('Données projet'!$B$13,Paramètres!$A$1:$I$88,3,0)*0.475*44/12</f>
        <v>8.1649254720024942</v>
      </c>
      <c r="DH52" s="23">
        <f>EXP(-LN(2)/2)*DH51+(1-EXP(-LN(2)/2))/(LN(2)/2)*DB52*DE52*VLOOKUP('Données projet'!$B$13,Paramètres!$A$1:$I$88,3,0)*0.475*44/12</f>
        <v>9.3648665523518356E-3</v>
      </c>
      <c r="DI52" s="24">
        <f t="shared" si="15"/>
        <v>8.1742903385548455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projet'!$B$14,Paramètres!$A$1:$I$88,3,0)*VLOOKUP('Données projet'!$B$14,Paramètres!$A$1:$I$88,5,0)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projet'!$B$14,Paramètres!$A$1:$I$88,7,0))</f>
        <v>0</v>
      </c>
      <c r="DY52" s="17">
        <f>IF(ISNA(VLOOKUP(A52,'Données projet'!$A$165:$I$185,6,0)),0%,VLOOKUP(A52,'Données projet'!$A$165:$I$185,6,0)*VLOOKUP('Données projet'!$B$14,Paramètres!$A$1:$I$88,7,0))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projet'!$B$14,Paramètres!$A$1:$I$88,3,0)*0.475*44/12</f>
        <v>#N/A</v>
      </c>
      <c r="EB52" s="23" t="e">
        <f>EXP(-LN(2)/25)*EB51+(1-EXP(-LN(2)/25))/(LN(2)/25)*Calculateur!DW52*Calculateur!DY52*VLOOKUP('Données projet'!$B$14,Paramètres!$A$1:$I$88,3,0)*0.475*44/12</f>
        <v>#N/A</v>
      </c>
      <c r="EC52" s="23" t="e">
        <f>EXP(-LN(2)/2)*EC51+(1-EXP(-LN(2)/2))/(LN(2)/2)*DW52*DZ52*VLOOKUP('Données projet'!$B$14,Paramètres!$A$1:$I$88,3,0)*0.475*44/12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projet'!$B$15,Paramètres!$A$1:$I$88,3,0)*VLOOKUP('Données projet'!$B$15,Paramètres!$A$1:$I$88,5,0)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projet'!$B$15,Paramètres!$A$1:$I$88,7,0))</f>
        <v>0</v>
      </c>
      <c r="ET52" s="17">
        <f>IF(ISNA(VLOOKUP(A52,'Données projet'!$A$191:$I$211,6,0)),0%,VLOOKUP(A52,'Données projet'!$A$191:$I$211,6,0)*VLOOKUP('Données projet'!$B$15,Paramètres!$A$1:$I$88,7,0))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projet'!$B$15,Paramètres!$A$1:$I$88,3,0)*0.475*44/12</f>
        <v>#N/A</v>
      </c>
      <c r="EW52" s="23" t="e">
        <f>EXP(-LN(2)/25)*EW51+(1-EXP(-LN(2)/25))/(LN(2)/25)*Calculateur!ER52*Calculateur!ET52*VLOOKUP('Données projet'!$B$15,Paramètres!$A$1:$I$88,3,0)*0.475*44/12</f>
        <v>#N/A</v>
      </c>
      <c r="EX52" s="23" t="e">
        <f>EXP(-LN(2)/2)*EX51+(1-EXP(-LN(2)/2))/(LN(2)/2)*ER52*EU52*VLOOKUP('Données projet'!$B$15,Paramètres!$A$1:$I$88,3,0)*0.475*44/12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projet'!$B$16,Paramètres!$A$1:$I$88,3,0)*VLOOKUP('Données projet'!$B$16,Paramètres!$A$1:$I$88,5,0)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projet'!$B$16,Paramètres!$A$1:$I$88,7,0))</f>
        <v>0</v>
      </c>
      <c r="FO52" s="17">
        <f>IF(ISNA(VLOOKUP(A52,'Données projet'!$A$217:$I$237,6,0)),0%,VLOOKUP(A52,'Données projet'!$A$217:$I$237,6,0)*VLOOKUP('Données projet'!$B$16,Paramètres!$A$1:$I$88,7,0))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projet'!$B$16,Paramètres!$A$1:$I$88,3,0)*0.475*44/12</f>
        <v>#N/A</v>
      </c>
      <c r="FR52" s="23" t="e">
        <f>EXP(-LN(2)/25)*FR51+(1-EXP(-LN(2)/25))/(LN(2)/25)*Calculateur!FM52*Calculateur!FO52*VLOOKUP('Données projet'!$B$16,Paramètres!$A$1:$I$88,3,0)*0.475*44/12</f>
        <v>#N/A</v>
      </c>
      <c r="FS52" s="23" t="e">
        <f>EXP(-LN(2)/2)*FS51+(1-EXP(-LN(2)/2))/(LN(2)/2)*FM52*FP52*VLOOKUP('Données projet'!$B$16,Paramètres!$A$1:$I$88,3,0)*0.475*44/12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projet'!$B$17,Paramètres!$A$1:$I$88,3,0)*VLOOKUP('Données projet'!$B$17,Paramètres!$A$1:$I$88,5,0)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projet'!$B$17,Paramètres!$A$1:$I$88,7,0))</f>
        <v>0</v>
      </c>
      <c r="GJ52" s="17">
        <f>IF(ISNA(VLOOKUP(A52,'Données projet'!$A$243:$I$263,6,0)),0%,VLOOKUP(A52,'Données projet'!$A$243:$I$263,6,0)*VLOOKUP('Données projet'!$B$17,Paramètres!$A$1:$I$88,7,0))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projet'!$B$17,Paramètres!$A$1:$I$88,3,0)*0.475*44/12</f>
        <v>#N/A</v>
      </c>
      <c r="GM52" s="23" t="e">
        <f>EXP(-LN(2)/25)*GM51+(1-EXP(-LN(2)/25))/(LN(2)/25)*Calculateur!GH52*Calculateur!GJ52*VLOOKUP('Données projet'!$B$17,Paramètres!$A$1:$I$88,3,0)*0.475*44/12</f>
        <v>#N/A</v>
      </c>
      <c r="GN52" s="23" t="e">
        <f>EXP(-LN(2)/2)*GN51+(1-EXP(-LN(2)/2))/(LN(2)/2)*GH52*GK52*VLOOKUP('Données projet'!$B$17,Paramètres!$A$1:$I$88,3,0)*0.475*44/12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projet'!$B$18,Paramètres!$A$1:$I$88,3,0)*VLOOKUP('Données projet'!$B$18,Paramètres!$A$1:$I$88,5,0)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projet'!$B$18,Paramètres!$A$1:$I$88,7,0))</f>
        <v>0</v>
      </c>
      <c r="HE52" s="17">
        <f>IF(ISNA(VLOOKUP(A52,'Données projet'!$A$269:$I$289,6,0)),0%,VLOOKUP(A52,'Données projet'!$A$269:$I$289,6,0)*VLOOKUP('Données projet'!$B$18,Paramètres!$A$1:$I$88,7,0))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projet'!$B$18,Paramètres!$A$1:$I$88,3,0)*0.475*44/12</f>
        <v>#N/A</v>
      </c>
      <c r="HH52" s="23" t="e">
        <f>EXP(-LN(2)/25)*HH51+(1-EXP(-LN(2)/25))/(LN(2)/25)*Calculateur!HC52*Calculateur!HE52*VLOOKUP('Données projet'!$B$18,Paramètres!$A$1:$I$88,3,0)*0.475*44/12</f>
        <v>#N/A</v>
      </c>
      <c r="HI52" s="23" t="e">
        <f>EXP(-LN(2)/2)*HI51+(1-EXP(-LN(2)/2))/(LN(2)/2)*HC52*HF52*VLOOKUP('Données projet'!$B$18,Paramètres!$A$1:$I$88,3,0)*0.475*44/12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9.75</v>
      </c>
      <c r="N53" s="14">
        <f>IF('Données projet'!$A$36&gt;35,N52+M53-V52,IF(A53&lt;'Données projet'!$A$36,$K$205^A53,IF(A53='Données projet'!$A$36,'Données projet'!$B$36,N52+M53-V52)))</f>
        <v>206.5</v>
      </c>
      <c r="O53" s="14">
        <f>N53*VLOOKUP('Données projet'!$B$9,Paramètres!$A$1:$I$88,3,0)*VLOOKUP('Données projet'!$B$9,Paramètres!$A$1:$I$88,5,0)</f>
        <v>128.85599999999999</v>
      </c>
      <c r="P53" s="14">
        <f t="shared" si="33"/>
        <v>33.731878688740906</v>
      </c>
      <c r="Q53" s="22">
        <f t="shared" si="53"/>
        <v>283.1738887162237</v>
      </c>
      <c r="R53" s="62">
        <f t="shared" si="0"/>
        <v>576.50722204955696</v>
      </c>
      <c r="S53" s="62">
        <f ca="1">AVERAGE(OFFSET($R$3,0,0,'Données projet'!$E$9+1,1))-AVERAGE(OFFSET($H$3,0,0,'Données projet'!$E$9+1,1))</f>
        <v>175.05987582828078</v>
      </c>
      <c r="T53" s="62">
        <f t="shared" si="34"/>
        <v>268.54782308462387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projet'!$B$9,Paramètres!$A$1:$I$88,7,0))</f>
        <v>0</v>
      </c>
      <c r="X53" s="17">
        <f>IF(ISNA(VLOOKUP(A53,'Données projet'!$A$35:$I$55,6,0)),0%,VLOOKUP(A53,'Données projet'!$A$35:$I$55,6,0)*VLOOKUP('Données projet'!$B$9,Paramètres!$A$1:$I$88,7,0))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projet'!$B$9,Paramètres!$A$1:$I$88,3,0)*0.475*44/12</f>
        <v>0</v>
      </c>
      <c r="AA53" s="23">
        <f>EXP(-LN(2)/25)*AA52+(1-EXP(-LN(2)/25))/(LN(2)/25)*Calculateur!V53*Calculateur!X53*VLOOKUP('Données projet'!$B$9,Paramètres!$A$1:$I$88,3,0)*0.475*44/12</f>
        <v>5.9131970822512336</v>
      </c>
      <c r="AB53" s="23">
        <f>EXP(-LN(2)/2)*AB52+(1-EXP(-LN(2)/2))/(LN(2)/2)*V53*Y53*VLOOKUP('Données projet'!$B$9,Paramètres!$A$1:$I$88,3,0)*0.475*44/12</f>
        <v>1.6131660040045702E-2</v>
      </c>
      <c r="AC53" s="24">
        <f t="shared" si="3"/>
        <v>5.929328742291279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19.933333333333334</v>
      </c>
      <c r="AI53" s="14">
        <f>IF('Données projet'!$A$62&gt;35,AI52+AH53-AQ52,IF(A53&lt;'Données projet'!$A$62,$AF$205^A53,IF(A53='Données projet'!$A$62,'Données projet'!$B$62,AI52+AH53-AQ52)))</f>
        <v>577.66666666666663</v>
      </c>
      <c r="AJ53" s="14">
        <f>AI53*VLOOKUP('Données projet'!$B$10,Paramètres!$A$1:$I$88,3,0)*VLOOKUP('Données projet'!$B$10,Paramètres!$A$1:$I$88,5,0)</f>
        <v>277.85766666666666</v>
      </c>
      <c r="AK53" s="14">
        <f t="shared" si="35"/>
        <v>66.514070083335056</v>
      </c>
      <c r="AL53" s="22">
        <f t="shared" si="4"/>
        <v>599.78077483958634</v>
      </c>
      <c r="AM53" s="62">
        <f t="shared" si="5"/>
        <v>893.11410817291971</v>
      </c>
      <c r="AN53" s="62">
        <f ca="1">AVERAGE(OFFSET($AM$3,0,0,'Données projet'!$E$10+1,1))-AVERAGE(OFFSET($H$3,0,0,'Données projet'!$E$10+1,1))</f>
        <v>576.61210817354549</v>
      </c>
      <c r="AO53" s="62">
        <f t="shared" si="36"/>
        <v>343.9428747444544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projet'!$B$10,Paramètres!$A$1:$I$88,7,0))</f>
        <v>0</v>
      </c>
      <c r="AS53" s="17">
        <f>IF(ISNA(VLOOKUP(A53,'Données projet'!$A$61:$I$81,6,0)),0%,VLOOKUP(A53,'Données projet'!$A$61:$I$81,6,0)*VLOOKUP('Données projet'!$B$10,Paramètres!$A$1:$I$88,7,0))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projet'!$B$10,Paramètres!$A$1:$I$88,3,0)*0.475*44/12</f>
        <v>0</v>
      </c>
      <c r="AV53" s="23">
        <f>EXP(-LN(2)/25)*AV52+(1-EXP(-LN(2)/25))/(LN(2)/25)*Calculateur!AQ53*Calculateur!AS53*VLOOKUP('Données projet'!$B$10,Paramètres!$A$1:$I$88,3,0)*0.475*44/12</f>
        <v>3.2524736153511151</v>
      </c>
      <c r="AW53" s="23">
        <f>EXP(-LN(2)/2)*AW52+(1-EXP(-LN(2)/2))/(LN(2)/2)*AQ53*AT53*VLOOKUP('Données projet'!$B$10,Paramètres!$A$1:$I$88,3,0)*0.475*44/12</f>
        <v>1.148773503748142E-2</v>
      </c>
      <c r="AX53" s="23">
        <f t="shared" si="6"/>
        <v>3.2639613503885965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260.7</v>
      </c>
      <c r="BB53" s="13">
        <f>VLOOKUP(A53,'Données projet'!$A$87:$I$107,9,0)</f>
        <v>8.5399999999999974</v>
      </c>
      <c r="BC53" s="13">
        <f t="array" ref="BC53">INDEX(BB:BB,MIN(IF(ISNUMBER(BB53:BB249),ROW(BB53:BB249),"")))</f>
        <v>8.5399999999999974</v>
      </c>
      <c r="BD53" s="13">
        <f>IF('Données projet'!$A$88&gt;35,BD52+BC53-BL52,IF(A53&lt;'Données projet'!$A$88,$BA$205^A53,IF(A53='Données projet'!$A$88,'Données projet'!$B$88,BD52+BC53-BL52)))</f>
        <v>260.69999999999993</v>
      </c>
      <c r="BE53" s="14">
        <f>BD53*VLOOKUP('Données projet'!$B$11,Paramètres!$A$1:$I$88,3,0)*VLOOKUP('Données projet'!$B$11,Paramètres!$A$1:$I$88,5,0)</f>
        <v>207.41291999999996</v>
      </c>
      <c r="BF53" s="14">
        <f t="shared" si="37"/>
        <v>51.369836412787073</v>
      </c>
      <c r="BG53" s="22">
        <f t="shared" si="7"/>
        <v>450.7133007522707</v>
      </c>
      <c r="BH53" s="62">
        <f t="shared" si="8"/>
        <v>744.04663408560396</v>
      </c>
      <c r="BI53" s="62">
        <f ca="1">AVERAGE(OFFSET($BH$3,0,0,'Données projet'!$E$11+1,1))-AVERAGE(OFFSET($H$3,0,0,'Données projet'!$E$11+1,1))</f>
        <v>298.38448036212861</v>
      </c>
      <c r="BJ53" s="62">
        <f t="shared" si="38"/>
        <v>270.4445531106897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projet'!$B$11,Paramètres!$A$1:$I$88,7,0))</f>
        <v>0</v>
      </c>
      <c r="BN53" s="17">
        <f>IF(ISNA(VLOOKUP(A53,'Données projet'!$A$87:$I$107,6,0)),0%,VLOOKUP(A53,'Données projet'!$A$87:$I$107,6,0)*VLOOKUP('Données projet'!$B$11,Paramètres!$A$1:$I$88,7,0))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projet'!$B$11,Paramètres!$A$1:$I$88,3,0)*0.475*44/12</f>
        <v>0</v>
      </c>
      <c r="BQ53" s="23">
        <f>EXP(-LN(2)/25)*BQ52+(1-EXP(-LN(2)/25))/(LN(2)/25)*Calculateur!BL53*Calculateur!BN53*VLOOKUP('Données projet'!$B$11,Paramètres!$A$1:$I$88,3,0)*0.475*44/12</f>
        <v>0</v>
      </c>
      <c r="BR53" s="23">
        <f>EXP(-LN(2)/2)*BR52+(1-EXP(-LN(2)/2))/(LN(2)/2)*BL53*BO53*VLOOKUP('Données projet'!$B$11,Paramètres!$A$1:$I$88,3,0)*0.475*44/12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10.375</v>
      </c>
      <c r="BY53" s="13">
        <f>IF('Données projet'!$A$114&gt;35,BY52+BX53-CG52,IF(A53&lt;'Données projet'!$A$114,$BV$205^A53,IF(A53='Données projet'!$A$114,'Données projet'!$B$114,BY52+BX53-CG52)))</f>
        <v>249.24999999999991</v>
      </c>
      <c r="BZ53" s="14">
        <f>BY53*VLOOKUP('Données projet'!$B$12,Paramètres!$A$1:$I$88,3,0)*VLOOKUP('Données projet'!$B$12,Paramètres!$A$1:$I$88,5,0)</f>
        <v>194.41499999999994</v>
      </c>
      <c r="CA53" s="14">
        <f t="shared" si="39"/>
        <v>48.514737888684927</v>
      </c>
      <c r="CB53" s="22">
        <f t="shared" si="10"/>
        <v>423.10262682279273</v>
      </c>
      <c r="CC53" s="62">
        <f t="shared" si="11"/>
        <v>716.43596015612604</v>
      </c>
      <c r="CD53" s="62">
        <f ca="1">AVERAGE(OFFSET($CC$3,0,0,'Données projet'!$E$12+1,1))-AVERAGE(OFFSET($H$3,0,0,'Données projet'!$E$12+1,1))</f>
        <v>217.32600829266818</v>
      </c>
      <c r="CE53" s="62">
        <f t="shared" si="40"/>
        <v>208.79744153433245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projet'!$B$12,Paramètres!$A$1:$I$88,7,0))</f>
        <v>0</v>
      </c>
      <c r="CI53" s="17">
        <f>IF(ISNA(VLOOKUP(A53,'Données projet'!$A$113:$I$133,6,0)),0%,VLOOKUP(A53,'Données projet'!$A$113:$I$133,6,0)*VLOOKUP('Données projet'!$B$12,Paramètres!$A$1:$I$88,7,0))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projet'!$B$12,Paramètres!$A$1:$I$88,3,0)*0.475*44/12</f>
        <v>0</v>
      </c>
      <c r="CL53" s="23">
        <f>EXP(-LN(2)/25)*CL52+(1-EXP(-LN(2)/25))/(LN(2)/25)*Calculateur!CG53*Calculateur!CI53*VLOOKUP('Données projet'!$B$12,Paramètres!$A$1:$I$88,3,0)*0.475*44/12</f>
        <v>0</v>
      </c>
      <c r="CM53" s="23">
        <f>EXP(-LN(2)/2)*CM52+(1-EXP(-LN(2)/2))/(LN(2)/2)*CG53*CJ53*VLOOKUP('Données projet'!$B$12,Paramètres!$A$1:$I$88,3,0)*0.475*44/12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17.285714285714285</v>
      </c>
      <c r="CT53" s="13">
        <f>IF('Données projet'!$A$140&gt;35,CT52+CS53-DB52,IF(A53&lt;'Données projet'!$A$140,$CQ$205^A53,IF(A53='Données projet'!$A$140,'Données projet'!$B$140,CT52+CS53-DB52)))</f>
        <v>410.28571428571411</v>
      </c>
      <c r="CU53" s="18">
        <f>CT53*VLOOKUP('Données projet'!$B$13,Paramètres!$A$1:$I$88,3,0)*VLOOKUP('Données projet'!$B$13,Paramètres!$A$1:$I$88,5,0)</f>
        <v>229.34971428571419</v>
      </c>
      <c r="CV53" s="14">
        <f t="shared" si="41"/>
        <v>56.142051394693567</v>
      </c>
      <c r="CW53" s="22">
        <f t="shared" si="13"/>
        <v>497.23149189337681</v>
      </c>
      <c r="CX53" s="62">
        <f t="shared" si="14"/>
        <v>790.56482522671013</v>
      </c>
      <c r="CY53" s="62">
        <f ca="1">AVERAGE(OFFSET($CX$3,0,0,'Données projet'!$E$13+1,1))-AVERAGE(OFFSET($H$3,0,0,'Données projet'!$E$13+1,1))</f>
        <v>302.20483575440988</v>
      </c>
      <c r="CZ53" s="62">
        <f t="shared" si="42"/>
        <v>275.32862097158687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projet'!$B$13,Paramètres!$A$1:$I$88,7,0))</f>
        <v>0</v>
      </c>
      <c r="DD53" s="17">
        <f>IF(ISNA(VLOOKUP(A53,'Données projet'!$A$139:$I$159,6,0)),0%,VLOOKUP(A53,'Données projet'!$A$139:$I$159,6,0)*VLOOKUP('Données projet'!$B$13,Paramètres!$A$1:$I$88,7,0))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projet'!$B$13,Paramètres!$A$1:$I$88,3,0)*0.475*44/12</f>
        <v>0</v>
      </c>
      <c r="DG53" s="23">
        <f>EXP(-LN(2)/25)*DG52+(1-EXP(-LN(2)/25))/(LN(2)/25)*Calculateur!DB53*Calculateur!DD53*VLOOKUP('Données projet'!$B$13,Paramètres!$A$1:$I$88,3,0)*0.475*44/12</f>
        <v>7.941655155595817</v>
      </c>
      <c r="DH53" s="23">
        <f>EXP(-LN(2)/2)*DH52+(1-EXP(-LN(2)/2))/(LN(2)/2)*DB53*DE53*VLOOKUP('Données projet'!$B$13,Paramètres!$A$1:$I$88,3,0)*0.475*44/12</f>
        <v>6.6219606440750672E-3</v>
      </c>
      <c r="DI53" s="24">
        <f t="shared" si="15"/>
        <v>7.9482771162398924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projet'!$B$14,Paramètres!$A$1:$I$88,3,0)*VLOOKUP('Données projet'!$B$14,Paramètres!$A$1:$I$88,5,0)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projet'!$B$14,Paramètres!$A$1:$I$88,7,0))</f>
        <v>0</v>
      </c>
      <c r="DY53" s="17">
        <f>IF(ISNA(VLOOKUP(A53,'Données projet'!$A$165:$I$185,6,0)),0%,VLOOKUP(A53,'Données projet'!$A$165:$I$185,6,0)*VLOOKUP('Données projet'!$B$14,Paramètres!$A$1:$I$88,7,0))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projet'!$B$14,Paramètres!$A$1:$I$88,3,0)*0.475*44/12</f>
        <v>#N/A</v>
      </c>
      <c r="EB53" s="23" t="e">
        <f>EXP(-LN(2)/25)*EB52+(1-EXP(-LN(2)/25))/(LN(2)/25)*Calculateur!DW53*Calculateur!DY53*VLOOKUP('Données projet'!$B$14,Paramètres!$A$1:$I$88,3,0)*0.475*44/12</f>
        <v>#N/A</v>
      </c>
      <c r="EC53" s="23" t="e">
        <f>EXP(-LN(2)/2)*EC52+(1-EXP(-LN(2)/2))/(LN(2)/2)*DW53*DZ53*VLOOKUP('Données projet'!$B$14,Paramètres!$A$1:$I$88,3,0)*0.475*44/12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projet'!$B$15,Paramètres!$A$1:$I$88,3,0)*VLOOKUP('Données projet'!$B$15,Paramètres!$A$1:$I$88,5,0)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projet'!$B$15,Paramètres!$A$1:$I$88,7,0))</f>
        <v>0</v>
      </c>
      <c r="ET53" s="17">
        <f>IF(ISNA(VLOOKUP(A53,'Données projet'!$A$191:$I$211,6,0)),0%,VLOOKUP(A53,'Données projet'!$A$191:$I$211,6,0)*VLOOKUP('Données projet'!$B$15,Paramètres!$A$1:$I$88,7,0))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projet'!$B$15,Paramètres!$A$1:$I$88,3,0)*0.475*44/12</f>
        <v>#N/A</v>
      </c>
      <c r="EW53" s="23" t="e">
        <f>EXP(-LN(2)/25)*EW52+(1-EXP(-LN(2)/25))/(LN(2)/25)*Calculateur!ER53*Calculateur!ET53*VLOOKUP('Données projet'!$B$15,Paramètres!$A$1:$I$88,3,0)*0.475*44/12</f>
        <v>#N/A</v>
      </c>
      <c r="EX53" s="23" t="e">
        <f>EXP(-LN(2)/2)*EX52+(1-EXP(-LN(2)/2))/(LN(2)/2)*ER53*EU53*VLOOKUP('Données projet'!$B$15,Paramètres!$A$1:$I$88,3,0)*0.475*44/12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projet'!$B$16,Paramètres!$A$1:$I$88,3,0)*VLOOKUP('Données projet'!$B$16,Paramètres!$A$1:$I$88,5,0)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projet'!$B$16,Paramètres!$A$1:$I$88,7,0))</f>
        <v>0</v>
      </c>
      <c r="FO53" s="17">
        <f>IF(ISNA(VLOOKUP(A53,'Données projet'!$A$217:$I$237,6,0)),0%,VLOOKUP(A53,'Données projet'!$A$217:$I$237,6,0)*VLOOKUP('Données projet'!$B$16,Paramètres!$A$1:$I$88,7,0))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projet'!$B$16,Paramètres!$A$1:$I$88,3,0)*0.475*44/12</f>
        <v>#N/A</v>
      </c>
      <c r="FR53" s="23" t="e">
        <f>EXP(-LN(2)/25)*FR52+(1-EXP(-LN(2)/25))/(LN(2)/25)*Calculateur!FM53*Calculateur!FO53*VLOOKUP('Données projet'!$B$16,Paramètres!$A$1:$I$88,3,0)*0.475*44/12</f>
        <v>#N/A</v>
      </c>
      <c r="FS53" s="23" t="e">
        <f>EXP(-LN(2)/2)*FS52+(1-EXP(-LN(2)/2))/(LN(2)/2)*FM53*FP53*VLOOKUP('Données projet'!$B$16,Paramètres!$A$1:$I$88,3,0)*0.475*44/12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projet'!$B$17,Paramètres!$A$1:$I$88,3,0)*VLOOKUP('Données projet'!$B$17,Paramètres!$A$1:$I$88,5,0)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projet'!$B$17,Paramètres!$A$1:$I$88,7,0))</f>
        <v>0</v>
      </c>
      <c r="GJ53" s="17">
        <f>IF(ISNA(VLOOKUP(A53,'Données projet'!$A$243:$I$263,6,0)),0%,VLOOKUP(A53,'Données projet'!$A$243:$I$263,6,0)*VLOOKUP('Données projet'!$B$17,Paramètres!$A$1:$I$88,7,0))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projet'!$B$17,Paramètres!$A$1:$I$88,3,0)*0.475*44/12</f>
        <v>#N/A</v>
      </c>
      <c r="GM53" s="23" t="e">
        <f>EXP(-LN(2)/25)*GM52+(1-EXP(-LN(2)/25))/(LN(2)/25)*Calculateur!GH53*Calculateur!GJ53*VLOOKUP('Données projet'!$B$17,Paramètres!$A$1:$I$88,3,0)*0.475*44/12</f>
        <v>#N/A</v>
      </c>
      <c r="GN53" s="23" t="e">
        <f>EXP(-LN(2)/2)*GN52+(1-EXP(-LN(2)/2))/(LN(2)/2)*GH53*GK53*VLOOKUP('Données projet'!$B$17,Paramètres!$A$1:$I$88,3,0)*0.475*44/12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projet'!$B$18,Paramètres!$A$1:$I$88,3,0)*VLOOKUP('Données projet'!$B$18,Paramètres!$A$1:$I$88,5,0)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projet'!$B$18,Paramètres!$A$1:$I$88,7,0))</f>
        <v>0</v>
      </c>
      <c r="HE53" s="17">
        <f>IF(ISNA(VLOOKUP(A53,'Données projet'!$A$269:$I$289,6,0)),0%,VLOOKUP(A53,'Données projet'!$A$269:$I$289,6,0)*VLOOKUP('Données projet'!$B$18,Paramètres!$A$1:$I$88,7,0))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projet'!$B$18,Paramètres!$A$1:$I$88,3,0)*0.475*44/12</f>
        <v>#N/A</v>
      </c>
      <c r="HH53" s="23" t="e">
        <f>EXP(-LN(2)/25)*HH52+(1-EXP(-LN(2)/25))/(LN(2)/25)*Calculateur!HC53*Calculateur!HE53*VLOOKUP('Données projet'!$B$18,Paramètres!$A$1:$I$88,3,0)*0.475*44/12</f>
        <v>#N/A</v>
      </c>
      <c r="HI53" s="23" t="e">
        <f>EXP(-LN(2)/2)*HI52+(1-EXP(-LN(2)/2))/(LN(2)/2)*HC53*HF53*VLOOKUP('Données projet'!$B$18,Paramètres!$A$1:$I$88,3,0)*0.475*44/12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9.75</v>
      </c>
      <c r="N54" s="14">
        <f>IF('Données projet'!$A$36&gt;35,N53+M54-V53,IF(A54&lt;'Données projet'!$A$36,$K$205^A54,IF(A54='Données projet'!$A$36,'Données projet'!$B$36,N53+M54-V53)))</f>
        <v>216.25</v>
      </c>
      <c r="O54" s="14">
        <f>N54*VLOOKUP('Données projet'!$B$9,Paramètres!$A$1:$I$88,3,0)*VLOOKUP('Données projet'!$B$9,Paramètres!$A$1:$I$88,5,0)</f>
        <v>134.94</v>
      </c>
      <c r="P54" s="14">
        <f t="shared" si="33"/>
        <v>35.135358771568036</v>
      </c>
      <c r="Q54" s="22">
        <f t="shared" si="53"/>
        <v>296.21458319381429</v>
      </c>
      <c r="R54" s="62">
        <f t="shared" si="0"/>
        <v>589.54791652714766</v>
      </c>
      <c r="S54" s="62">
        <f ca="1">AVERAGE(OFFSET($R$3,0,0,'Données projet'!$E$9+1,1))-AVERAGE(OFFSET($H$3,0,0,'Données projet'!$E$9+1,1))</f>
        <v>175.05987582828078</v>
      </c>
      <c r="T54" s="62">
        <f t="shared" si="34"/>
        <v>268.54782308462387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projet'!$B$9,Paramètres!$A$1:$I$88,7,0))</f>
        <v>0</v>
      </c>
      <c r="X54" s="17">
        <f>IF(ISNA(VLOOKUP(A54,'Données projet'!$A$35:$I$55,6,0)),0%,VLOOKUP(A54,'Données projet'!$A$35:$I$55,6,0)*VLOOKUP('Données projet'!$B$9,Paramètres!$A$1:$I$88,7,0))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projet'!$B$9,Paramètres!$A$1:$I$88,3,0)*0.475*44/12</f>
        <v>0</v>
      </c>
      <c r="AA54" s="23">
        <f>EXP(-LN(2)/25)*AA53+(1-EXP(-LN(2)/25))/(LN(2)/25)*Calculateur!V54*Calculateur!X54*VLOOKUP('Données projet'!$B$9,Paramètres!$A$1:$I$88,3,0)*0.475*44/12</f>
        <v>5.7515003970755538</v>
      </c>
      <c r="AB54" s="23">
        <f>EXP(-LN(2)/2)*AB53+(1-EXP(-LN(2)/2))/(LN(2)/2)*V54*Y54*VLOOKUP('Données projet'!$B$9,Paramètres!$A$1:$I$88,3,0)*0.475*44/12</f>
        <v>1.1406806206112369E-2</v>
      </c>
      <c r="AC54" s="24">
        <f t="shared" si="3"/>
        <v>5.7629072032816664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19.933333333333334</v>
      </c>
      <c r="AI54" s="14">
        <f>IF('Données projet'!$A$62&gt;35,AI53+AH54-AQ53,IF(A54&lt;'Données projet'!$A$62,$AF$205^A54,IF(A54='Données projet'!$A$62,'Données projet'!$B$62,AI53+AH54-AQ53)))</f>
        <v>597.59999999999991</v>
      </c>
      <c r="AJ54" s="14">
        <f>AI54*VLOOKUP('Données projet'!$B$10,Paramètres!$A$1:$I$88,3,0)*VLOOKUP('Données projet'!$B$10,Paramètres!$A$1:$I$88,5,0)</f>
        <v>287.44559999999996</v>
      </c>
      <c r="AK54" s="14">
        <f t="shared" si="35"/>
        <v>68.538066825891036</v>
      </c>
      <c r="AL54" s="22">
        <f t="shared" si="4"/>
        <v>620.00488638842671</v>
      </c>
      <c r="AM54" s="62">
        <f t="shared" si="5"/>
        <v>913.33821972175997</v>
      </c>
      <c r="AN54" s="62">
        <f ca="1">AVERAGE(OFFSET($AM$3,0,0,'Données projet'!$E$10+1,1))-AVERAGE(OFFSET($H$3,0,0,'Données projet'!$E$10+1,1))</f>
        <v>576.61210817354549</v>
      </c>
      <c r="AO54" s="62">
        <f t="shared" si="36"/>
        <v>343.9428747444544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projet'!$B$10,Paramètres!$A$1:$I$88,7,0))</f>
        <v>0</v>
      </c>
      <c r="AS54" s="17">
        <f>IF(ISNA(VLOOKUP(A54,'Données projet'!$A$61:$I$81,6,0)),0%,VLOOKUP(A54,'Données projet'!$A$61:$I$81,6,0)*VLOOKUP('Données projet'!$B$10,Paramètres!$A$1:$I$88,7,0))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projet'!$B$10,Paramètres!$A$1:$I$88,3,0)*0.475*44/12</f>
        <v>0</v>
      </c>
      <c r="AV54" s="23">
        <f>EXP(-LN(2)/25)*AV53+(1-EXP(-LN(2)/25))/(LN(2)/25)*Calculateur!AQ54*Calculateur!AS54*VLOOKUP('Données projet'!$B$10,Paramètres!$A$1:$I$88,3,0)*0.475*44/12</f>
        <v>3.163534553299185</v>
      </c>
      <c r="AW54" s="23">
        <f>EXP(-LN(2)/2)*AW53+(1-EXP(-LN(2)/2))/(LN(2)/2)*AQ54*AT54*VLOOKUP('Données projet'!$B$10,Paramètres!$A$1:$I$88,3,0)*0.475*44/12</f>
        <v>8.1230553454774094E-3</v>
      </c>
      <c r="AX54" s="23">
        <f t="shared" si="6"/>
        <v>3.1716576086446624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7.3600000000000021</v>
      </c>
      <c r="BD54" s="13">
        <f>IF('Données projet'!$A$88&gt;35,BD53+BC54-BL53,IF(A54&lt;'Données projet'!$A$88,$BA$205^A54,IF(A54='Données projet'!$A$88,'Données projet'!$B$88,BD53+BC54-BL53)))</f>
        <v>268.05999999999995</v>
      </c>
      <c r="BE54" s="14">
        <f>BD54*VLOOKUP('Données projet'!$B$11,Paramètres!$A$1:$I$88,3,0)*VLOOKUP('Données projet'!$B$11,Paramètres!$A$1:$I$88,5,0)</f>
        <v>213.26853599999995</v>
      </c>
      <c r="BF54" s="14">
        <f t="shared" si="37"/>
        <v>52.649199755400097</v>
      </c>
      <c r="BG54" s="22">
        <f t="shared" si="7"/>
        <v>463.14005644065509</v>
      </c>
      <c r="BH54" s="62">
        <f t="shared" si="8"/>
        <v>756.4733897739884</v>
      </c>
      <c r="BI54" s="62">
        <f ca="1">AVERAGE(OFFSET($BH$3,0,0,'Données projet'!$E$11+1,1))-AVERAGE(OFFSET($H$3,0,0,'Données projet'!$E$11+1,1))</f>
        <v>298.38448036212861</v>
      </c>
      <c r="BJ54" s="62">
        <f t="shared" si="38"/>
        <v>270.4445531106897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projet'!$B$11,Paramètres!$A$1:$I$88,7,0))</f>
        <v>0</v>
      </c>
      <c r="BN54" s="17">
        <f>IF(ISNA(VLOOKUP(A54,'Données projet'!$A$87:$I$107,6,0)),0%,VLOOKUP(A54,'Données projet'!$A$87:$I$107,6,0)*VLOOKUP('Données projet'!$B$11,Paramètres!$A$1:$I$88,7,0))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projet'!$B$11,Paramètres!$A$1:$I$88,3,0)*0.475*44/12</f>
        <v>0</v>
      </c>
      <c r="BQ54" s="23">
        <f>EXP(-LN(2)/25)*BQ53+(1-EXP(-LN(2)/25))/(LN(2)/25)*Calculateur!BL54*Calculateur!BN54*VLOOKUP('Données projet'!$B$11,Paramètres!$A$1:$I$88,3,0)*0.475*44/12</f>
        <v>0</v>
      </c>
      <c r="BR54" s="23">
        <f>EXP(-LN(2)/2)*BR53+(1-EXP(-LN(2)/2))/(LN(2)/2)*BL54*BO54*VLOOKUP('Données projet'!$B$11,Paramètres!$A$1:$I$88,3,0)*0.475*44/12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10.375</v>
      </c>
      <c r="BY54" s="13">
        <f>IF('Données projet'!$A$114&gt;35,BY53+BX54-CG53,IF(A54&lt;'Données projet'!$A$114,$BV$205^A54,IF(A54='Données projet'!$A$114,'Données projet'!$B$114,BY53+BX54-CG53)))</f>
        <v>259.62499999999989</v>
      </c>
      <c r="BZ54" s="14">
        <f>BY54*VLOOKUP('Données projet'!$B$12,Paramètres!$A$1:$I$88,3,0)*VLOOKUP('Données projet'!$B$12,Paramètres!$A$1:$I$88,5,0)</f>
        <v>202.50749999999991</v>
      </c>
      <c r="CA54" s="14">
        <f t="shared" si="39"/>
        <v>50.294840086606349</v>
      </c>
      <c r="CB54" s="22">
        <f t="shared" si="10"/>
        <v>440.29740898417253</v>
      </c>
      <c r="CC54" s="62">
        <f t="shared" si="11"/>
        <v>733.63074231750579</v>
      </c>
      <c r="CD54" s="62">
        <f ca="1">AVERAGE(OFFSET($CC$3,0,0,'Données projet'!$E$12+1,1))-AVERAGE(OFFSET($H$3,0,0,'Données projet'!$E$12+1,1))</f>
        <v>217.32600829266818</v>
      </c>
      <c r="CE54" s="62">
        <f t="shared" si="40"/>
        <v>208.79744153433245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projet'!$B$12,Paramètres!$A$1:$I$88,7,0))</f>
        <v>0</v>
      </c>
      <c r="CI54" s="17">
        <f>IF(ISNA(VLOOKUP(A54,'Données projet'!$A$113:$I$133,6,0)),0%,VLOOKUP(A54,'Données projet'!$A$113:$I$133,6,0)*VLOOKUP('Données projet'!$B$12,Paramètres!$A$1:$I$88,7,0))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projet'!$B$12,Paramètres!$A$1:$I$88,3,0)*0.475*44/12</f>
        <v>0</v>
      </c>
      <c r="CL54" s="23">
        <f>EXP(-LN(2)/25)*CL53+(1-EXP(-LN(2)/25))/(LN(2)/25)*Calculateur!CG54*Calculateur!CI54*VLOOKUP('Données projet'!$B$12,Paramètres!$A$1:$I$88,3,0)*0.475*44/12</f>
        <v>0</v>
      </c>
      <c r="CM54" s="23">
        <f>EXP(-LN(2)/2)*CM53+(1-EXP(-LN(2)/2))/(LN(2)/2)*CG54*CJ54*VLOOKUP('Données projet'!$B$12,Paramètres!$A$1:$I$88,3,0)*0.475*44/12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17.285714285714285</v>
      </c>
      <c r="CT54" s="13">
        <f>IF('Données projet'!$A$140&gt;35,CT53+CS54-DB53,IF(A54&lt;'Données projet'!$A$140,$CQ$205^A54,IF(A54='Données projet'!$A$140,'Données projet'!$B$140,CT53+CS54-DB53)))</f>
        <v>427.57142857142838</v>
      </c>
      <c r="CU54" s="18">
        <f>CT54*VLOOKUP('Données projet'!$B$13,Paramètres!$A$1:$I$88,3,0)*VLOOKUP('Données projet'!$B$13,Paramètres!$A$1:$I$88,5,0)</f>
        <v>239.01242857142847</v>
      </c>
      <c r="CV54" s="14">
        <f t="shared" si="41"/>
        <v>58.226998714225545</v>
      </c>
      <c r="CW54" s="22">
        <f t="shared" si="13"/>
        <v>517.69200252251403</v>
      </c>
      <c r="CX54" s="62">
        <f t="shared" si="14"/>
        <v>811.02533585584729</v>
      </c>
      <c r="CY54" s="62">
        <f ca="1">AVERAGE(OFFSET($CX$3,0,0,'Données projet'!$E$13+1,1))-AVERAGE(OFFSET($H$3,0,0,'Données projet'!$E$13+1,1))</f>
        <v>302.20483575440988</v>
      </c>
      <c r="CZ54" s="62">
        <f t="shared" si="42"/>
        <v>275.32862097158687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projet'!$B$13,Paramètres!$A$1:$I$88,7,0))</f>
        <v>0</v>
      </c>
      <c r="DD54" s="17">
        <f>IF(ISNA(VLOOKUP(A54,'Données projet'!$A$139:$I$159,6,0)),0%,VLOOKUP(A54,'Données projet'!$A$139:$I$159,6,0)*VLOOKUP('Données projet'!$B$13,Paramètres!$A$1:$I$88,7,0))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projet'!$B$13,Paramètres!$A$1:$I$88,3,0)*0.475*44/12</f>
        <v>0</v>
      </c>
      <c r="DG54" s="23">
        <f>EXP(-LN(2)/25)*DG53+(1-EXP(-LN(2)/25))/(LN(2)/25)*Calculateur!DB54*Calculateur!DD54*VLOOKUP('Données projet'!$B$13,Paramètres!$A$1:$I$88,3,0)*0.475*44/12</f>
        <v>7.7244901777325561</v>
      </c>
      <c r="DH54" s="23">
        <f>EXP(-LN(2)/2)*DH53+(1-EXP(-LN(2)/2))/(LN(2)/2)*DB54*DE54*VLOOKUP('Données projet'!$B$13,Paramètres!$A$1:$I$88,3,0)*0.475*44/12</f>
        <v>4.6824332761759178E-3</v>
      </c>
      <c r="DI54" s="24">
        <f t="shared" si="15"/>
        <v>7.7291726110087318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projet'!$B$14,Paramètres!$A$1:$I$88,3,0)*VLOOKUP('Données projet'!$B$14,Paramètres!$A$1:$I$88,5,0)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projet'!$B$14,Paramètres!$A$1:$I$88,7,0))</f>
        <v>0</v>
      </c>
      <c r="DY54" s="17">
        <f>IF(ISNA(VLOOKUP(A54,'Données projet'!$A$165:$I$185,6,0)),0%,VLOOKUP(A54,'Données projet'!$A$165:$I$185,6,0)*VLOOKUP('Données projet'!$B$14,Paramètres!$A$1:$I$88,7,0))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projet'!$B$14,Paramètres!$A$1:$I$88,3,0)*0.475*44/12</f>
        <v>#N/A</v>
      </c>
      <c r="EB54" s="23" t="e">
        <f>EXP(-LN(2)/25)*EB53+(1-EXP(-LN(2)/25))/(LN(2)/25)*Calculateur!DW54*Calculateur!DY54*VLOOKUP('Données projet'!$B$14,Paramètres!$A$1:$I$88,3,0)*0.475*44/12</f>
        <v>#N/A</v>
      </c>
      <c r="EC54" s="23" t="e">
        <f>EXP(-LN(2)/2)*EC53+(1-EXP(-LN(2)/2))/(LN(2)/2)*DW54*DZ54*VLOOKUP('Données projet'!$B$14,Paramètres!$A$1:$I$88,3,0)*0.475*44/12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projet'!$B$15,Paramètres!$A$1:$I$88,3,0)*VLOOKUP('Données projet'!$B$15,Paramètres!$A$1:$I$88,5,0)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projet'!$B$15,Paramètres!$A$1:$I$88,7,0))</f>
        <v>0</v>
      </c>
      <c r="ET54" s="17">
        <f>IF(ISNA(VLOOKUP(A54,'Données projet'!$A$191:$I$211,6,0)),0%,VLOOKUP(A54,'Données projet'!$A$191:$I$211,6,0)*VLOOKUP('Données projet'!$B$15,Paramètres!$A$1:$I$88,7,0))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projet'!$B$15,Paramètres!$A$1:$I$88,3,0)*0.475*44/12</f>
        <v>#N/A</v>
      </c>
      <c r="EW54" s="23" t="e">
        <f>EXP(-LN(2)/25)*EW53+(1-EXP(-LN(2)/25))/(LN(2)/25)*Calculateur!ER54*Calculateur!ET54*VLOOKUP('Données projet'!$B$15,Paramètres!$A$1:$I$88,3,0)*0.475*44/12</f>
        <v>#N/A</v>
      </c>
      <c r="EX54" s="23" t="e">
        <f>EXP(-LN(2)/2)*EX53+(1-EXP(-LN(2)/2))/(LN(2)/2)*ER54*EU54*VLOOKUP('Données projet'!$B$15,Paramètres!$A$1:$I$88,3,0)*0.475*44/12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projet'!$B$16,Paramètres!$A$1:$I$88,3,0)*VLOOKUP('Données projet'!$B$16,Paramètres!$A$1:$I$88,5,0)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projet'!$B$16,Paramètres!$A$1:$I$88,7,0))</f>
        <v>0</v>
      </c>
      <c r="FO54" s="17">
        <f>IF(ISNA(VLOOKUP(A54,'Données projet'!$A$217:$I$237,6,0)),0%,VLOOKUP(A54,'Données projet'!$A$217:$I$237,6,0)*VLOOKUP('Données projet'!$B$16,Paramètres!$A$1:$I$88,7,0))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projet'!$B$16,Paramètres!$A$1:$I$88,3,0)*0.475*44/12</f>
        <v>#N/A</v>
      </c>
      <c r="FR54" s="23" t="e">
        <f>EXP(-LN(2)/25)*FR53+(1-EXP(-LN(2)/25))/(LN(2)/25)*Calculateur!FM54*Calculateur!FO54*VLOOKUP('Données projet'!$B$16,Paramètres!$A$1:$I$88,3,0)*0.475*44/12</f>
        <v>#N/A</v>
      </c>
      <c r="FS54" s="23" t="e">
        <f>EXP(-LN(2)/2)*FS53+(1-EXP(-LN(2)/2))/(LN(2)/2)*FM54*FP54*VLOOKUP('Données projet'!$B$16,Paramètres!$A$1:$I$88,3,0)*0.475*44/12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projet'!$B$17,Paramètres!$A$1:$I$88,3,0)*VLOOKUP('Données projet'!$B$17,Paramètres!$A$1:$I$88,5,0)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projet'!$B$17,Paramètres!$A$1:$I$88,7,0))</f>
        <v>0</v>
      </c>
      <c r="GJ54" s="17">
        <f>IF(ISNA(VLOOKUP(A54,'Données projet'!$A$243:$I$263,6,0)),0%,VLOOKUP(A54,'Données projet'!$A$243:$I$263,6,0)*VLOOKUP('Données projet'!$B$17,Paramètres!$A$1:$I$88,7,0))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projet'!$B$17,Paramètres!$A$1:$I$88,3,0)*0.475*44/12</f>
        <v>#N/A</v>
      </c>
      <c r="GM54" s="23" t="e">
        <f>EXP(-LN(2)/25)*GM53+(1-EXP(-LN(2)/25))/(LN(2)/25)*Calculateur!GH54*Calculateur!GJ54*VLOOKUP('Données projet'!$B$17,Paramètres!$A$1:$I$88,3,0)*0.475*44/12</f>
        <v>#N/A</v>
      </c>
      <c r="GN54" s="23" t="e">
        <f>EXP(-LN(2)/2)*GN53+(1-EXP(-LN(2)/2))/(LN(2)/2)*GH54*GK54*VLOOKUP('Données projet'!$B$17,Paramètres!$A$1:$I$88,3,0)*0.475*44/12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projet'!$B$18,Paramètres!$A$1:$I$88,3,0)*VLOOKUP('Données projet'!$B$18,Paramètres!$A$1:$I$88,5,0)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projet'!$B$18,Paramètres!$A$1:$I$88,7,0))</f>
        <v>0</v>
      </c>
      <c r="HE54" s="17">
        <f>IF(ISNA(VLOOKUP(A54,'Données projet'!$A$269:$I$289,6,0)),0%,VLOOKUP(A54,'Données projet'!$A$269:$I$289,6,0)*VLOOKUP('Données projet'!$B$18,Paramètres!$A$1:$I$88,7,0))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projet'!$B$18,Paramètres!$A$1:$I$88,3,0)*0.475*44/12</f>
        <v>#N/A</v>
      </c>
      <c r="HH54" s="23" t="e">
        <f>EXP(-LN(2)/25)*HH53+(1-EXP(-LN(2)/25))/(LN(2)/25)*Calculateur!HC54*Calculateur!HE54*VLOOKUP('Données projet'!$B$18,Paramètres!$A$1:$I$88,3,0)*0.475*44/12</f>
        <v>#N/A</v>
      </c>
      <c r="HI54" s="23" t="e">
        <f>EXP(-LN(2)/2)*HI53+(1-EXP(-LN(2)/2))/(LN(2)/2)*HC54*HF54*VLOOKUP('Données projet'!$B$18,Paramètres!$A$1:$I$88,3,0)*0.475*44/12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9.75</v>
      </c>
      <c r="N55" s="14">
        <f>IF('Données projet'!$A$36&gt;35,N54+M55-V54,IF(A55&lt;'Données projet'!$A$36,$K$205^A55,IF(A55='Données projet'!$A$36,'Données projet'!$B$36,N54+M55-V54)))</f>
        <v>226</v>
      </c>
      <c r="O55" s="14">
        <f>N55*VLOOKUP('Données projet'!$B$9,Paramètres!$A$1:$I$88,3,0)*VLOOKUP('Données projet'!$B$9,Paramètres!$A$1:$I$88,5,0)</f>
        <v>141.024</v>
      </c>
      <c r="P55" s="14">
        <f t="shared" si="33"/>
        <v>36.531489925882461</v>
      </c>
      <c r="Q55" s="22">
        <f t="shared" si="53"/>
        <v>309.24247828757859</v>
      </c>
      <c r="R55" s="62">
        <f t="shared" si="0"/>
        <v>602.57581162091196</v>
      </c>
      <c r="S55" s="62">
        <f ca="1">AVERAGE(OFFSET($R$3,0,0,'Données projet'!$E$9+1,1))-AVERAGE(OFFSET($H$3,0,0,'Données projet'!$E$9+1,1))</f>
        <v>175.05987582828078</v>
      </c>
      <c r="T55" s="62">
        <f t="shared" si="34"/>
        <v>268.54782308462387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projet'!$B$9,Paramètres!$A$1:$I$88,7,0))</f>
        <v>0</v>
      </c>
      <c r="X55" s="17">
        <f>IF(ISNA(VLOOKUP(A55,'Données projet'!$A$35:$I$55,6,0)),0%,VLOOKUP(A55,'Données projet'!$A$35:$I$55,6,0)*VLOOKUP('Données projet'!$B$9,Paramètres!$A$1:$I$88,7,0))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projet'!$B$9,Paramètres!$A$1:$I$88,3,0)*0.475*44/12</f>
        <v>0</v>
      </c>
      <c r="AA55" s="23">
        <f>EXP(-LN(2)/25)*AA54+(1-EXP(-LN(2)/25))/(LN(2)/25)*Calculateur!V55*Calculateur!X55*VLOOKUP('Données projet'!$B$9,Paramètres!$A$1:$I$88,3,0)*0.475*44/12</f>
        <v>5.5942253162592621</v>
      </c>
      <c r="AB55" s="23">
        <f>EXP(-LN(2)/2)*AB54+(1-EXP(-LN(2)/2))/(LN(2)/2)*V55*Y55*VLOOKUP('Données projet'!$B$9,Paramètres!$A$1:$I$88,3,0)*0.475*44/12</f>
        <v>8.065830020022851E-3</v>
      </c>
      <c r="AC55" s="24">
        <f t="shared" si="3"/>
        <v>5.6022911462792848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19.933333333333334</v>
      </c>
      <c r="AI55" s="14">
        <f>IF('Données projet'!$A$62&gt;35,AI54+AH55-AQ54,IF(A55&lt;'Données projet'!$A$62,$AF$205^A55,IF(A55='Données projet'!$A$62,'Données projet'!$B$62,AI54+AH55-AQ54)))</f>
        <v>617.53333333333319</v>
      </c>
      <c r="AJ55" s="14">
        <f>AI55*VLOOKUP('Données projet'!$B$10,Paramètres!$A$1:$I$88,3,0)*VLOOKUP('Données projet'!$B$10,Paramètres!$A$1:$I$88,5,0)</f>
        <v>297.03353333333325</v>
      </c>
      <c r="AK55" s="14">
        <f t="shared" si="35"/>
        <v>70.554218903610291</v>
      </c>
      <c r="AL55" s="22">
        <f t="shared" si="4"/>
        <v>640.21533514601003</v>
      </c>
      <c r="AM55" s="62">
        <f t="shared" si="5"/>
        <v>933.54866847934341</v>
      </c>
      <c r="AN55" s="62">
        <f ca="1">AVERAGE(OFFSET($AM$3,0,0,'Données projet'!$E$10+1,1))-AVERAGE(OFFSET($H$3,0,0,'Données projet'!$E$10+1,1))</f>
        <v>576.61210817354549</v>
      </c>
      <c r="AO55" s="62">
        <f t="shared" si="36"/>
        <v>343.9428747444544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projet'!$B$10,Paramètres!$A$1:$I$88,7,0))</f>
        <v>0</v>
      </c>
      <c r="AS55" s="17">
        <f>IF(ISNA(VLOOKUP(A55,'Données projet'!$A$61:$I$81,6,0)),0%,VLOOKUP(A55,'Données projet'!$A$61:$I$81,6,0)*VLOOKUP('Données projet'!$B$10,Paramètres!$A$1:$I$88,7,0))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projet'!$B$10,Paramètres!$A$1:$I$88,3,0)*0.475*44/12</f>
        <v>0</v>
      </c>
      <c r="AV55" s="23">
        <f>EXP(-LN(2)/25)*AV54+(1-EXP(-LN(2)/25))/(LN(2)/25)*Calculateur!AQ55*Calculateur!AS55*VLOOKUP('Données projet'!$B$10,Paramètres!$A$1:$I$88,3,0)*0.475*44/12</f>
        <v>3.0770275345761671</v>
      </c>
      <c r="AW55" s="23">
        <f>EXP(-LN(2)/2)*AW54+(1-EXP(-LN(2)/2))/(LN(2)/2)*AQ55*AT55*VLOOKUP('Données projet'!$B$10,Paramètres!$A$1:$I$88,3,0)*0.475*44/12</f>
        <v>5.7438675187407098E-3</v>
      </c>
      <c r="AX55" s="23">
        <f t="shared" si="6"/>
        <v>3.0827714020949077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7.3600000000000021</v>
      </c>
      <c r="BD55" s="13">
        <f>IF('Données projet'!$A$88&gt;35,BD54+BC55-BL54,IF(A55&lt;'Données projet'!$A$88,$BA$205^A55,IF(A55='Données projet'!$A$88,'Données projet'!$B$88,BD54+BC55-BL54)))</f>
        <v>275.41999999999996</v>
      </c>
      <c r="BE55" s="14">
        <f>BD55*VLOOKUP('Données projet'!$B$11,Paramètres!$A$1:$I$88,3,0)*VLOOKUP('Données projet'!$B$11,Paramètres!$A$1:$I$88,5,0)</f>
        <v>219.12415199999998</v>
      </c>
      <c r="BF55" s="14">
        <f t="shared" si="37"/>
        <v>53.92448031270375</v>
      </c>
      <c r="BG55" s="22">
        <f t="shared" si="7"/>
        <v>475.55970127795899</v>
      </c>
      <c r="BH55" s="62">
        <f t="shared" si="8"/>
        <v>768.89303461129225</v>
      </c>
      <c r="BI55" s="62">
        <f ca="1">AVERAGE(OFFSET($BH$3,0,0,'Données projet'!$E$11+1,1))-AVERAGE(OFFSET($H$3,0,0,'Données projet'!$E$11+1,1))</f>
        <v>298.38448036212861</v>
      </c>
      <c r="BJ55" s="62">
        <f t="shared" si="38"/>
        <v>270.4445531106897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projet'!$B$11,Paramètres!$A$1:$I$88,7,0))</f>
        <v>0</v>
      </c>
      <c r="BN55" s="17">
        <f>IF(ISNA(VLOOKUP(A55,'Données projet'!$A$87:$I$107,6,0)),0%,VLOOKUP(A55,'Données projet'!$A$87:$I$107,6,0)*VLOOKUP('Données projet'!$B$11,Paramètres!$A$1:$I$88,7,0))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projet'!$B$11,Paramètres!$A$1:$I$88,3,0)*0.475*44/12</f>
        <v>0</v>
      </c>
      <c r="BQ55" s="23">
        <f>EXP(-LN(2)/25)*BQ54+(1-EXP(-LN(2)/25))/(LN(2)/25)*Calculateur!BL55*Calculateur!BN55*VLOOKUP('Données projet'!$B$11,Paramètres!$A$1:$I$88,3,0)*0.475*44/12</f>
        <v>0</v>
      </c>
      <c r="BR55" s="23">
        <f>EXP(-LN(2)/2)*BR54+(1-EXP(-LN(2)/2))/(LN(2)/2)*BL55*BO55*VLOOKUP('Données projet'!$B$11,Paramètres!$A$1:$I$88,3,0)*0.475*44/12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>
        <f>VLOOKUP(A55,'Données projet'!$A$113:$I$133,2,0)</f>
        <v>270</v>
      </c>
      <c r="BW55" s="13">
        <f>VLOOKUP(A55,'Données projet'!$A$113:$I$133,9,0)</f>
        <v>10.375</v>
      </c>
      <c r="BX55" s="13">
        <f t="array" ref="BX55">INDEX(BW:BW,MIN(IF(ISNUMBER(BW55:BW251),ROW(BW55:BW251),"")))</f>
        <v>10.375</v>
      </c>
      <c r="BY55" s="13">
        <f>IF('Données projet'!$A$114&gt;35,BY54+BX55-CG54,IF(A55&lt;'Données projet'!$A$114,$BV$205^A55,IF(A55='Données projet'!$A$114,'Données projet'!$B$114,BY54+BX55-CG54)))</f>
        <v>269.99999999999989</v>
      </c>
      <c r="BZ55" s="14">
        <f>BY55*VLOOKUP('Données projet'!$B$12,Paramètres!$A$1:$I$88,3,0)*VLOOKUP('Données projet'!$B$12,Paramètres!$A$1:$I$88,5,0)</f>
        <v>210.59999999999991</v>
      </c>
      <c r="CA55" s="14">
        <f t="shared" si="39"/>
        <v>52.066679014659961</v>
      </c>
      <c r="CB55" s="22">
        <f t="shared" si="10"/>
        <v>457.47779928386586</v>
      </c>
      <c r="CC55" s="62">
        <f t="shared" si="11"/>
        <v>750.81113261719918</v>
      </c>
      <c r="CD55" s="62">
        <f ca="1">AVERAGE(OFFSET($CC$3,0,0,'Données projet'!$E$12+1,1))-AVERAGE(OFFSET($H$3,0,0,'Données projet'!$E$12+1,1))</f>
        <v>217.32600829266818</v>
      </c>
      <c r="CE55" s="62">
        <f t="shared" si="40"/>
        <v>208.79744153433245</v>
      </c>
      <c r="CF55" s="16">
        <f>IF(ISNA(VLOOKUP(A55,'Données projet'!$A$113:$I$133,3,0)),0,VLOOKUP(A55,'Données projet'!$A$113:$I$133,3,0))</f>
        <v>6</v>
      </c>
      <c r="CG55" s="16">
        <f>IF(ISNA(VLOOKUP(A55,'Données projet'!$A$113:$I$133,4,0)),0,VLOOKUP(A55,'Données projet'!$A$113:$I$133,4,0))</f>
        <v>48</v>
      </c>
      <c r="CH55" s="17">
        <f>IF(ISNA(VLOOKUP(A55,'Données projet'!$A$113:$I$133,5,0)),0%,VLOOKUP(A55,'Données projet'!$A$113:$I$133,5,0)*VLOOKUP('Données projet'!$B$12,Paramètres!$A$1:$I$88,7,0))</f>
        <v>0</v>
      </c>
      <c r="CI55" s="17">
        <f>IF(ISNA(VLOOKUP(A55,'Données projet'!$A$113:$I$133,6,0)),0%,VLOOKUP(A55,'Données projet'!$A$113:$I$133,6,0)*VLOOKUP('Données projet'!$B$12,Paramètres!$A$1:$I$88,7,0))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projet'!$B$12,Paramètres!$A$1:$I$88,3,0)*0.475*44/12</f>
        <v>0</v>
      </c>
      <c r="CL55" s="23">
        <f>EXP(-LN(2)/25)*CL54+(1-EXP(-LN(2)/25))/(LN(2)/25)*Calculateur!CG55*Calculateur!CI55*VLOOKUP('Données projet'!$B$12,Paramètres!$A$1:$I$88,3,0)*0.475*44/12</f>
        <v>0</v>
      </c>
      <c r="CM55" s="23">
        <f>EXP(-LN(2)/2)*CM54+(1-EXP(-LN(2)/2))/(LN(2)/2)*CG55*CJ55*VLOOKUP('Données projet'!$B$12,Paramètres!$A$1:$I$88,3,0)*0.475*44/12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17.285714285714285</v>
      </c>
      <c r="CT55" s="13">
        <f>IF('Données projet'!$A$140&gt;35,CT54+CS55-DB54,IF(A55&lt;'Données projet'!$A$140,$CQ$205^A55,IF(A55='Données projet'!$A$140,'Données projet'!$B$140,CT54+CS55-DB54)))</f>
        <v>444.85714285714266</v>
      </c>
      <c r="CU55" s="18">
        <f>CT55*VLOOKUP('Données projet'!$B$13,Paramètres!$A$1:$I$88,3,0)*VLOOKUP('Données projet'!$B$13,Paramètres!$A$1:$I$88,5,0)</f>
        <v>248.67514285714276</v>
      </c>
      <c r="CV55" s="14">
        <f t="shared" si="41"/>
        <v>60.30215496200401</v>
      </c>
      <c r="CW55" s="22">
        <f t="shared" si="13"/>
        <v>538.13546036834725</v>
      </c>
      <c r="CX55" s="62">
        <f t="shared" si="14"/>
        <v>831.46879370168062</v>
      </c>
      <c r="CY55" s="62">
        <f ca="1">AVERAGE(OFFSET($CX$3,0,0,'Données projet'!$E$13+1,1))-AVERAGE(OFFSET($H$3,0,0,'Données projet'!$E$13+1,1))</f>
        <v>302.20483575440988</v>
      </c>
      <c r="CZ55" s="62">
        <f t="shared" si="42"/>
        <v>275.32862097158687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projet'!$B$13,Paramètres!$A$1:$I$88,7,0))</f>
        <v>0</v>
      </c>
      <c r="DD55" s="17">
        <f>IF(ISNA(VLOOKUP(A55,'Données projet'!$A$139:$I$159,6,0)),0%,VLOOKUP(A55,'Données projet'!$A$139:$I$159,6,0)*VLOOKUP('Données projet'!$B$13,Paramètres!$A$1:$I$88,7,0))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projet'!$B$13,Paramètres!$A$1:$I$88,3,0)*0.475*44/12</f>
        <v>0</v>
      </c>
      <c r="DG55" s="23">
        <f>EXP(-LN(2)/25)*DG54+(1-EXP(-LN(2)/25))/(LN(2)/25)*Calculateur!DB55*Calculateur!DD55*VLOOKUP('Données projet'!$B$13,Paramètres!$A$1:$I$88,3,0)*0.475*44/12</f>
        <v>7.5132635876091758</v>
      </c>
      <c r="DH55" s="23">
        <f>EXP(-LN(2)/2)*DH54+(1-EXP(-LN(2)/2))/(LN(2)/2)*DB55*DE55*VLOOKUP('Données projet'!$B$13,Paramètres!$A$1:$I$88,3,0)*0.475*44/12</f>
        <v>3.3109803220375336E-3</v>
      </c>
      <c r="DI55" s="24">
        <f t="shared" si="15"/>
        <v>7.5165745679312135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projet'!$B$14,Paramètres!$A$1:$I$88,3,0)*VLOOKUP('Données projet'!$B$14,Paramètres!$A$1:$I$88,5,0)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projet'!$B$14,Paramètres!$A$1:$I$88,7,0))</f>
        <v>0</v>
      </c>
      <c r="DY55" s="17">
        <f>IF(ISNA(VLOOKUP(A55,'Données projet'!$A$165:$I$185,6,0)),0%,VLOOKUP(A55,'Données projet'!$A$165:$I$185,6,0)*VLOOKUP('Données projet'!$B$14,Paramètres!$A$1:$I$88,7,0))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projet'!$B$14,Paramètres!$A$1:$I$88,3,0)*0.475*44/12</f>
        <v>#N/A</v>
      </c>
      <c r="EB55" s="23" t="e">
        <f>EXP(-LN(2)/25)*EB54+(1-EXP(-LN(2)/25))/(LN(2)/25)*Calculateur!DW55*Calculateur!DY55*VLOOKUP('Données projet'!$B$14,Paramètres!$A$1:$I$88,3,0)*0.475*44/12</f>
        <v>#N/A</v>
      </c>
      <c r="EC55" s="23" t="e">
        <f>EXP(-LN(2)/2)*EC54+(1-EXP(-LN(2)/2))/(LN(2)/2)*DW55*DZ55*VLOOKUP('Données projet'!$B$14,Paramètres!$A$1:$I$88,3,0)*0.475*44/12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projet'!$B$15,Paramètres!$A$1:$I$88,3,0)*VLOOKUP('Données projet'!$B$15,Paramètres!$A$1:$I$88,5,0)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projet'!$B$15,Paramètres!$A$1:$I$88,7,0))</f>
        <v>0</v>
      </c>
      <c r="ET55" s="17">
        <f>IF(ISNA(VLOOKUP(A55,'Données projet'!$A$191:$I$211,6,0)),0%,VLOOKUP(A55,'Données projet'!$A$191:$I$211,6,0)*VLOOKUP('Données projet'!$B$15,Paramètres!$A$1:$I$88,7,0))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projet'!$B$15,Paramètres!$A$1:$I$88,3,0)*0.475*44/12</f>
        <v>#N/A</v>
      </c>
      <c r="EW55" s="23" t="e">
        <f>EXP(-LN(2)/25)*EW54+(1-EXP(-LN(2)/25))/(LN(2)/25)*Calculateur!ER55*Calculateur!ET55*VLOOKUP('Données projet'!$B$15,Paramètres!$A$1:$I$88,3,0)*0.475*44/12</f>
        <v>#N/A</v>
      </c>
      <c r="EX55" s="23" t="e">
        <f>EXP(-LN(2)/2)*EX54+(1-EXP(-LN(2)/2))/(LN(2)/2)*ER55*EU55*VLOOKUP('Données projet'!$B$15,Paramètres!$A$1:$I$88,3,0)*0.475*44/12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projet'!$B$16,Paramètres!$A$1:$I$88,3,0)*VLOOKUP('Données projet'!$B$16,Paramètres!$A$1:$I$88,5,0)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projet'!$B$16,Paramètres!$A$1:$I$88,7,0))</f>
        <v>0</v>
      </c>
      <c r="FO55" s="17">
        <f>IF(ISNA(VLOOKUP(A55,'Données projet'!$A$217:$I$237,6,0)),0%,VLOOKUP(A55,'Données projet'!$A$217:$I$237,6,0)*VLOOKUP('Données projet'!$B$16,Paramètres!$A$1:$I$88,7,0))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projet'!$B$16,Paramètres!$A$1:$I$88,3,0)*0.475*44/12</f>
        <v>#N/A</v>
      </c>
      <c r="FR55" s="23" t="e">
        <f>EXP(-LN(2)/25)*FR54+(1-EXP(-LN(2)/25))/(LN(2)/25)*Calculateur!FM55*Calculateur!FO55*VLOOKUP('Données projet'!$B$16,Paramètres!$A$1:$I$88,3,0)*0.475*44/12</f>
        <v>#N/A</v>
      </c>
      <c r="FS55" s="23" t="e">
        <f>EXP(-LN(2)/2)*FS54+(1-EXP(-LN(2)/2))/(LN(2)/2)*FM55*FP55*VLOOKUP('Données projet'!$B$16,Paramètres!$A$1:$I$88,3,0)*0.475*44/12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projet'!$B$17,Paramètres!$A$1:$I$88,3,0)*VLOOKUP('Données projet'!$B$17,Paramètres!$A$1:$I$88,5,0)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projet'!$B$17,Paramètres!$A$1:$I$88,7,0))</f>
        <v>0</v>
      </c>
      <c r="GJ55" s="17">
        <f>IF(ISNA(VLOOKUP(A55,'Données projet'!$A$243:$I$263,6,0)),0%,VLOOKUP(A55,'Données projet'!$A$243:$I$263,6,0)*VLOOKUP('Données projet'!$B$17,Paramètres!$A$1:$I$88,7,0))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projet'!$B$17,Paramètres!$A$1:$I$88,3,0)*0.475*44/12</f>
        <v>#N/A</v>
      </c>
      <c r="GM55" s="23" t="e">
        <f>EXP(-LN(2)/25)*GM54+(1-EXP(-LN(2)/25))/(LN(2)/25)*Calculateur!GH55*Calculateur!GJ55*VLOOKUP('Données projet'!$B$17,Paramètres!$A$1:$I$88,3,0)*0.475*44/12</f>
        <v>#N/A</v>
      </c>
      <c r="GN55" s="23" t="e">
        <f>EXP(-LN(2)/2)*GN54+(1-EXP(-LN(2)/2))/(LN(2)/2)*GH55*GK55*VLOOKUP('Données projet'!$B$17,Paramètres!$A$1:$I$88,3,0)*0.475*44/12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projet'!$B$18,Paramètres!$A$1:$I$88,3,0)*VLOOKUP('Données projet'!$B$18,Paramètres!$A$1:$I$88,5,0)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projet'!$B$18,Paramètres!$A$1:$I$88,7,0))</f>
        <v>0</v>
      </c>
      <c r="HE55" s="17">
        <f>IF(ISNA(VLOOKUP(A55,'Données projet'!$A$269:$I$289,6,0)),0%,VLOOKUP(A55,'Données projet'!$A$269:$I$289,6,0)*VLOOKUP('Données projet'!$B$18,Paramètres!$A$1:$I$88,7,0))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projet'!$B$18,Paramètres!$A$1:$I$88,3,0)*0.475*44/12</f>
        <v>#N/A</v>
      </c>
      <c r="HH55" s="23" t="e">
        <f>EXP(-LN(2)/25)*HH54+(1-EXP(-LN(2)/25))/(LN(2)/25)*Calculateur!HC55*Calculateur!HE55*VLOOKUP('Données projet'!$B$18,Paramètres!$A$1:$I$88,3,0)*0.475*44/12</f>
        <v>#N/A</v>
      </c>
      <c r="HI55" s="23" t="e">
        <f>EXP(-LN(2)/2)*HI54+(1-EXP(-LN(2)/2))/(LN(2)/2)*HC55*HF55*VLOOKUP('Données projet'!$B$18,Paramètres!$A$1:$I$88,3,0)*0.475*44/12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9.75</v>
      </c>
      <c r="N56" s="14">
        <f>IF('Données projet'!$A$36&gt;35,N55+M56-V55,IF(A56&lt;'Données projet'!$A$36,$K$205^A56,IF(A56='Données projet'!$A$36,'Données projet'!$B$36,N55+M56-V55)))</f>
        <v>235.75</v>
      </c>
      <c r="O56" s="14">
        <f>N56*VLOOKUP('Données projet'!$B$9,Paramètres!$A$1:$I$88,3,0)*VLOOKUP('Données projet'!$B$9,Paramètres!$A$1:$I$88,5,0)</f>
        <v>147.108</v>
      </c>
      <c r="P56" s="14">
        <f t="shared" si="33"/>
        <v>37.920625436598897</v>
      </c>
      <c r="Q56" s="22">
        <f t="shared" si="53"/>
        <v>322.25818930207646</v>
      </c>
      <c r="R56" s="62">
        <f t="shared" si="0"/>
        <v>615.59152263540977</v>
      </c>
      <c r="S56" s="62">
        <f ca="1">AVERAGE(OFFSET($R$3,0,0,'Données projet'!$E$9+1,1))-AVERAGE(OFFSET($H$3,0,0,'Données projet'!$E$9+1,1))</f>
        <v>175.05987582828078</v>
      </c>
      <c r="T56" s="62">
        <f t="shared" si="34"/>
        <v>268.54782308462387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projet'!$B$9,Paramètres!$A$1:$I$88,7,0))</f>
        <v>0</v>
      </c>
      <c r="X56" s="17">
        <f>IF(ISNA(VLOOKUP(A56,'Données projet'!$A$35:$I$55,6,0)),0%,VLOOKUP(A56,'Données projet'!$A$35:$I$55,6,0)*VLOOKUP('Données projet'!$B$9,Paramètres!$A$1:$I$88,7,0))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projet'!$B$9,Paramètres!$A$1:$I$88,3,0)*0.475*44/12</f>
        <v>0</v>
      </c>
      <c r="AA56" s="23">
        <f>EXP(-LN(2)/25)*AA55+(1-EXP(-LN(2)/25))/(LN(2)/25)*Calculateur!V56*Calculateur!X56*VLOOKUP('Données projet'!$B$9,Paramètres!$A$1:$I$88,3,0)*0.475*44/12</f>
        <v>5.4412509307986294</v>
      </c>
      <c r="AB56" s="23">
        <f>EXP(-LN(2)/2)*AB55+(1-EXP(-LN(2)/2))/(LN(2)/2)*V56*Y56*VLOOKUP('Données projet'!$B$9,Paramètres!$A$1:$I$88,3,0)*0.475*44/12</f>
        <v>5.7034031030561844E-3</v>
      </c>
      <c r="AC56" s="24">
        <f t="shared" si="3"/>
        <v>5.4469543339016857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19.933333333333334</v>
      </c>
      <c r="AI56" s="14">
        <f>IF('Données projet'!$A$62&gt;35,AI55+AH56-AQ55,IF(A56&lt;'Données projet'!$A$62,$AF$205^A56,IF(A56='Données projet'!$A$62,'Données projet'!$B$62,AI55+AH56-AQ55)))</f>
        <v>637.46666666666647</v>
      </c>
      <c r="AJ56" s="14">
        <f>AI56*VLOOKUP('Données projet'!$B$10,Paramètres!$A$1:$I$88,3,0)*VLOOKUP('Données projet'!$B$10,Paramètres!$A$1:$I$88,5,0)</f>
        <v>306.62146666666661</v>
      </c>
      <c r="AK56" s="14">
        <f t="shared" si="35"/>
        <v>72.562808577738025</v>
      </c>
      <c r="AL56" s="22">
        <f t="shared" si="4"/>
        <v>660.41261271733799</v>
      </c>
      <c r="AM56" s="62">
        <f t="shared" si="5"/>
        <v>953.74594605067136</v>
      </c>
      <c r="AN56" s="62">
        <f ca="1">AVERAGE(OFFSET($AM$3,0,0,'Données projet'!$E$10+1,1))-AVERAGE(OFFSET($H$3,0,0,'Données projet'!$E$10+1,1))</f>
        <v>576.61210817354549</v>
      </c>
      <c r="AO56" s="62">
        <f t="shared" si="36"/>
        <v>343.9428747444544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projet'!$B$10,Paramètres!$A$1:$I$88,7,0))</f>
        <v>0</v>
      </c>
      <c r="AS56" s="17">
        <f>IF(ISNA(VLOOKUP(A56,'Données projet'!$A$61:$I$81,6,0)),0%,VLOOKUP(A56,'Données projet'!$A$61:$I$81,6,0)*VLOOKUP('Données projet'!$B$10,Paramètres!$A$1:$I$88,7,0))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projet'!$B$10,Paramètres!$A$1:$I$88,3,0)*0.475*44/12</f>
        <v>0</v>
      </c>
      <c r="AV56" s="23">
        <f>EXP(-LN(2)/25)*AV55+(1-EXP(-LN(2)/25))/(LN(2)/25)*Calculateur!AQ56*Calculateur!AS56*VLOOKUP('Données projet'!$B$10,Paramètres!$A$1:$I$88,3,0)*0.475*44/12</f>
        <v>2.9928860548293366</v>
      </c>
      <c r="AW56" s="23">
        <f>EXP(-LN(2)/2)*AW55+(1-EXP(-LN(2)/2))/(LN(2)/2)*AQ56*AT56*VLOOKUP('Données projet'!$B$10,Paramètres!$A$1:$I$88,3,0)*0.475*44/12</f>
        <v>4.0615276727387047E-3</v>
      </c>
      <c r="AX56" s="23">
        <f t="shared" si="6"/>
        <v>2.996947582502075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7.3600000000000021</v>
      </c>
      <c r="BD56" s="13">
        <f>IF('Données projet'!$A$88&gt;35,BD55+BC56-BL55,IF(A56&lt;'Données projet'!$A$88,$BA$205^A56,IF(A56='Données projet'!$A$88,'Données projet'!$B$88,BD55+BC56-BL55)))</f>
        <v>282.77999999999997</v>
      </c>
      <c r="BE56" s="14">
        <f>BD56*VLOOKUP('Données projet'!$B$11,Paramètres!$A$1:$I$88,3,0)*VLOOKUP('Données projet'!$B$11,Paramètres!$A$1:$I$88,5,0)</f>
        <v>224.97976799999998</v>
      </c>
      <c r="BF56" s="14">
        <f t="shared" si="37"/>
        <v>55.195799727974219</v>
      </c>
      <c r="BG56" s="22">
        <f t="shared" si="7"/>
        <v>487.97244712622177</v>
      </c>
      <c r="BH56" s="62">
        <f t="shared" si="8"/>
        <v>781.30578045955508</v>
      </c>
      <c r="BI56" s="62">
        <f ca="1">AVERAGE(OFFSET($BH$3,0,0,'Données projet'!$E$11+1,1))-AVERAGE(OFFSET($H$3,0,0,'Données projet'!$E$11+1,1))</f>
        <v>298.38448036212861</v>
      </c>
      <c r="BJ56" s="62">
        <f t="shared" si="38"/>
        <v>270.4445531106897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projet'!$B$11,Paramètres!$A$1:$I$88,7,0))</f>
        <v>0</v>
      </c>
      <c r="BN56" s="17">
        <f>IF(ISNA(VLOOKUP(A56,'Données projet'!$A$87:$I$107,6,0)),0%,VLOOKUP(A56,'Données projet'!$A$87:$I$107,6,0)*VLOOKUP('Données projet'!$B$11,Paramètres!$A$1:$I$88,7,0))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projet'!$B$11,Paramètres!$A$1:$I$88,3,0)*0.475*44/12</f>
        <v>0</v>
      </c>
      <c r="BQ56" s="23">
        <f>EXP(-LN(2)/25)*BQ55+(1-EXP(-LN(2)/25))/(LN(2)/25)*Calculateur!BL56*Calculateur!BN56*VLOOKUP('Données projet'!$B$11,Paramètres!$A$1:$I$88,3,0)*0.475*44/12</f>
        <v>0</v>
      </c>
      <c r="BR56" s="23">
        <f>EXP(-LN(2)/2)*BR55+(1-EXP(-LN(2)/2))/(LN(2)/2)*BL56*BO56*VLOOKUP('Données projet'!$B$11,Paramètres!$A$1:$I$88,3,0)*0.475*44/12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9.375</v>
      </c>
      <c r="BY56" s="13">
        <f>IF('Données projet'!$A$114&gt;35,BY55+BX56-CG55,IF(A56&lt;'Données projet'!$A$114,$BV$205^A56,IF(A56='Données projet'!$A$114,'Données projet'!$B$114,BY55+BX56-CG55)))</f>
        <v>231.37499999999989</v>
      </c>
      <c r="BZ56" s="14">
        <f>BY56*VLOOKUP('Données projet'!$B$12,Paramètres!$A$1:$I$88,3,0)*VLOOKUP('Données projet'!$B$12,Paramètres!$A$1:$I$88,5,0)</f>
        <v>180.47249999999991</v>
      </c>
      <c r="CA56" s="14">
        <f t="shared" si="39"/>
        <v>45.427292666837829</v>
      </c>
      <c r="CB56" s="22">
        <f t="shared" si="10"/>
        <v>393.44213889474241</v>
      </c>
      <c r="CC56" s="62">
        <f t="shared" si="11"/>
        <v>686.77547222807573</v>
      </c>
      <c r="CD56" s="62">
        <f ca="1">AVERAGE(OFFSET($CC$3,0,0,'Données projet'!$E$12+1,1))-AVERAGE(OFFSET($H$3,0,0,'Données projet'!$E$12+1,1))</f>
        <v>217.32600829266818</v>
      </c>
      <c r="CE56" s="62">
        <f t="shared" si="40"/>
        <v>208.79744153433245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projet'!$B$12,Paramètres!$A$1:$I$88,7,0))</f>
        <v>0</v>
      </c>
      <c r="CI56" s="17">
        <f>IF(ISNA(VLOOKUP(A56,'Données projet'!$A$113:$I$133,6,0)),0%,VLOOKUP(A56,'Données projet'!$A$113:$I$133,6,0)*VLOOKUP('Données projet'!$B$12,Paramètres!$A$1:$I$88,7,0))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projet'!$B$12,Paramètres!$A$1:$I$88,3,0)*0.475*44/12</f>
        <v>0</v>
      </c>
      <c r="CL56" s="23">
        <f>EXP(-LN(2)/25)*CL55+(1-EXP(-LN(2)/25))/(LN(2)/25)*Calculateur!CG56*Calculateur!CI56*VLOOKUP('Données projet'!$B$12,Paramètres!$A$1:$I$88,3,0)*0.475*44/12</f>
        <v>0</v>
      </c>
      <c r="CM56" s="23">
        <f>EXP(-LN(2)/2)*CM55+(1-EXP(-LN(2)/2))/(LN(2)/2)*CG56*CJ56*VLOOKUP('Données projet'!$B$12,Paramètres!$A$1:$I$88,3,0)*0.475*44/12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17.285714285714285</v>
      </c>
      <c r="CT56" s="13">
        <f>IF('Données projet'!$A$140&gt;35,CT55+CS56-DB55,IF(A56&lt;'Données projet'!$A$140,$CQ$205^A56,IF(A56='Données projet'!$A$140,'Données projet'!$B$140,CT55+CS56-DB55)))</f>
        <v>462.14285714285694</v>
      </c>
      <c r="CU56" s="18">
        <f>CT56*VLOOKUP('Données projet'!$B$13,Paramètres!$A$1:$I$88,3,0)*VLOOKUP('Données projet'!$B$13,Paramètres!$A$1:$I$88,5,0)</f>
        <v>258.33785714285705</v>
      </c>
      <c r="CV56" s="14">
        <f t="shared" si="41"/>
        <v>62.367944130057822</v>
      </c>
      <c r="CW56" s="22">
        <f t="shared" si="13"/>
        <v>558.56260388366002</v>
      </c>
      <c r="CX56" s="62">
        <f t="shared" si="14"/>
        <v>851.89593721699339</v>
      </c>
      <c r="CY56" s="62">
        <f ca="1">AVERAGE(OFFSET($CX$3,0,0,'Données projet'!$E$13+1,1))-AVERAGE(OFFSET($H$3,0,0,'Données projet'!$E$13+1,1))</f>
        <v>302.20483575440988</v>
      </c>
      <c r="CZ56" s="62">
        <f t="shared" si="42"/>
        <v>275.32862097158687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projet'!$B$13,Paramètres!$A$1:$I$88,7,0))</f>
        <v>0</v>
      </c>
      <c r="DD56" s="17">
        <f>IF(ISNA(VLOOKUP(A56,'Données projet'!$A$139:$I$159,6,0)),0%,VLOOKUP(A56,'Données projet'!$A$139:$I$159,6,0)*VLOOKUP('Données projet'!$B$13,Paramètres!$A$1:$I$88,7,0))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projet'!$B$13,Paramètres!$A$1:$I$88,3,0)*0.475*44/12</f>
        <v>0</v>
      </c>
      <c r="DG56" s="23">
        <f>EXP(-LN(2)/25)*DG55+(1-EXP(-LN(2)/25))/(LN(2)/25)*Calculateur!DB56*Calculateur!DD56*VLOOKUP('Données projet'!$B$13,Paramètres!$A$1:$I$88,3,0)*0.475*44/12</f>
        <v>7.3078129997006425</v>
      </c>
      <c r="DH56" s="23">
        <f>EXP(-LN(2)/2)*DH55+(1-EXP(-LN(2)/2))/(LN(2)/2)*DB56*DE56*VLOOKUP('Données projet'!$B$13,Paramètres!$A$1:$I$88,3,0)*0.475*44/12</f>
        <v>2.3412166380879589E-3</v>
      </c>
      <c r="DI56" s="24">
        <f t="shared" si="15"/>
        <v>7.3101542163387307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projet'!$B$14,Paramètres!$A$1:$I$88,3,0)*VLOOKUP('Données projet'!$B$14,Paramètres!$A$1:$I$88,5,0)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projet'!$B$14,Paramètres!$A$1:$I$88,7,0))</f>
        <v>0</v>
      </c>
      <c r="DY56" s="17">
        <f>IF(ISNA(VLOOKUP(A56,'Données projet'!$A$165:$I$185,6,0)),0%,VLOOKUP(A56,'Données projet'!$A$165:$I$185,6,0)*VLOOKUP('Données projet'!$B$14,Paramètres!$A$1:$I$88,7,0))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projet'!$B$14,Paramètres!$A$1:$I$88,3,0)*0.475*44/12</f>
        <v>#N/A</v>
      </c>
      <c r="EB56" s="23" t="e">
        <f>EXP(-LN(2)/25)*EB55+(1-EXP(-LN(2)/25))/(LN(2)/25)*Calculateur!DW56*Calculateur!DY56*VLOOKUP('Données projet'!$B$14,Paramètres!$A$1:$I$88,3,0)*0.475*44/12</f>
        <v>#N/A</v>
      </c>
      <c r="EC56" s="23" t="e">
        <f>EXP(-LN(2)/2)*EC55+(1-EXP(-LN(2)/2))/(LN(2)/2)*DW56*DZ56*VLOOKUP('Données projet'!$B$14,Paramètres!$A$1:$I$88,3,0)*0.475*44/12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projet'!$B$15,Paramètres!$A$1:$I$88,3,0)*VLOOKUP('Données projet'!$B$15,Paramètres!$A$1:$I$88,5,0)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projet'!$B$15,Paramètres!$A$1:$I$88,7,0))</f>
        <v>0</v>
      </c>
      <c r="ET56" s="17">
        <f>IF(ISNA(VLOOKUP(A56,'Données projet'!$A$191:$I$211,6,0)),0%,VLOOKUP(A56,'Données projet'!$A$191:$I$211,6,0)*VLOOKUP('Données projet'!$B$15,Paramètres!$A$1:$I$88,7,0))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projet'!$B$15,Paramètres!$A$1:$I$88,3,0)*0.475*44/12</f>
        <v>#N/A</v>
      </c>
      <c r="EW56" s="23" t="e">
        <f>EXP(-LN(2)/25)*EW55+(1-EXP(-LN(2)/25))/(LN(2)/25)*Calculateur!ER56*Calculateur!ET56*VLOOKUP('Données projet'!$B$15,Paramètres!$A$1:$I$88,3,0)*0.475*44/12</f>
        <v>#N/A</v>
      </c>
      <c r="EX56" s="23" t="e">
        <f>EXP(-LN(2)/2)*EX55+(1-EXP(-LN(2)/2))/(LN(2)/2)*ER56*EU56*VLOOKUP('Données projet'!$B$15,Paramètres!$A$1:$I$88,3,0)*0.475*44/12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projet'!$B$16,Paramètres!$A$1:$I$88,3,0)*VLOOKUP('Données projet'!$B$16,Paramètres!$A$1:$I$88,5,0)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projet'!$B$16,Paramètres!$A$1:$I$88,7,0))</f>
        <v>0</v>
      </c>
      <c r="FO56" s="17">
        <f>IF(ISNA(VLOOKUP(A56,'Données projet'!$A$217:$I$237,6,0)),0%,VLOOKUP(A56,'Données projet'!$A$217:$I$237,6,0)*VLOOKUP('Données projet'!$B$16,Paramètres!$A$1:$I$88,7,0))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projet'!$B$16,Paramètres!$A$1:$I$88,3,0)*0.475*44/12</f>
        <v>#N/A</v>
      </c>
      <c r="FR56" s="23" t="e">
        <f>EXP(-LN(2)/25)*FR55+(1-EXP(-LN(2)/25))/(LN(2)/25)*Calculateur!FM56*Calculateur!FO56*VLOOKUP('Données projet'!$B$16,Paramètres!$A$1:$I$88,3,0)*0.475*44/12</f>
        <v>#N/A</v>
      </c>
      <c r="FS56" s="23" t="e">
        <f>EXP(-LN(2)/2)*FS55+(1-EXP(-LN(2)/2))/(LN(2)/2)*FM56*FP56*VLOOKUP('Données projet'!$B$16,Paramètres!$A$1:$I$88,3,0)*0.475*44/12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projet'!$B$17,Paramètres!$A$1:$I$88,3,0)*VLOOKUP('Données projet'!$B$17,Paramètres!$A$1:$I$88,5,0)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projet'!$B$17,Paramètres!$A$1:$I$88,7,0))</f>
        <v>0</v>
      </c>
      <c r="GJ56" s="17">
        <f>IF(ISNA(VLOOKUP(A56,'Données projet'!$A$243:$I$263,6,0)),0%,VLOOKUP(A56,'Données projet'!$A$243:$I$263,6,0)*VLOOKUP('Données projet'!$B$17,Paramètres!$A$1:$I$88,7,0))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projet'!$B$17,Paramètres!$A$1:$I$88,3,0)*0.475*44/12</f>
        <v>#N/A</v>
      </c>
      <c r="GM56" s="23" t="e">
        <f>EXP(-LN(2)/25)*GM55+(1-EXP(-LN(2)/25))/(LN(2)/25)*Calculateur!GH56*Calculateur!GJ56*VLOOKUP('Données projet'!$B$17,Paramètres!$A$1:$I$88,3,0)*0.475*44/12</f>
        <v>#N/A</v>
      </c>
      <c r="GN56" s="23" t="e">
        <f>EXP(-LN(2)/2)*GN55+(1-EXP(-LN(2)/2))/(LN(2)/2)*GH56*GK56*VLOOKUP('Données projet'!$B$17,Paramètres!$A$1:$I$88,3,0)*0.475*44/12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projet'!$B$18,Paramètres!$A$1:$I$88,3,0)*VLOOKUP('Données projet'!$B$18,Paramètres!$A$1:$I$88,5,0)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projet'!$B$18,Paramètres!$A$1:$I$88,7,0))</f>
        <v>0</v>
      </c>
      <c r="HE56" s="17">
        <f>IF(ISNA(VLOOKUP(A56,'Données projet'!$A$269:$I$289,6,0)),0%,VLOOKUP(A56,'Données projet'!$A$269:$I$289,6,0)*VLOOKUP('Données projet'!$B$18,Paramètres!$A$1:$I$88,7,0))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projet'!$B$18,Paramètres!$A$1:$I$88,3,0)*0.475*44/12</f>
        <v>#N/A</v>
      </c>
      <c r="HH56" s="23" t="e">
        <f>EXP(-LN(2)/25)*HH55+(1-EXP(-LN(2)/25))/(LN(2)/25)*Calculateur!HC56*Calculateur!HE56*VLOOKUP('Données projet'!$B$18,Paramètres!$A$1:$I$88,3,0)*0.475*44/12</f>
        <v>#N/A</v>
      </c>
      <c r="HI56" s="23" t="e">
        <f>EXP(-LN(2)/2)*HI55+(1-EXP(-LN(2)/2))/(LN(2)/2)*HC56*HF56*VLOOKUP('Données projet'!$B$18,Paramètres!$A$1:$I$88,3,0)*0.475*44/12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9.75</v>
      </c>
      <c r="N57" s="14">
        <f>IF('Données projet'!$A$36&gt;35,N56+M57-V56,IF(A57&lt;'Données projet'!$A$36,$K$205^A57,IF(A57='Données projet'!$A$36,'Données projet'!$B$36,N56+M57-V56)))</f>
        <v>245.5</v>
      </c>
      <c r="O57" s="14">
        <f>N57*VLOOKUP('Données projet'!$B$9,Paramètres!$A$1:$I$88,3,0)*VLOOKUP('Données projet'!$B$9,Paramètres!$A$1:$I$88,5,0)</f>
        <v>153.19199999999998</v>
      </c>
      <c r="P57" s="14">
        <f t="shared" si="33"/>
        <v>39.303087713366921</v>
      </c>
      <c r="Q57" s="22">
        <f t="shared" si="53"/>
        <v>335.2622777674473</v>
      </c>
      <c r="R57" s="62">
        <f t="shared" si="0"/>
        <v>628.59561110078062</v>
      </c>
      <c r="S57" s="62">
        <f ca="1">AVERAGE(OFFSET($R$3,0,0,'Données projet'!$E$9+1,1))-AVERAGE(OFFSET($H$3,0,0,'Données projet'!$E$9+1,1))</f>
        <v>175.05987582828078</v>
      </c>
      <c r="T57" s="62">
        <f t="shared" si="34"/>
        <v>268.54782308462387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projet'!$B$9,Paramètres!$A$1:$I$88,7,0))</f>
        <v>0</v>
      </c>
      <c r="X57" s="17">
        <f>IF(ISNA(VLOOKUP(A57,'Données projet'!$A$35:$I$55,6,0)),0%,VLOOKUP(A57,'Données projet'!$A$35:$I$55,6,0)*VLOOKUP('Données projet'!$B$9,Paramètres!$A$1:$I$88,7,0))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projet'!$B$9,Paramètres!$A$1:$I$88,3,0)*0.475*44/12</f>
        <v>0</v>
      </c>
      <c r="AA57" s="23">
        <f>EXP(-LN(2)/25)*AA56+(1-EXP(-LN(2)/25))/(LN(2)/25)*Calculateur!V57*Calculateur!X57*VLOOKUP('Données projet'!$B$9,Paramètres!$A$1:$I$88,3,0)*0.475*44/12</f>
        <v>5.2924596379529909</v>
      </c>
      <c r="AB57" s="23">
        <f>EXP(-LN(2)/2)*AB56+(1-EXP(-LN(2)/2))/(LN(2)/2)*V57*Y57*VLOOKUP('Données projet'!$B$9,Paramètres!$A$1:$I$88,3,0)*0.475*44/12</f>
        <v>4.0329150100114255E-3</v>
      </c>
      <c r="AC57" s="24">
        <f t="shared" si="3"/>
        <v>5.2964925529630023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19.933333333333334</v>
      </c>
      <c r="AI57" s="14">
        <f>IF('Données projet'!$A$62&gt;35,AI56+AH57-AQ56,IF(A57&lt;'Données projet'!$A$62,$AF$205^A57,IF(A57='Données projet'!$A$62,'Données projet'!$B$62,AI56+AH57-AQ56)))</f>
        <v>657.39999999999975</v>
      </c>
      <c r="AJ57" s="14">
        <f>AI57*VLOOKUP('Données projet'!$B$10,Paramètres!$A$1:$I$88,3,0)*VLOOKUP('Données projet'!$B$10,Paramètres!$A$1:$I$88,5,0)</f>
        <v>316.2093999999999</v>
      </c>
      <c r="AK57" s="14">
        <f t="shared" si="35"/>
        <v>74.56409945448155</v>
      </c>
      <c r="AL57" s="22">
        <f t="shared" si="4"/>
        <v>680.59717821655511</v>
      </c>
      <c r="AM57" s="62">
        <f t="shared" si="5"/>
        <v>973.93051154988848</v>
      </c>
      <c r="AN57" s="62">
        <f ca="1">AVERAGE(OFFSET($AM$3,0,0,'Données projet'!$E$10+1,1))-AVERAGE(OFFSET($H$3,0,0,'Données projet'!$E$10+1,1))</f>
        <v>576.61210817354549</v>
      </c>
      <c r="AO57" s="62">
        <f t="shared" si="36"/>
        <v>343.9428747444544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projet'!$B$10,Paramètres!$A$1:$I$88,7,0))</f>
        <v>0</v>
      </c>
      <c r="AS57" s="17">
        <f>IF(ISNA(VLOOKUP(A57,'Données projet'!$A$61:$I$81,6,0)),0%,VLOOKUP(A57,'Données projet'!$A$61:$I$81,6,0)*VLOOKUP('Données projet'!$B$10,Paramètres!$A$1:$I$88,7,0))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projet'!$B$10,Paramètres!$A$1:$I$88,3,0)*0.475*44/12</f>
        <v>0</v>
      </c>
      <c r="AV57" s="23">
        <f>EXP(-LN(2)/25)*AV56+(1-EXP(-LN(2)/25))/(LN(2)/25)*Calculateur!AQ57*Calculateur!AS57*VLOOKUP('Données projet'!$B$10,Paramètres!$A$1:$I$88,3,0)*0.475*44/12</f>
        <v>2.9110454282709912</v>
      </c>
      <c r="AW57" s="23">
        <f>EXP(-LN(2)/2)*AW56+(1-EXP(-LN(2)/2))/(LN(2)/2)*AQ57*AT57*VLOOKUP('Données projet'!$B$10,Paramètres!$A$1:$I$88,3,0)*0.475*44/12</f>
        <v>2.8719337593703549E-3</v>
      </c>
      <c r="AX57" s="23">
        <f t="shared" si="6"/>
        <v>2.9139173620303618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7.3600000000000021</v>
      </c>
      <c r="BD57" s="13">
        <f>IF('Données projet'!$A$88&gt;35,BD56+BC57-BL56,IF(A57&lt;'Données projet'!$A$88,$BA$205^A57,IF(A57='Données projet'!$A$88,'Données projet'!$B$88,BD56+BC57-BL56)))</f>
        <v>290.14</v>
      </c>
      <c r="BE57" s="14">
        <f>BD57*VLOOKUP('Données projet'!$B$11,Paramètres!$A$1:$I$88,3,0)*VLOOKUP('Données projet'!$B$11,Paramètres!$A$1:$I$88,5,0)</f>
        <v>230.83538399999998</v>
      </c>
      <c r="BF57" s="14">
        <f t="shared" si="37"/>
        <v>56.463272951727305</v>
      </c>
      <c r="BG57" s="22">
        <f t="shared" si="7"/>
        <v>500.37849419092498</v>
      </c>
      <c r="BH57" s="62">
        <f t="shared" si="8"/>
        <v>793.7118275242583</v>
      </c>
      <c r="BI57" s="62">
        <f ca="1">AVERAGE(OFFSET($BH$3,0,0,'Données projet'!$E$11+1,1))-AVERAGE(OFFSET($H$3,0,0,'Données projet'!$E$11+1,1))</f>
        <v>298.38448036212861</v>
      </c>
      <c r="BJ57" s="62">
        <f t="shared" si="38"/>
        <v>270.4445531106897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projet'!$B$11,Paramètres!$A$1:$I$88,7,0))</f>
        <v>0</v>
      </c>
      <c r="BN57" s="17">
        <f>IF(ISNA(VLOOKUP(A57,'Données projet'!$A$87:$I$107,6,0)),0%,VLOOKUP(A57,'Données projet'!$A$87:$I$107,6,0)*VLOOKUP('Données projet'!$B$11,Paramètres!$A$1:$I$88,7,0))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projet'!$B$11,Paramètres!$A$1:$I$88,3,0)*0.475*44/12</f>
        <v>0</v>
      </c>
      <c r="BQ57" s="23">
        <f>EXP(-LN(2)/25)*BQ56+(1-EXP(-LN(2)/25))/(LN(2)/25)*Calculateur!BL57*Calculateur!BN57*VLOOKUP('Données projet'!$B$11,Paramètres!$A$1:$I$88,3,0)*0.475*44/12</f>
        <v>0</v>
      </c>
      <c r="BR57" s="23">
        <f>EXP(-LN(2)/2)*BR56+(1-EXP(-LN(2)/2))/(LN(2)/2)*BL57*BO57*VLOOKUP('Données projet'!$B$11,Paramètres!$A$1:$I$88,3,0)*0.475*44/12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9.375</v>
      </c>
      <c r="BY57" s="13">
        <f>IF('Données projet'!$A$114&gt;35,BY56+BX57-CG56,IF(A57&lt;'Données projet'!$A$114,$BV$205^A57,IF(A57='Données projet'!$A$114,'Données projet'!$B$114,BY56+BX57-CG56)))</f>
        <v>240.74999999999989</v>
      </c>
      <c r="BZ57" s="14">
        <f>BY57*VLOOKUP('Données projet'!$B$12,Paramètres!$A$1:$I$88,3,0)*VLOOKUP('Données projet'!$B$12,Paramètres!$A$1:$I$88,5,0)</f>
        <v>187.78499999999991</v>
      </c>
      <c r="CA57" s="14">
        <f t="shared" si="39"/>
        <v>47.049914090154054</v>
      </c>
      <c r="CB57" s="22">
        <f t="shared" si="10"/>
        <v>409.0041420403515</v>
      </c>
      <c r="CC57" s="62">
        <f t="shared" si="11"/>
        <v>702.33747537368481</v>
      </c>
      <c r="CD57" s="62">
        <f ca="1">AVERAGE(OFFSET($CC$3,0,0,'Données projet'!$E$12+1,1))-AVERAGE(OFFSET($H$3,0,0,'Données projet'!$E$12+1,1))</f>
        <v>217.32600829266818</v>
      </c>
      <c r="CE57" s="62">
        <f t="shared" si="40"/>
        <v>208.79744153433245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projet'!$B$12,Paramètres!$A$1:$I$88,7,0))</f>
        <v>0</v>
      </c>
      <c r="CI57" s="17">
        <f>IF(ISNA(VLOOKUP(A57,'Données projet'!$A$113:$I$133,6,0)),0%,VLOOKUP(A57,'Données projet'!$A$113:$I$133,6,0)*VLOOKUP('Données projet'!$B$12,Paramètres!$A$1:$I$88,7,0))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projet'!$B$12,Paramètres!$A$1:$I$88,3,0)*0.475*44/12</f>
        <v>0</v>
      </c>
      <c r="CL57" s="23">
        <f>EXP(-LN(2)/25)*CL56+(1-EXP(-LN(2)/25))/(LN(2)/25)*Calculateur!CG57*Calculateur!CI57*VLOOKUP('Données projet'!$B$12,Paramètres!$A$1:$I$88,3,0)*0.475*44/12</f>
        <v>0</v>
      </c>
      <c r="CM57" s="23">
        <f>EXP(-LN(2)/2)*CM56+(1-EXP(-LN(2)/2))/(LN(2)/2)*CG57*CJ57*VLOOKUP('Données projet'!$B$12,Paramètres!$A$1:$I$88,3,0)*0.475*44/12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17.285714285714285</v>
      </c>
      <c r="CT57" s="13">
        <f>IF('Données projet'!$A$140&gt;35,CT56+CS57-DB56,IF(A57&lt;'Données projet'!$A$140,$CQ$205^A57,IF(A57='Données projet'!$A$140,'Données projet'!$B$140,CT56+CS57-DB56)))</f>
        <v>479.42857142857122</v>
      </c>
      <c r="CU57" s="18">
        <f>CT57*VLOOKUP('Données projet'!$B$13,Paramètres!$A$1:$I$88,3,0)*VLOOKUP('Données projet'!$B$13,Paramètres!$A$1:$I$88,5,0)</f>
        <v>268.00057142857128</v>
      </c>
      <c r="CV57" s="14">
        <f t="shared" si="41"/>
        <v>64.42475669606354</v>
      </c>
      <c r="CW57" s="22">
        <f t="shared" si="13"/>
        <v>578.97411315040551</v>
      </c>
      <c r="CX57" s="62">
        <f t="shared" si="14"/>
        <v>872.30744648373889</v>
      </c>
      <c r="CY57" s="62">
        <f ca="1">AVERAGE(OFFSET($CX$3,0,0,'Données projet'!$E$13+1,1))-AVERAGE(OFFSET($H$3,0,0,'Données projet'!$E$13+1,1))</f>
        <v>302.20483575440988</v>
      </c>
      <c r="CZ57" s="62">
        <f t="shared" si="42"/>
        <v>275.32862097158687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projet'!$B$13,Paramètres!$A$1:$I$88,7,0))</f>
        <v>0</v>
      </c>
      <c r="DD57" s="17">
        <f>IF(ISNA(VLOOKUP(A57,'Données projet'!$A$139:$I$159,6,0)),0%,VLOOKUP(A57,'Données projet'!$A$139:$I$159,6,0)*VLOOKUP('Données projet'!$B$13,Paramètres!$A$1:$I$88,7,0))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projet'!$B$13,Paramètres!$A$1:$I$88,3,0)*0.475*44/12</f>
        <v>0</v>
      </c>
      <c r="DG57" s="23">
        <f>EXP(-LN(2)/25)*DG56+(1-EXP(-LN(2)/25))/(LN(2)/25)*Calculateur!DB57*Calculateur!DD57*VLOOKUP('Données projet'!$B$13,Paramètres!$A$1:$I$88,3,0)*0.475*44/12</f>
        <v>7.1079804689226451</v>
      </c>
      <c r="DH57" s="23">
        <f>EXP(-LN(2)/2)*DH56+(1-EXP(-LN(2)/2))/(LN(2)/2)*DB57*DE57*VLOOKUP('Données projet'!$B$13,Paramètres!$A$1:$I$88,3,0)*0.475*44/12</f>
        <v>1.6554901610187668E-3</v>
      </c>
      <c r="DI57" s="24">
        <f t="shared" si="15"/>
        <v>7.109635959083664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projet'!$B$14,Paramètres!$A$1:$I$88,3,0)*VLOOKUP('Données projet'!$B$14,Paramètres!$A$1:$I$88,5,0)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projet'!$B$14,Paramètres!$A$1:$I$88,7,0))</f>
        <v>0</v>
      </c>
      <c r="DY57" s="17">
        <f>IF(ISNA(VLOOKUP(A57,'Données projet'!$A$165:$I$185,6,0)),0%,VLOOKUP(A57,'Données projet'!$A$165:$I$185,6,0)*VLOOKUP('Données projet'!$B$14,Paramètres!$A$1:$I$88,7,0))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projet'!$B$14,Paramètres!$A$1:$I$88,3,0)*0.475*44/12</f>
        <v>#N/A</v>
      </c>
      <c r="EB57" s="23" t="e">
        <f>EXP(-LN(2)/25)*EB56+(1-EXP(-LN(2)/25))/(LN(2)/25)*Calculateur!DW57*Calculateur!DY57*VLOOKUP('Données projet'!$B$14,Paramètres!$A$1:$I$88,3,0)*0.475*44/12</f>
        <v>#N/A</v>
      </c>
      <c r="EC57" s="23" t="e">
        <f>EXP(-LN(2)/2)*EC56+(1-EXP(-LN(2)/2))/(LN(2)/2)*DW57*DZ57*VLOOKUP('Données projet'!$B$14,Paramètres!$A$1:$I$88,3,0)*0.475*44/12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projet'!$B$15,Paramètres!$A$1:$I$88,3,0)*VLOOKUP('Données projet'!$B$15,Paramètres!$A$1:$I$88,5,0)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projet'!$B$15,Paramètres!$A$1:$I$88,7,0))</f>
        <v>0</v>
      </c>
      <c r="ET57" s="17">
        <f>IF(ISNA(VLOOKUP(A57,'Données projet'!$A$191:$I$211,6,0)),0%,VLOOKUP(A57,'Données projet'!$A$191:$I$211,6,0)*VLOOKUP('Données projet'!$B$15,Paramètres!$A$1:$I$88,7,0))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projet'!$B$15,Paramètres!$A$1:$I$88,3,0)*0.475*44/12</f>
        <v>#N/A</v>
      </c>
      <c r="EW57" s="23" t="e">
        <f>EXP(-LN(2)/25)*EW56+(1-EXP(-LN(2)/25))/(LN(2)/25)*Calculateur!ER57*Calculateur!ET57*VLOOKUP('Données projet'!$B$15,Paramètres!$A$1:$I$88,3,0)*0.475*44/12</f>
        <v>#N/A</v>
      </c>
      <c r="EX57" s="23" t="e">
        <f>EXP(-LN(2)/2)*EX56+(1-EXP(-LN(2)/2))/(LN(2)/2)*ER57*EU57*VLOOKUP('Données projet'!$B$15,Paramètres!$A$1:$I$88,3,0)*0.475*44/12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projet'!$B$16,Paramètres!$A$1:$I$88,3,0)*VLOOKUP('Données projet'!$B$16,Paramètres!$A$1:$I$88,5,0)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projet'!$B$16,Paramètres!$A$1:$I$88,7,0))</f>
        <v>0</v>
      </c>
      <c r="FO57" s="17">
        <f>IF(ISNA(VLOOKUP(A57,'Données projet'!$A$217:$I$237,6,0)),0%,VLOOKUP(A57,'Données projet'!$A$217:$I$237,6,0)*VLOOKUP('Données projet'!$B$16,Paramètres!$A$1:$I$88,7,0))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projet'!$B$16,Paramètres!$A$1:$I$88,3,0)*0.475*44/12</f>
        <v>#N/A</v>
      </c>
      <c r="FR57" s="23" t="e">
        <f>EXP(-LN(2)/25)*FR56+(1-EXP(-LN(2)/25))/(LN(2)/25)*Calculateur!FM57*Calculateur!FO57*VLOOKUP('Données projet'!$B$16,Paramètres!$A$1:$I$88,3,0)*0.475*44/12</f>
        <v>#N/A</v>
      </c>
      <c r="FS57" s="23" t="e">
        <f>EXP(-LN(2)/2)*FS56+(1-EXP(-LN(2)/2))/(LN(2)/2)*FM57*FP57*VLOOKUP('Données projet'!$B$16,Paramètres!$A$1:$I$88,3,0)*0.475*44/12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projet'!$B$17,Paramètres!$A$1:$I$88,3,0)*VLOOKUP('Données projet'!$B$17,Paramètres!$A$1:$I$88,5,0)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projet'!$B$17,Paramètres!$A$1:$I$88,7,0))</f>
        <v>0</v>
      </c>
      <c r="GJ57" s="17">
        <f>IF(ISNA(VLOOKUP(A57,'Données projet'!$A$243:$I$263,6,0)),0%,VLOOKUP(A57,'Données projet'!$A$243:$I$263,6,0)*VLOOKUP('Données projet'!$B$17,Paramètres!$A$1:$I$88,7,0))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projet'!$B$17,Paramètres!$A$1:$I$88,3,0)*0.475*44/12</f>
        <v>#N/A</v>
      </c>
      <c r="GM57" s="23" t="e">
        <f>EXP(-LN(2)/25)*GM56+(1-EXP(-LN(2)/25))/(LN(2)/25)*Calculateur!GH57*Calculateur!GJ57*VLOOKUP('Données projet'!$B$17,Paramètres!$A$1:$I$88,3,0)*0.475*44/12</f>
        <v>#N/A</v>
      </c>
      <c r="GN57" s="23" t="e">
        <f>EXP(-LN(2)/2)*GN56+(1-EXP(-LN(2)/2))/(LN(2)/2)*GH57*GK57*VLOOKUP('Données projet'!$B$17,Paramètres!$A$1:$I$88,3,0)*0.475*44/12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projet'!$B$18,Paramètres!$A$1:$I$88,3,0)*VLOOKUP('Données projet'!$B$18,Paramètres!$A$1:$I$88,5,0)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projet'!$B$18,Paramètres!$A$1:$I$88,7,0))</f>
        <v>0</v>
      </c>
      <c r="HE57" s="17">
        <f>IF(ISNA(VLOOKUP(A57,'Données projet'!$A$269:$I$289,6,0)),0%,VLOOKUP(A57,'Données projet'!$A$269:$I$289,6,0)*VLOOKUP('Données projet'!$B$18,Paramètres!$A$1:$I$88,7,0))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projet'!$B$18,Paramètres!$A$1:$I$88,3,0)*0.475*44/12</f>
        <v>#N/A</v>
      </c>
      <c r="HH57" s="23" t="e">
        <f>EXP(-LN(2)/25)*HH56+(1-EXP(-LN(2)/25))/(LN(2)/25)*Calculateur!HC57*Calculateur!HE57*VLOOKUP('Données projet'!$B$18,Paramètres!$A$1:$I$88,3,0)*0.475*44/12</f>
        <v>#N/A</v>
      </c>
      <c r="HI57" s="23" t="e">
        <f>EXP(-LN(2)/2)*HI56+(1-EXP(-LN(2)/2))/(LN(2)/2)*HC57*HF57*VLOOKUP('Données projet'!$B$18,Paramètres!$A$1:$I$88,3,0)*0.475*44/12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9.75</v>
      </c>
      <c r="N58" s="14">
        <f>IF('Données projet'!$A$36&gt;35,N57+M58-V57,IF(A58&lt;'Données projet'!$A$36,$K$205^A58,IF(A58='Données projet'!$A$36,'Données projet'!$B$36,N57+M58-V57)))</f>
        <v>255.25</v>
      </c>
      <c r="O58" s="14">
        <f>N58*VLOOKUP('Données projet'!$B$9,Paramètres!$A$1:$I$88,3,0)*VLOOKUP('Données projet'!$B$9,Paramètres!$A$1:$I$88,5,0)</f>
        <v>159.27600000000001</v>
      </c>
      <c r="P58" s="14">
        <f t="shared" si="33"/>
        <v>40.679172107249002</v>
      </c>
      <c r="Q58" s="22">
        <f t="shared" si="53"/>
        <v>348.25525808679203</v>
      </c>
      <c r="R58" s="62">
        <f t="shared" si="0"/>
        <v>641.58859142012534</v>
      </c>
      <c r="S58" s="62">
        <f ca="1">AVERAGE(OFFSET($R$3,0,0,'Données projet'!$E$9+1,1))-AVERAGE(OFFSET($H$3,0,0,'Données projet'!$E$9+1,1))</f>
        <v>175.05987582828078</v>
      </c>
      <c r="T58" s="62">
        <f t="shared" si="34"/>
        <v>268.54782308462387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projet'!$B$9,Paramètres!$A$1:$I$88,7,0))</f>
        <v>0</v>
      </c>
      <c r="X58" s="17">
        <f>IF(ISNA(VLOOKUP(A58,'Données projet'!$A$35:$I$55,6,0)),0%,VLOOKUP(A58,'Données projet'!$A$35:$I$55,6,0)*VLOOKUP('Données projet'!$B$9,Paramètres!$A$1:$I$88,7,0))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projet'!$B$9,Paramètres!$A$1:$I$88,3,0)*0.475*44/12</f>
        <v>0</v>
      </c>
      <c r="AA58" s="23">
        <f>EXP(-LN(2)/25)*AA57+(1-EXP(-LN(2)/25))/(LN(2)/25)*Calculateur!V58*Calculateur!X58*VLOOKUP('Données projet'!$B$9,Paramètres!$A$1:$I$88,3,0)*0.475*44/12</f>
        <v>5.1477370508348104</v>
      </c>
      <c r="AB58" s="23">
        <f>EXP(-LN(2)/2)*AB57+(1-EXP(-LN(2)/2))/(LN(2)/2)*V58*Y58*VLOOKUP('Données projet'!$B$9,Paramètres!$A$1:$I$88,3,0)*0.475*44/12</f>
        <v>2.8517015515280922E-3</v>
      </c>
      <c r="AC58" s="24">
        <f t="shared" si="3"/>
        <v>5.1505887523863381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19.933333333333334</v>
      </c>
      <c r="AI58" s="14">
        <f>IF('Données projet'!$A$62&gt;35,AI57+AH58-AQ57,IF(A58&lt;'Données projet'!$A$62,$AF$205^A58,IF(A58='Données projet'!$A$62,'Données projet'!$B$62,AI57+AH58-AQ57)))</f>
        <v>677.33333333333303</v>
      </c>
      <c r="AJ58" s="14">
        <f>AI58*VLOOKUP('Données projet'!$B$10,Paramètres!$A$1:$I$88,3,0)*VLOOKUP('Données projet'!$B$10,Paramètres!$A$1:$I$88,5,0)</f>
        <v>325.7973333333332</v>
      </c>
      <c r="AK58" s="14">
        <f t="shared" si="35"/>
        <v>76.558338245787226</v>
      </c>
      <c r="AL58" s="22">
        <f t="shared" si="4"/>
        <v>700.76946133363469</v>
      </c>
      <c r="AM58" s="62">
        <f t="shared" si="5"/>
        <v>994.10279466696807</v>
      </c>
      <c r="AN58" s="62">
        <f ca="1">AVERAGE(OFFSET($AM$3,0,0,'Données projet'!$E$10+1,1))-AVERAGE(OFFSET($H$3,0,0,'Données projet'!$E$10+1,1))</f>
        <v>576.61210817354549</v>
      </c>
      <c r="AO58" s="62">
        <f t="shared" si="36"/>
        <v>343.9428747444544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projet'!$B$10,Paramètres!$A$1:$I$88,7,0))</f>
        <v>0</v>
      </c>
      <c r="AS58" s="17">
        <f>IF(ISNA(VLOOKUP(A58,'Données projet'!$A$61:$I$81,6,0)),0%,VLOOKUP(A58,'Données projet'!$A$61:$I$81,6,0)*VLOOKUP('Données projet'!$B$10,Paramètres!$A$1:$I$88,7,0))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projet'!$B$10,Paramètres!$A$1:$I$88,3,0)*0.475*44/12</f>
        <v>0</v>
      </c>
      <c r="AV58" s="23">
        <f>EXP(-LN(2)/25)*AV57+(1-EXP(-LN(2)/25))/(LN(2)/25)*Calculateur!AQ58*Calculateur!AS58*VLOOKUP('Données projet'!$B$10,Paramètres!$A$1:$I$88,3,0)*0.475*44/12</f>
        <v>2.8314427379496951</v>
      </c>
      <c r="AW58" s="23">
        <f>EXP(-LN(2)/2)*AW57+(1-EXP(-LN(2)/2))/(LN(2)/2)*AQ58*AT58*VLOOKUP('Données projet'!$B$10,Paramètres!$A$1:$I$88,3,0)*0.475*44/12</f>
        <v>2.0307638363693523E-3</v>
      </c>
      <c r="AX58" s="23">
        <f t="shared" si="6"/>
        <v>2.8334735017860644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297.5</v>
      </c>
      <c r="BB58" s="13">
        <f>VLOOKUP(A58,'Données projet'!$A$87:$I$107,9,0)</f>
        <v>7.3600000000000021</v>
      </c>
      <c r="BC58" s="13">
        <f t="array" ref="BC58">INDEX(BB:BB,MIN(IF(ISNUMBER(BB58:BB254),ROW(BB58:BB254),"")))</f>
        <v>7.3600000000000021</v>
      </c>
      <c r="BD58" s="13">
        <f>IF('Données projet'!$A$88&gt;35,BD57+BC58-BL57,IF(A58&lt;'Données projet'!$A$88,$BA$205^A58,IF(A58='Données projet'!$A$88,'Données projet'!$B$88,BD57+BC58-BL57)))</f>
        <v>297.5</v>
      </c>
      <c r="BE58" s="14">
        <f>BD58*VLOOKUP('Données projet'!$B$11,Paramètres!$A$1:$I$88,3,0)*VLOOKUP('Données projet'!$B$11,Paramètres!$A$1:$I$88,5,0)</f>
        <v>236.691</v>
      </c>
      <c r="BF58" s="14">
        <f t="shared" si="37"/>
        <v>57.727008770255331</v>
      </c>
      <c r="BG58" s="22">
        <f t="shared" si="7"/>
        <v>512.77803194152796</v>
      </c>
      <c r="BH58" s="62">
        <f t="shared" si="8"/>
        <v>806.11136527486133</v>
      </c>
      <c r="BI58" s="62">
        <f ca="1">AVERAGE(OFFSET($BH$3,0,0,'Données projet'!$E$11+1,1))-AVERAGE(OFFSET($H$3,0,0,'Données projet'!$E$11+1,1))</f>
        <v>298.38448036212861</v>
      </c>
      <c r="BJ58" s="62">
        <f t="shared" si="38"/>
        <v>270.4445531106897</v>
      </c>
      <c r="BK58" s="16">
        <f>IF(ISNA(VLOOKUP(A58,'Données projet'!$A$87:$I$107,3,0)),0,VLOOKUP(A58,'Données projet'!$A$87:$I$107,3,0))</f>
        <v>4</v>
      </c>
      <c r="BL58" s="16">
        <f>IF(ISNA(VLOOKUP(A58,'Données projet'!$A$87:$I$107,4,0)),0,VLOOKUP(A58,'Données projet'!$A$87:$I$107,4,0))</f>
        <v>34.9</v>
      </c>
      <c r="BM58" s="17">
        <f>IF(ISNA(VLOOKUP(A58,'Données projet'!$A$87:$I$107,5,0)),0%,VLOOKUP(A58,'Données projet'!$A$87:$I$107,5,0)*VLOOKUP('Données projet'!$B$11,Paramètres!$A$1:$I$88,7,0))</f>
        <v>0</v>
      </c>
      <c r="BN58" s="17">
        <f>IF(ISNA(VLOOKUP(A58,'Données projet'!$A$87:$I$107,6,0)),0%,VLOOKUP(A58,'Données projet'!$A$87:$I$107,6,0)*VLOOKUP('Données projet'!$B$11,Paramètres!$A$1:$I$88,7,0))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projet'!$B$11,Paramètres!$A$1:$I$88,3,0)*0.475*44/12</f>
        <v>0</v>
      </c>
      <c r="BQ58" s="23">
        <f>EXP(-LN(2)/25)*BQ57+(1-EXP(-LN(2)/25))/(LN(2)/25)*Calculateur!BL58*Calculateur!BN58*VLOOKUP('Données projet'!$B$11,Paramètres!$A$1:$I$88,3,0)*0.475*44/12</f>
        <v>0</v>
      </c>
      <c r="BR58" s="23">
        <f>EXP(-LN(2)/2)*BR57+(1-EXP(-LN(2)/2))/(LN(2)/2)*BL58*BO58*VLOOKUP('Données projet'!$B$11,Paramètres!$A$1:$I$88,3,0)*0.475*44/12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9.375</v>
      </c>
      <c r="BY58" s="13">
        <f>IF('Données projet'!$A$114&gt;35,BY57+BX58-CG57,IF(A58&lt;'Données projet'!$A$114,$BV$205^A58,IF(A58='Données projet'!$A$114,'Données projet'!$B$114,BY57+BX58-CG57)))</f>
        <v>250.12499999999989</v>
      </c>
      <c r="BZ58" s="14">
        <f>BY58*VLOOKUP('Données projet'!$B$12,Paramètres!$A$1:$I$88,3,0)*VLOOKUP('Données projet'!$B$12,Paramètres!$A$1:$I$88,5,0)</f>
        <v>195.09749999999991</v>
      </c>
      <c r="CA58" s="14">
        <f t="shared" si="39"/>
        <v>48.66519532492579</v>
      </c>
      <c r="CB58" s="22">
        <f t="shared" si="10"/>
        <v>424.55336102424553</v>
      </c>
      <c r="CC58" s="62">
        <f t="shared" si="11"/>
        <v>717.88669435757879</v>
      </c>
      <c r="CD58" s="62">
        <f ca="1">AVERAGE(OFFSET($CC$3,0,0,'Données projet'!$E$12+1,1))-AVERAGE(OFFSET($H$3,0,0,'Données projet'!$E$12+1,1))</f>
        <v>217.32600829266818</v>
      </c>
      <c r="CE58" s="62">
        <f t="shared" si="40"/>
        <v>208.79744153433245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projet'!$B$12,Paramètres!$A$1:$I$88,7,0))</f>
        <v>0</v>
      </c>
      <c r="CI58" s="17">
        <f>IF(ISNA(VLOOKUP(A58,'Données projet'!$A$113:$I$133,6,0)),0%,VLOOKUP(A58,'Données projet'!$A$113:$I$133,6,0)*VLOOKUP('Données projet'!$B$12,Paramètres!$A$1:$I$88,7,0))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projet'!$B$12,Paramètres!$A$1:$I$88,3,0)*0.475*44/12</f>
        <v>0</v>
      </c>
      <c r="CL58" s="23">
        <f>EXP(-LN(2)/25)*CL57+(1-EXP(-LN(2)/25))/(LN(2)/25)*Calculateur!CG58*Calculateur!CI58*VLOOKUP('Données projet'!$B$12,Paramètres!$A$1:$I$88,3,0)*0.475*44/12</f>
        <v>0</v>
      </c>
      <c r="CM58" s="23">
        <f>EXP(-LN(2)/2)*CM57+(1-EXP(-LN(2)/2))/(LN(2)/2)*CG58*CJ58*VLOOKUP('Données projet'!$B$12,Paramètres!$A$1:$I$88,3,0)*0.475*44/12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17.285714285714285</v>
      </c>
      <c r="CT58" s="13">
        <f>IF('Données projet'!$A$140&gt;35,CT57+CS58-DB57,IF(A58&lt;'Données projet'!$A$140,$CQ$205^A58,IF(A58='Données projet'!$A$140,'Données projet'!$B$140,CT57+CS58-DB57)))</f>
        <v>496.7142857142855</v>
      </c>
      <c r="CU58" s="18">
        <f>CT58*VLOOKUP('Données projet'!$B$13,Paramètres!$A$1:$I$88,3,0)*VLOOKUP('Données projet'!$B$13,Paramètres!$A$1:$I$88,5,0)</f>
        <v>277.66328571428562</v>
      </c>
      <c r="CV58" s="14">
        <f t="shared" si="41"/>
        <v>66.47295338451616</v>
      </c>
      <c r="CW58" s="22">
        <f t="shared" si="13"/>
        <v>599.37061643041295</v>
      </c>
      <c r="CX58" s="62">
        <f t="shared" si="14"/>
        <v>892.70394976374632</v>
      </c>
      <c r="CY58" s="62">
        <f ca="1">AVERAGE(OFFSET($CX$3,0,0,'Données projet'!$E$13+1,1))-AVERAGE(OFFSET($H$3,0,0,'Données projet'!$E$13+1,1))</f>
        <v>302.20483575440988</v>
      </c>
      <c r="CZ58" s="62">
        <f t="shared" si="42"/>
        <v>275.32862097158687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projet'!$B$13,Paramètres!$A$1:$I$88,7,0))</f>
        <v>0</v>
      </c>
      <c r="DD58" s="17">
        <f>IF(ISNA(VLOOKUP(A58,'Données projet'!$A$139:$I$159,6,0)),0%,VLOOKUP(A58,'Données projet'!$A$139:$I$159,6,0)*VLOOKUP('Données projet'!$B$13,Paramètres!$A$1:$I$88,7,0))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projet'!$B$13,Paramètres!$A$1:$I$88,3,0)*0.475*44/12</f>
        <v>0</v>
      </c>
      <c r="DG58" s="23">
        <f>EXP(-LN(2)/25)*DG57+(1-EXP(-LN(2)/25))/(LN(2)/25)*Calculateur!DB58*Calculateur!DD58*VLOOKUP('Données projet'!$B$13,Paramètres!$A$1:$I$88,3,0)*0.475*44/12</f>
        <v>6.9136123692075078</v>
      </c>
      <c r="DH58" s="23">
        <f>EXP(-LN(2)/2)*DH57+(1-EXP(-LN(2)/2))/(LN(2)/2)*DB58*DE58*VLOOKUP('Données projet'!$B$13,Paramètres!$A$1:$I$88,3,0)*0.475*44/12</f>
        <v>1.1706083190439795E-3</v>
      </c>
      <c r="DI58" s="24">
        <f t="shared" si="15"/>
        <v>6.9147829775265519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projet'!$B$14,Paramètres!$A$1:$I$88,3,0)*VLOOKUP('Données projet'!$B$14,Paramètres!$A$1:$I$88,5,0)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projet'!$B$14,Paramètres!$A$1:$I$88,7,0))</f>
        <v>0</v>
      </c>
      <c r="DY58" s="17">
        <f>IF(ISNA(VLOOKUP(A58,'Données projet'!$A$165:$I$185,6,0)),0%,VLOOKUP(A58,'Données projet'!$A$165:$I$185,6,0)*VLOOKUP('Données projet'!$B$14,Paramètres!$A$1:$I$88,7,0))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projet'!$B$14,Paramètres!$A$1:$I$88,3,0)*0.475*44/12</f>
        <v>#N/A</v>
      </c>
      <c r="EB58" s="23" t="e">
        <f>EXP(-LN(2)/25)*EB57+(1-EXP(-LN(2)/25))/(LN(2)/25)*Calculateur!DW58*Calculateur!DY58*VLOOKUP('Données projet'!$B$14,Paramètres!$A$1:$I$88,3,0)*0.475*44/12</f>
        <v>#N/A</v>
      </c>
      <c r="EC58" s="23" t="e">
        <f>EXP(-LN(2)/2)*EC57+(1-EXP(-LN(2)/2))/(LN(2)/2)*DW58*DZ58*VLOOKUP('Données projet'!$B$14,Paramètres!$A$1:$I$88,3,0)*0.475*44/12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projet'!$B$15,Paramètres!$A$1:$I$88,3,0)*VLOOKUP('Données projet'!$B$15,Paramètres!$A$1:$I$88,5,0)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projet'!$B$15,Paramètres!$A$1:$I$88,7,0))</f>
        <v>0</v>
      </c>
      <c r="ET58" s="17">
        <f>IF(ISNA(VLOOKUP(A58,'Données projet'!$A$191:$I$211,6,0)),0%,VLOOKUP(A58,'Données projet'!$A$191:$I$211,6,0)*VLOOKUP('Données projet'!$B$15,Paramètres!$A$1:$I$88,7,0))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projet'!$B$15,Paramètres!$A$1:$I$88,3,0)*0.475*44/12</f>
        <v>#N/A</v>
      </c>
      <c r="EW58" s="23" t="e">
        <f>EXP(-LN(2)/25)*EW57+(1-EXP(-LN(2)/25))/(LN(2)/25)*Calculateur!ER58*Calculateur!ET58*VLOOKUP('Données projet'!$B$15,Paramètres!$A$1:$I$88,3,0)*0.475*44/12</f>
        <v>#N/A</v>
      </c>
      <c r="EX58" s="23" t="e">
        <f>EXP(-LN(2)/2)*EX57+(1-EXP(-LN(2)/2))/(LN(2)/2)*ER58*EU58*VLOOKUP('Données projet'!$B$15,Paramètres!$A$1:$I$88,3,0)*0.475*44/12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projet'!$B$16,Paramètres!$A$1:$I$88,3,0)*VLOOKUP('Données projet'!$B$16,Paramètres!$A$1:$I$88,5,0)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projet'!$B$16,Paramètres!$A$1:$I$88,7,0))</f>
        <v>0</v>
      </c>
      <c r="FO58" s="17">
        <f>IF(ISNA(VLOOKUP(A58,'Données projet'!$A$217:$I$237,6,0)),0%,VLOOKUP(A58,'Données projet'!$A$217:$I$237,6,0)*VLOOKUP('Données projet'!$B$16,Paramètres!$A$1:$I$88,7,0))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projet'!$B$16,Paramètres!$A$1:$I$88,3,0)*0.475*44/12</f>
        <v>#N/A</v>
      </c>
      <c r="FR58" s="23" t="e">
        <f>EXP(-LN(2)/25)*FR57+(1-EXP(-LN(2)/25))/(LN(2)/25)*Calculateur!FM58*Calculateur!FO58*VLOOKUP('Données projet'!$B$16,Paramètres!$A$1:$I$88,3,0)*0.475*44/12</f>
        <v>#N/A</v>
      </c>
      <c r="FS58" s="23" t="e">
        <f>EXP(-LN(2)/2)*FS57+(1-EXP(-LN(2)/2))/(LN(2)/2)*FM58*FP58*VLOOKUP('Données projet'!$B$16,Paramètres!$A$1:$I$88,3,0)*0.475*44/12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projet'!$B$17,Paramètres!$A$1:$I$88,3,0)*VLOOKUP('Données projet'!$B$17,Paramètres!$A$1:$I$88,5,0)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projet'!$B$17,Paramètres!$A$1:$I$88,7,0))</f>
        <v>0</v>
      </c>
      <c r="GJ58" s="17">
        <f>IF(ISNA(VLOOKUP(A58,'Données projet'!$A$243:$I$263,6,0)),0%,VLOOKUP(A58,'Données projet'!$A$243:$I$263,6,0)*VLOOKUP('Données projet'!$B$17,Paramètres!$A$1:$I$88,7,0))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projet'!$B$17,Paramètres!$A$1:$I$88,3,0)*0.475*44/12</f>
        <v>#N/A</v>
      </c>
      <c r="GM58" s="23" t="e">
        <f>EXP(-LN(2)/25)*GM57+(1-EXP(-LN(2)/25))/(LN(2)/25)*Calculateur!GH58*Calculateur!GJ58*VLOOKUP('Données projet'!$B$17,Paramètres!$A$1:$I$88,3,0)*0.475*44/12</f>
        <v>#N/A</v>
      </c>
      <c r="GN58" s="23" t="e">
        <f>EXP(-LN(2)/2)*GN57+(1-EXP(-LN(2)/2))/(LN(2)/2)*GH58*GK58*VLOOKUP('Données projet'!$B$17,Paramètres!$A$1:$I$88,3,0)*0.475*44/12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projet'!$B$18,Paramètres!$A$1:$I$88,3,0)*VLOOKUP('Données projet'!$B$18,Paramètres!$A$1:$I$88,5,0)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projet'!$B$18,Paramètres!$A$1:$I$88,7,0))</f>
        <v>0</v>
      </c>
      <c r="HE58" s="17">
        <f>IF(ISNA(VLOOKUP(A58,'Données projet'!$A$269:$I$289,6,0)),0%,VLOOKUP(A58,'Données projet'!$A$269:$I$289,6,0)*VLOOKUP('Données projet'!$B$18,Paramètres!$A$1:$I$88,7,0))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projet'!$B$18,Paramètres!$A$1:$I$88,3,0)*0.475*44/12</f>
        <v>#N/A</v>
      </c>
      <c r="HH58" s="23" t="e">
        <f>EXP(-LN(2)/25)*HH57+(1-EXP(-LN(2)/25))/(LN(2)/25)*Calculateur!HC58*Calculateur!HE58*VLOOKUP('Données projet'!$B$18,Paramètres!$A$1:$I$88,3,0)*0.475*44/12</f>
        <v>#N/A</v>
      </c>
      <c r="HI58" s="23" t="e">
        <f>EXP(-LN(2)/2)*HI57+(1-EXP(-LN(2)/2))/(LN(2)/2)*HC58*HF58*VLOOKUP('Données projet'!$B$18,Paramètres!$A$1:$I$88,3,0)*0.475*44/12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9.75</v>
      </c>
      <c r="N59" s="14">
        <f>IF('Données projet'!$A$36&gt;35,N58+M59-V58,IF(A59&lt;'Données projet'!$A$36,$K$205^A59,IF(A59='Données projet'!$A$36,'Données projet'!$B$36,N58+M59-V58)))</f>
        <v>265</v>
      </c>
      <c r="O59" s="14">
        <f>N59*VLOOKUP('Données projet'!$B$9,Paramètres!$A$1:$I$88,3,0)*VLOOKUP('Données projet'!$B$9,Paramètres!$A$1:$I$88,5,0)</f>
        <v>165.35999999999999</v>
      </c>
      <c r="P59" s="14">
        <f t="shared" si="33"/>
        <v>42.04915012784209</v>
      </c>
      <c r="Q59" s="22">
        <f t="shared" si="53"/>
        <v>361.2376031393249</v>
      </c>
      <c r="R59" s="62">
        <f t="shared" si="0"/>
        <v>654.57093647265822</v>
      </c>
      <c r="S59" s="62">
        <f ca="1">AVERAGE(OFFSET($R$3,0,0,'Données projet'!$E$9+1,1))-AVERAGE(OFFSET($H$3,0,0,'Données projet'!$E$9+1,1))</f>
        <v>175.05987582828078</v>
      </c>
      <c r="T59" s="62">
        <f t="shared" si="34"/>
        <v>268.54782308462387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projet'!$B$9,Paramètres!$A$1:$I$88,7,0))</f>
        <v>0</v>
      </c>
      <c r="X59" s="17">
        <f>IF(ISNA(VLOOKUP(A59,'Données projet'!$A$35:$I$55,6,0)),0%,VLOOKUP(A59,'Données projet'!$A$35:$I$55,6,0)*VLOOKUP('Données projet'!$B$9,Paramètres!$A$1:$I$88,7,0))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projet'!$B$9,Paramètres!$A$1:$I$88,3,0)*0.475*44/12</f>
        <v>0</v>
      </c>
      <c r="AA59" s="23">
        <f>EXP(-LN(2)/25)*AA58+(1-EXP(-LN(2)/25))/(LN(2)/25)*Calculateur!V59*Calculateur!X59*VLOOKUP('Données projet'!$B$9,Paramètres!$A$1:$I$88,3,0)*0.475*44/12</f>
        <v>5.0069719104720063</v>
      </c>
      <c r="AB59" s="23">
        <f>EXP(-LN(2)/2)*AB58+(1-EXP(-LN(2)/2))/(LN(2)/2)*V59*Y59*VLOOKUP('Données projet'!$B$9,Paramètres!$A$1:$I$88,3,0)*0.475*44/12</f>
        <v>2.0164575050057127E-3</v>
      </c>
      <c r="AC59" s="24">
        <f t="shared" si="3"/>
        <v>5.008988367977012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19.933333333333334</v>
      </c>
      <c r="AI59" s="14">
        <f>IF('Données projet'!$A$62&gt;35,AI58+AH59-AQ58,IF(A59&lt;'Données projet'!$A$62,$AF$205^A59,IF(A59='Données projet'!$A$62,'Données projet'!$B$62,AI58+AH59-AQ58)))</f>
        <v>697.26666666666631</v>
      </c>
      <c r="AJ59" s="14">
        <f>AI59*VLOOKUP('Données projet'!$B$10,Paramètres!$A$1:$I$88,3,0)*VLOOKUP('Données projet'!$B$10,Paramètres!$A$1:$I$88,5,0)</f>
        <v>335.3852666666665</v>
      </c>
      <c r="AK59" s="14">
        <f t="shared" si="35"/>
        <v>78.545756317019269</v>
      </c>
      <c r="AL59" s="22">
        <f t="shared" si="4"/>
        <v>720.92986502991926</v>
      </c>
      <c r="AM59" s="62">
        <f t="shared" si="5"/>
        <v>1014.2631983632525</v>
      </c>
      <c r="AN59" s="62">
        <f ca="1">AVERAGE(OFFSET($AM$3,0,0,'Données projet'!$E$10+1,1))-AVERAGE(OFFSET($H$3,0,0,'Données projet'!$E$10+1,1))</f>
        <v>576.61210817354549</v>
      </c>
      <c r="AO59" s="62">
        <f t="shared" si="36"/>
        <v>343.9428747444544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projet'!$B$10,Paramètres!$A$1:$I$88,7,0))</f>
        <v>0</v>
      </c>
      <c r="AS59" s="17">
        <f>IF(ISNA(VLOOKUP(A59,'Données projet'!$A$61:$I$81,6,0)),0%,VLOOKUP(A59,'Données projet'!$A$61:$I$81,6,0)*VLOOKUP('Données projet'!$B$10,Paramètres!$A$1:$I$88,7,0))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projet'!$B$10,Paramètres!$A$1:$I$88,3,0)*0.475*44/12</f>
        <v>0</v>
      </c>
      <c r="AV59" s="23">
        <f>EXP(-LN(2)/25)*AV58+(1-EXP(-LN(2)/25))/(LN(2)/25)*Calculateur!AQ59*Calculateur!AS59*VLOOKUP('Données projet'!$B$10,Paramètres!$A$1:$I$88,3,0)*0.475*44/12</f>
        <v>2.7540167873813584</v>
      </c>
      <c r="AW59" s="23">
        <f>EXP(-LN(2)/2)*AW58+(1-EXP(-LN(2)/2))/(LN(2)/2)*AQ59*AT59*VLOOKUP('Données projet'!$B$10,Paramètres!$A$1:$I$88,3,0)*0.475*44/12</f>
        <v>1.4359668796851775E-3</v>
      </c>
      <c r="AX59" s="23">
        <f t="shared" si="6"/>
        <v>2.7554527542610434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6.2799999999999958</v>
      </c>
      <c r="BD59" s="13">
        <f>IF('Données projet'!$A$88&gt;35,BD58+BC59-BL58,IF(A59&lt;'Données projet'!$A$88,$BA$205^A59,IF(A59='Données projet'!$A$88,'Données projet'!$B$88,BD58+BC59-BL58)))</f>
        <v>268.88</v>
      </c>
      <c r="BE59" s="14">
        <f>BD59*VLOOKUP('Données projet'!$B$11,Paramètres!$A$1:$I$88,3,0)*VLOOKUP('Données projet'!$B$11,Paramètres!$A$1:$I$88,5,0)</f>
        <v>213.92092800000003</v>
      </c>
      <c r="BF59" s="14">
        <f t="shared" si="37"/>
        <v>52.791482450292293</v>
      </c>
      <c r="BG59" s="22">
        <f t="shared" si="7"/>
        <v>464.52411486759246</v>
      </c>
      <c r="BH59" s="62">
        <f t="shared" si="8"/>
        <v>757.85744820092577</v>
      </c>
      <c r="BI59" s="62">
        <f ca="1">AVERAGE(OFFSET($BH$3,0,0,'Données projet'!$E$11+1,1))-AVERAGE(OFFSET($H$3,0,0,'Données projet'!$E$11+1,1))</f>
        <v>298.38448036212861</v>
      </c>
      <c r="BJ59" s="62">
        <f t="shared" si="38"/>
        <v>270.4445531106897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projet'!$B$11,Paramètres!$A$1:$I$88,7,0))</f>
        <v>0</v>
      </c>
      <c r="BN59" s="17">
        <f>IF(ISNA(VLOOKUP(A59,'Données projet'!$A$87:$I$107,6,0)),0%,VLOOKUP(A59,'Données projet'!$A$87:$I$107,6,0)*VLOOKUP('Données projet'!$B$11,Paramètres!$A$1:$I$88,7,0))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projet'!$B$11,Paramètres!$A$1:$I$88,3,0)*0.475*44/12</f>
        <v>0</v>
      </c>
      <c r="BQ59" s="23">
        <f>EXP(-LN(2)/25)*BQ58+(1-EXP(-LN(2)/25))/(LN(2)/25)*Calculateur!BL59*Calculateur!BN59*VLOOKUP('Données projet'!$B$11,Paramètres!$A$1:$I$88,3,0)*0.475*44/12</f>
        <v>0</v>
      </c>
      <c r="BR59" s="23">
        <f>EXP(-LN(2)/2)*BR58+(1-EXP(-LN(2)/2))/(LN(2)/2)*BL59*BO59*VLOOKUP('Données projet'!$B$11,Paramètres!$A$1:$I$88,3,0)*0.475*44/12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9.375</v>
      </c>
      <c r="BY59" s="13">
        <f>IF('Données projet'!$A$114&gt;35,BY58+BX59-CG58,IF(A59&lt;'Données projet'!$A$114,$BV$205^A59,IF(A59='Données projet'!$A$114,'Données projet'!$B$114,BY58+BX59-CG58)))</f>
        <v>259.49999999999989</v>
      </c>
      <c r="BZ59" s="14">
        <f>BY59*VLOOKUP('Données projet'!$B$12,Paramètres!$A$1:$I$88,3,0)*VLOOKUP('Données projet'!$B$12,Paramètres!$A$1:$I$88,5,0)</f>
        <v>202.40999999999991</v>
      </c>
      <c r="CA59" s="14">
        <f t="shared" si="39"/>
        <v>50.273442991661817</v>
      </c>
      <c r="CB59" s="22">
        <f t="shared" si="10"/>
        <v>440.09032987714414</v>
      </c>
      <c r="CC59" s="62">
        <f t="shared" si="11"/>
        <v>733.42366321047746</v>
      </c>
      <c r="CD59" s="62">
        <f ca="1">AVERAGE(OFFSET($CC$3,0,0,'Données projet'!$E$12+1,1))-AVERAGE(OFFSET($H$3,0,0,'Données projet'!$E$12+1,1))</f>
        <v>217.32600829266818</v>
      </c>
      <c r="CE59" s="62">
        <f t="shared" si="40"/>
        <v>208.79744153433245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projet'!$B$12,Paramètres!$A$1:$I$88,7,0))</f>
        <v>0</v>
      </c>
      <c r="CI59" s="17">
        <f>IF(ISNA(VLOOKUP(A59,'Données projet'!$A$113:$I$133,6,0)),0%,VLOOKUP(A59,'Données projet'!$A$113:$I$133,6,0)*VLOOKUP('Données projet'!$B$12,Paramètres!$A$1:$I$88,7,0))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projet'!$B$12,Paramètres!$A$1:$I$88,3,0)*0.475*44/12</f>
        <v>0</v>
      </c>
      <c r="CL59" s="23">
        <f>EXP(-LN(2)/25)*CL58+(1-EXP(-LN(2)/25))/(LN(2)/25)*Calculateur!CG59*Calculateur!CI59*VLOOKUP('Données projet'!$B$12,Paramètres!$A$1:$I$88,3,0)*0.475*44/12</f>
        <v>0</v>
      </c>
      <c r="CM59" s="23">
        <f>EXP(-LN(2)/2)*CM58+(1-EXP(-LN(2)/2))/(LN(2)/2)*CG59*CJ59*VLOOKUP('Données projet'!$B$12,Paramètres!$A$1:$I$88,3,0)*0.475*44/12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>
        <f>VLOOKUP(A59,'Données projet'!$A$139:$I$159,2,0)</f>
        <v>514</v>
      </c>
      <c r="CR59" s="13">
        <f>VLOOKUP(A59,'Données projet'!$A$139:$I$159,9,0)</f>
        <v>17.285714285714285</v>
      </c>
      <c r="CS59" s="13">
        <f t="array" ref="CS59">INDEX(CR:CR,MIN(IF(ISNUMBER(CR59:CR255),ROW(CR59:CR255),"")))</f>
        <v>17.285714285714285</v>
      </c>
      <c r="CT59" s="13">
        <f>IF('Données projet'!$A$140&gt;35,CT58+CS59-DB58,IF(A59&lt;'Données projet'!$A$140,$CQ$205^A59,IF(A59='Données projet'!$A$140,'Données projet'!$B$140,CT58+CS59-DB58)))</f>
        <v>513.99999999999977</v>
      </c>
      <c r="CU59" s="18">
        <f>CT59*VLOOKUP('Données projet'!$B$13,Paramètres!$A$1:$I$88,3,0)*VLOOKUP('Données projet'!$B$13,Paramètres!$A$1:$I$88,5,0)</f>
        <v>287.32599999999985</v>
      </c>
      <c r="CV59" s="14">
        <f t="shared" si="41"/>
        <v>68.512868389632061</v>
      </c>
      <c r="CW59" s="22">
        <f t="shared" si="13"/>
        <v>619.75269577860888</v>
      </c>
      <c r="CX59" s="62">
        <f t="shared" si="14"/>
        <v>913.08602911194225</v>
      </c>
      <c r="CY59" s="62">
        <f ca="1">AVERAGE(OFFSET($CX$3,0,0,'Données projet'!$E$13+1,1))-AVERAGE(OFFSET($H$3,0,0,'Données projet'!$E$13+1,1))</f>
        <v>302.20483575440988</v>
      </c>
      <c r="CZ59" s="62">
        <f t="shared" si="42"/>
        <v>275.32862097158687</v>
      </c>
      <c r="DA59" s="16">
        <f>IF(ISNA(VLOOKUP(A59,'Données projet'!$A$139:$I$159,3,0)),0,VLOOKUP(A59,'Données projet'!$A$139:$I$159,3,0))</f>
        <v>6</v>
      </c>
      <c r="DB59" s="16">
        <f>IF(ISNA(VLOOKUP(A59,'Données projet'!$A$139:$I$159,4,0)),0,VLOOKUP(A59,'Données projet'!$A$139:$I$159,4,0))</f>
        <v>85</v>
      </c>
      <c r="DC59" s="17">
        <f>IF(ISNA(VLOOKUP(A59,'Données projet'!$A$139:$I$159,5,0)),0%,VLOOKUP(A59,'Données projet'!$A$139:$I$159,5,0)*VLOOKUP('Données projet'!$B$13,Paramètres!$A$1:$I$88,7,0))</f>
        <v>0</v>
      </c>
      <c r="DD59" s="17">
        <f>IF(ISNA(VLOOKUP(A59,'Données projet'!$A$139:$I$159,6,0)),0%,VLOOKUP(A59,'Données projet'!$A$139:$I$159,6,0)*VLOOKUP('Données projet'!$B$13,Paramètres!$A$1:$I$88,7,0))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projet'!$B$13,Paramètres!$A$1:$I$88,3,0)*0.475*44/12</f>
        <v>0</v>
      </c>
      <c r="DG59" s="23">
        <f>EXP(-LN(2)/25)*DG58+(1-EXP(-LN(2)/25))/(LN(2)/25)*Calculateur!DB59*Calculateur!DD59*VLOOKUP('Données projet'!$B$13,Paramètres!$A$1:$I$88,3,0)*0.475*44/12</f>
        <v>6.7245592754004555</v>
      </c>
      <c r="DH59" s="23">
        <f>EXP(-LN(2)/2)*DH58+(1-EXP(-LN(2)/2))/(LN(2)/2)*DB59*DE59*VLOOKUP('Données projet'!$B$13,Paramètres!$A$1:$I$88,3,0)*0.475*44/12</f>
        <v>8.277450805093834E-4</v>
      </c>
      <c r="DI59" s="24">
        <f t="shared" si="15"/>
        <v>6.7253870204809649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projet'!$B$14,Paramètres!$A$1:$I$88,3,0)*VLOOKUP('Données projet'!$B$14,Paramètres!$A$1:$I$88,5,0)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projet'!$B$14,Paramètres!$A$1:$I$88,7,0))</f>
        <v>0</v>
      </c>
      <c r="DY59" s="17">
        <f>IF(ISNA(VLOOKUP(A59,'Données projet'!$A$165:$I$185,6,0)),0%,VLOOKUP(A59,'Données projet'!$A$165:$I$185,6,0)*VLOOKUP('Données projet'!$B$14,Paramètres!$A$1:$I$88,7,0))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projet'!$B$14,Paramètres!$A$1:$I$88,3,0)*0.475*44/12</f>
        <v>#N/A</v>
      </c>
      <c r="EB59" s="23" t="e">
        <f>EXP(-LN(2)/25)*EB58+(1-EXP(-LN(2)/25))/(LN(2)/25)*Calculateur!DW59*Calculateur!DY59*VLOOKUP('Données projet'!$B$14,Paramètres!$A$1:$I$88,3,0)*0.475*44/12</f>
        <v>#N/A</v>
      </c>
      <c r="EC59" s="23" t="e">
        <f>EXP(-LN(2)/2)*EC58+(1-EXP(-LN(2)/2))/(LN(2)/2)*DW59*DZ59*VLOOKUP('Données projet'!$B$14,Paramètres!$A$1:$I$88,3,0)*0.475*44/12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projet'!$B$15,Paramètres!$A$1:$I$88,3,0)*VLOOKUP('Données projet'!$B$15,Paramètres!$A$1:$I$88,5,0)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projet'!$B$15,Paramètres!$A$1:$I$88,7,0))</f>
        <v>0</v>
      </c>
      <c r="ET59" s="17">
        <f>IF(ISNA(VLOOKUP(A59,'Données projet'!$A$191:$I$211,6,0)),0%,VLOOKUP(A59,'Données projet'!$A$191:$I$211,6,0)*VLOOKUP('Données projet'!$B$15,Paramètres!$A$1:$I$88,7,0))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projet'!$B$15,Paramètres!$A$1:$I$88,3,0)*0.475*44/12</f>
        <v>#N/A</v>
      </c>
      <c r="EW59" s="23" t="e">
        <f>EXP(-LN(2)/25)*EW58+(1-EXP(-LN(2)/25))/(LN(2)/25)*Calculateur!ER59*Calculateur!ET59*VLOOKUP('Données projet'!$B$15,Paramètres!$A$1:$I$88,3,0)*0.475*44/12</f>
        <v>#N/A</v>
      </c>
      <c r="EX59" s="23" t="e">
        <f>EXP(-LN(2)/2)*EX58+(1-EXP(-LN(2)/2))/(LN(2)/2)*ER59*EU59*VLOOKUP('Données projet'!$B$15,Paramètres!$A$1:$I$88,3,0)*0.475*44/12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projet'!$B$16,Paramètres!$A$1:$I$88,3,0)*VLOOKUP('Données projet'!$B$16,Paramètres!$A$1:$I$88,5,0)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projet'!$B$16,Paramètres!$A$1:$I$88,7,0))</f>
        <v>0</v>
      </c>
      <c r="FO59" s="17">
        <f>IF(ISNA(VLOOKUP(A59,'Données projet'!$A$217:$I$237,6,0)),0%,VLOOKUP(A59,'Données projet'!$A$217:$I$237,6,0)*VLOOKUP('Données projet'!$B$16,Paramètres!$A$1:$I$88,7,0))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projet'!$B$16,Paramètres!$A$1:$I$88,3,0)*0.475*44/12</f>
        <v>#N/A</v>
      </c>
      <c r="FR59" s="23" t="e">
        <f>EXP(-LN(2)/25)*FR58+(1-EXP(-LN(2)/25))/(LN(2)/25)*Calculateur!FM59*Calculateur!FO59*VLOOKUP('Données projet'!$B$16,Paramètres!$A$1:$I$88,3,0)*0.475*44/12</f>
        <v>#N/A</v>
      </c>
      <c r="FS59" s="23" t="e">
        <f>EXP(-LN(2)/2)*FS58+(1-EXP(-LN(2)/2))/(LN(2)/2)*FM59*FP59*VLOOKUP('Données projet'!$B$16,Paramètres!$A$1:$I$88,3,0)*0.475*44/12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projet'!$B$17,Paramètres!$A$1:$I$88,3,0)*VLOOKUP('Données projet'!$B$17,Paramètres!$A$1:$I$88,5,0)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projet'!$B$17,Paramètres!$A$1:$I$88,7,0))</f>
        <v>0</v>
      </c>
      <c r="GJ59" s="17">
        <f>IF(ISNA(VLOOKUP(A59,'Données projet'!$A$243:$I$263,6,0)),0%,VLOOKUP(A59,'Données projet'!$A$243:$I$263,6,0)*VLOOKUP('Données projet'!$B$17,Paramètres!$A$1:$I$88,7,0))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projet'!$B$17,Paramètres!$A$1:$I$88,3,0)*0.475*44/12</f>
        <v>#N/A</v>
      </c>
      <c r="GM59" s="23" t="e">
        <f>EXP(-LN(2)/25)*GM58+(1-EXP(-LN(2)/25))/(LN(2)/25)*Calculateur!GH59*Calculateur!GJ59*VLOOKUP('Données projet'!$B$17,Paramètres!$A$1:$I$88,3,0)*0.475*44/12</f>
        <v>#N/A</v>
      </c>
      <c r="GN59" s="23" t="e">
        <f>EXP(-LN(2)/2)*GN58+(1-EXP(-LN(2)/2))/(LN(2)/2)*GH59*GK59*VLOOKUP('Données projet'!$B$17,Paramètres!$A$1:$I$88,3,0)*0.475*44/12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projet'!$B$18,Paramètres!$A$1:$I$88,3,0)*VLOOKUP('Données projet'!$B$18,Paramètres!$A$1:$I$88,5,0)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projet'!$B$18,Paramètres!$A$1:$I$88,7,0))</f>
        <v>0</v>
      </c>
      <c r="HE59" s="17">
        <f>IF(ISNA(VLOOKUP(A59,'Données projet'!$A$269:$I$289,6,0)),0%,VLOOKUP(A59,'Données projet'!$A$269:$I$289,6,0)*VLOOKUP('Données projet'!$B$18,Paramètres!$A$1:$I$88,7,0))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projet'!$B$18,Paramètres!$A$1:$I$88,3,0)*0.475*44/12</f>
        <v>#N/A</v>
      </c>
      <c r="HH59" s="23" t="e">
        <f>EXP(-LN(2)/25)*HH58+(1-EXP(-LN(2)/25))/(LN(2)/25)*Calculateur!HC59*Calculateur!HE59*VLOOKUP('Données projet'!$B$18,Paramètres!$A$1:$I$88,3,0)*0.475*44/12</f>
        <v>#N/A</v>
      </c>
      <c r="HI59" s="23" t="e">
        <f>EXP(-LN(2)/2)*HI58+(1-EXP(-LN(2)/2))/(LN(2)/2)*HC59*HF59*VLOOKUP('Données projet'!$B$18,Paramètres!$A$1:$I$88,3,0)*0.475*44/12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9.75</v>
      </c>
      <c r="N60" s="14">
        <f>IF('Données projet'!$A$36&gt;35,N59+M60-V59,IF(A60&lt;'Données projet'!$A$36,$K$205^A60,IF(A60='Données projet'!$A$36,'Données projet'!$B$36,N59+M60-V59)))</f>
        <v>274.75</v>
      </c>
      <c r="O60" s="14">
        <f>N60*VLOOKUP('Données projet'!$B$9,Paramètres!$A$1:$I$88,3,0)*VLOOKUP('Données projet'!$B$9,Paramètres!$A$1:$I$88,5,0)</f>
        <v>171.44399999999999</v>
      </c>
      <c r="P60" s="14">
        <f t="shared" si="33"/>
        <v>43.413272173627242</v>
      </c>
      <c r="Q60" s="22">
        <f t="shared" si="53"/>
        <v>374.20974903573409</v>
      </c>
      <c r="R60" s="62">
        <f t="shared" si="0"/>
        <v>667.54308236906741</v>
      </c>
      <c r="S60" s="62">
        <f ca="1">AVERAGE(OFFSET($R$3,0,0,'Données projet'!$E$9+1,1))-AVERAGE(OFFSET($H$3,0,0,'Données projet'!$E$9+1,1))</f>
        <v>175.05987582828078</v>
      </c>
      <c r="T60" s="62">
        <f t="shared" si="34"/>
        <v>268.54782308462387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projet'!$B$9,Paramètres!$A$1:$I$88,7,0))</f>
        <v>0</v>
      </c>
      <c r="X60" s="17">
        <f>IF(ISNA(VLOOKUP(A60,'Données projet'!$A$35:$I$55,6,0)),0%,VLOOKUP(A60,'Données projet'!$A$35:$I$55,6,0)*VLOOKUP('Données projet'!$B$9,Paramètres!$A$1:$I$88,7,0))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projet'!$B$9,Paramètres!$A$1:$I$88,3,0)*0.475*44/12</f>
        <v>0</v>
      </c>
      <c r="AA60" s="23">
        <f>EXP(-LN(2)/25)*AA59+(1-EXP(-LN(2)/25))/(LN(2)/25)*Calculateur!V60*Calculateur!X60*VLOOKUP('Données projet'!$B$9,Paramètres!$A$1:$I$88,3,0)*0.475*44/12</f>
        <v>4.87005600027494</v>
      </c>
      <c r="AB60" s="23">
        <f>EXP(-LN(2)/2)*AB59+(1-EXP(-LN(2)/2))/(LN(2)/2)*V60*Y60*VLOOKUP('Données projet'!$B$9,Paramètres!$A$1:$I$88,3,0)*0.475*44/12</f>
        <v>1.4258507757640461E-3</v>
      </c>
      <c r="AC60" s="24">
        <f t="shared" si="3"/>
        <v>4.8714818510507039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19.933333333333334</v>
      </c>
      <c r="AI60" s="14">
        <f>IF('Données projet'!$A$62&gt;35,AI59+AH60-AQ59,IF(A60&lt;'Données projet'!$A$62,$AF$205^A60,IF(A60='Données projet'!$A$62,'Données projet'!$B$62,AI59+AH60-AQ59)))</f>
        <v>717.19999999999959</v>
      </c>
      <c r="AJ60" s="14">
        <f>AI60*VLOOKUP('Données projet'!$B$10,Paramètres!$A$1:$I$88,3,0)*VLOOKUP('Données projet'!$B$10,Paramètres!$A$1:$I$88,5,0)</f>
        <v>344.97319999999985</v>
      </c>
      <c r="AK60" s="14">
        <f t="shared" si="35"/>
        <v>80.526571052685412</v>
      </c>
      <c r="AL60" s="22">
        <f t="shared" si="4"/>
        <v>741.07876791676017</v>
      </c>
      <c r="AM60" s="62">
        <f t="shared" si="5"/>
        <v>1034.4121012500934</v>
      </c>
      <c r="AN60" s="62">
        <f ca="1">AVERAGE(OFFSET($AM$3,0,0,'Données projet'!$E$10+1,1))-AVERAGE(OFFSET($H$3,0,0,'Données projet'!$E$10+1,1))</f>
        <v>576.61210817354549</v>
      </c>
      <c r="AO60" s="62">
        <f t="shared" si="36"/>
        <v>343.9428747444544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projet'!$B$10,Paramètres!$A$1:$I$88,7,0))</f>
        <v>0</v>
      </c>
      <c r="AS60" s="17">
        <f>IF(ISNA(VLOOKUP(A60,'Données projet'!$A$61:$I$81,6,0)),0%,VLOOKUP(A60,'Données projet'!$A$61:$I$81,6,0)*VLOOKUP('Données projet'!$B$10,Paramètres!$A$1:$I$88,7,0))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projet'!$B$10,Paramètres!$A$1:$I$88,3,0)*0.475*44/12</f>
        <v>0</v>
      </c>
      <c r="AV60" s="23">
        <f>EXP(-LN(2)/25)*AV59+(1-EXP(-LN(2)/25))/(LN(2)/25)*Calculateur!AQ60*Calculateur!AS60*VLOOKUP('Données projet'!$B$10,Paramètres!$A$1:$I$88,3,0)*0.475*44/12</f>
        <v>2.6787080535029668</v>
      </c>
      <c r="AW60" s="23">
        <f>EXP(-LN(2)/2)*AW59+(1-EXP(-LN(2)/2))/(LN(2)/2)*AQ60*AT60*VLOOKUP('Données projet'!$B$10,Paramètres!$A$1:$I$88,3,0)*0.475*44/12</f>
        <v>1.0153819181846762E-3</v>
      </c>
      <c r="AX60" s="23">
        <f t="shared" si="6"/>
        <v>2.6797234354211517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6.2799999999999958</v>
      </c>
      <c r="BD60" s="13">
        <f>IF('Données projet'!$A$88&gt;35,BD59+BC60-BL59,IF(A60&lt;'Données projet'!$A$88,$BA$205^A60,IF(A60='Données projet'!$A$88,'Données projet'!$B$88,BD59+BC60-BL59)))</f>
        <v>275.15999999999997</v>
      </c>
      <c r="BE60" s="14">
        <f>BD60*VLOOKUP('Données projet'!$B$11,Paramètres!$A$1:$I$88,3,0)*VLOOKUP('Données projet'!$B$11,Paramètres!$A$1:$I$88,5,0)</f>
        <v>218.91729599999996</v>
      </c>
      <c r="BF60" s="14">
        <f t="shared" si="37"/>
        <v>53.879497830364521</v>
      </c>
      <c r="BG60" s="22">
        <f t="shared" si="7"/>
        <v>475.12108258788476</v>
      </c>
      <c r="BH60" s="62">
        <f t="shared" si="8"/>
        <v>768.45441592121801</v>
      </c>
      <c r="BI60" s="62">
        <f ca="1">AVERAGE(OFFSET($BH$3,0,0,'Données projet'!$E$11+1,1))-AVERAGE(OFFSET($H$3,0,0,'Données projet'!$E$11+1,1))</f>
        <v>298.38448036212861</v>
      </c>
      <c r="BJ60" s="62">
        <f t="shared" si="38"/>
        <v>270.4445531106897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projet'!$B$11,Paramètres!$A$1:$I$88,7,0))</f>
        <v>0</v>
      </c>
      <c r="BN60" s="17">
        <f>IF(ISNA(VLOOKUP(A60,'Données projet'!$A$87:$I$107,6,0)),0%,VLOOKUP(A60,'Données projet'!$A$87:$I$107,6,0)*VLOOKUP('Données projet'!$B$11,Paramètres!$A$1:$I$88,7,0))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projet'!$B$11,Paramètres!$A$1:$I$88,3,0)*0.475*44/12</f>
        <v>0</v>
      </c>
      <c r="BQ60" s="23">
        <f>EXP(-LN(2)/25)*BQ59+(1-EXP(-LN(2)/25))/(LN(2)/25)*Calculateur!BL60*Calculateur!BN60*VLOOKUP('Données projet'!$B$11,Paramètres!$A$1:$I$88,3,0)*0.475*44/12</f>
        <v>0</v>
      </c>
      <c r="BR60" s="23">
        <f>EXP(-LN(2)/2)*BR59+(1-EXP(-LN(2)/2))/(LN(2)/2)*BL60*BO60*VLOOKUP('Données projet'!$B$11,Paramètres!$A$1:$I$88,3,0)*0.475*44/12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9.375</v>
      </c>
      <c r="BY60" s="13">
        <f>IF('Données projet'!$A$114&gt;35,BY59+BX60-CG59,IF(A60&lt;'Données projet'!$A$114,$BV$205^A60,IF(A60='Données projet'!$A$114,'Données projet'!$B$114,BY59+BX60-CG59)))</f>
        <v>268.87499999999989</v>
      </c>
      <c r="BZ60" s="14">
        <f>BY60*VLOOKUP('Données projet'!$B$12,Paramètres!$A$1:$I$88,3,0)*VLOOKUP('Données projet'!$B$12,Paramètres!$A$1:$I$88,5,0)</f>
        <v>209.72249999999991</v>
      </c>
      <c r="CA60" s="14">
        <f t="shared" si="39"/>
        <v>51.874940300502246</v>
      </c>
      <c r="CB60" s="22">
        <f t="shared" si="10"/>
        <v>455.61554185670792</v>
      </c>
      <c r="CC60" s="62">
        <f t="shared" si="11"/>
        <v>748.94887519004124</v>
      </c>
      <c r="CD60" s="62">
        <f ca="1">AVERAGE(OFFSET($CC$3,0,0,'Données projet'!$E$12+1,1))-AVERAGE(OFFSET($H$3,0,0,'Données projet'!$E$12+1,1))</f>
        <v>217.32600829266818</v>
      </c>
      <c r="CE60" s="62">
        <f t="shared" si="40"/>
        <v>208.79744153433245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projet'!$B$12,Paramètres!$A$1:$I$88,7,0))</f>
        <v>0</v>
      </c>
      <c r="CI60" s="17">
        <f>IF(ISNA(VLOOKUP(A60,'Données projet'!$A$113:$I$133,6,0)),0%,VLOOKUP(A60,'Données projet'!$A$113:$I$133,6,0)*VLOOKUP('Données projet'!$B$12,Paramètres!$A$1:$I$88,7,0))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projet'!$B$12,Paramètres!$A$1:$I$88,3,0)*0.475*44/12</f>
        <v>0</v>
      </c>
      <c r="CL60" s="23">
        <f>EXP(-LN(2)/25)*CL59+(1-EXP(-LN(2)/25))/(LN(2)/25)*Calculateur!CG60*Calculateur!CI60*VLOOKUP('Données projet'!$B$12,Paramètres!$A$1:$I$88,3,0)*0.475*44/12</f>
        <v>0</v>
      </c>
      <c r="CM60" s="23">
        <f>EXP(-LN(2)/2)*CM59+(1-EXP(-LN(2)/2))/(LN(2)/2)*CG60*CJ60*VLOOKUP('Données projet'!$B$12,Paramètres!$A$1:$I$88,3,0)*0.475*44/12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15.571428571428571</v>
      </c>
      <c r="CT60" s="13">
        <f>IF('Données projet'!$A$140&gt;35,CT59+CS60-DB59,IF(A60&lt;'Données projet'!$A$140,$CQ$205^A60,IF(A60='Données projet'!$A$140,'Données projet'!$B$140,CT59+CS60-DB59)))</f>
        <v>444.57142857142833</v>
      </c>
      <c r="CU60" s="18">
        <f>CT60*VLOOKUP('Données projet'!$B$13,Paramètres!$A$1:$I$88,3,0)*VLOOKUP('Données projet'!$B$13,Paramètres!$A$1:$I$88,5,0)</f>
        <v>248.51542857142846</v>
      </c>
      <c r="CV60" s="14">
        <f t="shared" si="41"/>
        <v>60.267932112745214</v>
      </c>
      <c r="CW60" s="22">
        <f t="shared" si="13"/>
        <v>537.79768652493578</v>
      </c>
      <c r="CX60" s="62">
        <f t="shared" si="14"/>
        <v>831.13101985826916</v>
      </c>
      <c r="CY60" s="62">
        <f ca="1">AVERAGE(OFFSET($CX$3,0,0,'Données projet'!$E$13+1,1))-AVERAGE(OFFSET($H$3,0,0,'Données projet'!$E$13+1,1))</f>
        <v>302.20483575440988</v>
      </c>
      <c r="CZ60" s="62">
        <f t="shared" si="42"/>
        <v>275.32862097158687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projet'!$B$13,Paramètres!$A$1:$I$88,7,0))</f>
        <v>0</v>
      </c>
      <c r="DD60" s="17">
        <f>IF(ISNA(VLOOKUP(A60,'Données projet'!$A$139:$I$159,6,0)),0%,VLOOKUP(A60,'Données projet'!$A$139:$I$159,6,0)*VLOOKUP('Données projet'!$B$13,Paramètres!$A$1:$I$88,7,0))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projet'!$B$13,Paramètres!$A$1:$I$88,3,0)*0.475*44/12</f>
        <v>0</v>
      </c>
      <c r="DG60" s="23">
        <f>EXP(-LN(2)/25)*DG59+(1-EXP(-LN(2)/25))/(LN(2)/25)*Calculateur!DB60*Calculateur!DD60*VLOOKUP('Données projet'!$B$13,Paramètres!$A$1:$I$88,3,0)*0.475*44/12</f>
        <v>6.540675848385427</v>
      </c>
      <c r="DH60" s="23">
        <f>EXP(-LN(2)/2)*DH59+(1-EXP(-LN(2)/2))/(LN(2)/2)*DB60*DE60*VLOOKUP('Données projet'!$B$13,Paramètres!$A$1:$I$88,3,0)*0.475*44/12</f>
        <v>5.8530415952198973E-4</v>
      </c>
      <c r="DI60" s="24">
        <f t="shared" si="15"/>
        <v>6.5412611525449487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projet'!$B$14,Paramètres!$A$1:$I$88,3,0)*VLOOKUP('Données projet'!$B$14,Paramètres!$A$1:$I$88,5,0)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projet'!$B$14,Paramètres!$A$1:$I$88,7,0))</f>
        <v>0</v>
      </c>
      <c r="DY60" s="17">
        <f>IF(ISNA(VLOOKUP(A60,'Données projet'!$A$165:$I$185,6,0)),0%,VLOOKUP(A60,'Données projet'!$A$165:$I$185,6,0)*VLOOKUP('Données projet'!$B$14,Paramètres!$A$1:$I$88,7,0))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projet'!$B$14,Paramètres!$A$1:$I$88,3,0)*0.475*44/12</f>
        <v>#N/A</v>
      </c>
      <c r="EB60" s="23" t="e">
        <f>EXP(-LN(2)/25)*EB59+(1-EXP(-LN(2)/25))/(LN(2)/25)*Calculateur!DW60*Calculateur!DY60*VLOOKUP('Données projet'!$B$14,Paramètres!$A$1:$I$88,3,0)*0.475*44/12</f>
        <v>#N/A</v>
      </c>
      <c r="EC60" s="23" t="e">
        <f>EXP(-LN(2)/2)*EC59+(1-EXP(-LN(2)/2))/(LN(2)/2)*DW60*DZ60*VLOOKUP('Données projet'!$B$14,Paramètres!$A$1:$I$88,3,0)*0.475*44/12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projet'!$B$15,Paramètres!$A$1:$I$88,3,0)*VLOOKUP('Données projet'!$B$15,Paramètres!$A$1:$I$88,5,0)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projet'!$B$15,Paramètres!$A$1:$I$88,7,0))</f>
        <v>0</v>
      </c>
      <c r="ET60" s="17">
        <f>IF(ISNA(VLOOKUP(A60,'Données projet'!$A$191:$I$211,6,0)),0%,VLOOKUP(A60,'Données projet'!$A$191:$I$211,6,0)*VLOOKUP('Données projet'!$B$15,Paramètres!$A$1:$I$88,7,0))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projet'!$B$15,Paramètres!$A$1:$I$88,3,0)*0.475*44/12</f>
        <v>#N/A</v>
      </c>
      <c r="EW60" s="23" t="e">
        <f>EXP(-LN(2)/25)*EW59+(1-EXP(-LN(2)/25))/(LN(2)/25)*Calculateur!ER60*Calculateur!ET60*VLOOKUP('Données projet'!$B$15,Paramètres!$A$1:$I$88,3,0)*0.475*44/12</f>
        <v>#N/A</v>
      </c>
      <c r="EX60" s="23" t="e">
        <f>EXP(-LN(2)/2)*EX59+(1-EXP(-LN(2)/2))/(LN(2)/2)*ER60*EU60*VLOOKUP('Données projet'!$B$15,Paramètres!$A$1:$I$88,3,0)*0.475*44/12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projet'!$B$16,Paramètres!$A$1:$I$88,3,0)*VLOOKUP('Données projet'!$B$16,Paramètres!$A$1:$I$88,5,0)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projet'!$B$16,Paramètres!$A$1:$I$88,7,0))</f>
        <v>0</v>
      </c>
      <c r="FO60" s="17">
        <f>IF(ISNA(VLOOKUP(A60,'Données projet'!$A$217:$I$237,6,0)),0%,VLOOKUP(A60,'Données projet'!$A$217:$I$237,6,0)*VLOOKUP('Données projet'!$B$16,Paramètres!$A$1:$I$88,7,0))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projet'!$B$16,Paramètres!$A$1:$I$88,3,0)*0.475*44/12</f>
        <v>#N/A</v>
      </c>
      <c r="FR60" s="23" t="e">
        <f>EXP(-LN(2)/25)*FR59+(1-EXP(-LN(2)/25))/(LN(2)/25)*Calculateur!FM60*Calculateur!FO60*VLOOKUP('Données projet'!$B$16,Paramètres!$A$1:$I$88,3,0)*0.475*44/12</f>
        <v>#N/A</v>
      </c>
      <c r="FS60" s="23" t="e">
        <f>EXP(-LN(2)/2)*FS59+(1-EXP(-LN(2)/2))/(LN(2)/2)*FM60*FP60*VLOOKUP('Données projet'!$B$16,Paramètres!$A$1:$I$88,3,0)*0.475*44/12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projet'!$B$17,Paramètres!$A$1:$I$88,3,0)*VLOOKUP('Données projet'!$B$17,Paramètres!$A$1:$I$88,5,0)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projet'!$B$17,Paramètres!$A$1:$I$88,7,0))</f>
        <v>0</v>
      </c>
      <c r="GJ60" s="17">
        <f>IF(ISNA(VLOOKUP(A60,'Données projet'!$A$243:$I$263,6,0)),0%,VLOOKUP(A60,'Données projet'!$A$243:$I$263,6,0)*VLOOKUP('Données projet'!$B$17,Paramètres!$A$1:$I$88,7,0))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projet'!$B$17,Paramètres!$A$1:$I$88,3,0)*0.475*44/12</f>
        <v>#N/A</v>
      </c>
      <c r="GM60" s="23" t="e">
        <f>EXP(-LN(2)/25)*GM59+(1-EXP(-LN(2)/25))/(LN(2)/25)*Calculateur!GH60*Calculateur!GJ60*VLOOKUP('Données projet'!$B$17,Paramètres!$A$1:$I$88,3,0)*0.475*44/12</f>
        <v>#N/A</v>
      </c>
      <c r="GN60" s="23" t="e">
        <f>EXP(-LN(2)/2)*GN59+(1-EXP(-LN(2)/2))/(LN(2)/2)*GH60*GK60*VLOOKUP('Données projet'!$B$17,Paramètres!$A$1:$I$88,3,0)*0.475*44/12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projet'!$B$18,Paramètres!$A$1:$I$88,3,0)*VLOOKUP('Données projet'!$B$18,Paramètres!$A$1:$I$88,5,0)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projet'!$B$18,Paramètres!$A$1:$I$88,7,0))</f>
        <v>0</v>
      </c>
      <c r="HE60" s="17">
        <f>IF(ISNA(VLOOKUP(A60,'Données projet'!$A$269:$I$289,6,0)),0%,VLOOKUP(A60,'Données projet'!$A$269:$I$289,6,0)*VLOOKUP('Données projet'!$B$18,Paramètres!$A$1:$I$88,7,0))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projet'!$B$18,Paramètres!$A$1:$I$88,3,0)*0.475*44/12</f>
        <v>#N/A</v>
      </c>
      <c r="HH60" s="23" t="e">
        <f>EXP(-LN(2)/25)*HH59+(1-EXP(-LN(2)/25))/(LN(2)/25)*Calculateur!HC60*Calculateur!HE60*VLOOKUP('Données projet'!$B$18,Paramètres!$A$1:$I$88,3,0)*0.475*44/12</f>
        <v>#N/A</v>
      </c>
      <c r="HI60" s="23" t="e">
        <f>EXP(-LN(2)/2)*HI59+(1-EXP(-LN(2)/2))/(LN(2)/2)*HC60*HF60*VLOOKUP('Données projet'!$B$18,Paramètres!$A$1:$I$88,3,0)*0.475*44/12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9.75</v>
      </c>
      <c r="N61" s="14">
        <f>IF('Données projet'!$A$36&gt;35,N60+M61-V60,IF(A61&lt;'Données projet'!$A$36,$K$205^A61,IF(A61='Données projet'!$A$36,'Données projet'!$B$36,N60+M61-V60)))</f>
        <v>284.5</v>
      </c>
      <c r="O61" s="14">
        <f>N61*VLOOKUP('Données projet'!$B$9,Paramètres!$A$1:$I$88,3,0)*VLOOKUP('Données projet'!$B$9,Paramètres!$A$1:$I$88,5,0)</f>
        <v>177.52800000000002</v>
      </c>
      <c r="P61" s="14">
        <f t="shared" si="33"/>
        <v>44.771769863863661</v>
      </c>
      <c r="Q61" s="22">
        <f t="shared" si="53"/>
        <v>387.17209917956257</v>
      </c>
      <c r="R61" s="62">
        <f t="shared" si="0"/>
        <v>680.50543251289582</v>
      </c>
      <c r="S61" s="62">
        <f ca="1">AVERAGE(OFFSET($R$3,0,0,'Données projet'!$E$9+1,1))-AVERAGE(OFFSET($H$3,0,0,'Données projet'!$E$9+1,1))</f>
        <v>175.05987582828078</v>
      </c>
      <c r="T61" s="62">
        <f t="shared" si="34"/>
        <v>268.54782308462387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projet'!$B$9,Paramètres!$A$1:$I$88,7,0))</f>
        <v>0</v>
      </c>
      <c r="X61" s="17">
        <f>IF(ISNA(VLOOKUP(A61,'Données projet'!$A$35:$I$55,6,0)),0%,VLOOKUP(A61,'Données projet'!$A$35:$I$55,6,0)*VLOOKUP('Données projet'!$B$9,Paramètres!$A$1:$I$88,7,0))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projet'!$B$9,Paramètres!$A$1:$I$88,3,0)*0.475*44/12</f>
        <v>0</v>
      </c>
      <c r="AA61" s="23">
        <f>EXP(-LN(2)/25)*AA60+(1-EXP(-LN(2)/25))/(LN(2)/25)*Calculateur!V61*Calculateur!X61*VLOOKUP('Données projet'!$B$9,Paramètres!$A$1:$I$88,3,0)*0.475*44/12</f>
        <v>4.7368840628423072</v>
      </c>
      <c r="AB61" s="23">
        <f>EXP(-LN(2)/2)*AB60+(1-EXP(-LN(2)/2))/(LN(2)/2)*V61*Y61*VLOOKUP('Données projet'!$B$9,Paramètres!$A$1:$I$88,3,0)*0.475*44/12</f>
        <v>1.0082287525028564E-3</v>
      </c>
      <c r="AC61" s="24">
        <f t="shared" si="3"/>
        <v>4.7378922915948101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19.933333333333334</v>
      </c>
      <c r="AI61" s="14">
        <f>IF('Données projet'!$A$62&gt;35,AI60+AH61-AQ60,IF(A61&lt;'Données projet'!$A$62,$AF$205^A61,IF(A61='Données projet'!$A$62,'Données projet'!$B$62,AI60+AH61-AQ60)))</f>
        <v>737.13333333333287</v>
      </c>
      <c r="AJ61" s="14">
        <f>AI61*VLOOKUP('Données projet'!$B$10,Paramètres!$A$1:$I$88,3,0)*VLOOKUP('Données projet'!$B$10,Paramètres!$A$1:$I$88,5,0)</f>
        <v>354.56113333333309</v>
      </c>
      <c r="AK61" s="14">
        <f t="shared" si="35"/>
        <v>82.500987066062848</v>
      </c>
      <c r="AL61" s="22">
        <f t="shared" si="4"/>
        <v>761.21652636228134</v>
      </c>
      <c r="AM61" s="62">
        <f t="shared" si="5"/>
        <v>1054.5498596956147</v>
      </c>
      <c r="AN61" s="62">
        <f ca="1">AVERAGE(OFFSET($AM$3,0,0,'Données projet'!$E$10+1,1))-AVERAGE(OFFSET($H$3,0,0,'Données projet'!$E$10+1,1))</f>
        <v>576.61210817354549</v>
      </c>
      <c r="AO61" s="62">
        <f t="shared" si="36"/>
        <v>343.9428747444544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projet'!$B$10,Paramètres!$A$1:$I$88,7,0))</f>
        <v>0</v>
      </c>
      <c r="AS61" s="17">
        <f>IF(ISNA(VLOOKUP(A61,'Données projet'!$A$61:$I$81,6,0)),0%,VLOOKUP(A61,'Données projet'!$A$61:$I$81,6,0)*VLOOKUP('Données projet'!$B$10,Paramètres!$A$1:$I$88,7,0))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projet'!$B$10,Paramètres!$A$1:$I$88,3,0)*0.475*44/12</f>
        <v>0</v>
      </c>
      <c r="AV61" s="23">
        <f>EXP(-LN(2)/25)*AV60+(1-EXP(-LN(2)/25))/(LN(2)/25)*Calculateur!AQ61*Calculateur!AS61*VLOOKUP('Données projet'!$B$10,Paramètres!$A$1:$I$88,3,0)*0.475*44/12</f>
        <v>2.605458640912794</v>
      </c>
      <c r="AW61" s="23">
        <f>EXP(-LN(2)/2)*AW60+(1-EXP(-LN(2)/2))/(LN(2)/2)*AQ61*AT61*VLOOKUP('Données projet'!$B$10,Paramètres!$A$1:$I$88,3,0)*0.475*44/12</f>
        <v>7.1798343984258873E-4</v>
      </c>
      <c r="AX61" s="23">
        <f t="shared" si="6"/>
        <v>2.6061766243526368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6.2799999999999958</v>
      </c>
      <c r="BD61" s="13">
        <f>IF('Données projet'!$A$88&gt;35,BD60+BC61-BL60,IF(A61&lt;'Données projet'!$A$88,$BA$205^A61,IF(A61='Données projet'!$A$88,'Données projet'!$B$88,BD60+BC61-BL60)))</f>
        <v>281.43999999999994</v>
      </c>
      <c r="BE61" s="14">
        <f>BD61*VLOOKUP('Données projet'!$B$11,Paramètres!$A$1:$I$88,3,0)*VLOOKUP('Données projet'!$B$11,Paramètres!$A$1:$I$88,5,0)</f>
        <v>223.91366399999998</v>
      </c>
      <c r="BF61" s="14">
        <f t="shared" si="37"/>
        <v>54.964626352169368</v>
      </c>
      <c r="BG61" s="22">
        <f t="shared" si="7"/>
        <v>485.71302236336152</v>
      </c>
      <c r="BH61" s="62">
        <f t="shared" si="8"/>
        <v>779.04635569669483</v>
      </c>
      <c r="BI61" s="62">
        <f ca="1">AVERAGE(OFFSET($BH$3,0,0,'Données projet'!$E$11+1,1))-AVERAGE(OFFSET($H$3,0,0,'Données projet'!$E$11+1,1))</f>
        <v>298.38448036212861</v>
      </c>
      <c r="BJ61" s="62">
        <f t="shared" si="38"/>
        <v>270.4445531106897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projet'!$B$11,Paramètres!$A$1:$I$88,7,0))</f>
        <v>0</v>
      </c>
      <c r="BN61" s="17">
        <f>IF(ISNA(VLOOKUP(A61,'Données projet'!$A$87:$I$107,6,0)),0%,VLOOKUP(A61,'Données projet'!$A$87:$I$107,6,0)*VLOOKUP('Données projet'!$B$11,Paramètres!$A$1:$I$88,7,0))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projet'!$B$11,Paramètres!$A$1:$I$88,3,0)*0.475*44/12</f>
        <v>0</v>
      </c>
      <c r="BQ61" s="23">
        <f>EXP(-LN(2)/25)*BQ60+(1-EXP(-LN(2)/25))/(LN(2)/25)*Calculateur!BL61*Calculateur!BN61*VLOOKUP('Données projet'!$B$11,Paramètres!$A$1:$I$88,3,0)*0.475*44/12</f>
        <v>0</v>
      </c>
      <c r="BR61" s="23">
        <f>EXP(-LN(2)/2)*BR60+(1-EXP(-LN(2)/2))/(LN(2)/2)*BL61*BO61*VLOOKUP('Données projet'!$B$11,Paramètres!$A$1:$I$88,3,0)*0.475*44/12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9.375</v>
      </c>
      <c r="BY61" s="13">
        <f>IF('Données projet'!$A$114&gt;35,BY60+BX61-CG60,IF(A61&lt;'Données projet'!$A$114,$BV$205^A61,IF(A61='Données projet'!$A$114,'Données projet'!$B$114,BY60+BX61-CG60)))</f>
        <v>278.24999999999989</v>
      </c>
      <c r="BZ61" s="14">
        <f>BY61*VLOOKUP('Données projet'!$B$12,Paramètres!$A$1:$I$88,3,0)*VLOOKUP('Données projet'!$B$12,Paramètres!$A$1:$I$88,5,0)</f>
        <v>217.03499999999991</v>
      </c>
      <c r="CA61" s="14">
        <f t="shared" si="39"/>
        <v>53.469949591969474</v>
      </c>
      <c r="CB61" s="22">
        <f t="shared" si="10"/>
        <v>471.12945387267996</v>
      </c>
      <c r="CC61" s="62">
        <f t="shared" si="11"/>
        <v>764.46278720601322</v>
      </c>
      <c r="CD61" s="62">
        <f ca="1">AVERAGE(OFFSET($CC$3,0,0,'Données projet'!$E$12+1,1))-AVERAGE(OFFSET($H$3,0,0,'Données projet'!$E$12+1,1))</f>
        <v>217.32600829266818</v>
      </c>
      <c r="CE61" s="62">
        <f t="shared" si="40"/>
        <v>208.79744153433245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projet'!$B$12,Paramètres!$A$1:$I$88,7,0))</f>
        <v>0</v>
      </c>
      <c r="CI61" s="17">
        <f>IF(ISNA(VLOOKUP(A61,'Données projet'!$A$113:$I$133,6,0)),0%,VLOOKUP(A61,'Données projet'!$A$113:$I$133,6,0)*VLOOKUP('Données projet'!$B$12,Paramètres!$A$1:$I$88,7,0))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projet'!$B$12,Paramètres!$A$1:$I$88,3,0)*0.475*44/12</f>
        <v>0</v>
      </c>
      <c r="CL61" s="23">
        <f>EXP(-LN(2)/25)*CL60+(1-EXP(-LN(2)/25))/(LN(2)/25)*Calculateur!CG61*Calculateur!CI61*VLOOKUP('Données projet'!$B$12,Paramètres!$A$1:$I$88,3,0)*0.475*44/12</f>
        <v>0</v>
      </c>
      <c r="CM61" s="23">
        <f>EXP(-LN(2)/2)*CM60+(1-EXP(-LN(2)/2))/(LN(2)/2)*CG61*CJ61*VLOOKUP('Données projet'!$B$12,Paramètres!$A$1:$I$88,3,0)*0.475*44/12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15.571428571428571</v>
      </c>
      <c r="CT61" s="13">
        <f>IF('Données projet'!$A$140&gt;35,CT60+CS61-DB60,IF(A61&lt;'Données projet'!$A$140,$CQ$205^A61,IF(A61='Données projet'!$A$140,'Données projet'!$B$140,CT60+CS61-DB60)))</f>
        <v>460.14285714285688</v>
      </c>
      <c r="CU61" s="18">
        <f>CT61*VLOOKUP('Données projet'!$B$13,Paramètres!$A$1:$I$88,3,0)*VLOOKUP('Données projet'!$B$13,Paramètres!$A$1:$I$88,5,0)</f>
        <v>257.21985714285699</v>
      </c>
      <c r="CV61" s="14">
        <f t="shared" si="41"/>
        <v>62.129393573116417</v>
      </c>
      <c r="CW61" s="22">
        <f t="shared" si="13"/>
        <v>556.19994499698703</v>
      </c>
      <c r="CX61" s="62">
        <f t="shared" si="14"/>
        <v>849.5332783303204</v>
      </c>
      <c r="CY61" s="62">
        <f ca="1">AVERAGE(OFFSET($CX$3,0,0,'Données projet'!$E$13+1,1))-AVERAGE(OFFSET($H$3,0,0,'Données projet'!$E$13+1,1))</f>
        <v>302.20483575440988</v>
      </c>
      <c r="CZ61" s="62">
        <f t="shared" si="42"/>
        <v>275.32862097158687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projet'!$B$13,Paramètres!$A$1:$I$88,7,0))</f>
        <v>0</v>
      </c>
      <c r="DD61" s="17">
        <f>IF(ISNA(VLOOKUP(A61,'Données projet'!$A$139:$I$159,6,0)),0%,VLOOKUP(A61,'Données projet'!$A$139:$I$159,6,0)*VLOOKUP('Données projet'!$B$13,Paramètres!$A$1:$I$88,7,0))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projet'!$B$13,Paramètres!$A$1:$I$88,3,0)*0.475*44/12</f>
        <v>0</v>
      </c>
      <c r="DG61" s="23">
        <f>EXP(-LN(2)/25)*DG60+(1-EXP(-LN(2)/25))/(LN(2)/25)*Calculateur!DB61*Calculateur!DD61*VLOOKUP('Données projet'!$B$13,Paramètres!$A$1:$I$88,3,0)*0.475*44/12</f>
        <v>6.3618207233521336</v>
      </c>
      <c r="DH61" s="23">
        <f>EXP(-LN(2)/2)*DH60+(1-EXP(-LN(2)/2))/(LN(2)/2)*DB61*DE61*VLOOKUP('Données projet'!$B$13,Paramètres!$A$1:$I$88,3,0)*0.475*44/12</f>
        <v>4.138725402546917E-4</v>
      </c>
      <c r="DI61" s="24">
        <f t="shared" si="15"/>
        <v>6.3622345958923878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projet'!$B$14,Paramètres!$A$1:$I$88,3,0)*VLOOKUP('Données projet'!$B$14,Paramètres!$A$1:$I$88,5,0)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projet'!$B$14,Paramètres!$A$1:$I$88,7,0))</f>
        <v>0</v>
      </c>
      <c r="DY61" s="17">
        <f>IF(ISNA(VLOOKUP(A61,'Données projet'!$A$165:$I$185,6,0)),0%,VLOOKUP(A61,'Données projet'!$A$165:$I$185,6,0)*VLOOKUP('Données projet'!$B$14,Paramètres!$A$1:$I$88,7,0))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projet'!$B$14,Paramètres!$A$1:$I$88,3,0)*0.475*44/12</f>
        <v>#N/A</v>
      </c>
      <c r="EB61" s="23" t="e">
        <f>EXP(-LN(2)/25)*EB60+(1-EXP(-LN(2)/25))/(LN(2)/25)*Calculateur!DW61*Calculateur!DY61*VLOOKUP('Données projet'!$B$14,Paramètres!$A$1:$I$88,3,0)*0.475*44/12</f>
        <v>#N/A</v>
      </c>
      <c r="EC61" s="23" t="e">
        <f>EXP(-LN(2)/2)*EC60+(1-EXP(-LN(2)/2))/(LN(2)/2)*DW61*DZ61*VLOOKUP('Données projet'!$B$14,Paramètres!$A$1:$I$88,3,0)*0.475*44/12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projet'!$B$15,Paramètres!$A$1:$I$88,3,0)*VLOOKUP('Données projet'!$B$15,Paramètres!$A$1:$I$88,5,0)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projet'!$B$15,Paramètres!$A$1:$I$88,7,0))</f>
        <v>0</v>
      </c>
      <c r="ET61" s="17">
        <f>IF(ISNA(VLOOKUP(A61,'Données projet'!$A$191:$I$211,6,0)),0%,VLOOKUP(A61,'Données projet'!$A$191:$I$211,6,0)*VLOOKUP('Données projet'!$B$15,Paramètres!$A$1:$I$88,7,0))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projet'!$B$15,Paramètres!$A$1:$I$88,3,0)*0.475*44/12</f>
        <v>#N/A</v>
      </c>
      <c r="EW61" s="23" t="e">
        <f>EXP(-LN(2)/25)*EW60+(1-EXP(-LN(2)/25))/(LN(2)/25)*Calculateur!ER61*Calculateur!ET61*VLOOKUP('Données projet'!$B$15,Paramètres!$A$1:$I$88,3,0)*0.475*44/12</f>
        <v>#N/A</v>
      </c>
      <c r="EX61" s="23" t="e">
        <f>EXP(-LN(2)/2)*EX60+(1-EXP(-LN(2)/2))/(LN(2)/2)*ER61*EU61*VLOOKUP('Données projet'!$B$15,Paramètres!$A$1:$I$88,3,0)*0.475*44/12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projet'!$B$16,Paramètres!$A$1:$I$88,3,0)*VLOOKUP('Données projet'!$B$16,Paramètres!$A$1:$I$88,5,0)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projet'!$B$16,Paramètres!$A$1:$I$88,7,0))</f>
        <v>0</v>
      </c>
      <c r="FO61" s="17">
        <f>IF(ISNA(VLOOKUP(A61,'Données projet'!$A$217:$I$237,6,0)),0%,VLOOKUP(A61,'Données projet'!$A$217:$I$237,6,0)*VLOOKUP('Données projet'!$B$16,Paramètres!$A$1:$I$88,7,0))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projet'!$B$16,Paramètres!$A$1:$I$88,3,0)*0.475*44/12</f>
        <v>#N/A</v>
      </c>
      <c r="FR61" s="23" t="e">
        <f>EXP(-LN(2)/25)*FR60+(1-EXP(-LN(2)/25))/(LN(2)/25)*Calculateur!FM61*Calculateur!FO61*VLOOKUP('Données projet'!$B$16,Paramètres!$A$1:$I$88,3,0)*0.475*44/12</f>
        <v>#N/A</v>
      </c>
      <c r="FS61" s="23" t="e">
        <f>EXP(-LN(2)/2)*FS60+(1-EXP(-LN(2)/2))/(LN(2)/2)*FM61*FP61*VLOOKUP('Données projet'!$B$16,Paramètres!$A$1:$I$88,3,0)*0.475*44/12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projet'!$B$17,Paramètres!$A$1:$I$88,3,0)*VLOOKUP('Données projet'!$B$17,Paramètres!$A$1:$I$88,5,0)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projet'!$B$17,Paramètres!$A$1:$I$88,7,0))</f>
        <v>0</v>
      </c>
      <c r="GJ61" s="17">
        <f>IF(ISNA(VLOOKUP(A61,'Données projet'!$A$243:$I$263,6,0)),0%,VLOOKUP(A61,'Données projet'!$A$243:$I$263,6,0)*VLOOKUP('Données projet'!$B$17,Paramètres!$A$1:$I$88,7,0))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projet'!$B$17,Paramètres!$A$1:$I$88,3,0)*0.475*44/12</f>
        <v>#N/A</v>
      </c>
      <c r="GM61" s="23" t="e">
        <f>EXP(-LN(2)/25)*GM60+(1-EXP(-LN(2)/25))/(LN(2)/25)*Calculateur!GH61*Calculateur!GJ61*VLOOKUP('Données projet'!$B$17,Paramètres!$A$1:$I$88,3,0)*0.475*44/12</f>
        <v>#N/A</v>
      </c>
      <c r="GN61" s="23" t="e">
        <f>EXP(-LN(2)/2)*GN60+(1-EXP(-LN(2)/2))/(LN(2)/2)*GH61*GK61*VLOOKUP('Données projet'!$B$17,Paramètres!$A$1:$I$88,3,0)*0.475*44/12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projet'!$B$18,Paramètres!$A$1:$I$88,3,0)*VLOOKUP('Données projet'!$B$18,Paramètres!$A$1:$I$88,5,0)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projet'!$B$18,Paramètres!$A$1:$I$88,7,0))</f>
        <v>0</v>
      </c>
      <c r="HE61" s="17">
        <f>IF(ISNA(VLOOKUP(A61,'Données projet'!$A$269:$I$289,6,0)),0%,VLOOKUP(A61,'Données projet'!$A$269:$I$289,6,0)*VLOOKUP('Données projet'!$B$18,Paramètres!$A$1:$I$88,7,0))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projet'!$B$18,Paramètres!$A$1:$I$88,3,0)*0.475*44/12</f>
        <v>#N/A</v>
      </c>
      <c r="HH61" s="23" t="e">
        <f>EXP(-LN(2)/25)*HH60+(1-EXP(-LN(2)/25))/(LN(2)/25)*Calculateur!HC61*Calculateur!HE61*VLOOKUP('Données projet'!$B$18,Paramètres!$A$1:$I$88,3,0)*0.475*44/12</f>
        <v>#N/A</v>
      </c>
      <c r="HI61" s="23" t="e">
        <f>EXP(-LN(2)/2)*HI60+(1-EXP(-LN(2)/2))/(LN(2)/2)*HC61*HF61*VLOOKUP('Données projet'!$B$18,Paramètres!$A$1:$I$88,3,0)*0.475*44/12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9.75</v>
      </c>
      <c r="N62" s="14">
        <f>IF('Données projet'!$A$36&gt;35,N61+M62-V61,IF(A62&lt;'Données projet'!$A$36,$K$205^A62,IF(A62='Données projet'!$A$36,'Données projet'!$B$36,N61+M62-V61)))</f>
        <v>294.25</v>
      </c>
      <c r="O62" s="14">
        <f>N62*VLOOKUP('Données projet'!$B$9,Paramètres!$A$1:$I$88,3,0)*VLOOKUP('Données projet'!$B$9,Paramètres!$A$1:$I$88,5,0)</f>
        <v>183.61199999999999</v>
      </c>
      <c r="P62" s="14">
        <f t="shared" si="33"/>
        <v>46.124858041839339</v>
      </c>
      <c r="Q62" s="22">
        <f t="shared" si="53"/>
        <v>400.12502775620351</v>
      </c>
      <c r="R62" s="62">
        <f t="shared" si="0"/>
        <v>693.45836108953677</v>
      </c>
      <c r="S62" s="62">
        <f ca="1">AVERAGE(OFFSET($R$3,0,0,'Données projet'!$E$9+1,1))-AVERAGE(OFFSET($H$3,0,0,'Données projet'!$E$9+1,1))</f>
        <v>175.05987582828078</v>
      </c>
      <c r="T62" s="62">
        <f t="shared" si="34"/>
        <v>268.54782308462387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projet'!$B$9,Paramètres!$A$1:$I$88,7,0))</f>
        <v>0</v>
      </c>
      <c r="X62" s="17">
        <f>IF(ISNA(VLOOKUP(A62,'Données projet'!$A$35:$I$55,6,0)),0%,VLOOKUP(A62,'Données projet'!$A$35:$I$55,6,0)*VLOOKUP('Données projet'!$B$9,Paramètres!$A$1:$I$88,7,0))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projet'!$B$9,Paramètres!$A$1:$I$88,3,0)*0.475*44/12</f>
        <v>0</v>
      </c>
      <c r="AA62" s="23">
        <f>EXP(-LN(2)/25)*AA61+(1-EXP(-LN(2)/25))/(LN(2)/25)*Calculateur!V62*Calculateur!X62*VLOOKUP('Données projet'!$B$9,Paramètres!$A$1:$I$88,3,0)*0.475*44/12</f>
        <v>4.6073537190419778</v>
      </c>
      <c r="AB62" s="23">
        <f>EXP(-LN(2)/2)*AB61+(1-EXP(-LN(2)/2))/(LN(2)/2)*V62*Y62*VLOOKUP('Données projet'!$B$9,Paramètres!$A$1:$I$88,3,0)*0.475*44/12</f>
        <v>7.1292538788202305E-4</v>
      </c>
      <c r="AC62" s="24">
        <f t="shared" si="3"/>
        <v>4.6080666444298597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19.933333333333334</v>
      </c>
      <c r="AI62" s="14">
        <f>IF('Données projet'!$A$62&gt;35,AI61+AH62-AQ61,IF(A62&lt;'Données projet'!$A$62,$AF$205^A62,IF(A62='Données projet'!$A$62,'Données projet'!$B$62,AI61+AH62-AQ61)))</f>
        <v>757.06666666666615</v>
      </c>
      <c r="AJ62" s="14">
        <f>AI62*VLOOKUP('Données projet'!$B$10,Paramètres!$A$1:$I$88,3,0)*VLOOKUP('Données projet'!$B$10,Paramètres!$A$1:$I$88,5,0)</f>
        <v>364.14906666666644</v>
      </c>
      <c r="AK62" s="14">
        <f t="shared" si="35"/>
        <v>84.469197274302218</v>
      </c>
      <c r="AL62" s="22">
        <f t="shared" si="4"/>
        <v>781.34347636385371</v>
      </c>
      <c r="AM62" s="62">
        <f t="shared" si="5"/>
        <v>1074.6768096971871</v>
      </c>
      <c r="AN62" s="62">
        <f ca="1">AVERAGE(OFFSET($AM$3,0,0,'Données projet'!$E$10+1,1))-AVERAGE(OFFSET($H$3,0,0,'Données projet'!$E$10+1,1))</f>
        <v>576.61210817354549</v>
      </c>
      <c r="AO62" s="62">
        <f t="shared" si="36"/>
        <v>343.9428747444544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projet'!$B$10,Paramètres!$A$1:$I$88,7,0))</f>
        <v>0</v>
      </c>
      <c r="AS62" s="17">
        <f>IF(ISNA(VLOOKUP(A62,'Données projet'!$A$61:$I$81,6,0)),0%,VLOOKUP(A62,'Données projet'!$A$61:$I$81,6,0)*VLOOKUP('Données projet'!$B$10,Paramètres!$A$1:$I$88,7,0))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projet'!$B$10,Paramètres!$A$1:$I$88,3,0)*0.475*44/12</f>
        <v>0</v>
      </c>
      <c r="AV62" s="23">
        <f>EXP(-LN(2)/25)*AV61+(1-EXP(-LN(2)/25))/(LN(2)/25)*Calculateur!AQ62*Calculateur!AS62*VLOOKUP('Données projet'!$B$10,Paramètres!$A$1:$I$88,3,0)*0.475*44/12</f>
        <v>2.5342122373619187</v>
      </c>
      <c r="AW62" s="23">
        <f>EXP(-LN(2)/2)*AW61+(1-EXP(-LN(2)/2))/(LN(2)/2)*AQ62*AT62*VLOOKUP('Données projet'!$B$10,Paramètres!$A$1:$I$88,3,0)*0.475*44/12</f>
        <v>5.0769095909233809E-4</v>
      </c>
      <c r="AX62" s="23">
        <f t="shared" si="6"/>
        <v>2.5347199283210111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6.2799999999999958</v>
      </c>
      <c r="BD62" s="13">
        <f>IF('Données projet'!$A$88&gt;35,BD61+BC62-BL61,IF(A62&lt;'Données projet'!$A$88,$BA$205^A62,IF(A62='Données projet'!$A$88,'Données projet'!$B$88,BD61+BC62-BL61)))</f>
        <v>287.71999999999991</v>
      </c>
      <c r="BE62" s="14">
        <f>BD62*VLOOKUP('Données projet'!$B$11,Paramètres!$A$1:$I$88,3,0)*VLOOKUP('Données projet'!$B$11,Paramètres!$A$1:$I$88,5,0)</f>
        <v>228.91003199999992</v>
      </c>
      <c r="BF62" s="14">
        <f t="shared" si="37"/>
        <v>56.046939849376471</v>
      </c>
      <c r="BG62" s="22">
        <f t="shared" si="7"/>
        <v>496.30005930433055</v>
      </c>
      <c r="BH62" s="62">
        <f t="shared" si="8"/>
        <v>789.63339263766386</v>
      </c>
      <c r="BI62" s="62">
        <f ca="1">AVERAGE(OFFSET($BH$3,0,0,'Données projet'!$E$11+1,1))-AVERAGE(OFFSET($H$3,0,0,'Données projet'!$E$11+1,1))</f>
        <v>298.38448036212861</v>
      </c>
      <c r="BJ62" s="62">
        <f t="shared" si="38"/>
        <v>270.4445531106897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projet'!$B$11,Paramètres!$A$1:$I$88,7,0))</f>
        <v>0</v>
      </c>
      <c r="BN62" s="17">
        <f>IF(ISNA(VLOOKUP(A62,'Données projet'!$A$87:$I$107,6,0)),0%,VLOOKUP(A62,'Données projet'!$A$87:$I$107,6,0)*VLOOKUP('Données projet'!$B$11,Paramètres!$A$1:$I$88,7,0))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projet'!$B$11,Paramètres!$A$1:$I$88,3,0)*0.475*44/12</f>
        <v>0</v>
      </c>
      <c r="BQ62" s="23">
        <f>EXP(-LN(2)/25)*BQ61+(1-EXP(-LN(2)/25))/(LN(2)/25)*Calculateur!BL62*Calculateur!BN62*VLOOKUP('Données projet'!$B$11,Paramètres!$A$1:$I$88,3,0)*0.475*44/12</f>
        <v>0</v>
      </c>
      <c r="BR62" s="23">
        <f>EXP(-LN(2)/2)*BR61+(1-EXP(-LN(2)/2))/(LN(2)/2)*BL62*BO62*VLOOKUP('Données projet'!$B$11,Paramètres!$A$1:$I$88,3,0)*0.475*44/12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9.375</v>
      </c>
      <c r="BY62" s="13">
        <f>IF('Données projet'!$A$114&gt;35,BY61+BX62-CG61,IF(A62&lt;'Données projet'!$A$114,$BV$205^A62,IF(A62='Données projet'!$A$114,'Données projet'!$B$114,BY61+BX62-CG61)))</f>
        <v>287.62499999999989</v>
      </c>
      <c r="BZ62" s="14">
        <f>BY62*VLOOKUP('Données projet'!$B$12,Paramètres!$A$1:$I$88,3,0)*VLOOKUP('Données projet'!$B$12,Paramètres!$A$1:$I$88,5,0)</f>
        <v>224.34749999999991</v>
      </c>
      <c r="CA62" s="14">
        <f t="shared" si="39"/>
        <v>55.058714525680429</v>
      </c>
      <c r="CB62" s="22">
        <f t="shared" si="10"/>
        <v>486.63249029889329</v>
      </c>
      <c r="CC62" s="62">
        <f t="shared" si="11"/>
        <v>779.9658236322266</v>
      </c>
      <c r="CD62" s="62">
        <f ca="1">AVERAGE(OFFSET($CC$3,0,0,'Données projet'!$E$12+1,1))-AVERAGE(OFFSET($H$3,0,0,'Données projet'!$E$12+1,1))</f>
        <v>217.32600829266818</v>
      </c>
      <c r="CE62" s="62">
        <f t="shared" si="40"/>
        <v>208.79744153433245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projet'!$B$12,Paramètres!$A$1:$I$88,7,0))</f>
        <v>0</v>
      </c>
      <c r="CI62" s="17">
        <f>IF(ISNA(VLOOKUP(A62,'Données projet'!$A$113:$I$133,6,0)),0%,VLOOKUP(A62,'Données projet'!$A$113:$I$133,6,0)*VLOOKUP('Données projet'!$B$12,Paramètres!$A$1:$I$88,7,0))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projet'!$B$12,Paramètres!$A$1:$I$88,3,0)*0.475*44/12</f>
        <v>0</v>
      </c>
      <c r="CL62" s="23">
        <f>EXP(-LN(2)/25)*CL61+(1-EXP(-LN(2)/25))/(LN(2)/25)*Calculateur!CG62*Calculateur!CI62*VLOOKUP('Données projet'!$B$12,Paramètres!$A$1:$I$88,3,0)*0.475*44/12</f>
        <v>0</v>
      </c>
      <c r="CM62" s="23">
        <f>EXP(-LN(2)/2)*CM61+(1-EXP(-LN(2)/2))/(LN(2)/2)*CG62*CJ62*VLOOKUP('Données projet'!$B$12,Paramètres!$A$1:$I$88,3,0)*0.475*44/12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15.571428571428571</v>
      </c>
      <c r="CT62" s="13">
        <f>IF('Données projet'!$A$140&gt;35,CT61+CS62-DB61,IF(A62&lt;'Données projet'!$A$140,$CQ$205^A62,IF(A62='Données projet'!$A$140,'Données projet'!$B$140,CT61+CS62-DB61)))</f>
        <v>475.71428571428544</v>
      </c>
      <c r="CU62" s="18">
        <f>CT62*VLOOKUP('Données projet'!$B$13,Paramètres!$A$1:$I$88,3,0)*VLOOKUP('Données projet'!$B$13,Paramètres!$A$1:$I$88,5,0)</f>
        <v>265.92428571428559</v>
      </c>
      <c r="CV62" s="14">
        <f t="shared" si="41"/>
        <v>63.983535636381461</v>
      </c>
      <c r="CW62" s="22">
        <f t="shared" si="13"/>
        <v>574.58945551907846</v>
      </c>
      <c r="CX62" s="62">
        <f t="shared" si="14"/>
        <v>867.92278885241171</v>
      </c>
      <c r="CY62" s="62">
        <f ca="1">AVERAGE(OFFSET($CX$3,0,0,'Données projet'!$E$13+1,1))-AVERAGE(OFFSET($H$3,0,0,'Données projet'!$E$13+1,1))</f>
        <v>302.20483575440988</v>
      </c>
      <c r="CZ62" s="62">
        <f t="shared" si="42"/>
        <v>275.32862097158687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projet'!$B$13,Paramètres!$A$1:$I$88,7,0))</f>
        <v>0</v>
      </c>
      <c r="DD62" s="17">
        <f>IF(ISNA(VLOOKUP(A62,'Données projet'!$A$139:$I$159,6,0)),0%,VLOOKUP(A62,'Données projet'!$A$139:$I$159,6,0)*VLOOKUP('Données projet'!$B$13,Paramètres!$A$1:$I$88,7,0))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projet'!$B$13,Paramètres!$A$1:$I$88,3,0)*0.475*44/12</f>
        <v>0</v>
      </c>
      <c r="DG62" s="23">
        <f>EXP(-LN(2)/25)*DG61+(1-EXP(-LN(2)/25))/(LN(2)/25)*Calculateur!DB62*Calculateur!DD62*VLOOKUP('Données projet'!$B$13,Paramètres!$A$1:$I$88,3,0)*0.475*44/12</f>
        <v>6.1878564011184576</v>
      </c>
      <c r="DH62" s="23">
        <f>EXP(-LN(2)/2)*DH61+(1-EXP(-LN(2)/2))/(LN(2)/2)*DB62*DE62*VLOOKUP('Données projet'!$B$13,Paramètres!$A$1:$I$88,3,0)*0.475*44/12</f>
        <v>2.9265207976099486E-4</v>
      </c>
      <c r="DI62" s="24">
        <f t="shared" si="15"/>
        <v>6.1881490531982184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projet'!$B$14,Paramètres!$A$1:$I$88,3,0)*VLOOKUP('Données projet'!$B$14,Paramètres!$A$1:$I$88,5,0)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projet'!$B$14,Paramètres!$A$1:$I$88,7,0))</f>
        <v>0</v>
      </c>
      <c r="DY62" s="17">
        <f>IF(ISNA(VLOOKUP(A62,'Données projet'!$A$165:$I$185,6,0)),0%,VLOOKUP(A62,'Données projet'!$A$165:$I$185,6,0)*VLOOKUP('Données projet'!$B$14,Paramètres!$A$1:$I$88,7,0))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projet'!$B$14,Paramètres!$A$1:$I$88,3,0)*0.475*44/12</f>
        <v>#N/A</v>
      </c>
      <c r="EB62" s="23" t="e">
        <f>EXP(-LN(2)/25)*EB61+(1-EXP(-LN(2)/25))/(LN(2)/25)*Calculateur!DW62*Calculateur!DY62*VLOOKUP('Données projet'!$B$14,Paramètres!$A$1:$I$88,3,0)*0.475*44/12</f>
        <v>#N/A</v>
      </c>
      <c r="EC62" s="23" t="e">
        <f>EXP(-LN(2)/2)*EC61+(1-EXP(-LN(2)/2))/(LN(2)/2)*DW62*DZ62*VLOOKUP('Données projet'!$B$14,Paramètres!$A$1:$I$88,3,0)*0.475*44/12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projet'!$B$15,Paramètres!$A$1:$I$88,3,0)*VLOOKUP('Données projet'!$B$15,Paramètres!$A$1:$I$88,5,0)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projet'!$B$15,Paramètres!$A$1:$I$88,7,0))</f>
        <v>0</v>
      </c>
      <c r="ET62" s="17">
        <f>IF(ISNA(VLOOKUP(A62,'Données projet'!$A$191:$I$211,6,0)),0%,VLOOKUP(A62,'Données projet'!$A$191:$I$211,6,0)*VLOOKUP('Données projet'!$B$15,Paramètres!$A$1:$I$88,7,0))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projet'!$B$15,Paramètres!$A$1:$I$88,3,0)*0.475*44/12</f>
        <v>#N/A</v>
      </c>
      <c r="EW62" s="23" t="e">
        <f>EXP(-LN(2)/25)*EW61+(1-EXP(-LN(2)/25))/(LN(2)/25)*Calculateur!ER62*Calculateur!ET62*VLOOKUP('Données projet'!$B$15,Paramètres!$A$1:$I$88,3,0)*0.475*44/12</f>
        <v>#N/A</v>
      </c>
      <c r="EX62" s="23" t="e">
        <f>EXP(-LN(2)/2)*EX61+(1-EXP(-LN(2)/2))/(LN(2)/2)*ER62*EU62*VLOOKUP('Données projet'!$B$15,Paramètres!$A$1:$I$88,3,0)*0.475*44/12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projet'!$B$16,Paramètres!$A$1:$I$88,3,0)*VLOOKUP('Données projet'!$B$16,Paramètres!$A$1:$I$88,5,0)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projet'!$B$16,Paramètres!$A$1:$I$88,7,0))</f>
        <v>0</v>
      </c>
      <c r="FO62" s="17">
        <f>IF(ISNA(VLOOKUP(A62,'Données projet'!$A$217:$I$237,6,0)),0%,VLOOKUP(A62,'Données projet'!$A$217:$I$237,6,0)*VLOOKUP('Données projet'!$B$16,Paramètres!$A$1:$I$88,7,0))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projet'!$B$16,Paramètres!$A$1:$I$88,3,0)*0.475*44/12</f>
        <v>#N/A</v>
      </c>
      <c r="FR62" s="23" t="e">
        <f>EXP(-LN(2)/25)*FR61+(1-EXP(-LN(2)/25))/(LN(2)/25)*Calculateur!FM62*Calculateur!FO62*VLOOKUP('Données projet'!$B$16,Paramètres!$A$1:$I$88,3,0)*0.475*44/12</f>
        <v>#N/A</v>
      </c>
      <c r="FS62" s="23" t="e">
        <f>EXP(-LN(2)/2)*FS61+(1-EXP(-LN(2)/2))/(LN(2)/2)*FM62*FP62*VLOOKUP('Données projet'!$B$16,Paramètres!$A$1:$I$88,3,0)*0.475*44/12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projet'!$B$17,Paramètres!$A$1:$I$88,3,0)*VLOOKUP('Données projet'!$B$17,Paramètres!$A$1:$I$88,5,0)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projet'!$B$17,Paramètres!$A$1:$I$88,7,0))</f>
        <v>0</v>
      </c>
      <c r="GJ62" s="17">
        <f>IF(ISNA(VLOOKUP(A62,'Données projet'!$A$243:$I$263,6,0)),0%,VLOOKUP(A62,'Données projet'!$A$243:$I$263,6,0)*VLOOKUP('Données projet'!$B$17,Paramètres!$A$1:$I$88,7,0))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projet'!$B$17,Paramètres!$A$1:$I$88,3,0)*0.475*44/12</f>
        <v>#N/A</v>
      </c>
      <c r="GM62" s="23" t="e">
        <f>EXP(-LN(2)/25)*GM61+(1-EXP(-LN(2)/25))/(LN(2)/25)*Calculateur!GH62*Calculateur!GJ62*VLOOKUP('Données projet'!$B$17,Paramètres!$A$1:$I$88,3,0)*0.475*44/12</f>
        <v>#N/A</v>
      </c>
      <c r="GN62" s="23" t="e">
        <f>EXP(-LN(2)/2)*GN61+(1-EXP(-LN(2)/2))/(LN(2)/2)*GH62*GK62*VLOOKUP('Données projet'!$B$17,Paramètres!$A$1:$I$88,3,0)*0.475*44/12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projet'!$B$18,Paramètres!$A$1:$I$88,3,0)*VLOOKUP('Données projet'!$B$18,Paramètres!$A$1:$I$88,5,0)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projet'!$B$18,Paramètres!$A$1:$I$88,7,0))</f>
        <v>0</v>
      </c>
      <c r="HE62" s="17">
        <f>IF(ISNA(VLOOKUP(A62,'Données projet'!$A$269:$I$289,6,0)),0%,VLOOKUP(A62,'Données projet'!$A$269:$I$289,6,0)*VLOOKUP('Données projet'!$B$18,Paramètres!$A$1:$I$88,7,0))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projet'!$B$18,Paramètres!$A$1:$I$88,3,0)*0.475*44/12</f>
        <v>#N/A</v>
      </c>
      <c r="HH62" s="23" t="e">
        <f>EXP(-LN(2)/25)*HH61+(1-EXP(-LN(2)/25))/(LN(2)/25)*Calculateur!HC62*Calculateur!HE62*VLOOKUP('Données projet'!$B$18,Paramètres!$A$1:$I$88,3,0)*0.475*44/12</f>
        <v>#N/A</v>
      </c>
      <c r="HI62" s="23" t="e">
        <f>EXP(-LN(2)/2)*HI61+(1-EXP(-LN(2)/2))/(LN(2)/2)*HC62*HF62*VLOOKUP('Données projet'!$B$18,Paramètres!$A$1:$I$88,3,0)*0.475*44/12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304</v>
      </c>
      <c r="L63" s="13">
        <f>VLOOKUP(A63,'Données projet'!$A$35:$I$55,9,0)</f>
        <v>9.75</v>
      </c>
      <c r="M63" s="13">
        <f t="array" ref="M63">INDEX(L:L,MIN(IF(ISNUMBER(L63:L259),ROW(L63:L259),"")))</f>
        <v>9.75</v>
      </c>
      <c r="N63" s="14">
        <f>IF('Données projet'!$A$36&gt;35,N62+M63-V62,IF(A63&lt;'Données projet'!$A$36,$K$205^A63,IF(A63='Données projet'!$A$36,'Données projet'!$B$36,N62+M63-V62)))</f>
        <v>304</v>
      </c>
      <c r="O63" s="14">
        <f>N63*VLOOKUP('Données projet'!$B$9,Paramètres!$A$1:$I$88,3,0)*VLOOKUP('Données projet'!$B$9,Paramètres!$A$1:$I$88,5,0)</f>
        <v>189.696</v>
      </c>
      <c r="P63" s="14">
        <f t="shared" si="33"/>
        <v>47.472736505152469</v>
      </c>
      <c r="Q63" s="22">
        <f t="shared" si="53"/>
        <v>413.06888274647389</v>
      </c>
      <c r="R63" s="62">
        <f t="shared" si="0"/>
        <v>706.4022160798072</v>
      </c>
      <c r="S63" s="62">
        <f ca="1">AVERAGE(OFFSET($R$3,0,0,'Données projet'!$E$9+1,1))-AVERAGE(OFFSET($H$3,0,0,'Données projet'!$E$9+1,1))</f>
        <v>175.05987582828078</v>
      </c>
      <c r="T63" s="62">
        <f t="shared" si="34"/>
        <v>268.54782308462387</v>
      </c>
      <c r="U63" s="16">
        <f>IF(ISNA(VLOOKUP(A63,'Données projet'!$A$35:$I$55,3,0)),0,VLOOKUP(A63,'Données projet'!$A$35:$I$55,3,0))</f>
        <v>8</v>
      </c>
      <c r="V63" s="16">
        <f>IF(ISNA(VLOOKUP(A63,'Données projet'!$A$35:$I$55,4,0)),0,VLOOKUP(A63,'Données projet'!$A$35:$I$55,4,0))</f>
        <v>304</v>
      </c>
      <c r="W63" s="17">
        <f>IF(ISNA(VLOOKUP(A63,'Données projet'!$A$35:$I$55,5,0)),0%,VLOOKUP(A63,'Données projet'!$A$35:$I$55,5,0)*VLOOKUP('Données projet'!$B$9,Paramètres!$A$1:$I$88,7,0))</f>
        <v>0</v>
      </c>
      <c r="X63" s="17">
        <f>IF(ISNA(VLOOKUP(A63,'Données projet'!$A$35:$I$55,6,0)),0%,VLOOKUP(A63,'Données projet'!$A$35:$I$55,6,0)*VLOOKUP('Données projet'!$B$9,Paramètres!$A$1:$I$88,7,0))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projet'!$B$9,Paramètres!$A$1:$I$88,3,0)*0.475*44/12</f>
        <v>0</v>
      </c>
      <c r="AA63" s="23">
        <f>EXP(-LN(2)/25)*AA62+(1-EXP(-LN(2)/25))/(LN(2)/25)*Calculateur!V63*Calculateur!X63*VLOOKUP('Données projet'!$B$9,Paramètres!$A$1:$I$88,3,0)*0.475*44/12</f>
        <v>4.4813653893045728</v>
      </c>
      <c r="AB63" s="23">
        <f>EXP(-LN(2)/2)*AB62+(1-EXP(-LN(2)/2))/(LN(2)/2)*V63*Y63*VLOOKUP('Données projet'!$B$9,Paramètres!$A$1:$I$88,3,0)*0.475*44/12</f>
        <v>5.0411437625142819E-4</v>
      </c>
      <c r="AC63" s="24">
        <f t="shared" si="3"/>
        <v>4.4818695036808247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777</v>
      </c>
      <c r="AG63" s="13">
        <f>VLOOKUP(A63,'Données projet'!$A$61:$I$81,9,0)</f>
        <v>19.933333333333334</v>
      </c>
      <c r="AH63" s="13">
        <f t="array" ref="AH63">INDEX(AG:AG,MIN(IF(ISNUMBER(AG63:AG259),ROW(AG63:AG259),"")))</f>
        <v>19.933333333333334</v>
      </c>
      <c r="AI63" s="14">
        <f>IF('Données projet'!$A$62&gt;35,AI62+AH63-AQ62,IF(A63&lt;'Données projet'!$A$62,$AF$205^A63,IF(A63='Données projet'!$A$62,'Données projet'!$B$62,AI62+AH63-AQ62)))</f>
        <v>776.99999999999943</v>
      </c>
      <c r="AJ63" s="14">
        <f>AI63*VLOOKUP('Données projet'!$B$10,Paramètres!$A$1:$I$88,3,0)*VLOOKUP('Données projet'!$B$10,Paramètres!$A$1:$I$88,5,0)</f>
        <v>373.73699999999974</v>
      </c>
      <c r="AK63" s="14">
        <f t="shared" si="35"/>
        <v>86.431383857118817</v>
      </c>
      <c r="AL63" s="22">
        <f t="shared" si="4"/>
        <v>801.45993521781475</v>
      </c>
      <c r="AM63" s="62">
        <f t="shared" si="5"/>
        <v>1094.793268551148</v>
      </c>
      <c r="AN63" s="62">
        <f ca="1">AVERAGE(OFFSET($AM$3,0,0,'Données projet'!$E$10+1,1))-AVERAGE(OFFSET($H$3,0,0,'Données projet'!$E$10+1,1))</f>
        <v>576.61210817354549</v>
      </c>
      <c r="AO63" s="62">
        <f t="shared" si="36"/>
        <v>343.9428747444544</v>
      </c>
      <c r="AP63" s="16">
        <f>IF(ISNA(VLOOKUP(A63,'Données projet'!$A$61:$I$81,3,0)),0,VLOOKUP(A63,'Données projet'!$A$61:$I$81,3,0))</f>
        <v>3</v>
      </c>
      <c r="AQ63" s="16">
        <f>IF(ISNA(VLOOKUP(A63,'Données projet'!$A$61:$I$81,4,0)),0,VLOOKUP(A63,'Données projet'!$A$61:$I$81,4,0))</f>
        <v>224</v>
      </c>
      <c r="AR63" s="17">
        <f>IF(ISNA(VLOOKUP(A63,'Données projet'!$A$61:$I$81,5,0)),0%,VLOOKUP(A63,'Données projet'!$A$61:$I$81,5,0)*VLOOKUP('Données projet'!$B$10,Paramètres!$A$1:$I$88,7,0))</f>
        <v>0</v>
      </c>
      <c r="AS63" s="17">
        <f>IF(ISNA(VLOOKUP(A63,'Données projet'!$A$61:$I$81,6,0)),0%,VLOOKUP(A63,'Données projet'!$A$61:$I$81,6,0)*VLOOKUP('Données projet'!$B$10,Paramètres!$A$1:$I$88,7,0))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projet'!$B$10,Paramètres!$A$1:$I$88,3,0)*0.475*44/12</f>
        <v>0</v>
      </c>
      <c r="AV63" s="23">
        <f>EXP(-LN(2)/25)*AV62+(1-EXP(-LN(2)/25))/(LN(2)/25)*Calculateur!AQ63*Calculateur!AS63*VLOOKUP('Données projet'!$B$10,Paramètres!$A$1:$I$88,3,0)*0.475*44/12</f>
        <v>2.4649140704628274</v>
      </c>
      <c r="AW63" s="23">
        <f>EXP(-LN(2)/2)*AW62+(1-EXP(-LN(2)/2))/(LN(2)/2)*AQ63*AT63*VLOOKUP('Données projet'!$B$10,Paramètres!$A$1:$I$88,3,0)*0.475*44/12</f>
        <v>3.5899171992129436E-4</v>
      </c>
      <c r="AX63" s="23">
        <f t="shared" si="6"/>
        <v>2.4652730621827486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294</v>
      </c>
      <c r="BB63" s="13">
        <f>VLOOKUP(A63,'Données projet'!$A$87:$I$107,9,0)</f>
        <v>6.2799999999999958</v>
      </c>
      <c r="BC63" s="13">
        <f t="array" ref="BC63">INDEX(BB:BB,MIN(IF(ISNUMBER(BB63:BB259),ROW(BB63:BB259),"")))</f>
        <v>6.2799999999999958</v>
      </c>
      <c r="BD63" s="13">
        <f>IF('Données projet'!$A$88&gt;35,BD62+BC63-BL62,IF(A63&lt;'Données projet'!$A$88,$BA$205^A63,IF(A63='Données projet'!$A$88,'Données projet'!$B$88,BD62+BC63-BL62)))</f>
        <v>293.99999999999989</v>
      </c>
      <c r="BE63" s="14">
        <f>BD63*VLOOKUP('Données projet'!$B$11,Paramètres!$A$1:$I$88,3,0)*VLOOKUP('Données projet'!$B$11,Paramètres!$A$1:$I$88,5,0)</f>
        <v>233.90639999999991</v>
      </c>
      <c r="BF63" s="14">
        <f t="shared" si="37"/>
        <v>57.126506840778347</v>
      </c>
      <c r="BG63" s="22">
        <f t="shared" si="7"/>
        <v>506.88231274768879</v>
      </c>
      <c r="BH63" s="62">
        <f t="shared" si="8"/>
        <v>800.2156460810221</v>
      </c>
      <c r="BI63" s="62">
        <f ca="1">AVERAGE(OFFSET($BH$3,0,0,'Données projet'!$E$11+1,1))-AVERAGE(OFFSET($H$3,0,0,'Données projet'!$E$11+1,1))</f>
        <v>298.38448036212861</v>
      </c>
      <c r="BJ63" s="62">
        <f t="shared" si="38"/>
        <v>270.4445531106897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projet'!$B$11,Paramètres!$A$1:$I$88,7,0))</f>
        <v>0</v>
      </c>
      <c r="BN63" s="17">
        <f>IF(ISNA(VLOOKUP(A63,'Données projet'!$A$87:$I$107,6,0)),0%,VLOOKUP(A63,'Données projet'!$A$87:$I$107,6,0)*VLOOKUP('Données projet'!$B$11,Paramètres!$A$1:$I$88,7,0))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projet'!$B$11,Paramètres!$A$1:$I$88,3,0)*0.475*44/12</f>
        <v>0</v>
      </c>
      <c r="BQ63" s="23">
        <f>EXP(-LN(2)/25)*BQ62+(1-EXP(-LN(2)/25))/(LN(2)/25)*Calculateur!BL63*Calculateur!BN63*VLOOKUP('Données projet'!$B$11,Paramètres!$A$1:$I$88,3,0)*0.475*44/12</f>
        <v>0</v>
      </c>
      <c r="BR63" s="23">
        <f>EXP(-LN(2)/2)*BR62+(1-EXP(-LN(2)/2))/(LN(2)/2)*BL63*BO63*VLOOKUP('Données projet'!$B$11,Paramètres!$A$1:$I$88,3,0)*0.475*44/12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297</v>
      </c>
      <c r="BW63" s="13">
        <f>VLOOKUP(A63,'Données projet'!$A$113:$I$133,9,0)</f>
        <v>9.375</v>
      </c>
      <c r="BX63" s="13">
        <f t="array" ref="BX63">INDEX(BW:BW,MIN(IF(ISNUMBER(BW63:BW259),ROW(BW63:BW259),"")))</f>
        <v>9.375</v>
      </c>
      <c r="BY63" s="13">
        <f>IF('Données projet'!$A$114&gt;35,BY62+BX63-CG62,IF(A63&lt;'Données projet'!$A$114,$BV$205^A63,IF(A63='Données projet'!$A$114,'Données projet'!$B$114,BY62+BX63-CG62)))</f>
        <v>296.99999999999989</v>
      </c>
      <c r="BZ63" s="14">
        <f>BY63*VLOOKUP('Données projet'!$B$12,Paramètres!$A$1:$I$88,3,0)*VLOOKUP('Données projet'!$B$12,Paramètres!$A$1:$I$88,5,0)</f>
        <v>231.65999999999991</v>
      </c>
      <c r="CA63" s="14">
        <f t="shared" si="39"/>
        <v>56.641461975682766</v>
      </c>
      <c r="CB63" s="22">
        <f t="shared" si="10"/>
        <v>502.125046274314</v>
      </c>
      <c r="CC63" s="62">
        <f t="shared" si="11"/>
        <v>795.45837960764732</v>
      </c>
      <c r="CD63" s="62">
        <f ca="1">AVERAGE(OFFSET($CC$3,0,0,'Données projet'!$E$12+1,1))-AVERAGE(OFFSET($H$3,0,0,'Données projet'!$E$12+1,1))</f>
        <v>217.32600829266818</v>
      </c>
      <c r="CE63" s="62">
        <f t="shared" si="40"/>
        <v>208.79744153433245</v>
      </c>
      <c r="CF63" s="16">
        <f>IF(ISNA(VLOOKUP(A63,'Données projet'!$A$113:$I$133,3,0)),0,VLOOKUP(A63,'Données projet'!$A$113:$I$133,3,0))</f>
        <v>7</v>
      </c>
      <c r="CG63" s="16">
        <f>IF(ISNA(VLOOKUP(A63,'Données projet'!$A$113:$I$133,4,0)),0,VLOOKUP(A63,'Données projet'!$A$113:$I$133,4,0))</f>
        <v>47</v>
      </c>
      <c r="CH63" s="17">
        <f>IF(ISNA(VLOOKUP(A63,'Données projet'!$A$113:$I$133,5,0)),0%,VLOOKUP(A63,'Données projet'!$A$113:$I$133,5,0)*VLOOKUP('Données projet'!$B$12,Paramètres!$A$1:$I$88,7,0))</f>
        <v>0</v>
      </c>
      <c r="CI63" s="17">
        <f>IF(ISNA(VLOOKUP(A63,'Données projet'!$A$113:$I$133,6,0)),0%,VLOOKUP(A63,'Données projet'!$A$113:$I$133,6,0)*VLOOKUP('Données projet'!$B$12,Paramètres!$A$1:$I$88,7,0))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projet'!$B$12,Paramètres!$A$1:$I$88,3,0)*0.475*44/12</f>
        <v>0</v>
      </c>
      <c r="CL63" s="23">
        <f>EXP(-LN(2)/25)*CL62+(1-EXP(-LN(2)/25))/(LN(2)/25)*Calculateur!CG63*Calculateur!CI63*VLOOKUP('Données projet'!$B$12,Paramètres!$A$1:$I$88,3,0)*0.475*44/12</f>
        <v>0</v>
      </c>
      <c r="CM63" s="23">
        <f>EXP(-LN(2)/2)*CM62+(1-EXP(-LN(2)/2))/(LN(2)/2)*CG63*CJ63*VLOOKUP('Données projet'!$B$12,Paramètres!$A$1:$I$88,3,0)*0.475*44/12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15.571428571428571</v>
      </c>
      <c r="CT63" s="13">
        <f>IF('Données projet'!$A$140&gt;35,CT62+CS63-DB62,IF(A63&lt;'Données projet'!$A$140,$CQ$205^A63,IF(A63='Données projet'!$A$140,'Données projet'!$B$140,CT62+CS63-DB62)))</f>
        <v>491.28571428571399</v>
      </c>
      <c r="CU63" s="18">
        <f>CT63*VLOOKUP('Données projet'!$B$13,Paramètres!$A$1:$I$88,3,0)*VLOOKUP('Données projet'!$B$13,Paramètres!$A$1:$I$88,5,0)</f>
        <v>274.62871428571412</v>
      </c>
      <c r="CV63" s="14">
        <f t="shared" si="41"/>
        <v>65.830625361909483</v>
      </c>
      <c r="CW63" s="22">
        <f t="shared" si="13"/>
        <v>592.96668321961113</v>
      </c>
      <c r="CX63" s="62">
        <f t="shared" si="14"/>
        <v>886.3000165529445</v>
      </c>
      <c r="CY63" s="62">
        <f ca="1">AVERAGE(OFFSET($CX$3,0,0,'Données projet'!$E$13+1,1))-AVERAGE(OFFSET($H$3,0,0,'Données projet'!$E$13+1,1))</f>
        <v>302.20483575440988</v>
      </c>
      <c r="CZ63" s="62">
        <f t="shared" si="42"/>
        <v>275.32862097158687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projet'!$B$13,Paramètres!$A$1:$I$88,7,0))</f>
        <v>0</v>
      </c>
      <c r="DD63" s="17">
        <f>IF(ISNA(VLOOKUP(A63,'Données projet'!$A$139:$I$159,6,0)),0%,VLOOKUP(A63,'Données projet'!$A$139:$I$159,6,0)*VLOOKUP('Données projet'!$B$13,Paramètres!$A$1:$I$88,7,0))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projet'!$B$13,Paramètres!$A$1:$I$88,3,0)*0.475*44/12</f>
        <v>0</v>
      </c>
      <c r="DG63" s="23">
        <f>EXP(-LN(2)/25)*DG62+(1-EXP(-LN(2)/25))/(LN(2)/25)*Calculateur!DB63*Calculateur!DD63*VLOOKUP('Données projet'!$B$13,Paramètres!$A$1:$I$88,3,0)*0.475*44/12</f>
        <v>6.018649142424648</v>
      </c>
      <c r="DH63" s="23">
        <f>EXP(-LN(2)/2)*DH62+(1-EXP(-LN(2)/2))/(LN(2)/2)*DB63*DE63*VLOOKUP('Données projet'!$B$13,Paramètres!$A$1:$I$88,3,0)*0.475*44/12</f>
        <v>2.0693627012734585E-4</v>
      </c>
      <c r="DI63" s="24">
        <f t="shared" si="15"/>
        <v>6.0188560786947756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projet'!$B$14,Paramètres!$A$1:$I$88,3,0)*VLOOKUP('Données projet'!$B$14,Paramètres!$A$1:$I$88,5,0)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projet'!$B$14,Paramètres!$A$1:$I$88,7,0))</f>
        <v>0</v>
      </c>
      <c r="DY63" s="17">
        <f>IF(ISNA(VLOOKUP(A63,'Données projet'!$A$165:$I$185,6,0)),0%,VLOOKUP(A63,'Données projet'!$A$165:$I$185,6,0)*VLOOKUP('Données projet'!$B$14,Paramètres!$A$1:$I$88,7,0))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projet'!$B$14,Paramètres!$A$1:$I$88,3,0)*0.475*44/12</f>
        <v>#N/A</v>
      </c>
      <c r="EB63" s="23" t="e">
        <f>EXP(-LN(2)/25)*EB62+(1-EXP(-LN(2)/25))/(LN(2)/25)*Calculateur!DW63*Calculateur!DY63*VLOOKUP('Données projet'!$B$14,Paramètres!$A$1:$I$88,3,0)*0.475*44/12</f>
        <v>#N/A</v>
      </c>
      <c r="EC63" s="23" t="e">
        <f>EXP(-LN(2)/2)*EC62+(1-EXP(-LN(2)/2))/(LN(2)/2)*DW63*DZ63*VLOOKUP('Données projet'!$B$14,Paramètres!$A$1:$I$88,3,0)*0.475*44/12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projet'!$B$15,Paramètres!$A$1:$I$88,3,0)*VLOOKUP('Données projet'!$B$15,Paramètres!$A$1:$I$88,5,0)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projet'!$B$15,Paramètres!$A$1:$I$88,7,0))</f>
        <v>0</v>
      </c>
      <c r="ET63" s="17">
        <f>IF(ISNA(VLOOKUP(A63,'Données projet'!$A$191:$I$211,6,0)),0%,VLOOKUP(A63,'Données projet'!$A$191:$I$211,6,0)*VLOOKUP('Données projet'!$B$15,Paramètres!$A$1:$I$88,7,0))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projet'!$B$15,Paramètres!$A$1:$I$88,3,0)*0.475*44/12</f>
        <v>#N/A</v>
      </c>
      <c r="EW63" s="23" t="e">
        <f>EXP(-LN(2)/25)*EW62+(1-EXP(-LN(2)/25))/(LN(2)/25)*Calculateur!ER63*Calculateur!ET63*VLOOKUP('Données projet'!$B$15,Paramètres!$A$1:$I$88,3,0)*0.475*44/12</f>
        <v>#N/A</v>
      </c>
      <c r="EX63" s="23" t="e">
        <f>EXP(-LN(2)/2)*EX62+(1-EXP(-LN(2)/2))/(LN(2)/2)*ER63*EU63*VLOOKUP('Données projet'!$B$15,Paramètres!$A$1:$I$88,3,0)*0.475*44/12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projet'!$B$16,Paramètres!$A$1:$I$88,3,0)*VLOOKUP('Données projet'!$B$16,Paramètres!$A$1:$I$88,5,0)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projet'!$B$16,Paramètres!$A$1:$I$88,7,0))</f>
        <v>0</v>
      </c>
      <c r="FO63" s="17">
        <f>IF(ISNA(VLOOKUP(A63,'Données projet'!$A$217:$I$237,6,0)),0%,VLOOKUP(A63,'Données projet'!$A$217:$I$237,6,0)*VLOOKUP('Données projet'!$B$16,Paramètres!$A$1:$I$88,7,0))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projet'!$B$16,Paramètres!$A$1:$I$88,3,0)*0.475*44/12</f>
        <v>#N/A</v>
      </c>
      <c r="FR63" s="23" t="e">
        <f>EXP(-LN(2)/25)*FR62+(1-EXP(-LN(2)/25))/(LN(2)/25)*Calculateur!FM63*Calculateur!FO63*VLOOKUP('Données projet'!$B$16,Paramètres!$A$1:$I$88,3,0)*0.475*44/12</f>
        <v>#N/A</v>
      </c>
      <c r="FS63" s="23" t="e">
        <f>EXP(-LN(2)/2)*FS62+(1-EXP(-LN(2)/2))/(LN(2)/2)*FM63*FP63*VLOOKUP('Données projet'!$B$16,Paramètres!$A$1:$I$88,3,0)*0.475*44/12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projet'!$B$17,Paramètres!$A$1:$I$88,3,0)*VLOOKUP('Données projet'!$B$17,Paramètres!$A$1:$I$88,5,0)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projet'!$B$17,Paramètres!$A$1:$I$88,7,0))</f>
        <v>0</v>
      </c>
      <c r="GJ63" s="17">
        <f>IF(ISNA(VLOOKUP(A63,'Données projet'!$A$243:$I$263,6,0)),0%,VLOOKUP(A63,'Données projet'!$A$243:$I$263,6,0)*VLOOKUP('Données projet'!$B$17,Paramètres!$A$1:$I$88,7,0))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projet'!$B$17,Paramètres!$A$1:$I$88,3,0)*0.475*44/12</f>
        <v>#N/A</v>
      </c>
      <c r="GM63" s="23" t="e">
        <f>EXP(-LN(2)/25)*GM62+(1-EXP(-LN(2)/25))/(LN(2)/25)*Calculateur!GH63*Calculateur!GJ63*VLOOKUP('Données projet'!$B$17,Paramètres!$A$1:$I$88,3,0)*0.475*44/12</f>
        <v>#N/A</v>
      </c>
      <c r="GN63" s="23" t="e">
        <f>EXP(-LN(2)/2)*GN62+(1-EXP(-LN(2)/2))/(LN(2)/2)*GH63*GK63*VLOOKUP('Données projet'!$B$17,Paramètres!$A$1:$I$88,3,0)*0.475*44/12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projet'!$B$18,Paramètres!$A$1:$I$88,3,0)*VLOOKUP('Données projet'!$B$18,Paramètres!$A$1:$I$88,5,0)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projet'!$B$18,Paramètres!$A$1:$I$88,7,0))</f>
        <v>0</v>
      </c>
      <c r="HE63" s="17">
        <f>IF(ISNA(VLOOKUP(A63,'Données projet'!$A$269:$I$289,6,0)),0%,VLOOKUP(A63,'Données projet'!$A$269:$I$289,6,0)*VLOOKUP('Données projet'!$B$18,Paramètres!$A$1:$I$88,7,0))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projet'!$B$18,Paramètres!$A$1:$I$88,3,0)*0.475*44/12</f>
        <v>#N/A</v>
      </c>
      <c r="HH63" s="23" t="e">
        <f>EXP(-LN(2)/25)*HH62+(1-EXP(-LN(2)/25))/(LN(2)/25)*Calculateur!HC63*Calculateur!HE63*VLOOKUP('Données projet'!$B$18,Paramètres!$A$1:$I$88,3,0)*0.475*44/12</f>
        <v>#N/A</v>
      </c>
      <c r="HI63" s="23" t="e">
        <f>EXP(-LN(2)/2)*HI62+(1-EXP(-LN(2)/2))/(LN(2)/2)*HC63*HF63*VLOOKUP('Données projet'!$B$18,Paramètres!$A$1:$I$88,3,0)*0.475*44/12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projet'!$B$9,Paramètres!$A$1:$I$88,3,0)*VLOOKUP('Données projet'!$B$9,Paramètres!$A$1:$I$88,5,0)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175.05987582828078</v>
      </c>
      <c r="T64" s="62">
        <f t="shared" si="34"/>
        <v>268.54782308462387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projet'!$B$9,Paramètres!$A$1:$I$88,7,0))</f>
        <v>0</v>
      </c>
      <c r="X64" s="17">
        <f>IF(ISNA(VLOOKUP(A64,'Données projet'!$A$35:$I$55,6,0)),0%,VLOOKUP(A64,'Données projet'!$A$35:$I$55,6,0)*VLOOKUP('Données projet'!$B$9,Paramètres!$A$1:$I$88,7,0))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projet'!$B$9,Paramètres!$A$1:$I$88,3,0)*0.475*44/12</f>
        <v>0</v>
      </c>
      <c r="AA64" s="23">
        <f>EXP(-LN(2)/25)*AA63+(1-EXP(-LN(2)/25))/(LN(2)/25)*Calculateur!V64*Calculateur!X64*VLOOKUP('Données projet'!$B$9,Paramètres!$A$1:$I$88,3,0)*0.475*44/12</f>
        <v>4.3588222170692754</v>
      </c>
      <c r="AB64" s="23">
        <f>EXP(-LN(2)/2)*AB63+(1-EXP(-LN(2)/2))/(LN(2)/2)*V64*Y64*VLOOKUP('Données projet'!$B$9,Paramètres!$A$1:$I$88,3,0)*0.475*44/12</f>
        <v>3.5646269394101152E-4</v>
      </c>
      <c r="AC64" s="24">
        <f t="shared" si="3"/>
        <v>4.3591786797632164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20.133333333333333</v>
      </c>
      <c r="AI64" s="14">
        <f>IF('Données projet'!$A$62&gt;35,AI63+AH64-AQ63,IF(A64&lt;'Données projet'!$A$62,$AF$205^A64,IF(A64='Données projet'!$A$62,'Données projet'!$B$62,AI63+AH64-AQ63)))</f>
        <v>573.13333333333276</v>
      </c>
      <c r="AJ64" s="14">
        <f>AI64*VLOOKUP('Données projet'!$B$10,Paramètres!$A$1:$I$88,3,0)*VLOOKUP('Données projet'!$B$10,Paramètres!$A$1:$I$88,5,0)</f>
        <v>275.67713333333307</v>
      </c>
      <c r="AK64" s="14">
        <f t="shared" si="35"/>
        <v>66.052637275327612</v>
      </c>
      <c r="AL64" s="22">
        <f t="shared" si="4"/>
        <v>595.17935047675076</v>
      </c>
      <c r="AM64" s="62">
        <f t="shared" si="5"/>
        <v>888.51268381008413</v>
      </c>
      <c r="AN64" s="62">
        <f ca="1">AVERAGE(OFFSET($AM$3,0,0,'Données projet'!$E$10+1,1))-AVERAGE(OFFSET($H$3,0,0,'Données projet'!$E$10+1,1))</f>
        <v>576.61210817354549</v>
      </c>
      <c r="AO64" s="62">
        <f t="shared" si="36"/>
        <v>343.9428747444544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projet'!$B$10,Paramètres!$A$1:$I$88,7,0))</f>
        <v>0</v>
      </c>
      <c r="AS64" s="17">
        <f>IF(ISNA(VLOOKUP(A64,'Données projet'!$A$61:$I$81,6,0)),0%,VLOOKUP(A64,'Données projet'!$A$61:$I$81,6,0)*VLOOKUP('Données projet'!$B$10,Paramètres!$A$1:$I$88,7,0))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projet'!$B$10,Paramètres!$A$1:$I$88,3,0)*0.475*44/12</f>
        <v>0</v>
      </c>
      <c r="AV64" s="23">
        <f>EXP(-LN(2)/25)*AV63+(1-EXP(-LN(2)/25))/(LN(2)/25)*Calculateur!AQ64*Calculateur!AS64*VLOOKUP('Données projet'!$B$10,Paramètres!$A$1:$I$88,3,0)*0.475*44/12</f>
        <v>2.397510865581824</v>
      </c>
      <c r="AW64" s="23">
        <f>EXP(-LN(2)/2)*AW63+(1-EXP(-LN(2)/2))/(LN(2)/2)*AQ64*AT64*VLOOKUP('Données projet'!$B$10,Paramètres!$A$1:$I$88,3,0)*0.475*44/12</f>
        <v>2.5384547954616904E-4</v>
      </c>
      <c r="AX64" s="23">
        <f t="shared" si="6"/>
        <v>2.3977647110613702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5.2399999999999975</v>
      </c>
      <c r="BD64" s="13">
        <f>IF('Données projet'!$A$88&gt;35,BD63+BC64-BL63,IF(A64&lt;'Données projet'!$A$88,$BA$205^A64,IF(A64='Données projet'!$A$88,'Données projet'!$B$88,BD63+BC64-BL63)))</f>
        <v>299.2399999999999</v>
      </c>
      <c r="BE64" s="14">
        <f>BD64*VLOOKUP('Données projet'!$B$11,Paramètres!$A$1:$I$88,3,0)*VLOOKUP('Données projet'!$B$11,Paramètres!$A$1:$I$88,5,0)</f>
        <v>238.07534399999994</v>
      </c>
      <c r="BF64" s="14">
        <f t="shared" si="37"/>
        <v>58.025237516723202</v>
      </c>
      <c r="BG64" s="22">
        <f t="shared" si="7"/>
        <v>515.70851280829277</v>
      </c>
      <c r="BH64" s="62">
        <f t="shared" si="8"/>
        <v>809.04184614162614</v>
      </c>
      <c r="BI64" s="62">
        <f ca="1">AVERAGE(OFFSET($BH$3,0,0,'Données projet'!$E$11+1,1))-AVERAGE(OFFSET($H$3,0,0,'Données projet'!$E$11+1,1))</f>
        <v>298.38448036212861</v>
      </c>
      <c r="BJ64" s="62">
        <f t="shared" si="38"/>
        <v>270.4445531106897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projet'!$B$11,Paramètres!$A$1:$I$88,7,0))</f>
        <v>0</v>
      </c>
      <c r="BN64" s="17">
        <f>IF(ISNA(VLOOKUP(A64,'Données projet'!$A$87:$I$107,6,0)),0%,VLOOKUP(A64,'Données projet'!$A$87:$I$107,6,0)*VLOOKUP('Données projet'!$B$11,Paramètres!$A$1:$I$88,7,0))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projet'!$B$11,Paramètres!$A$1:$I$88,3,0)*0.475*44/12</f>
        <v>0</v>
      </c>
      <c r="BQ64" s="23">
        <f>EXP(-LN(2)/25)*BQ63+(1-EXP(-LN(2)/25))/(LN(2)/25)*Calculateur!BL64*Calculateur!BN64*VLOOKUP('Données projet'!$B$11,Paramètres!$A$1:$I$88,3,0)*0.475*44/12</f>
        <v>0</v>
      </c>
      <c r="BR64" s="23">
        <f>EXP(-LN(2)/2)*BR63+(1-EXP(-LN(2)/2))/(LN(2)/2)*BL64*BO64*VLOOKUP('Données projet'!$B$11,Paramètres!$A$1:$I$88,3,0)*0.475*44/12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8.6666666666666661</v>
      </c>
      <c r="BY64" s="13">
        <f>IF('Données projet'!$A$114&gt;35,BY63+BX64-CG63,IF(A64&lt;'Données projet'!$A$114,$BV$205^A64,IF(A64='Données projet'!$A$114,'Données projet'!$B$114,BY63+BX64-CG63)))</f>
        <v>258.66666666666657</v>
      </c>
      <c r="BZ64" s="14">
        <f>BY64*VLOOKUP('Données projet'!$B$12,Paramètres!$A$1:$I$88,3,0)*VLOOKUP('Données projet'!$B$12,Paramètres!$A$1:$I$88,5,0)</f>
        <v>201.75999999999993</v>
      </c>
      <c r="CA64" s="14">
        <f t="shared" si="39"/>
        <v>50.130765000424169</v>
      </c>
      <c r="CB64" s="22">
        <f t="shared" si="10"/>
        <v>438.70974904240529</v>
      </c>
      <c r="CC64" s="62">
        <f t="shared" si="11"/>
        <v>732.04308237573855</v>
      </c>
      <c r="CD64" s="62">
        <f ca="1">AVERAGE(OFFSET($CC$3,0,0,'Données projet'!$E$12+1,1))-AVERAGE(OFFSET($H$3,0,0,'Données projet'!$E$12+1,1))</f>
        <v>217.32600829266818</v>
      </c>
      <c r="CE64" s="62">
        <f t="shared" si="40"/>
        <v>208.79744153433245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projet'!$B$12,Paramètres!$A$1:$I$88,7,0))</f>
        <v>0</v>
      </c>
      <c r="CI64" s="17">
        <f>IF(ISNA(VLOOKUP(A64,'Données projet'!$A$113:$I$133,6,0)),0%,VLOOKUP(A64,'Données projet'!$A$113:$I$133,6,0)*VLOOKUP('Données projet'!$B$12,Paramètres!$A$1:$I$88,7,0))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projet'!$B$12,Paramètres!$A$1:$I$88,3,0)*0.475*44/12</f>
        <v>0</v>
      </c>
      <c r="CL64" s="23">
        <f>EXP(-LN(2)/25)*CL63+(1-EXP(-LN(2)/25))/(LN(2)/25)*Calculateur!CG64*Calculateur!CI64*VLOOKUP('Données projet'!$B$12,Paramètres!$A$1:$I$88,3,0)*0.475*44/12</f>
        <v>0</v>
      </c>
      <c r="CM64" s="23">
        <f>EXP(-LN(2)/2)*CM63+(1-EXP(-LN(2)/2))/(LN(2)/2)*CG64*CJ64*VLOOKUP('Données projet'!$B$12,Paramètres!$A$1:$I$88,3,0)*0.475*44/12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15.571428571428571</v>
      </c>
      <c r="CT64" s="13">
        <f>IF('Données projet'!$A$140&gt;35,CT63+CS64-DB63,IF(A64&lt;'Données projet'!$A$140,$CQ$205^A64,IF(A64='Données projet'!$A$140,'Données projet'!$B$140,CT63+CS64-DB63)))</f>
        <v>506.85714285714255</v>
      </c>
      <c r="CU64" s="18">
        <f>CT64*VLOOKUP('Données projet'!$B$13,Paramètres!$A$1:$I$88,3,0)*VLOOKUP('Données projet'!$B$13,Paramètres!$A$1:$I$88,5,0)</f>
        <v>283.33314285714266</v>
      </c>
      <c r="CV64" s="14">
        <f t="shared" si="41"/>
        <v>67.670911918680105</v>
      </c>
      <c r="CW64" s="22">
        <f t="shared" si="13"/>
        <v>611.33206206789123</v>
      </c>
      <c r="CX64" s="62">
        <f t="shared" si="14"/>
        <v>904.66539540122449</v>
      </c>
      <c r="CY64" s="62">
        <f ca="1">AVERAGE(OFFSET($CX$3,0,0,'Données projet'!$E$13+1,1))-AVERAGE(OFFSET($H$3,0,0,'Données projet'!$E$13+1,1))</f>
        <v>302.20483575440988</v>
      </c>
      <c r="CZ64" s="62">
        <f t="shared" si="42"/>
        <v>275.32862097158687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projet'!$B$13,Paramètres!$A$1:$I$88,7,0))</f>
        <v>0</v>
      </c>
      <c r="DD64" s="17">
        <f>IF(ISNA(VLOOKUP(A64,'Données projet'!$A$139:$I$159,6,0)),0%,VLOOKUP(A64,'Données projet'!$A$139:$I$159,6,0)*VLOOKUP('Données projet'!$B$13,Paramètres!$A$1:$I$88,7,0))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projet'!$B$13,Paramètres!$A$1:$I$88,3,0)*0.475*44/12</f>
        <v>0</v>
      </c>
      <c r="DG64" s="23">
        <f>EXP(-LN(2)/25)*DG63+(1-EXP(-LN(2)/25))/(LN(2)/25)*Calculateur!DB64*Calculateur!DD64*VLOOKUP('Données projet'!$B$13,Paramètres!$A$1:$I$88,3,0)*0.475*44/12</f>
        <v>5.8540688651180437</v>
      </c>
      <c r="DH64" s="23">
        <f>EXP(-LN(2)/2)*DH63+(1-EXP(-LN(2)/2))/(LN(2)/2)*DB64*DE64*VLOOKUP('Données projet'!$B$13,Paramètres!$A$1:$I$88,3,0)*0.475*44/12</f>
        <v>1.4632603988049743E-4</v>
      </c>
      <c r="DI64" s="24">
        <f t="shared" si="15"/>
        <v>5.8542151911579241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projet'!$B$14,Paramètres!$A$1:$I$88,3,0)*VLOOKUP('Données projet'!$B$14,Paramètres!$A$1:$I$88,5,0)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projet'!$B$14,Paramètres!$A$1:$I$88,7,0))</f>
        <v>0</v>
      </c>
      <c r="DY64" s="17">
        <f>IF(ISNA(VLOOKUP(A64,'Données projet'!$A$165:$I$185,6,0)),0%,VLOOKUP(A64,'Données projet'!$A$165:$I$185,6,0)*VLOOKUP('Données projet'!$B$14,Paramètres!$A$1:$I$88,7,0))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projet'!$B$14,Paramètres!$A$1:$I$88,3,0)*0.475*44/12</f>
        <v>#N/A</v>
      </c>
      <c r="EB64" s="23" t="e">
        <f>EXP(-LN(2)/25)*EB63+(1-EXP(-LN(2)/25))/(LN(2)/25)*Calculateur!DW64*Calculateur!DY64*VLOOKUP('Données projet'!$B$14,Paramètres!$A$1:$I$88,3,0)*0.475*44/12</f>
        <v>#N/A</v>
      </c>
      <c r="EC64" s="23" t="e">
        <f>EXP(-LN(2)/2)*EC63+(1-EXP(-LN(2)/2))/(LN(2)/2)*DW64*DZ64*VLOOKUP('Données projet'!$B$14,Paramètres!$A$1:$I$88,3,0)*0.475*44/12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projet'!$B$15,Paramètres!$A$1:$I$88,3,0)*VLOOKUP('Données projet'!$B$15,Paramètres!$A$1:$I$88,5,0)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projet'!$B$15,Paramètres!$A$1:$I$88,7,0))</f>
        <v>0</v>
      </c>
      <c r="ET64" s="17">
        <f>IF(ISNA(VLOOKUP(A64,'Données projet'!$A$191:$I$211,6,0)),0%,VLOOKUP(A64,'Données projet'!$A$191:$I$211,6,0)*VLOOKUP('Données projet'!$B$15,Paramètres!$A$1:$I$88,7,0))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projet'!$B$15,Paramètres!$A$1:$I$88,3,0)*0.475*44/12</f>
        <v>#N/A</v>
      </c>
      <c r="EW64" s="23" t="e">
        <f>EXP(-LN(2)/25)*EW63+(1-EXP(-LN(2)/25))/(LN(2)/25)*Calculateur!ER64*Calculateur!ET64*VLOOKUP('Données projet'!$B$15,Paramètres!$A$1:$I$88,3,0)*0.475*44/12</f>
        <v>#N/A</v>
      </c>
      <c r="EX64" s="23" t="e">
        <f>EXP(-LN(2)/2)*EX63+(1-EXP(-LN(2)/2))/(LN(2)/2)*ER64*EU64*VLOOKUP('Données projet'!$B$15,Paramètres!$A$1:$I$88,3,0)*0.475*44/12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projet'!$B$16,Paramètres!$A$1:$I$88,3,0)*VLOOKUP('Données projet'!$B$16,Paramètres!$A$1:$I$88,5,0)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projet'!$B$16,Paramètres!$A$1:$I$88,7,0))</f>
        <v>0</v>
      </c>
      <c r="FO64" s="17">
        <f>IF(ISNA(VLOOKUP(A64,'Données projet'!$A$217:$I$237,6,0)),0%,VLOOKUP(A64,'Données projet'!$A$217:$I$237,6,0)*VLOOKUP('Données projet'!$B$16,Paramètres!$A$1:$I$88,7,0))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projet'!$B$16,Paramètres!$A$1:$I$88,3,0)*0.475*44/12</f>
        <v>#N/A</v>
      </c>
      <c r="FR64" s="23" t="e">
        <f>EXP(-LN(2)/25)*FR63+(1-EXP(-LN(2)/25))/(LN(2)/25)*Calculateur!FM64*Calculateur!FO64*VLOOKUP('Données projet'!$B$16,Paramètres!$A$1:$I$88,3,0)*0.475*44/12</f>
        <v>#N/A</v>
      </c>
      <c r="FS64" s="23" t="e">
        <f>EXP(-LN(2)/2)*FS63+(1-EXP(-LN(2)/2))/(LN(2)/2)*FM64*FP64*VLOOKUP('Données projet'!$B$16,Paramètres!$A$1:$I$88,3,0)*0.475*44/12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projet'!$B$17,Paramètres!$A$1:$I$88,3,0)*VLOOKUP('Données projet'!$B$17,Paramètres!$A$1:$I$88,5,0)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projet'!$B$17,Paramètres!$A$1:$I$88,7,0))</f>
        <v>0</v>
      </c>
      <c r="GJ64" s="17">
        <f>IF(ISNA(VLOOKUP(A64,'Données projet'!$A$243:$I$263,6,0)),0%,VLOOKUP(A64,'Données projet'!$A$243:$I$263,6,0)*VLOOKUP('Données projet'!$B$17,Paramètres!$A$1:$I$88,7,0))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projet'!$B$17,Paramètres!$A$1:$I$88,3,0)*0.475*44/12</f>
        <v>#N/A</v>
      </c>
      <c r="GM64" s="23" t="e">
        <f>EXP(-LN(2)/25)*GM63+(1-EXP(-LN(2)/25))/(LN(2)/25)*Calculateur!GH64*Calculateur!GJ64*VLOOKUP('Données projet'!$B$17,Paramètres!$A$1:$I$88,3,0)*0.475*44/12</f>
        <v>#N/A</v>
      </c>
      <c r="GN64" s="23" t="e">
        <f>EXP(-LN(2)/2)*GN63+(1-EXP(-LN(2)/2))/(LN(2)/2)*GH64*GK64*VLOOKUP('Données projet'!$B$17,Paramètres!$A$1:$I$88,3,0)*0.475*44/12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projet'!$B$18,Paramètres!$A$1:$I$88,3,0)*VLOOKUP('Données projet'!$B$18,Paramètres!$A$1:$I$88,5,0)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projet'!$B$18,Paramètres!$A$1:$I$88,7,0))</f>
        <v>0</v>
      </c>
      <c r="HE64" s="17">
        <f>IF(ISNA(VLOOKUP(A64,'Données projet'!$A$269:$I$289,6,0)),0%,VLOOKUP(A64,'Données projet'!$A$269:$I$289,6,0)*VLOOKUP('Données projet'!$B$18,Paramètres!$A$1:$I$88,7,0))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projet'!$B$18,Paramètres!$A$1:$I$88,3,0)*0.475*44/12</f>
        <v>#N/A</v>
      </c>
      <c r="HH64" s="23" t="e">
        <f>EXP(-LN(2)/25)*HH63+(1-EXP(-LN(2)/25))/(LN(2)/25)*Calculateur!HC64*Calculateur!HE64*VLOOKUP('Données projet'!$B$18,Paramètres!$A$1:$I$88,3,0)*0.475*44/12</f>
        <v>#N/A</v>
      </c>
      <c r="HI64" s="23" t="e">
        <f>EXP(-LN(2)/2)*HI63+(1-EXP(-LN(2)/2))/(LN(2)/2)*HC64*HF64*VLOOKUP('Données projet'!$B$18,Paramètres!$A$1:$I$88,3,0)*0.475*44/12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projet'!$B$9,Paramètres!$A$1:$I$88,3,0)*VLOOKUP('Données projet'!$B$9,Paramètres!$A$1:$I$88,5,0)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175.05987582828078</v>
      </c>
      <c r="T65" s="62">
        <f t="shared" si="34"/>
        <v>268.54782308462387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projet'!$B$9,Paramètres!$A$1:$I$88,7,0))</f>
        <v>0</v>
      </c>
      <c r="X65" s="17">
        <f>IF(ISNA(VLOOKUP(A65,'Données projet'!$A$35:$I$55,6,0)),0%,VLOOKUP(A65,'Données projet'!$A$35:$I$55,6,0)*VLOOKUP('Données projet'!$B$9,Paramètres!$A$1:$I$88,7,0))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projet'!$B$9,Paramètres!$A$1:$I$88,3,0)*0.475*44/12</f>
        <v>0</v>
      </c>
      <c r="AA65" s="23">
        <f>EXP(-LN(2)/25)*AA64+(1-EXP(-LN(2)/25))/(LN(2)/25)*Calculateur!V65*Calculateur!X65*VLOOKUP('Données projet'!$B$9,Paramètres!$A$1:$I$88,3,0)*0.475*44/12</f>
        <v>4.2396299943230176</v>
      </c>
      <c r="AB65" s="23">
        <f>EXP(-LN(2)/2)*AB64+(1-EXP(-LN(2)/2))/(LN(2)/2)*V65*Y65*VLOOKUP('Données projet'!$B$9,Paramètres!$A$1:$I$88,3,0)*0.475*44/12</f>
        <v>2.5205718812571409E-4</v>
      </c>
      <c r="AC65" s="24">
        <f t="shared" si="3"/>
        <v>4.2398820515111435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20.133333333333333</v>
      </c>
      <c r="AI65" s="14">
        <f>IF('Données projet'!$A$62&gt;35,AI64+AH65-AQ64,IF(A65&lt;'Données projet'!$A$62,$AF$205^A65,IF(A65='Données projet'!$A$62,'Données projet'!$B$62,AI64+AH65-AQ64)))</f>
        <v>593.26666666666608</v>
      </c>
      <c r="AJ65" s="14">
        <f>AI65*VLOOKUP('Données projet'!$B$10,Paramètres!$A$1:$I$88,3,0)*VLOOKUP('Données projet'!$B$10,Paramètres!$A$1:$I$88,5,0)</f>
        <v>285.36126666666638</v>
      </c>
      <c r="AK65" s="14">
        <f t="shared" si="35"/>
        <v>68.098744973849676</v>
      </c>
      <c r="AL65" s="22">
        <f t="shared" si="4"/>
        <v>615.60952027389885</v>
      </c>
      <c r="AM65" s="62">
        <f t="shared" si="5"/>
        <v>908.94285360723211</v>
      </c>
      <c r="AN65" s="62">
        <f ca="1">AVERAGE(OFFSET($AM$3,0,0,'Données projet'!$E$10+1,1))-AVERAGE(OFFSET($H$3,0,0,'Données projet'!$E$10+1,1))</f>
        <v>576.61210817354549</v>
      </c>
      <c r="AO65" s="62">
        <f t="shared" si="36"/>
        <v>343.9428747444544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projet'!$B$10,Paramètres!$A$1:$I$88,7,0))</f>
        <v>0</v>
      </c>
      <c r="AS65" s="17">
        <f>IF(ISNA(VLOOKUP(A65,'Données projet'!$A$61:$I$81,6,0)),0%,VLOOKUP(A65,'Données projet'!$A$61:$I$81,6,0)*VLOOKUP('Données projet'!$B$10,Paramètres!$A$1:$I$88,7,0))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projet'!$B$10,Paramètres!$A$1:$I$88,3,0)*0.475*44/12</f>
        <v>0</v>
      </c>
      <c r="AV65" s="23">
        <f>EXP(-LN(2)/25)*AV64+(1-EXP(-LN(2)/25))/(LN(2)/25)*Calculateur!AQ65*Calculateur!AS65*VLOOKUP('Données projet'!$B$10,Paramètres!$A$1:$I$88,3,0)*0.475*44/12</f>
        <v>2.3319508048828723</v>
      </c>
      <c r="AW65" s="23">
        <f>EXP(-LN(2)/2)*AW64+(1-EXP(-LN(2)/2))/(LN(2)/2)*AQ65*AT65*VLOOKUP('Données projet'!$B$10,Paramètres!$A$1:$I$88,3,0)*0.475*44/12</f>
        <v>1.7949585996064718E-4</v>
      </c>
      <c r="AX65" s="23">
        <f t="shared" si="6"/>
        <v>2.3321303007428331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5.2399999999999975</v>
      </c>
      <c r="BD65" s="13">
        <f>IF('Données projet'!$A$88&gt;35,BD64+BC65-BL64,IF(A65&lt;'Données projet'!$A$88,$BA$205^A65,IF(A65='Données projet'!$A$88,'Données projet'!$B$88,BD64+BC65-BL64)))</f>
        <v>304.4799999999999</v>
      </c>
      <c r="BE65" s="14">
        <f>BD65*VLOOKUP('Données projet'!$B$11,Paramètres!$A$1:$I$88,3,0)*VLOOKUP('Données projet'!$B$11,Paramètres!$A$1:$I$88,5,0)</f>
        <v>242.24428799999995</v>
      </c>
      <c r="BF65" s="14">
        <f t="shared" si="37"/>
        <v>58.922138091410275</v>
      </c>
      <c r="BG65" s="22">
        <f t="shared" si="7"/>
        <v>524.53152544253942</v>
      </c>
      <c r="BH65" s="62">
        <f t="shared" si="8"/>
        <v>817.86485877587279</v>
      </c>
      <c r="BI65" s="62">
        <f ca="1">AVERAGE(OFFSET($BH$3,0,0,'Données projet'!$E$11+1,1))-AVERAGE(OFFSET($H$3,0,0,'Données projet'!$E$11+1,1))</f>
        <v>298.38448036212861</v>
      </c>
      <c r="BJ65" s="62">
        <f t="shared" si="38"/>
        <v>270.4445531106897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projet'!$B$11,Paramètres!$A$1:$I$88,7,0))</f>
        <v>0</v>
      </c>
      <c r="BN65" s="17">
        <f>IF(ISNA(VLOOKUP(A65,'Données projet'!$A$87:$I$107,6,0)),0%,VLOOKUP(A65,'Données projet'!$A$87:$I$107,6,0)*VLOOKUP('Données projet'!$B$11,Paramètres!$A$1:$I$88,7,0))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projet'!$B$11,Paramètres!$A$1:$I$88,3,0)*0.475*44/12</f>
        <v>0</v>
      </c>
      <c r="BQ65" s="23">
        <f>EXP(-LN(2)/25)*BQ64+(1-EXP(-LN(2)/25))/(LN(2)/25)*Calculateur!BL65*Calculateur!BN65*VLOOKUP('Données projet'!$B$11,Paramètres!$A$1:$I$88,3,0)*0.475*44/12</f>
        <v>0</v>
      </c>
      <c r="BR65" s="23">
        <f>EXP(-LN(2)/2)*BR64+(1-EXP(-LN(2)/2))/(LN(2)/2)*BL65*BO65*VLOOKUP('Données projet'!$B$11,Paramètres!$A$1:$I$88,3,0)*0.475*44/12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8.6666666666666661</v>
      </c>
      <c r="BY65" s="13">
        <f>IF('Données projet'!$A$114&gt;35,BY64+BX65-CG64,IF(A65&lt;'Données projet'!$A$114,$BV$205^A65,IF(A65='Données projet'!$A$114,'Données projet'!$B$114,BY64+BX65-CG64)))</f>
        <v>267.33333333333326</v>
      </c>
      <c r="BZ65" s="14">
        <f>BY65*VLOOKUP('Données projet'!$B$12,Paramètres!$A$1:$I$88,3,0)*VLOOKUP('Données projet'!$B$12,Paramètres!$A$1:$I$88,5,0)</f>
        <v>208.51999999999995</v>
      </c>
      <c r="CA65" s="14">
        <f t="shared" si="39"/>
        <v>51.612035456318459</v>
      </c>
      <c r="CB65" s="22">
        <f t="shared" si="10"/>
        <v>453.06329508642119</v>
      </c>
      <c r="CC65" s="62">
        <f t="shared" si="11"/>
        <v>746.39662841975451</v>
      </c>
      <c r="CD65" s="62">
        <f ca="1">AVERAGE(OFFSET($CC$3,0,0,'Données projet'!$E$12+1,1))-AVERAGE(OFFSET($H$3,0,0,'Données projet'!$E$12+1,1))</f>
        <v>217.32600829266818</v>
      </c>
      <c r="CE65" s="62">
        <f t="shared" si="40"/>
        <v>208.79744153433245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projet'!$B$12,Paramètres!$A$1:$I$88,7,0))</f>
        <v>0</v>
      </c>
      <c r="CI65" s="17">
        <f>IF(ISNA(VLOOKUP(A65,'Données projet'!$A$113:$I$133,6,0)),0%,VLOOKUP(A65,'Données projet'!$A$113:$I$133,6,0)*VLOOKUP('Données projet'!$B$12,Paramètres!$A$1:$I$88,7,0))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projet'!$B$12,Paramètres!$A$1:$I$88,3,0)*0.475*44/12</f>
        <v>0</v>
      </c>
      <c r="CL65" s="23">
        <f>EXP(-LN(2)/25)*CL64+(1-EXP(-LN(2)/25))/(LN(2)/25)*Calculateur!CG65*Calculateur!CI65*VLOOKUP('Données projet'!$B$12,Paramètres!$A$1:$I$88,3,0)*0.475*44/12</f>
        <v>0</v>
      </c>
      <c r="CM65" s="23">
        <f>EXP(-LN(2)/2)*CM64+(1-EXP(-LN(2)/2))/(LN(2)/2)*CG65*CJ65*VLOOKUP('Données projet'!$B$12,Paramètres!$A$1:$I$88,3,0)*0.475*44/12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15.571428571428571</v>
      </c>
      <c r="CT65" s="13">
        <f>IF('Données projet'!$A$140&gt;35,CT64+CS65-DB64,IF(A65&lt;'Données projet'!$A$140,$CQ$205^A65,IF(A65='Données projet'!$A$140,'Données projet'!$B$140,CT64+CS65-DB64)))</f>
        <v>522.4285714285711</v>
      </c>
      <c r="CU65" s="18">
        <f>CT65*VLOOKUP('Données projet'!$B$13,Paramètres!$A$1:$I$88,3,0)*VLOOKUP('Données projet'!$B$13,Paramètres!$A$1:$I$88,5,0)</f>
        <v>292.03757142857125</v>
      </c>
      <c r="CV65" s="14">
        <f t="shared" si="41"/>
        <v>69.504628296156</v>
      </c>
      <c r="CW65" s="22">
        <f t="shared" si="13"/>
        <v>629.68599785389995</v>
      </c>
      <c r="CX65" s="62">
        <f t="shared" si="14"/>
        <v>923.01933118723332</v>
      </c>
      <c r="CY65" s="62">
        <f ca="1">AVERAGE(OFFSET($CX$3,0,0,'Données projet'!$E$13+1,1))-AVERAGE(OFFSET($H$3,0,0,'Données projet'!$E$13+1,1))</f>
        <v>302.20483575440988</v>
      </c>
      <c r="CZ65" s="62">
        <f t="shared" si="42"/>
        <v>275.32862097158687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projet'!$B$13,Paramètres!$A$1:$I$88,7,0))</f>
        <v>0</v>
      </c>
      <c r="DD65" s="17">
        <f>IF(ISNA(VLOOKUP(A65,'Données projet'!$A$139:$I$159,6,0)),0%,VLOOKUP(A65,'Données projet'!$A$139:$I$159,6,0)*VLOOKUP('Données projet'!$B$13,Paramètres!$A$1:$I$88,7,0))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projet'!$B$13,Paramètres!$A$1:$I$88,3,0)*0.475*44/12</f>
        <v>0</v>
      </c>
      <c r="DG65" s="23">
        <f>EXP(-LN(2)/25)*DG64+(1-EXP(-LN(2)/25))/(LN(2)/25)*Calculateur!DB65*Calculateur!DD65*VLOOKUP('Données projet'!$B$13,Paramètres!$A$1:$I$88,3,0)*0.475*44/12</f>
        <v>5.6939890441492889</v>
      </c>
      <c r="DH65" s="23">
        <f>EXP(-LN(2)/2)*DH64+(1-EXP(-LN(2)/2))/(LN(2)/2)*DB65*DE65*VLOOKUP('Données projet'!$B$13,Paramètres!$A$1:$I$88,3,0)*0.475*44/12</f>
        <v>1.0346813506367293E-4</v>
      </c>
      <c r="DI65" s="24">
        <f t="shared" si="15"/>
        <v>5.6940925122843522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projet'!$B$14,Paramètres!$A$1:$I$88,3,0)*VLOOKUP('Données projet'!$B$14,Paramètres!$A$1:$I$88,5,0)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projet'!$B$14,Paramètres!$A$1:$I$88,7,0))</f>
        <v>0</v>
      </c>
      <c r="DY65" s="17">
        <f>IF(ISNA(VLOOKUP(A65,'Données projet'!$A$165:$I$185,6,0)),0%,VLOOKUP(A65,'Données projet'!$A$165:$I$185,6,0)*VLOOKUP('Données projet'!$B$14,Paramètres!$A$1:$I$88,7,0))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projet'!$B$14,Paramètres!$A$1:$I$88,3,0)*0.475*44/12</f>
        <v>#N/A</v>
      </c>
      <c r="EB65" s="23" t="e">
        <f>EXP(-LN(2)/25)*EB64+(1-EXP(-LN(2)/25))/(LN(2)/25)*Calculateur!DW65*Calculateur!DY65*VLOOKUP('Données projet'!$B$14,Paramètres!$A$1:$I$88,3,0)*0.475*44/12</f>
        <v>#N/A</v>
      </c>
      <c r="EC65" s="23" t="e">
        <f>EXP(-LN(2)/2)*EC64+(1-EXP(-LN(2)/2))/(LN(2)/2)*DW65*DZ65*VLOOKUP('Données projet'!$B$14,Paramètres!$A$1:$I$88,3,0)*0.475*44/12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projet'!$B$15,Paramètres!$A$1:$I$88,3,0)*VLOOKUP('Données projet'!$B$15,Paramètres!$A$1:$I$88,5,0)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projet'!$B$15,Paramètres!$A$1:$I$88,7,0))</f>
        <v>0</v>
      </c>
      <c r="ET65" s="17">
        <f>IF(ISNA(VLOOKUP(A65,'Données projet'!$A$191:$I$211,6,0)),0%,VLOOKUP(A65,'Données projet'!$A$191:$I$211,6,0)*VLOOKUP('Données projet'!$B$15,Paramètres!$A$1:$I$88,7,0))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projet'!$B$15,Paramètres!$A$1:$I$88,3,0)*0.475*44/12</f>
        <v>#N/A</v>
      </c>
      <c r="EW65" s="23" t="e">
        <f>EXP(-LN(2)/25)*EW64+(1-EXP(-LN(2)/25))/(LN(2)/25)*Calculateur!ER65*Calculateur!ET65*VLOOKUP('Données projet'!$B$15,Paramètres!$A$1:$I$88,3,0)*0.475*44/12</f>
        <v>#N/A</v>
      </c>
      <c r="EX65" s="23" t="e">
        <f>EXP(-LN(2)/2)*EX64+(1-EXP(-LN(2)/2))/(LN(2)/2)*ER65*EU65*VLOOKUP('Données projet'!$B$15,Paramètres!$A$1:$I$88,3,0)*0.475*44/12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projet'!$B$16,Paramètres!$A$1:$I$88,3,0)*VLOOKUP('Données projet'!$B$16,Paramètres!$A$1:$I$88,5,0)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projet'!$B$16,Paramètres!$A$1:$I$88,7,0))</f>
        <v>0</v>
      </c>
      <c r="FO65" s="17">
        <f>IF(ISNA(VLOOKUP(A65,'Données projet'!$A$217:$I$237,6,0)),0%,VLOOKUP(A65,'Données projet'!$A$217:$I$237,6,0)*VLOOKUP('Données projet'!$B$16,Paramètres!$A$1:$I$88,7,0))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projet'!$B$16,Paramètres!$A$1:$I$88,3,0)*0.475*44/12</f>
        <v>#N/A</v>
      </c>
      <c r="FR65" s="23" t="e">
        <f>EXP(-LN(2)/25)*FR64+(1-EXP(-LN(2)/25))/(LN(2)/25)*Calculateur!FM65*Calculateur!FO65*VLOOKUP('Données projet'!$B$16,Paramètres!$A$1:$I$88,3,0)*0.475*44/12</f>
        <v>#N/A</v>
      </c>
      <c r="FS65" s="23" t="e">
        <f>EXP(-LN(2)/2)*FS64+(1-EXP(-LN(2)/2))/(LN(2)/2)*FM65*FP65*VLOOKUP('Données projet'!$B$16,Paramètres!$A$1:$I$88,3,0)*0.475*44/12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projet'!$B$17,Paramètres!$A$1:$I$88,3,0)*VLOOKUP('Données projet'!$B$17,Paramètres!$A$1:$I$88,5,0)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projet'!$B$17,Paramètres!$A$1:$I$88,7,0))</f>
        <v>0</v>
      </c>
      <c r="GJ65" s="17">
        <f>IF(ISNA(VLOOKUP(A65,'Données projet'!$A$243:$I$263,6,0)),0%,VLOOKUP(A65,'Données projet'!$A$243:$I$263,6,0)*VLOOKUP('Données projet'!$B$17,Paramètres!$A$1:$I$88,7,0))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projet'!$B$17,Paramètres!$A$1:$I$88,3,0)*0.475*44/12</f>
        <v>#N/A</v>
      </c>
      <c r="GM65" s="23" t="e">
        <f>EXP(-LN(2)/25)*GM64+(1-EXP(-LN(2)/25))/(LN(2)/25)*Calculateur!GH65*Calculateur!GJ65*VLOOKUP('Données projet'!$B$17,Paramètres!$A$1:$I$88,3,0)*0.475*44/12</f>
        <v>#N/A</v>
      </c>
      <c r="GN65" s="23" t="e">
        <f>EXP(-LN(2)/2)*GN64+(1-EXP(-LN(2)/2))/(LN(2)/2)*GH65*GK65*VLOOKUP('Données projet'!$B$17,Paramètres!$A$1:$I$88,3,0)*0.475*44/12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projet'!$B$18,Paramètres!$A$1:$I$88,3,0)*VLOOKUP('Données projet'!$B$18,Paramètres!$A$1:$I$88,5,0)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projet'!$B$18,Paramètres!$A$1:$I$88,7,0))</f>
        <v>0</v>
      </c>
      <c r="HE65" s="17">
        <f>IF(ISNA(VLOOKUP(A65,'Données projet'!$A$269:$I$289,6,0)),0%,VLOOKUP(A65,'Données projet'!$A$269:$I$289,6,0)*VLOOKUP('Données projet'!$B$18,Paramètres!$A$1:$I$88,7,0))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projet'!$B$18,Paramètres!$A$1:$I$88,3,0)*0.475*44/12</f>
        <v>#N/A</v>
      </c>
      <c r="HH65" s="23" t="e">
        <f>EXP(-LN(2)/25)*HH64+(1-EXP(-LN(2)/25))/(LN(2)/25)*Calculateur!HC65*Calculateur!HE65*VLOOKUP('Données projet'!$B$18,Paramètres!$A$1:$I$88,3,0)*0.475*44/12</f>
        <v>#N/A</v>
      </c>
      <c r="HI65" s="23" t="e">
        <f>EXP(-LN(2)/2)*HI64+(1-EXP(-LN(2)/2))/(LN(2)/2)*HC65*HF65*VLOOKUP('Données projet'!$B$18,Paramètres!$A$1:$I$88,3,0)*0.475*44/12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projet'!$B$9,Paramètres!$A$1:$I$88,3,0)*VLOOKUP('Données projet'!$B$9,Paramètres!$A$1:$I$88,5,0)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175.05987582828078</v>
      </c>
      <c r="T66" s="62">
        <f t="shared" si="34"/>
        <v>268.54782308462387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projet'!$B$9,Paramètres!$A$1:$I$88,7,0))</f>
        <v>0</v>
      </c>
      <c r="X66" s="17">
        <f>IF(ISNA(VLOOKUP(A66,'Données projet'!$A$35:$I$55,6,0)),0%,VLOOKUP(A66,'Données projet'!$A$35:$I$55,6,0)*VLOOKUP('Données projet'!$B$9,Paramètres!$A$1:$I$88,7,0))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projet'!$B$9,Paramètres!$A$1:$I$88,3,0)*0.475*44/12</f>
        <v>0</v>
      </c>
      <c r="AA66" s="23">
        <f>EXP(-LN(2)/25)*AA65+(1-EXP(-LN(2)/25))/(LN(2)/25)*Calculateur!V66*Calculateur!X66*VLOOKUP('Données projet'!$B$9,Paramètres!$A$1:$I$88,3,0)*0.475*44/12</f>
        <v>4.1236970891758027</v>
      </c>
      <c r="AB66" s="23">
        <f>EXP(-LN(2)/2)*AB65+(1-EXP(-LN(2)/2))/(LN(2)/2)*V66*Y66*VLOOKUP('Données projet'!$B$9,Paramètres!$A$1:$I$88,3,0)*0.475*44/12</f>
        <v>1.7823134697050576E-4</v>
      </c>
      <c r="AC66" s="24">
        <f t="shared" si="3"/>
        <v>4.1238753205227736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20.133333333333333</v>
      </c>
      <c r="AI66" s="14">
        <f>IF('Données projet'!$A$62&gt;35,AI65+AH66-AQ65,IF(A66&lt;'Données projet'!$A$62,$AF$205^A66,IF(A66='Données projet'!$A$62,'Données projet'!$B$62,AI65+AH66-AQ65)))</f>
        <v>613.39999999999941</v>
      </c>
      <c r="AJ66" s="14">
        <f>AI66*VLOOKUP('Données projet'!$B$10,Paramètres!$A$1:$I$88,3,0)*VLOOKUP('Données projet'!$B$10,Paramètres!$A$1:$I$88,5,0)</f>
        <v>295.04539999999969</v>
      </c>
      <c r="AK66" s="14">
        <f t="shared" si="35"/>
        <v>70.136784451359162</v>
      </c>
      <c r="AL66" s="22">
        <f t="shared" si="4"/>
        <v>636.02563791944988</v>
      </c>
      <c r="AM66" s="62">
        <f t="shared" si="5"/>
        <v>929.35897125278325</v>
      </c>
      <c r="AN66" s="62">
        <f ca="1">AVERAGE(OFFSET($AM$3,0,0,'Données projet'!$E$10+1,1))-AVERAGE(OFFSET($H$3,0,0,'Données projet'!$E$10+1,1))</f>
        <v>576.61210817354549</v>
      </c>
      <c r="AO66" s="62">
        <f t="shared" si="36"/>
        <v>343.9428747444544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projet'!$B$10,Paramètres!$A$1:$I$88,7,0))</f>
        <v>0</v>
      </c>
      <c r="AS66" s="17">
        <f>IF(ISNA(VLOOKUP(A66,'Données projet'!$A$61:$I$81,6,0)),0%,VLOOKUP(A66,'Données projet'!$A$61:$I$81,6,0)*VLOOKUP('Données projet'!$B$10,Paramètres!$A$1:$I$88,7,0))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projet'!$B$10,Paramètres!$A$1:$I$88,3,0)*0.475*44/12</f>
        <v>0</v>
      </c>
      <c r="AV66" s="23">
        <f>EXP(-LN(2)/25)*AV65+(1-EXP(-LN(2)/25))/(LN(2)/25)*Calculateur!AQ66*Calculateur!AS66*VLOOKUP('Données projet'!$B$10,Paramètres!$A$1:$I$88,3,0)*0.475*44/12</f>
        <v>2.2681834874913869</v>
      </c>
      <c r="AW66" s="23">
        <f>EXP(-LN(2)/2)*AW65+(1-EXP(-LN(2)/2))/(LN(2)/2)*AQ66*AT66*VLOOKUP('Données projet'!$B$10,Paramètres!$A$1:$I$88,3,0)*0.475*44/12</f>
        <v>1.2692273977308452E-4</v>
      </c>
      <c r="AX66" s="23">
        <f t="shared" si="6"/>
        <v>2.2683104102311598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5.2399999999999975</v>
      </c>
      <c r="BD66" s="13">
        <f>IF('Données projet'!$A$88&gt;35,BD65+BC66-BL65,IF(A66&lt;'Données projet'!$A$88,$BA$205^A66,IF(A66='Données projet'!$A$88,'Données projet'!$B$88,BD65+BC66-BL65)))</f>
        <v>309.71999999999991</v>
      </c>
      <c r="BE66" s="14">
        <f>BD66*VLOOKUP('Données projet'!$B$11,Paramètres!$A$1:$I$88,3,0)*VLOOKUP('Données projet'!$B$11,Paramètres!$A$1:$I$88,5,0)</f>
        <v>246.41323199999997</v>
      </c>
      <c r="BF66" s="14">
        <f t="shared" si="37"/>
        <v>59.817243694646031</v>
      </c>
      <c r="BG66" s="22">
        <f t="shared" si="7"/>
        <v>533.35141183484177</v>
      </c>
      <c r="BH66" s="62">
        <f t="shared" si="8"/>
        <v>826.68474516817514</v>
      </c>
      <c r="BI66" s="62">
        <f ca="1">AVERAGE(OFFSET($BH$3,0,0,'Données projet'!$E$11+1,1))-AVERAGE(OFFSET($H$3,0,0,'Données projet'!$E$11+1,1))</f>
        <v>298.38448036212861</v>
      </c>
      <c r="BJ66" s="62">
        <f t="shared" si="38"/>
        <v>270.4445531106897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projet'!$B$11,Paramètres!$A$1:$I$88,7,0))</f>
        <v>0</v>
      </c>
      <c r="BN66" s="17">
        <f>IF(ISNA(VLOOKUP(A66,'Données projet'!$A$87:$I$107,6,0)),0%,VLOOKUP(A66,'Données projet'!$A$87:$I$107,6,0)*VLOOKUP('Données projet'!$B$11,Paramètres!$A$1:$I$88,7,0))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projet'!$B$11,Paramètres!$A$1:$I$88,3,0)*0.475*44/12</f>
        <v>0</v>
      </c>
      <c r="BQ66" s="23">
        <f>EXP(-LN(2)/25)*BQ65+(1-EXP(-LN(2)/25))/(LN(2)/25)*Calculateur!BL66*Calculateur!BN66*VLOOKUP('Données projet'!$B$11,Paramètres!$A$1:$I$88,3,0)*0.475*44/12</f>
        <v>0</v>
      </c>
      <c r="BR66" s="23">
        <f>EXP(-LN(2)/2)*BR65+(1-EXP(-LN(2)/2))/(LN(2)/2)*BL66*BO66*VLOOKUP('Données projet'!$B$11,Paramètres!$A$1:$I$88,3,0)*0.475*44/12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8.6666666666666661</v>
      </c>
      <c r="BY66" s="13">
        <f>IF('Données projet'!$A$114&gt;35,BY65+BX66-CG65,IF(A66&lt;'Données projet'!$A$114,$BV$205^A66,IF(A66='Données projet'!$A$114,'Données projet'!$B$114,BY65+BX66-CG65)))</f>
        <v>275.99999999999994</v>
      </c>
      <c r="BZ66" s="14">
        <f>BY66*VLOOKUP('Données projet'!$B$12,Paramètres!$A$1:$I$88,3,0)*VLOOKUP('Données projet'!$B$12,Paramètres!$A$1:$I$88,5,0)</f>
        <v>215.27999999999997</v>
      </c>
      <c r="CA66" s="14">
        <f t="shared" si="39"/>
        <v>53.087725740853138</v>
      </c>
      <c r="CB66" s="22">
        <f t="shared" si="10"/>
        <v>467.40712233198587</v>
      </c>
      <c r="CC66" s="62">
        <f t="shared" si="11"/>
        <v>760.74045566531913</v>
      </c>
      <c r="CD66" s="62">
        <f ca="1">AVERAGE(OFFSET($CC$3,0,0,'Données projet'!$E$12+1,1))-AVERAGE(OFFSET($H$3,0,0,'Données projet'!$E$12+1,1))</f>
        <v>217.32600829266818</v>
      </c>
      <c r="CE66" s="62">
        <f t="shared" si="40"/>
        <v>208.79744153433245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projet'!$B$12,Paramètres!$A$1:$I$88,7,0))</f>
        <v>0</v>
      </c>
      <c r="CI66" s="17">
        <f>IF(ISNA(VLOOKUP(A66,'Données projet'!$A$113:$I$133,6,0)),0%,VLOOKUP(A66,'Données projet'!$A$113:$I$133,6,0)*VLOOKUP('Données projet'!$B$12,Paramètres!$A$1:$I$88,7,0))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projet'!$B$12,Paramètres!$A$1:$I$88,3,0)*0.475*44/12</f>
        <v>0</v>
      </c>
      <c r="CL66" s="23">
        <f>EXP(-LN(2)/25)*CL65+(1-EXP(-LN(2)/25))/(LN(2)/25)*Calculateur!CG66*Calculateur!CI66*VLOOKUP('Données projet'!$B$12,Paramètres!$A$1:$I$88,3,0)*0.475*44/12</f>
        <v>0</v>
      </c>
      <c r="CM66" s="23">
        <f>EXP(-LN(2)/2)*CM65+(1-EXP(-LN(2)/2))/(LN(2)/2)*CG66*CJ66*VLOOKUP('Données projet'!$B$12,Paramètres!$A$1:$I$88,3,0)*0.475*44/12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>
        <f>VLOOKUP(A66,'Données projet'!$A$139:$I$159,2,0)</f>
        <v>538</v>
      </c>
      <c r="CR66" s="13">
        <f>VLOOKUP(A66,'Données projet'!$A$139:$I$159,9,0)</f>
        <v>15.571428571428571</v>
      </c>
      <c r="CS66" s="13">
        <f t="array" ref="CS66">INDEX(CR:CR,MIN(IF(ISNUMBER(CR66:CR262),ROW(CR66:CR262),"")))</f>
        <v>15.571428571428571</v>
      </c>
      <c r="CT66" s="13">
        <f>IF('Données projet'!$A$140&gt;35,CT65+CS66-DB65,IF(A66&lt;'Données projet'!$A$140,$CQ$205^A66,IF(A66='Données projet'!$A$140,'Données projet'!$B$140,CT65+CS66-DB65)))</f>
        <v>537.99999999999966</v>
      </c>
      <c r="CU66" s="18">
        <f>CT66*VLOOKUP('Données projet'!$B$13,Paramètres!$A$1:$I$88,3,0)*VLOOKUP('Données projet'!$B$13,Paramètres!$A$1:$I$88,5,0)</f>
        <v>300.74199999999985</v>
      </c>
      <c r="CV66" s="14">
        <f t="shared" si="41"/>
        <v>71.331992805448763</v>
      </c>
      <c r="CW66" s="22">
        <f t="shared" si="13"/>
        <v>648.02887080282289</v>
      </c>
      <c r="CX66" s="62">
        <f t="shared" si="14"/>
        <v>941.36220413615615</v>
      </c>
      <c r="CY66" s="62">
        <f ca="1">AVERAGE(OFFSET($CX$3,0,0,'Données projet'!$E$13+1,1))-AVERAGE(OFFSET($H$3,0,0,'Données projet'!$E$13+1,1))</f>
        <v>302.20483575440988</v>
      </c>
      <c r="CZ66" s="62">
        <f t="shared" si="42"/>
        <v>275.32862097158687</v>
      </c>
      <c r="DA66" s="16">
        <f>IF(ISNA(VLOOKUP(A66,'Données projet'!$A$139:$I$159,3,0)),0,VLOOKUP(A66,'Données projet'!$A$139:$I$159,3,0))</f>
        <v>7</v>
      </c>
      <c r="DB66" s="16">
        <f>IF(ISNA(VLOOKUP(A66,'Données projet'!$A$139:$I$159,4,0)),0,VLOOKUP(A66,'Données projet'!$A$139:$I$159,4,0))</f>
        <v>84</v>
      </c>
      <c r="DC66" s="17">
        <f>IF(ISNA(VLOOKUP(A66,'Données projet'!$A$139:$I$159,5,0)),0%,VLOOKUP(A66,'Données projet'!$A$139:$I$159,5,0)*VLOOKUP('Données projet'!$B$13,Paramètres!$A$1:$I$88,7,0))</f>
        <v>0</v>
      </c>
      <c r="DD66" s="17">
        <f>IF(ISNA(VLOOKUP(A66,'Données projet'!$A$139:$I$159,6,0)),0%,VLOOKUP(A66,'Données projet'!$A$139:$I$159,6,0)*VLOOKUP('Données projet'!$B$13,Paramètres!$A$1:$I$88,7,0))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projet'!$B$13,Paramètres!$A$1:$I$88,3,0)*0.475*44/12</f>
        <v>0</v>
      </c>
      <c r="DG66" s="23">
        <f>EXP(-LN(2)/25)*DG65+(1-EXP(-LN(2)/25))/(LN(2)/25)*Calculateur!DB66*Calculateur!DD66*VLOOKUP('Données projet'!$B$13,Paramètres!$A$1:$I$88,3,0)*0.475*44/12</f>
        <v>5.5382866143031562</v>
      </c>
      <c r="DH66" s="23">
        <f>EXP(-LN(2)/2)*DH65+(1-EXP(-LN(2)/2))/(LN(2)/2)*DB66*DE66*VLOOKUP('Données projet'!$B$13,Paramètres!$A$1:$I$88,3,0)*0.475*44/12</f>
        <v>7.3163019940248716E-5</v>
      </c>
      <c r="DI66" s="24">
        <f t="shared" si="15"/>
        <v>5.5383597773230964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projet'!$B$14,Paramètres!$A$1:$I$88,3,0)*VLOOKUP('Données projet'!$B$14,Paramètres!$A$1:$I$88,5,0)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projet'!$B$14,Paramètres!$A$1:$I$88,7,0))</f>
        <v>0</v>
      </c>
      <c r="DY66" s="17">
        <f>IF(ISNA(VLOOKUP(A66,'Données projet'!$A$165:$I$185,6,0)),0%,VLOOKUP(A66,'Données projet'!$A$165:$I$185,6,0)*VLOOKUP('Données projet'!$B$14,Paramètres!$A$1:$I$88,7,0))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projet'!$B$14,Paramètres!$A$1:$I$88,3,0)*0.475*44/12</f>
        <v>#N/A</v>
      </c>
      <c r="EB66" s="23" t="e">
        <f>EXP(-LN(2)/25)*EB65+(1-EXP(-LN(2)/25))/(LN(2)/25)*Calculateur!DW66*Calculateur!DY66*VLOOKUP('Données projet'!$B$14,Paramètres!$A$1:$I$88,3,0)*0.475*44/12</f>
        <v>#N/A</v>
      </c>
      <c r="EC66" s="23" t="e">
        <f>EXP(-LN(2)/2)*EC65+(1-EXP(-LN(2)/2))/(LN(2)/2)*DW66*DZ66*VLOOKUP('Données projet'!$B$14,Paramètres!$A$1:$I$88,3,0)*0.475*44/12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projet'!$B$15,Paramètres!$A$1:$I$88,3,0)*VLOOKUP('Données projet'!$B$15,Paramètres!$A$1:$I$88,5,0)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projet'!$B$15,Paramètres!$A$1:$I$88,7,0))</f>
        <v>0</v>
      </c>
      <c r="ET66" s="17">
        <f>IF(ISNA(VLOOKUP(A66,'Données projet'!$A$191:$I$211,6,0)),0%,VLOOKUP(A66,'Données projet'!$A$191:$I$211,6,0)*VLOOKUP('Données projet'!$B$15,Paramètres!$A$1:$I$88,7,0))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projet'!$B$15,Paramètres!$A$1:$I$88,3,0)*0.475*44/12</f>
        <v>#N/A</v>
      </c>
      <c r="EW66" s="23" t="e">
        <f>EXP(-LN(2)/25)*EW65+(1-EXP(-LN(2)/25))/(LN(2)/25)*Calculateur!ER66*Calculateur!ET66*VLOOKUP('Données projet'!$B$15,Paramètres!$A$1:$I$88,3,0)*0.475*44/12</f>
        <v>#N/A</v>
      </c>
      <c r="EX66" s="23" t="e">
        <f>EXP(-LN(2)/2)*EX65+(1-EXP(-LN(2)/2))/(LN(2)/2)*ER66*EU66*VLOOKUP('Données projet'!$B$15,Paramètres!$A$1:$I$88,3,0)*0.475*44/12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projet'!$B$16,Paramètres!$A$1:$I$88,3,0)*VLOOKUP('Données projet'!$B$16,Paramètres!$A$1:$I$88,5,0)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projet'!$B$16,Paramètres!$A$1:$I$88,7,0))</f>
        <v>0</v>
      </c>
      <c r="FO66" s="17">
        <f>IF(ISNA(VLOOKUP(A66,'Données projet'!$A$217:$I$237,6,0)),0%,VLOOKUP(A66,'Données projet'!$A$217:$I$237,6,0)*VLOOKUP('Données projet'!$B$16,Paramètres!$A$1:$I$88,7,0))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projet'!$B$16,Paramètres!$A$1:$I$88,3,0)*0.475*44/12</f>
        <v>#N/A</v>
      </c>
      <c r="FR66" s="23" t="e">
        <f>EXP(-LN(2)/25)*FR65+(1-EXP(-LN(2)/25))/(LN(2)/25)*Calculateur!FM66*Calculateur!FO66*VLOOKUP('Données projet'!$B$16,Paramètres!$A$1:$I$88,3,0)*0.475*44/12</f>
        <v>#N/A</v>
      </c>
      <c r="FS66" s="23" t="e">
        <f>EXP(-LN(2)/2)*FS65+(1-EXP(-LN(2)/2))/(LN(2)/2)*FM66*FP66*VLOOKUP('Données projet'!$B$16,Paramètres!$A$1:$I$88,3,0)*0.475*44/12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projet'!$B$17,Paramètres!$A$1:$I$88,3,0)*VLOOKUP('Données projet'!$B$17,Paramètres!$A$1:$I$88,5,0)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projet'!$B$17,Paramètres!$A$1:$I$88,7,0))</f>
        <v>0</v>
      </c>
      <c r="GJ66" s="17">
        <f>IF(ISNA(VLOOKUP(A66,'Données projet'!$A$243:$I$263,6,0)),0%,VLOOKUP(A66,'Données projet'!$A$243:$I$263,6,0)*VLOOKUP('Données projet'!$B$17,Paramètres!$A$1:$I$88,7,0))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projet'!$B$17,Paramètres!$A$1:$I$88,3,0)*0.475*44/12</f>
        <v>#N/A</v>
      </c>
      <c r="GM66" s="23" t="e">
        <f>EXP(-LN(2)/25)*GM65+(1-EXP(-LN(2)/25))/(LN(2)/25)*Calculateur!GH66*Calculateur!GJ66*VLOOKUP('Données projet'!$B$17,Paramètres!$A$1:$I$88,3,0)*0.475*44/12</f>
        <v>#N/A</v>
      </c>
      <c r="GN66" s="23" t="e">
        <f>EXP(-LN(2)/2)*GN65+(1-EXP(-LN(2)/2))/(LN(2)/2)*GH66*GK66*VLOOKUP('Données projet'!$B$17,Paramètres!$A$1:$I$88,3,0)*0.475*44/12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projet'!$B$18,Paramètres!$A$1:$I$88,3,0)*VLOOKUP('Données projet'!$B$18,Paramètres!$A$1:$I$88,5,0)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projet'!$B$18,Paramètres!$A$1:$I$88,7,0))</f>
        <v>0</v>
      </c>
      <c r="HE66" s="17">
        <f>IF(ISNA(VLOOKUP(A66,'Données projet'!$A$269:$I$289,6,0)),0%,VLOOKUP(A66,'Données projet'!$A$269:$I$289,6,0)*VLOOKUP('Données projet'!$B$18,Paramètres!$A$1:$I$88,7,0))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projet'!$B$18,Paramètres!$A$1:$I$88,3,0)*0.475*44/12</f>
        <v>#N/A</v>
      </c>
      <c r="HH66" s="23" t="e">
        <f>EXP(-LN(2)/25)*HH65+(1-EXP(-LN(2)/25))/(LN(2)/25)*Calculateur!HC66*Calculateur!HE66*VLOOKUP('Données projet'!$B$18,Paramètres!$A$1:$I$88,3,0)*0.475*44/12</f>
        <v>#N/A</v>
      </c>
      <c r="HI66" s="23" t="e">
        <f>EXP(-LN(2)/2)*HI65+(1-EXP(-LN(2)/2))/(LN(2)/2)*HC66*HF66*VLOOKUP('Données projet'!$B$18,Paramètres!$A$1:$I$88,3,0)*0.475*44/12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projet'!$B$9,Paramètres!$A$1:$I$88,3,0)*VLOOKUP('Données projet'!$B$9,Paramètres!$A$1:$I$88,5,0)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175.05987582828078</v>
      </c>
      <c r="T67" s="62">
        <f t="shared" si="34"/>
        <v>268.54782308462387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projet'!$B$9,Paramètres!$A$1:$I$88,7,0))</f>
        <v>0</v>
      </c>
      <c r="X67" s="17">
        <f>IF(ISNA(VLOOKUP(A67,'Données projet'!$A$35:$I$55,6,0)),0%,VLOOKUP(A67,'Données projet'!$A$35:$I$55,6,0)*VLOOKUP('Données projet'!$B$9,Paramètres!$A$1:$I$88,7,0))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projet'!$B$9,Paramètres!$A$1:$I$88,3,0)*0.475*44/12</f>
        <v>0</v>
      </c>
      <c r="AA67" s="23">
        <f>EXP(-LN(2)/25)*AA66+(1-EXP(-LN(2)/25))/(LN(2)/25)*Calculateur!V67*Calculateur!X67*VLOOKUP('Données projet'!$B$9,Paramètres!$A$1:$I$88,3,0)*0.475*44/12</f>
        <v>4.0109343754164852</v>
      </c>
      <c r="AB67" s="23">
        <f>EXP(-LN(2)/2)*AB66+(1-EXP(-LN(2)/2))/(LN(2)/2)*V67*Y67*VLOOKUP('Données projet'!$B$9,Paramètres!$A$1:$I$88,3,0)*0.475*44/12</f>
        <v>1.2602859406285705E-4</v>
      </c>
      <c r="AC67" s="24">
        <f t="shared" si="3"/>
        <v>4.0110604040105482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20.133333333333333</v>
      </c>
      <c r="AI67" s="14">
        <f>IF('Données projet'!$A$62&gt;35,AI66+AH67-AQ66,IF(A67&lt;'Données projet'!$A$62,$AF$205^A67,IF(A67='Données projet'!$A$62,'Données projet'!$B$62,AI66+AH67-AQ66)))</f>
        <v>633.53333333333273</v>
      </c>
      <c r="AJ67" s="14">
        <f>AI67*VLOOKUP('Données projet'!$B$10,Paramètres!$A$1:$I$88,3,0)*VLOOKUP('Données projet'!$B$10,Paramètres!$A$1:$I$88,5,0)</f>
        <v>304.72953333333305</v>
      </c>
      <c r="AK67" s="14">
        <f t="shared" si="35"/>
        <v>72.167050895753349</v>
      </c>
      <c r="AL67" s="22">
        <f t="shared" si="4"/>
        <v>656.42821753232545</v>
      </c>
      <c r="AM67" s="62">
        <f t="shared" si="5"/>
        <v>949.76155086565882</v>
      </c>
      <c r="AN67" s="62">
        <f ca="1">AVERAGE(OFFSET($AM$3,0,0,'Données projet'!$E$10+1,1))-AVERAGE(OFFSET($H$3,0,0,'Données projet'!$E$10+1,1))</f>
        <v>576.61210817354549</v>
      </c>
      <c r="AO67" s="62">
        <f t="shared" si="36"/>
        <v>343.9428747444544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projet'!$B$10,Paramètres!$A$1:$I$88,7,0))</f>
        <v>0</v>
      </c>
      <c r="AS67" s="17">
        <f>IF(ISNA(VLOOKUP(A67,'Données projet'!$A$61:$I$81,6,0)),0%,VLOOKUP(A67,'Données projet'!$A$61:$I$81,6,0)*VLOOKUP('Données projet'!$B$10,Paramètres!$A$1:$I$88,7,0))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projet'!$B$10,Paramètres!$A$1:$I$88,3,0)*0.475*44/12</f>
        <v>0</v>
      </c>
      <c r="AV67" s="23">
        <f>EXP(-LN(2)/25)*AV66+(1-EXP(-LN(2)/25))/(LN(2)/25)*Calculateur!AQ67*Calculateur!AS67*VLOOKUP('Données projet'!$B$10,Paramètres!$A$1:$I$88,3,0)*0.475*44/12</f>
        <v>2.2061598907473492</v>
      </c>
      <c r="AW67" s="23">
        <f>EXP(-LN(2)/2)*AW66+(1-EXP(-LN(2)/2))/(LN(2)/2)*AQ67*AT67*VLOOKUP('Données projet'!$B$10,Paramètres!$A$1:$I$88,3,0)*0.475*44/12</f>
        <v>8.9747929980323591E-5</v>
      </c>
      <c r="AX67" s="23">
        <f t="shared" si="6"/>
        <v>2.2062496386773294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5.2399999999999975</v>
      </c>
      <c r="BD67" s="13">
        <f>IF('Données projet'!$A$88&gt;35,BD66+BC67-BL66,IF(A67&lt;'Données projet'!$A$88,$BA$205^A67,IF(A67='Données projet'!$A$88,'Données projet'!$B$88,BD66+BC67-BL66)))</f>
        <v>314.95999999999992</v>
      </c>
      <c r="BE67" s="14">
        <f>BD67*VLOOKUP('Données projet'!$B$11,Paramètres!$A$1:$I$88,3,0)*VLOOKUP('Données projet'!$B$11,Paramètres!$A$1:$I$88,5,0)</f>
        <v>250.58217599999995</v>
      </c>
      <c r="BF67" s="14">
        <f t="shared" si="37"/>
        <v>60.710588199426105</v>
      </c>
      <c r="BG67" s="22">
        <f t="shared" si="7"/>
        <v>542.16823098066709</v>
      </c>
      <c r="BH67" s="62">
        <f t="shared" si="8"/>
        <v>835.50156431400046</v>
      </c>
      <c r="BI67" s="62">
        <f ca="1">AVERAGE(OFFSET($BH$3,0,0,'Données projet'!$E$11+1,1))-AVERAGE(OFFSET($H$3,0,0,'Données projet'!$E$11+1,1))</f>
        <v>298.38448036212861</v>
      </c>
      <c r="BJ67" s="62">
        <f t="shared" si="38"/>
        <v>270.4445531106897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projet'!$B$11,Paramètres!$A$1:$I$88,7,0))</f>
        <v>0</v>
      </c>
      <c r="BN67" s="17">
        <f>IF(ISNA(VLOOKUP(A67,'Données projet'!$A$87:$I$107,6,0)),0%,VLOOKUP(A67,'Données projet'!$A$87:$I$107,6,0)*VLOOKUP('Données projet'!$B$11,Paramètres!$A$1:$I$88,7,0))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projet'!$B$11,Paramètres!$A$1:$I$88,3,0)*0.475*44/12</f>
        <v>0</v>
      </c>
      <c r="BQ67" s="23">
        <f>EXP(-LN(2)/25)*BQ66+(1-EXP(-LN(2)/25))/(LN(2)/25)*Calculateur!BL67*Calculateur!BN67*VLOOKUP('Données projet'!$B$11,Paramètres!$A$1:$I$88,3,0)*0.475*44/12</f>
        <v>0</v>
      </c>
      <c r="BR67" s="23">
        <f>EXP(-LN(2)/2)*BR66+(1-EXP(-LN(2)/2))/(LN(2)/2)*BL67*BO67*VLOOKUP('Données projet'!$B$11,Paramètres!$A$1:$I$88,3,0)*0.475*44/12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8.6666666666666661</v>
      </c>
      <c r="BY67" s="13">
        <f>IF('Données projet'!$A$114&gt;35,BY66+BX67-CG66,IF(A67&lt;'Données projet'!$A$114,$BV$205^A67,IF(A67='Données projet'!$A$114,'Données projet'!$B$114,BY66+BX67-CG66)))</f>
        <v>284.66666666666663</v>
      </c>
      <c r="BZ67" s="14">
        <f>BY67*VLOOKUP('Données projet'!$B$12,Paramètres!$A$1:$I$88,3,0)*VLOOKUP('Données projet'!$B$12,Paramètres!$A$1:$I$88,5,0)</f>
        <v>222.04</v>
      </c>
      <c r="CA67" s="14">
        <f t="shared" si="39"/>
        <v>54.558031180803546</v>
      </c>
      <c r="CB67" s="22">
        <f t="shared" si="10"/>
        <v>481.74157097323285</v>
      </c>
      <c r="CC67" s="62">
        <f t="shared" si="11"/>
        <v>775.07490430656617</v>
      </c>
      <c r="CD67" s="62">
        <f ca="1">AVERAGE(OFFSET($CC$3,0,0,'Données projet'!$E$12+1,1))-AVERAGE(OFFSET($H$3,0,0,'Données projet'!$E$12+1,1))</f>
        <v>217.32600829266818</v>
      </c>
      <c r="CE67" s="62">
        <f t="shared" si="40"/>
        <v>208.79744153433245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projet'!$B$12,Paramètres!$A$1:$I$88,7,0))</f>
        <v>0</v>
      </c>
      <c r="CI67" s="17">
        <f>IF(ISNA(VLOOKUP(A67,'Données projet'!$A$113:$I$133,6,0)),0%,VLOOKUP(A67,'Données projet'!$A$113:$I$133,6,0)*VLOOKUP('Données projet'!$B$12,Paramètres!$A$1:$I$88,7,0))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projet'!$B$12,Paramètres!$A$1:$I$88,3,0)*0.475*44/12</f>
        <v>0</v>
      </c>
      <c r="CL67" s="23">
        <f>EXP(-LN(2)/25)*CL66+(1-EXP(-LN(2)/25))/(LN(2)/25)*Calculateur!CG67*Calculateur!CI67*VLOOKUP('Données projet'!$B$12,Paramètres!$A$1:$I$88,3,0)*0.475*44/12</f>
        <v>0</v>
      </c>
      <c r="CM67" s="23">
        <f>EXP(-LN(2)/2)*CM66+(1-EXP(-LN(2)/2))/(LN(2)/2)*CG67*CJ67*VLOOKUP('Données projet'!$B$12,Paramètres!$A$1:$I$88,3,0)*0.475*44/12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13.857142857142858</v>
      </c>
      <c r="CT67" s="13">
        <f>IF('Données projet'!$A$140&gt;35,CT66+CS67-DB66,IF(A67&lt;'Données projet'!$A$140,$CQ$205^A67,IF(A67='Données projet'!$A$140,'Données projet'!$B$140,CT66+CS67-DB66)))</f>
        <v>467.85714285714255</v>
      </c>
      <c r="CU67" s="18">
        <f>CT67*VLOOKUP('Données projet'!$B$13,Paramètres!$A$1:$I$88,3,0)*VLOOKUP('Données projet'!$B$13,Paramètres!$A$1:$I$88,5,0)</f>
        <v>261.53214285714273</v>
      </c>
      <c r="CV67" s="14">
        <f t="shared" si="41"/>
        <v>63.048857133846255</v>
      </c>
      <c r="CW67" s="22">
        <f t="shared" si="13"/>
        <v>565.31190831763899</v>
      </c>
      <c r="CX67" s="62">
        <f t="shared" si="14"/>
        <v>858.64524165097237</v>
      </c>
      <c r="CY67" s="62">
        <f ca="1">AVERAGE(OFFSET($CX$3,0,0,'Données projet'!$E$13+1,1))-AVERAGE(OFFSET($H$3,0,0,'Données projet'!$E$13+1,1))</f>
        <v>302.20483575440988</v>
      </c>
      <c r="CZ67" s="62">
        <f t="shared" si="42"/>
        <v>275.32862097158687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projet'!$B$13,Paramètres!$A$1:$I$88,7,0))</f>
        <v>0</v>
      </c>
      <c r="DD67" s="17">
        <f>IF(ISNA(VLOOKUP(A67,'Données projet'!$A$139:$I$159,6,0)),0%,VLOOKUP(A67,'Données projet'!$A$139:$I$159,6,0)*VLOOKUP('Données projet'!$B$13,Paramètres!$A$1:$I$88,7,0))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projet'!$B$13,Paramètres!$A$1:$I$88,3,0)*0.475*44/12</f>
        <v>0</v>
      </c>
      <c r="DG67" s="23">
        <f>EXP(-LN(2)/25)*DG66+(1-EXP(-LN(2)/25))/(LN(2)/25)*Calculateur!DB67*Calculateur!DD67*VLOOKUP('Données projet'!$B$13,Paramètres!$A$1:$I$88,3,0)*0.475*44/12</f>
        <v>5.3868418755892016</v>
      </c>
      <c r="DH67" s="23">
        <f>EXP(-LN(2)/2)*DH66+(1-EXP(-LN(2)/2))/(LN(2)/2)*DB67*DE67*VLOOKUP('Données projet'!$B$13,Paramètres!$A$1:$I$88,3,0)*0.475*44/12</f>
        <v>5.1734067531836463E-5</v>
      </c>
      <c r="DI67" s="24">
        <f t="shared" si="15"/>
        <v>5.3868936096567337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projet'!$B$14,Paramètres!$A$1:$I$88,3,0)*VLOOKUP('Données projet'!$B$14,Paramètres!$A$1:$I$88,5,0)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projet'!$B$14,Paramètres!$A$1:$I$88,7,0))</f>
        <v>0</v>
      </c>
      <c r="DY67" s="17">
        <f>IF(ISNA(VLOOKUP(A67,'Données projet'!$A$165:$I$185,6,0)),0%,VLOOKUP(A67,'Données projet'!$A$165:$I$185,6,0)*VLOOKUP('Données projet'!$B$14,Paramètres!$A$1:$I$88,7,0))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projet'!$B$14,Paramètres!$A$1:$I$88,3,0)*0.475*44/12</f>
        <v>#N/A</v>
      </c>
      <c r="EB67" s="23" t="e">
        <f>EXP(-LN(2)/25)*EB66+(1-EXP(-LN(2)/25))/(LN(2)/25)*Calculateur!DW67*Calculateur!DY67*VLOOKUP('Données projet'!$B$14,Paramètres!$A$1:$I$88,3,0)*0.475*44/12</f>
        <v>#N/A</v>
      </c>
      <c r="EC67" s="23" t="e">
        <f>EXP(-LN(2)/2)*EC66+(1-EXP(-LN(2)/2))/(LN(2)/2)*DW67*DZ67*VLOOKUP('Données projet'!$B$14,Paramètres!$A$1:$I$88,3,0)*0.475*44/12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projet'!$B$15,Paramètres!$A$1:$I$88,3,0)*VLOOKUP('Données projet'!$B$15,Paramètres!$A$1:$I$88,5,0)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projet'!$B$15,Paramètres!$A$1:$I$88,7,0))</f>
        <v>0</v>
      </c>
      <c r="ET67" s="17">
        <f>IF(ISNA(VLOOKUP(A67,'Données projet'!$A$191:$I$211,6,0)),0%,VLOOKUP(A67,'Données projet'!$A$191:$I$211,6,0)*VLOOKUP('Données projet'!$B$15,Paramètres!$A$1:$I$88,7,0))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projet'!$B$15,Paramètres!$A$1:$I$88,3,0)*0.475*44/12</f>
        <v>#N/A</v>
      </c>
      <c r="EW67" s="23" t="e">
        <f>EXP(-LN(2)/25)*EW66+(1-EXP(-LN(2)/25))/(LN(2)/25)*Calculateur!ER67*Calculateur!ET67*VLOOKUP('Données projet'!$B$15,Paramètres!$A$1:$I$88,3,0)*0.475*44/12</f>
        <v>#N/A</v>
      </c>
      <c r="EX67" s="23" t="e">
        <f>EXP(-LN(2)/2)*EX66+(1-EXP(-LN(2)/2))/(LN(2)/2)*ER67*EU67*VLOOKUP('Données projet'!$B$15,Paramètres!$A$1:$I$88,3,0)*0.475*44/12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projet'!$B$16,Paramètres!$A$1:$I$88,3,0)*VLOOKUP('Données projet'!$B$16,Paramètres!$A$1:$I$88,5,0)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projet'!$B$16,Paramètres!$A$1:$I$88,7,0))</f>
        <v>0</v>
      </c>
      <c r="FO67" s="17">
        <f>IF(ISNA(VLOOKUP(A67,'Données projet'!$A$217:$I$237,6,0)),0%,VLOOKUP(A67,'Données projet'!$A$217:$I$237,6,0)*VLOOKUP('Données projet'!$B$16,Paramètres!$A$1:$I$88,7,0))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projet'!$B$16,Paramètres!$A$1:$I$88,3,0)*0.475*44/12</f>
        <v>#N/A</v>
      </c>
      <c r="FR67" s="23" t="e">
        <f>EXP(-LN(2)/25)*FR66+(1-EXP(-LN(2)/25))/(LN(2)/25)*Calculateur!FM67*Calculateur!FO67*VLOOKUP('Données projet'!$B$16,Paramètres!$A$1:$I$88,3,0)*0.475*44/12</f>
        <v>#N/A</v>
      </c>
      <c r="FS67" s="23" t="e">
        <f>EXP(-LN(2)/2)*FS66+(1-EXP(-LN(2)/2))/(LN(2)/2)*FM67*FP67*VLOOKUP('Données projet'!$B$16,Paramètres!$A$1:$I$88,3,0)*0.475*44/12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projet'!$B$17,Paramètres!$A$1:$I$88,3,0)*VLOOKUP('Données projet'!$B$17,Paramètres!$A$1:$I$88,5,0)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projet'!$B$17,Paramètres!$A$1:$I$88,7,0))</f>
        <v>0</v>
      </c>
      <c r="GJ67" s="17">
        <f>IF(ISNA(VLOOKUP(A67,'Données projet'!$A$243:$I$263,6,0)),0%,VLOOKUP(A67,'Données projet'!$A$243:$I$263,6,0)*VLOOKUP('Données projet'!$B$17,Paramètres!$A$1:$I$88,7,0))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projet'!$B$17,Paramètres!$A$1:$I$88,3,0)*0.475*44/12</f>
        <v>#N/A</v>
      </c>
      <c r="GM67" s="23" t="e">
        <f>EXP(-LN(2)/25)*GM66+(1-EXP(-LN(2)/25))/(LN(2)/25)*Calculateur!GH67*Calculateur!GJ67*VLOOKUP('Données projet'!$B$17,Paramètres!$A$1:$I$88,3,0)*0.475*44/12</f>
        <v>#N/A</v>
      </c>
      <c r="GN67" s="23" t="e">
        <f>EXP(-LN(2)/2)*GN66+(1-EXP(-LN(2)/2))/(LN(2)/2)*GH67*GK67*VLOOKUP('Données projet'!$B$17,Paramètres!$A$1:$I$88,3,0)*0.475*44/12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projet'!$B$18,Paramètres!$A$1:$I$88,3,0)*VLOOKUP('Données projet'!$B$18,Paramètres!$A$1:$I$88,5,0)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projet'!$B$18,Paramètres!$A$1:$I$88,7,0))</f>
        <v>0</v>
      </c>
      <c r="HE67" s="17">
        <f>IF(ISNA(VLOOKUP(A67,'Données projet'!$A$269:$I$289,6,0)),0%,VLOOKUP(A67,'Données projet'!$A$269:$I$289,6,0)*VLOOKUP('Données projet'!$B$18,Paramètres!$A$1:$I$88,7,0))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projet'!$B$18,Paramètres!$A$1:$I$88,3,0)*0.475*44/12</f>
        <v>#N/A</v>
      </c>
      <c r="HH67" s="23" t="e">
        <f>EXP(-LN(2)/25)*HH66+(1-EXP(-LN(2)/25))/(LN(2)/25)*Calculateur!HC67*Calculateur!HE67*VLOOKUP('Données projet'!$B$18,Paramètres!$A$1:$I$88,3,0)*0.475*44/12</f>
        <v>#N/A</v>
      </c>
      <c r="HI67" s="23" t="e">
        <f>EXP(-LN(2)/2)*HI66+(1-EXP(-LN(2)/2))/(LN(2)/2)*HC67*HF67*VLOOKUP('Données projet'!$B$18,Paramètres!$A$1:$I$88,3,0)*0.475*44/12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projet'!$B$9,Paramètres!$A$1:$I$88,3,0)*VLOOKUP('Données projet'!$B$9,Paramètres!$A$1:$I$88,5,0)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175.05987582828078</v>
      </c>
      <c r="T68" s="62">
        <f t="shared" si="34"/>
        <v>268.54782308462387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projet'!$B$9,Paramètres!$A$1:$I$88,7,0))</f>
        <v>0</v>
      </c>
      <c r="X68" s="17">
        <f>IF(ISNA(VLOOKUP(A68,'Données projet'!$A$35:$I$55,6,0)),0%,VLOOKUP(A68,'Données projet'!$A$35:$I$55,6,0)*VLOOKUP('Données projet'!$B$9,Paramètres!$A$1:$I$88,7,0))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projet'!$B$9,Paramètres!$A$1:$I$88,3,0)*0.475*44/12</f>
        <v>0</v>
      </c>
      <c r="AA68" s="23">
        <f>EXP(-LN(2)/25)*AA67+(1-EXP(-LN(2)/25))/(LN(2)/25)*Calculateur!V68*Calculateur!X68*VLOOKUP('Données projet'!$B$9,Paramètres!$A$1:$I$88,3,0)*0.475*44/12</f>
        <v>3.9012551639948496</v>
      </c>
      <c r="AB68" s="23">
        <f>EXP(-LN(2)/2)*AB67+(1-EXP(-LN(2)/2))/(LN(2)/2)*V68*Y68*VLOOKUP('Données projet'!$B$9,Paramètres!$A$1:$I$88,3,0)*0.475*44/12</f>
        <v>8.9115673485252881E-5</v>
      </c>
      <c r="AC68" s="24">
        <f t="shared" ref="AC68:AC131" si="57">SUM(Z68:AB68)</f>
        <v>3.9013442796683351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20.133333333333333</v>
      </c>
      <c r="AI68" s="14">
        <f>IF('Données projet'!$A$62&gt;35,AI67+AH68-AQ67,IF(A68&lt;'Données projet'!$A$62,$AF$205^A68,IF(A68='Données projet'!$A$62,'Données projet'!$B$62,AI67+AH68-AQ67)))</f>
        <v>653.66666666666606</v>
      </c>
      <c r="AJ68" s="14">
        <f>AI68*VLOOKUP('Données projet'!$B$10,Paramètres!$A$1:$I$88,3,0)*VLOOKUP('Données projet'!$B$10,Paramètres!$A$1:$I$88,5,0)</f>
        <v>314.41366666666636</v>
      </c>
      <c r="AK68" s="14">
        <f t="shared" si="35"/>
        <v>74.189819667724876</v>
      </c>
      <c r="AL68" s="22">
        <f t="shared" ref="AL68:AL131" si="58">(AJ68+AK68)*0.475*44/12</f>
        <v>676.81773869906476</v>
      </c>
      <c r="AM68" s="62">
        <f t="shared" ref="AM68:AM131" si="59">AL68+(AD68+AE68)*44/12</f>
        <v>970.15107203239813</v>
      </c>
      <c r="AN68" s="62">
        <f ca="1">AVERAGE(OFFSET($AM$3,0,0,'Données projet'!$E$10+1,1))-AVERAGE(OFFSET($H$3,0,0,'Données projet'!$E$10+1,1))</f>
        <v>576.61210817354549</v>
      </c>
      <c r="AO68" s="62">
        <f t="shared" si="36"/>
        <v>343.9428747444544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projet'!$B$10,Paramètres!$A$1:$I$88,7,0))</f>
        <v>0</v>
      </c>
      <c r="AS68" s="17">
        <f>IF(ISNA(VLOOKUP(A68,'Données projet'!$A$61:$I$81,6,0)),0%,VLOOKUP(A68,'Données projet'!$A$61:$I$81,6,0)*VLOOKUP('Données projet'!$B$10,Paramètres!$A$1:$I$88,7,0))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projet'!$B$10,Paramètres!$A$1:$I$88,3,0)*0.475*44/12</f>
        <v>0</v>
      </c>
      <c r="AV68" s="23">
        <f>EXP(-LN(2)/25)*AV67+(1-EXP(-LN(2)/25))/(LN(2)/25)*Calculateur!AQ68*Calculateur!AS68*VLOOKUP('Données projet'!$B$10,Paramètres!$A$1:$I$88,3,0)*0.475*44/12</f>
        <v>2.1458323325179567</v>
      </c>
      <c r="AW68" s="23">
        <f>EXP(-LN(2)/2)*AW67+(1-EXP(-LN(2)/2))/(LN(2)/2)*AQ68*AT68*VLOOKUP('Données projet'!$B$10,Paramètres!$A$1:$I$88,3,0)*0.475*44/12</f>
        <v>6.3461369886542261E-5</v>
      </c>
      <c r="AX68" s="23">
        <f t="shared" ref="AX68:AX131" si="60">SUM(AU68:AW68)</f>
        <v>2.1458957938878434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320.2</v>
      </c>
      <c r="BB68" s="13">
        <f>VLOOKUP(A68,'Données projet'!$A$87:$I$107,9,0)</f>
        <v>5.2399999999999975</v>
      </c>
      <c r="BC68" s="13">
        <f t="array" ref="BC68">INDEX(BB:BB,MIN(IF(ISNUMBER(BB68:BB264),ROW(BB68:BB264),"")))</f>
        <v>5.2399999999999975</v>
      </c>
      <c r="BD68" s="13">
        <f>IF('Données projet'!$A$88&gt;35,BD67+BC68-BL67,IF(A68&lt;'Données projet'!$A$88,$BA$205^A68,IF(A68='Données projet'!$A$88,'Données projet'!$B$88,BD67+BC68-BL67)))</f>
        <v>320.19999999999993</v>
      </c>
      <c r="BE68" s="14">
        <f>BD68*VLOOKUP('Données projet'!$B$11,Paramètres!$A$1:$I$88,3,0)*VLOOKUP('Données projet'!$B$11,Paramètres!$A$1:$I$88,5,0)</f>
        <v>254.75111999999996</v>
      </c>
      <c r="BF68" s="14">
        <f t="shared" si="37"/>
        <v>61.60220428704681</v>
      </c>
      <c r="BG68" s="22">
        <f t="shared" ref="BG68:BG131" si="61">(BE68+BF68)*0.475*44/12</f>
        <v>550.98203979993968</v>
      </c>
      <c r="BH68" s="62">
        <f t="shared" ref="BH68:BH131" si="62">BG68+(AY68+AZ68)*44/12</f>
        <v>844.31537313327294</v>
      </c>
      <c r="BI68" s="62">
        <f ca="1">AVERAGE(OFFSET($BH$3,0,0,'Données projet'!$E$11+1,1))-AVERAGE(OFFSET($H$3,0,0,'Données projet'!$E$11+1,1))</f>
        <v>298.38448036212861</v>
      </c>
      <c r="BJ68" s="62">
        <f t="shared" si="38"/>
        <v>270.4445531106897</v>
      </c>
      <c r="BK68" s="16">
        <f>IF(ISNA(VLOOKUP(A68,'Données projet'!$A$87:$I$107,3,0)),0,VLOOKUP(A68,'Données projet'!$A$87:$I$107,3,0))</f>
        <v>5</v>
      </c>
      <c r="BL68" s="16">
        <f>IF(ISNA(VLOOKUP(A68,'Données projet'!$A$87:$I$107,4,0)),0,VLOOKUP(A68,'Données projet'!$A$87:$I$107,4,0))</f>
        <v>27.6</v>
      </c>
      <c r="BM68" s="17">
        <f>IF(ISNA(VLOOKUP(A68,'Données projet'!$A$87:$I$107,5,0)),0%,VLOOKUP(A68,'Données projet'!$A$87:$I$107,5,0)*VLOOKUP('Données projet'!$B$11,Paramètres!$A$1:$I$88,7,0))</f>
        <v>0</v>
      </c>
      <c r="BN68" s="17">
        <f>IF(ISNA(VLOOKUP(A68,'Données projet'!$A$87:$I$107,6,0)),0%,VLOOKUP(A68,'Données projet'!$A$87:$I$107,6,0)*VLOOKUP('Données projet'!$B$11,Paramètres!$A$1:$I$88,7,0))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projet'!$B$11,Paramètres!$A$1:$I$88,3,0)*0.475*44/12</f>
        <v>0</v>
      </c>
      <c r="BQ68" s="23">
        <f>EXP(-LN(2)/25)*BQ67+(1-EXP(-LN(2)/25))/(LN(2)/25)*Calculateur!BL68*Calculateur!BN68*VLOOKUP('Données projet'!$B$11,Paramètres!$A$1:$I$88,3,0)*0.475*44/12</f>
        <v>0</v>
      </c>
      <c r="BR68" s="23">
        <f>EXP(-LN(2)/2)*BR67+(1-EXP(-LN(2)/2))/(LN(2)/2)*BL68*BO68*VLOOKUP('Données projet'!$B$11,Paramètres!$A$1:$I$88,3,0)*0.475*44/12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8.6666666666666661</v>
      </c>
      <c r="BY68" s="13">
        <f>IF('Données projet'!$A$114&gt;35,BY67+BX68-CG67,IF(A68&lt;'Données projet'!$A$114,$BV$205^A68,IF(A68='Données projet'!$A$114,'Données projet'!$B$114,BY67+BX68-CG67)))</f>
        <v>293.33333333333331</v>
      </c>
      <c r="BZ68" s="14">
        <f>BY68*VLOOKUP('Données projet'!$B$12,Paramètres!$A$1:$I$88,3,0)*VLOOKUP('Données projet'!$B$12,Paramètres!$A$1:$I$88,5,0)</f>
        <v>228.79999999999998</v>
      </c>
      <c r="CA68" s="14">
        <f t="shared" si="39"/>
        <v>56.023134533701196</v>
      </c>
      <c r="CB68" s="22">
        <f t="shared" ref="CB68:CB131" si="64">(BZ68+CA68)*0.475*44/12</f>
        <v>496.06695931286293</v>
      </c>
      <c r="CC68" s="62">
        <f t="shared" ref="CC68:CC131" si="65">CB68+(BT68+BU68)*44/12</f>
        <v>789.40029264619625</v>
      </c>
      <c r="CD68" s="62">
        <f ca="1">AVERAGE(OFFSET($CC$3,0,0,'Données projet'!$E$12+1,1))-AVERAGE(OFFSET($H$3,0,0,'Données projet'!$E$12+1,1))</f>
        <v>217.32600829266818</v>
      </c>
      <c r="CE68" s="62">
        <f t="shared" si="40"/>
        <v>208.79744153433245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projet'!$B$12,Paramètres!$A$1:$I$88,7,0))</f>
        <v>0</v>
      </c>
      <c r="CI68" s="17">
        <f>IF(ISNA(VLOOKUP(A68,'Données projet'!$A$113:$I$133,6,0)),0%,VLOOKUP(A68,'Données projet'!$A$113:$I$133,6,0)*VLOOKUP('Données projet'!$B$12,Paramètres!$A$1:$I$88,7,0))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projet'!$B$12,Paramètres!$A$1:$I$88,3,0)*0.475*44/12</f>
        <v>0</v>
      </c>
      <c r="CL68" s="23">
        <f>EXP(-LN(2)/25)*CL67+(1-EXP(-LN(2)/25))/(LN(2)/25)*Calculateur!CG68*Calculateur!CI68*VLOOKUP('Données projet'!$B$12,Paramètres!$A$1:$I$88,3,0)*0.475*44/12</f>
        <v>0</v>
      </c>
      <c r="CM68" s="23">
        <f>EXP(-LN(2)/2)*CM67+(1-EXP(-LN(2)/2))/(LN(2)/2)*CG68*CJ68*VLOOKUP('Données projet'!$B$12,Paramètres!$A$1:$I$88,3,0)*0.475*44/12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13.857142857142858</v>
      </c>
      <c r="CT68" s="13">
        <f>IF('Données projet'!$A$140&gt;35,CT67+CS68-DB67,IF(A68&lt;'Données projet'!$A$140,$CQ$205^A68,IF(A68='Données projet'!$A$140,'Données projet'!$B$140,CT67+CS68-DB67)))</f>
        <v>481.71428571428538</v>
      </c>
      <c r="CU68" s="18">
        <f>CT68*VLOOKUP('Données projet'!$B$13,Paramètres!$A$1:$I$88,3,0)*VLOOKUP('Données projet'!$B$13,Paramètres!$A$1:$I$88,5,0)</f>
        <v>269.27828571428557</v>
      </c>
      <c r="CV68" s="14">
        <f t="shared" si="41"/>
        <v>64.696079449868591</v>
      </c>
      <c r="CW68" s="22">
        <f t="shared" ref="CW68:CW131" si="67">(CU68+CV68)*0.475*44/12</f>
        <v>581.67201932756836</v>
      </c>
      <c r="CX68" s="62">
        <f t="shared" ref="CX68:CX131" si="68">CW68+(CO68+CP68)*44/12</f>
        <v>875.00535266090174</v>
      </c>
      <c r="CY68" s="62">
        <f ca="1">AVERAGE(OFFSET($CX$3,0,0,'Données projet'!$E$13+1,1))-AVERAGE(OFFSET($H$3,0,0,'Données projet'!$E$13+1,1))</f>
        <v>302.20483575440988</v>
      </c>
      <c r="CZ68" s="62">
        <f t="shared" si="42"/>
        <v>275.32862097158687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projet'!$B$13,Paramètres!$A$1:$I$88,7,0))</f>
        <v>0</v>
      </c>
      <c r="DD68" s="17">
        <f>IF(ISNA(VLOOKUP(A68,'Données projet'!$A$139:$I$159,6,0)),0%,VLOOKUP(A68,'Données projet'!$A$139:$I$159,6,0)*VLOOKUP('Données projet'!$B$13,Paramètres!$A$1:$I$88,7,0))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projet'!$B$13,Paramètres!$A$1:$I$88,3,0)*0.475*44/12</f>
        <v>0</v>
      </c>
      <c r="DG68" s="23">
        <f>EXP(-LN(2)/25)*DG67+(1-EXP(-LN(2)/25))/(LN(2)/25)*Calculateur!DB68*Calculateur!DD68*VLOOKUP('Données projet'!$B$13,Paramètres!$A$1:$I$88,3,0)*0.475*44/12</f>
        <v>5.2395384012195123</v>
      </c>
      <c r="DH68" s="23">
        <f>EXP(-LN(2)/2)*DH67+(1-EXP(-LN(2)/2))/(LN(2)/2)*DB68*DE68*VLOOKUP('Données projet'!$B$13,Paramètres!$A$1:$I$88,3,0)*0.475*44/12</f>
        <v>3.6581509970124358E-5</v>
      </c>
      <c r="DI68" s="24">
        <f t="shared" ref="DI68:DI131" si="69">SUM(DF68:DH68)</f>
        <v>5.2395749827294829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projet'!$B$14,Paramètres!$A$1:$I$88,3,0)*VLOOKUP('Données projet'!$B$14,Paramètres!$A$1:$I$88,5,0)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projet'!$B$14,Paramètres!$A$1:$I$88,7,0))</f>
        <v>0</v>
      </c>
      <c r="DY68" s="17">
        <f>IF(ISNA(VLOOKUP(A68,'Données projet'!$A$165:$I$185,6,0)),0%,VLOOKUP(A68,'Données projet'!$A$165:$I$185,6,0)*VLOOKUP('Données projet'!$B$14,Paramètres!$A$1:$I$88,7,0))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projet'!$B$14,Paramètres!$A$1:$I$88,3,0)*0.475*44/12</f>
        <v>#N/A</v>
      </c>
      <c r="EB68" s="23" t="e">
        <f>EXP(-LN(2)/25)*EB67+(1-EXP(-LN(2)/25))/(LN(2)/25)*Calculateur!DW68*Calculateur!DY68*VLOOKUP('Données projet'!$B$14,Paramètres!$A$1:$I$88,3,0)*0.475*44/12</f>
        <v>#N/A</v>
      </c>
      <c r="EC68" s="23" t="e">
        <f>EXP(-LN(2)/2)*EC67+(1-EXP(-LN(2)/2))/(LN(2)/2)*DW68*DZ68*VLOOKUP('Données projet'!$B$14,Paramètres!$A$1:$I$88,3,0)*0.475*44/12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projet'!$B$15,Paramètres!$A$1:$I$88,3,0)*VLOOKUP('Données projet'!$B$15,Paramètres!$A$1:$I$88,5,0)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projet'!$B$15,Paramètres!$A$1:$I$88,7,0))</f>
        <v>0</v>
      </c>
      <c r="ET68" s="17">
        <f>IF(ISNA(VLOOKUP(A68,'Données projet'!$A$191:$I$211,6,0)),0%,VLOOKUP(A68,'Données projet'!$A$191:$I$211,6,0)*VLOOKUP('Données projet'!$B$15,Paramètres!$A$1:$I$88,7,0))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projet'!$B$15,Paramètres!$A$1:$I$88,3,0)*0.475*44/12</f>
        <v>#N/A</v>
      </c>
      <c r="EW68" s="23" t="e">
        <f>EXP(-LN(2)/25)*EW67+(1-EXP(-LN(2)/25))/(LN(2)/25)*Calculateur!ER68*Calculateur!ET68*VLOOKUP('Données projet'!$B$15,Paramètres!$A$1:$I$88,3,0)*0.475*44/12</f>
        <v>#N/A</v>
      </c>
      <c r="EX68" s="23" t="e">
        <f>EXP(-LN(2)/2)*EX67+(1-EXP(-LN(2)/2))/(LN(2)/2)*ER68*EU68*VLOOKUP('Données projet'!$B$15,Paramètres!$A$1:$I$88,3,0)*0.475*44/12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projet'!$B$16,Paramètres!$A$1:$I$88,3,0)*VLOOKUP('Données projet'!$B$16,Paramètres!$A$1:$I$88,5,0)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projet'!$B$16,Paramètres!$A$1:$I$88,7,0))</f>
        <v>0</v>
      </c>
      <c r="FO68" s="17">
        <f>IF(ISNA(VLOOKUP(A68,'Données projet'!$A$217:$I$237,6,0)),0%,VLOOKUP(A68,'Données projet'!$A$217:$I$237,6,0)*VLOOKUP('Données projet'!$B$16,Paramètres!$A$1:$I$88,7,0))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projet'!$B$16,Paramètres!$A$1:$I$88,3,0)*0.475*44/12</f>
        <v>#N/A</v>
      </c>
      <c r="FR68" s="23" t="e">
        <f>EXP(-LN(2)/25)*FR67+(1-EXP(-LN(2)/25))/(LN(2)/25)*Calculateur!FM68*Calculateur!FO68*VLOOKUP('Données projet'!$B$16,Paramètres!$A$1:$I$88,3,0)*0.475*44/12</f>
        <v>#N/A</v>
      </c>
      <c r="FS68" s="23" t="e">
        <f>EXP(-LN(2)/2)*FS67+(1-EXP(-LN(2)/2))/(LN(2)/2)*FM68*FP68*VLOOKUP('Données projet'!$B$16,Paramètres!$A$1:$I$88,3,0)*0.475*44/12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projet'!$B$17,Paramètres!$A$1:$I$88,3,0)*VLOOKUP('Données projet'!$B$17,Paramètres!$A$1:$I$88,5,0)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projet'!$B$17,Paramètres!$A$1:$I$88,7,0))</f>
        <v>0</v>
      </c>
      <c r="GJ68" s="17">
        <f>IF(ISNA(VLOOKUP(A68,'Données projet'!$A$243:$I$263,6,0)),0%,VLOOKUP(A68,'Données projet'!$A$243:$I$263,6,0)*VLOOKUP('Données projet'!$B$17,Paramètres!$A$1:$I$88,7,0))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projet'!$B$17,Paramètres!$A$1:$I$88,3,0)*0.475*44/12</f>
        <v>#N/A</v>
      </c>
      <c r="GM68" s="23" t="e">
        <f>EXP(-LN(2)/25)*GM67+(1-EXP(-LN(2)/25))/(LN(2)/25)*Calculateur!GH68*Calculateur!GJ68*VLOOKUP('Données projet'!$B$17,Paramètres!$A$1:$I$88,3,0)*0.475*44/12</f>
        <v>#N/A</v>
      </c>
      <c r="GN68" s="23" t="e">
        <f>EXP(-LN(2)/2)*GN67+(1-EXP(-LN(2)/2))/(LN(2)/2)*GH68*GK68*VLOOKUP('Données projet'!$B$17,Paramètres!$A$1:$I$88,3,0)*0.475*44/12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projet'!$B$18,Paramètres!$A$1:$I$88,3,0)*VLOOKUP('Données projet'!$B$18,Paramètres!$A$1:$I$88,5,0)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projet'!$B$18,Paramètres!$A$1:$I$88,7,0))</f>
        <v>0</v>
      </c>
      <c r="HE68" s="17">
        <f>IF(ISNA(VLOOKUP(A68,'Données projet'!$A$269:$I$289,6,0)),0%,VLOOKUP(A68,'Données projet'!$A$269:$I$289,6,0)*VLOOKUP('Données projet'!$B$18,Paramètres!$A$1:$I$88,7,0))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projet'!$B$18,Paramètres!$A$1:$I$88,3,0)*0.475*44/12</f>
        <v>#N/A</v>
      </c>
      <c r="HH68" s="23" t="e">
        <f>EXP(-LN(2)/25)*HH67+(1-EXP(-LN(2)/25))/(LN(2)/25)*Calculateur!HC68*Calculateur!HE68*VLOOKUP('Données projet'!$B$18,Paramètres!$A$1:$I$88,3,0)*0.475*44/12</f>
        <v>#N/A</v>
      </c>
      <c r="HI68" s="23" t="e">
        <f>EXP(-LN(2)/2)*HI67+(1-EXP(-LN(2)/2))/(LN(2)/2)*HC68*HF68*VLOOKUP('Données projet'!$B$18,Paramètres!$A$1:$I$88,3,0)*0.475*44/12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projet'!$B$9,Paramètres!$A$1:$I$88,3,0)*VLOOKUP('Données projet'!$B$9,Paramètres!$A$1:$I$88,5,0)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175.05987582828078</v>
      </c>
      <c r="T69" s="62">
        <f t="shared" ref="T69:T132" si="88">$T$3</f>
        <v>268.54782308462387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projet'!$B$9,Paramètres!$A$1:$I$88,7,0))</f>
        <v>0</v>
      </c>
      <c r="X69" s="17">
        <f>IF(ISNA(VLOOKUP(A69,'Données projet'!$A$35:$I$55,6,0)),0%,VLOOKUP(A69,'Données projet'!$A$35:$I$55,6,0)*VLOOKUP('Données projet'!$B$9,Paramètres!$A$1:$I$88,7,0))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projet'!$B$9,Paramètres!$A$1:$I$88,3,0)*0.475*44/12</f>
        <v>0</v>
      </c>
      <c r="AA69" s="23">
        <f>EXP(-LN(2)/25)*AA68+(1-EXP(-LN(2)/25))/(LN(2)/25)*Calculateur!V69*Calculateur!X69*VLOOKUP('Données projet'!$B$9,Paramètres!$A$1:$I$88,3,0)*0.475*44/12</f>
        <v>3.7945751363773179</v>
      </c>
      <c r="AB69" s="23">
        <f>EXP(-LN(2)/2)*AB68+(1-EXP(-LN(2)/2))/(LN(2)/2)*V69*Y69*VLOOKUP('Données projet'!$B$9,Paramètres!$A$1:$I$88,3,0)*0.475*44/12</f>
        <v>6.3014297031428523E-5</v>
      </c>
      <c r="AC69" s="24">
        <f t="shared" si="57"/>
        <v>3.7946381506743494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20.133333333333333</v>
      </c>
      <c r="AI69" s="14">
        <f>IF('Données projet'!$A$62&gt;35,AI68+AH69-AQ68,IF(A69&lt;'Données projet'!$A$62,$AF$205^A69,IF(A69='Données projet'!$A$62,'Données projet'!$B$62,AI68+AH69-AQ68)))</f>
        <v>673.79999999999939</v>
      </c>
      <c r="AJ69" s="14">
        <f>AI69*VLOOKUP('Données projet'!$B$10,Paramètres!$A$1:$I$88,3,0)*VLOOKUP('Données projet'!$B$10,Paramètres!$A$1:$I$88,5,0)</f>
        <v>324.09779999999967</v>
      </c>
      <c r="AK69" s="14">
        <f t="shared" ref="AK69:AK132" si="89">EXP(-1.0587+0.8836*LN(AJ69)+0.284)</f>
        <v>76.205348201732377</v>
      </c>
      <c r="AL69" s="22">
        <f t="shared" si="58"/>
        <v>697.19464978468329</v>
      </c>
      <c r="AM69" s="62">
        <f t="shared" si="59"/>
        <v>990.52798311801666</v>
      </c>
      <c r="AN69" s="62">
        <f ca="1">AVERAGE(OFFSET($AM$3,0,0,'Données projet'!$E$10+1,1))-AVERAGE(OFFSET($H$3,0,0,'Données projet'!$E$10+1,1))</f>
        <v>576.61210817354549</v>
      </c>
      <c r="AO69" s="62">
        <f t="shared" ref="AO69:AO132" si="90">$AO$3</f>
        <v>343.9428747444544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projet'!$B$10,Paramètres!$A$1:$I$88,7,0))</f>
        <v>0</v>
      </c>
      <c r="AS69" s="17">
        <f>IF(ISNA(VLOOKUP(A69,'Données projet'!$A$61:$I$81,6,0)),0%,VLOOKUP(A69,'Données projet'!$A$61:$I$81,6,0)*VLOOKUP('Données projet'!$B$10,Paramètres!$A$1:$I$88,7,0))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projet'!$B$10,Paramètres!$A$1:$I$88,3,0)*0.475*44/12</f>
        <v>0</v>
      </c>
      <c r="AV69" s="23">
        <f>EXP(-LN(2)/25)*AV68+(1-EXP(-LN(2)/25))/(LN(2)/25)*Calculateur!AQ69*Calculateur!AS69*VLOOKUP('Données projet'!$B$10,Paramètres!$A$1:$I$88,3,0)*0.475*44/12</f>
        <v>2.0871544345408353</v>
      </c>
      <c r="AW69" s="23">
        <f>EXP(-LN(2)/2)*AW68+(1-EXP(-LN(2)/2))/(LN(2)/2)*AQ69*AT69*VLOOKUP('Données projet'!$B$10,Paramètres!$A$1:$I$88,3,0)*0.475*44/12</f>
        <v>4.4873964990161796E-5</v>
      </c>
      <c r="AX69" s="23">
        <f t="shared" si="60"/>
        <v>2.0871993085058254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4.5000000000000115</v>
      </c>
      <c r="BD69" s="13">
        <f>IF('Données projet'!$A$88&gt;35,BD68+BC69-BL68,IF(A69&lt;'Données projet'!$A$88,$BA$205^A69,IF(A69='Données projet'!$A$88,'Données projet'!$B$88,BD68+BC69-BL68)))</f>
        <v>297.09999999999991</v>
      </c>
      <c r="BE69" s="14">
        <f>BD69*VLOOKUP('Données projet'!$B$11,Paramètres!$A$1:$I$88,3,0)*VLOOKUP('Données projet'!$B$11,Paramètres!$A$1:$I$88,5,0)</f>
        <v>236.37275999999994</v>
      </c>
      <c r="BF69" s="14">
        <f t="shared" ref="BF69:BF132" si="91">EXP(-1.0587+0.8836*LN(BE69)+0.284)</f>
        <v>57.658421774089099</v>
      </c>
      <c r="BG69" s="22">
        <f t="shared" si="61"/>
        <v>512.10430825653827</v>
      </c>
      <c r="BH69" s="62">
        <f t="shared" si="62"/>
        <v>805.43764158987165</v>
      </c>
      <c r="BI69" s="62">
        <f ca="1">AVERAGE(OFFSET($BH$3,0,0,'Données projet'!$E$11+1,1))-AVERAGE(OFFSET($H$3,0,0,'Données projet'!$E$11+1,1))</f>
        <v>298.38448036212861</v>
      </c>
      <c r="BJ69" s="62">
        <f t="shared" ref="BJ69:BJ132" si="92">$BJ$3</f>
        <v>270.4445531106897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projet'!$B$11,Paramètres!$A$1:$I$88,7,0))</f>
        <v>0</v>
      </c>
      <c r="BN69" s="17">
        <f>IF(ISNA(VLOOKUP(A69,'Données projet'!$A$87:$I$107,6,0)),0%,VLOOKUP(A69,'Données projet'!$A$87:$I$107,6,0)*VLOOKUP('Données projet'!$B$11,Paramètres!$A$1:$I$88,7,0))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projet'!$B$11,Paramètres!$A$1:$I$88,3,0)*0.475*44/12</f>
        <v>0</v>
      </c>
      <c r="BQ69" s="23">
        <f>EXP(-LN(2)/25)*BQ68+(1-EXP(-LN(2)/25))/(LN(2)/25)*Calculateur!BL69*Calculateur!BN69*VLOOKUP('Données projet'!$B$11,Paramètres!$A$1:$I$88,3,0)*0.475*44/12</f>
        <v>0</v>
      </c>
      <c r="BR69" s="23">
        <f>EXP(-LN(2)/2)*BR68+(1-EXP(-LN(2)/2))/(LN(2)/2)*BL69*BO69*VLOOKUP('Données projet'!$B$11,Paramètres!$A$1:$I$88,3,0)*0.475*44/12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8.6666666666666661</v>
      </c>
      <c r="BY69" s="13">
        <f>IF('Données projet'!$A$114&gt;35,BY68+BX69-CG68,IF(A69&lt;'Données projet'!$A$114,$BV$205^A69,IF(A69='Données projet'!$A$114,'Données projet'!$B$114,BY68+BX69-CG68)))</f>
        <v>302</v>
      </c>
      <c r="BZ69" s="14">
        <f>BY69*VLOOKUP('Données projet'!$B$12,Paramètres!$A$1:$I$88,3,0)*VLOOKUP('Données projet'!$B$12,Paramètres!$A$1:$I$88,5,0)</f>
        <v>235.56</v>
      </c>
      <c r="CA69" s="14">
        <f t="shared" ref="CA69:CA132" si="93">EXP(-1.0587+0.8836*LN(BZ69)+0.284)</f>
        <v>57.483207143847721</v>
      </c>
      <c r="CB69" s="22">
        <f t="shared" si="64"/>
        <v>510.38358577553481</v>
      </c>
      <c r="CC69" s="62">
        <f t="shared" si="65"/>
        <v>803.71691910886807</v>
      </c>
      <c r="CD69" s="62">
        <f ca="1">AVERAGE(OFFSET($CC$3,0,0,'Données projet'!$E$12+1,1))-AVERAGE(OFFSET($H$3,0,0,'Données projet'!$E$12+1,1))</f>
        <v>217.32600829266818</v>
      </c>
      <c r="CE69" s="62">
        <f t="shared" ref="CE69:CE132" si="94">$CE$3</f>
        <v>208.79744153433245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projet'!$B$12,Paramètres!$A$1:$I$88,7,0))</f>
        <v>0</v>
      </c>
      <c r="CI69" s="17">
        <f>IF(ISNA(VLOOKUP(A69,'Données projet'!$A$113:$I$133,6,0)),0%,VLOOKUP(A69,'Données projet'!$A$113:$I$133,6,0)*VLOOKUP('Données projet'!$B$12,Paramètres!$A$1:$I$88,7,0))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projet'!$B$12,Paramètres!$A$1:$I$88,3,0)*0.475*44/12</f>
        <v>0</v>
      </c>
      <c r="CL69" s="23">
        <f>EXP(-LN(2)/25)*CL68+(1-EXP(-LN(2)/25))/(LN(2)/25)*Calculateur!CG69*Calculateur!CI69*VLOOKUP('Données projet'!$B$12,Paramètres!$A$1:$I$88,3,0)*0.475*44/12</f>
        <v>0</v>
      </c>
      <c r="CM69" s="23">
        <f>EXP(-LN(2)/2)*CM68+(1-EXP(-LN(2)/2))/(LN(2)/2)*CG69*CJ69*VLOOKUP('Données projet'!$B$12,Paramètres!$A$1:$I$88,3,0)*0.475*44/12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13.857142857142858</v>
      </c>
      <c r="CT69" s="13">
        <f>IF('Données projet'!$A$140&gt;35,CT68+CS69-DB68,IF(A69&lt;'Données projet'!$A$140,$CQ$205^A69,IF(A69='Données projet'!$A$140,'Données projet'!$B$140,CT68+CS69-DB68)))</f>
        <v>495.57142857142821</v>
      </c>
      <c r="CU69" s="18">
        <f>CT69*VLOOKUP('Données projet'!$B$13,Paramètres!$A$1:$I$88,3,0)*VLOOKUP('Données projet'!$B$13,Paramètres!$A$1:$I$88,5,0)</f>
        <v>277.02442857142842</v>
      </c>
      <c r="CV69" s="14">
        <f t="shared" ref="CV69:CV132" si="95">EXP(-1.0587+0.8836*LN(CU69)+0.284)</f>
        <v>66.337794630329327</v>
      </c>
      <c r="CW69" s="22">
        <f t="shared" si="67"/>
        <v>598.02253874306132</v>
      </c>
      <c r="CX69" s="62">
        <f t="shared" si="68"/>
        <v>891.35587207639469</v>
      </c>
      <c r="CY69" s="62">
        <f ca="1">AVERAGE(OFFSET($CX$3,0,0,'Données projet'!$E$13+1,1))-AVERAGE(OFFSET($H$3,0,0,'Données projet'!$E$13+1,1))</f>
        <v>302.20483575440988</v>
      </c>
      <c r="CZ69" s="62">
        <f t="shared" ref="CZ69:CZ132" si="96">$CZ$3</f>
        <v>275.32862097158687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projet'!$B$13,Paramètres!$A$1:$I$88,7,0))</f>
        <v>0</v>
      </c>
      <c r="DD69" s="17">
        <f>IF(ISNA(VLOOKUP(A69,'Données projet'!$A$139:$I$159,6,0)),0%,VLOOKUP(A69,'Données projet'!$A$139:$I$159,6,0)*VLOOKUP('Données projet'!$B$13,Paramètres!$A$1:$I$88,7,0))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projet'!$B$13,Paramètres!$A$1:$I$88,3,0)*0.475*44/12</f>
        <v>0</v>
      </c>
      <c r="DG69" s="23">
        <f>EXP(-LN(2)/25)*DG68+(1-EXP(-LN(2)/25))/(LN(2)/25)*Calculateur!DB69*Calculateur!DD69*VLOOKUP('Données projet'!$B$13,Paramètres!$A$1:$I$88,3,0)*0.475*44/12</f>
        <v>5.0962629481028152</v>
      </c>
      <c r="DH69" s="23">
        <f>EXP(-LN(2)/2)*DH68+(1-EXP(-LN(2)/2))/(LN(2)/2)*DB69*DE69*VLOOKUP('Données projet'!$B$13,Paramètres!$A$1:$I$88,3,0)*0.475*44/12</f>
        <v>2.5867033765918231E-5</v>
      </c>
      <c r="DI69" s="24">
        <f t="shared" si="69"/>
        <v>5.0962888151365808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projet'!$B$14,Paramètres!$A$1:$I$88,3,0)*VLOOKUP('Données projet'!$B$14,Paramètres!$A$1:$I$88,5,0)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projet'!$B$14,Paramètres!$A$1:$I$88,7,0))</f>
        <v>0</v>
      </c>
      <c r="DY69" s="17">
        <f>IF(ISNA(VLOOKUP(A69,'Données projet'!$A$165:$I$185,6,0)),0%,VLOOKUP(A69,'Données projet'!$A$165:$I$185,6,0)*VLOOKUP('Données projet'!$B$14,Paramètres!$A$1:$I$88,7,0))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projet'!$B$14,Paramètres!$A$1:$I$88,3,0)*0.475*44/12</f>
        <v>#N/A</v>
      </c>
      <c r="EB69" s="23" t="e">
        <f>EXP(-LN(2)/25)*EB68+(1-EXP(-LN(2)/25))/(LN(2)/25)*Calculateur!DW69*Calculateur!DY69*VLOOKUP('Données projet'!$B$14,Paramètres!$A$1:$I$88,3,0)*0.475*44/12</f>
        <v>#N/A</v>
      </c>
      <c r="EC69" s="23" t="e">
        <f>EXP(-LN(2)/2)*EC68+(1-EXP(-LN(2)/2))/(LN(2)/2)*DW69*DZ69*VLOOKUP('Données projet'!$B$14,Paramètres!$A$1:$I$88,3,0)*0.475*44/12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projet'!$B$15,Paramètres!$A$1:$I$88,3,0)*VLOOKUP('Données projet'!$B$15,Paramètres!$A$1:$I$88,5,0)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projet'!$B$15,Paramètres!$A$1:$I$88,7,0))</f>
        <v>0</v>
      </c>
      <c r="ET69" s="17">
        <f>IF(ISNA(VLOOKUP(A69,'Données projet'!$A$191:$I$211,6,0)),0%,VLOOKUP(A69,'Données projet'!$A$191:$I$211,6,0)*VLOOKUP('Données projet'!$B$15,Paramètres!$A$1:$I$88,7,0))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projet'!$B$15,Paramètres!$A$1:$I$88,3,0)*0.475*44/12</f>
        <v>#N/A</v>
      </c>
      <c r="EW69" s="23" t="e">
        <f>EXP(-LN(2)/25)*EW68+(1-EXP(-LN(2)/25))/(LN(2)/25)*Calculateur!ER69*Calculateur!ET69*VLOOKUP('Données projet'!$B$15,Paramètres!$A$1:$I$88,3,0)*0.475*44/12</f>
        <v>#N/A</v>
      </c>
      <c r="EX69" s="23" t="e">
        <f>EXP(-LN(2)/2)*EX68+(1-EXP(-LN(2)/2))/(LN(2)/2)*ER69*EU69*VLOOKUP('Données projet'!$B$15,Paramètres!$A$1:$I$88,3,0)*0.475*44/12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projet'!$B$16,Paramètres!$A$1:$I$88,3,0)*VLOOKUP('Données projet'!$B$16,Paramètres!$A$1:$I$88,5,0)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projet'!$B$16,Paramètres!$A$1:$I$88,7,0))</f>
        <v>0</v>
      </c>
      <c r="FO69" s="17">
        <f>IF(ISNA(VLOOKUP(A69,'Données projet'!$A$217:$I$237,6,0)),0%,VLOOKUP(A69,'Données projet'!$A$217:$I$237,6,0)*VLOOKUP('Données projet'!$B$16,Paramètres!$A$1:$I$88,7,0))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projet'!$B$16,Paramètres!$A$1:$I$88,3,0)*0.475*44/12</f>
        <v>#N/A</v>
      </c>
      <c r="FR69" s="23" t="e">
        <f>EXP(-LN(2)/25)*FR68+(1-EXP(-LN(2)/25))/(LN(2)/25)*Calculateur!FM69*Calculateur!FO69*VLOOKUP('Données projet'!$B$16,Paramètres!$A$1:$I$88,3,0)*0.475*44/12</f>
        <v>#N/A</v>
      </c>
      <c r="FS69" s="23" t="e">
        <f>EXP(-LN(2)/2)*FS68+(1-EXP(-LN(2)/2))/(LN(2)/2)*FM69*FP69*VLOOKUP('Données projet'!$B$16,Paramètres!$A$1:$I$88,3,0)*0.475*44/12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projet'!$B$17,Paramètres!$A$1:$I$88,3,0)*VLOOKUP('Données projet'!$B$17,Paramètres!$A$1:$I$88,5,0)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projet'!$B$17,Paramètres!$A$1:$I$88,7,0))</f>
        <v>0</v>
      </c>
      <c r="GJ69" s="17">
        <f>IF(ISNA(VLOOKUP(A69,'Données projet'!$A$243:$I$263,6,0)),0%,VLOOKUP(A69,'Données projet'!$A$243:$I$263,6,0)*VLOOKUP('Données projet'!$B$17,Paramètres!$A$1:$I$88,7,0))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projet'!$B$17,Paramètres!$A$1:$I$88,3,0)*0.475*44/12</f>
        <v>#N/A</v>
      </c>
      <c r="GM69" s="23" t="e">
        <f>EXP(-LN(2)/25)*GM68+(1-EXP(-LN(2)/25))/(LN(2)/25)*Calculateur!GH69*Calculateur!GJ69*VLOOKUP('Données projet'!$B$17,Paramètres!$A$1:$I$88,3,0)*0.475*44/12</f>
        <v>#N/A</v>
      </c>
      <c r="GN69" s="23" t="e">
        <f>EXP(-LN(2)/2)*GN68+(1-EXP(-LN(2)/2))/(LN(2)/2)*GH69*GK69*VLOOKUP('Données projet'!$B$17,Paramètres!$A$1:$I$88,3,0)*0.475*44/12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projet'!$B$18,Paramètres!$A$1:$I$88,3,0)*VLOOKUP('Données projet'!$B$18,Paramètres!$A$1:$I$88,5,0)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projet'!$B$18,Paramètres!$A$1:$I$88,7,0))</f>
        <v>0</v>
      </c>
      <c r="HE69" s="17">
        <f>IF(ISNA(VLOOKUP(A69,'Données projet'!$A$269:$I$289,6,0)),0%,VLOOKUP(A69,'Données projet'!$A$269:$I$289,6,0)*VLOOKUP('Données projet'!$B$18,Paramètres!$A$1:$I$88,7,0))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projet'!$B$18,Paramètres!$A$1:$I$88,3,0)*0.475*44/12</f>
        <v>#N/A</v>
      </c>
      <c r="HH69" s="23" t="e">
        <f>EXP(-LN(2)/25)*HH68+(1-EXP(-LN(2)/25))/(LN(2)/25)*Calculateur!HC69*Calculateur!HE69*VLOOKUP('Données projet'!$B$18,Paramètres!$A$1:$I$88,3,0)*0.475*44/12</f>
        <v>#N/A</v>
      </c>
      <c r="HI69" s="23" t="e">
        <f>EXP(-LN(2)/2)*HI68+(1-EXP(-LN(2)/2))/(LN(2)/2)*HC69*HF69*VLOOKUP('Données projet'!$B$18,Paramètres!$A$1:$I$88,3,0)*0.475*44/12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projet'!$B$9,Paramètres!$A$1:$I$88,3,0)*VLOOKUP('Données projet'!$B$9,Paramètres!$A$1:$I$88,5,0)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175.05987582828078</v>
      </c>
      <c r="T70" s="62">
        <f t="shared" si="88"/>
        <v>268.54782308462387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projet'!$B$9,Paramètres!$A$1:$I$88,7,0))</f>
        <v>0</v>
      </c>
      <c r="X70" s="17">
        <f>IF(ISNA(VLOOKUP(A70,'Données projet'!$A$35:$I$55,6,0)),0%,VLOOKUP(A70,'Données projet'!$A$35:$I$55,6,0)*VLOOKUP('Données projet'!$B$9,Paramètres!$A$1:$I$88,7,0))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projet'!$B$9,Paramètres!$A$1:$I$88,3,0)*0.475*44/12</f>
        <v>0</v>
      </c>
      <c r="AA70" s="23">
        <f>EXP(-LN(2)/25)*AA69+(1-EXP(-LN(2)/25))/(LN(2)/25)*Calculateur!V70*Calculateur!X70*VLOOKUP('Données projet'!$B$9,Paramètres!$A$1:$I$88,3,0)*0.475*44/12</f>
        <v>3.6908122797250464</v>
      </c>
      <c r="AB70" s="23">
        <f>EXP(-LN(2)/2)*AB69+(1-EXP(-LN(2)/2))/(LN(2)/2)*V70*Y70*VLOOKUP('Données projet'!$B$9,Paramètres!$A$1:$I$88,3,0)*0.475*44/12</f>
        <v>4.455783674262644E-5</v>
      </c>
      <c r="AC70" s="24">
        <f t="shared" si="57"/>
        <v>3.690856837561789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20.133333333333333</v>
      </c>
      <c r="AI70" s="14">
        <f>IF('Données projet'!$A$62&gt;35,AI69+AH70-AQ69,IF(A70&lt;'Données projet'!$A$62,$AF$205^A70,IF(A70='Données projet'!$A$62,'Données projet'!$B$62,AI69+AH70-AQ69)))</f>
        <v>693.93333333333271</v>
      </c>
      <c r="AJ70" s="14">
        <f>AI70*VLOOKUP('Données projet'!$B$10,Paramètres!$A$1:$I$88,3,0)*VLOOKUP('Données projet'!$B$10,Paramètres!$A$1:$I$88,5,0)</f>
        <v>333.78193333333309</v>
      </c>
      <c r="AK70" s="14">
        <f t="shared" si="89"/>
        <v>78.213877673380452</v>
      </c>
      <c r="AL70" s="22">
        <f t="shared" si="58"/>
        <v>717.55937083669278</v>
      </c>
      <c r="AM70" s="62">
        <f t="shared" si="59"/>
        <v>1010.892704170026</v>
      </c>
      <c r="AN70" s="62">
        <f ca="1">AVERAGE(OFFSET($AM$3,0,0,'Données projet'!$E$10+1,1))-AVERAGE(OFFSET($H$3,0,0,'Données projet'!$E$10+1,1))</f>
        <v>576.61210817354549</v>
      </c>
      <c r="AO70" s="62">
        <f t="shared" si="90"/>
        <v>343.9428747444544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projet'!$B$10,Paramètres!$A$1:$I$88,7,0))</f>
        <v>0</v>
      </c>
      <c r="AS70" s="17">
        <f>IF(ISNA(VLOOKUP(A70,'Données projet'!$A$61:$I$81,6,0)),0%,VLOOKUP(A70,'Données projet'!$A$61:$I$81,6,0)*VLOOKUP('Données projet'!$B$10,Paramètres!$A$1:$I$88,7,0))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projet'!$B$10,Paramètres!$A$1:$I$88,3,0)*0.475*44/12</f>
        <v>0</v>
      </c>
      <c r="AV70" s="23">
        <f>EXP(-LN(2)/25)*AV69+(1-EXP(-LN(2)/25))/(LN(2)/25)*Calculateur!AQ70*Calculateur!AS70*VLOOKUP('Données projet'!$B$10,Paramètres!$A$1:$I$88,3,0)*0.475*44/12</f>
        <v>2.0300810867696346</v>
      </c>
      <c r="AW70" s="23">
        <f>EXP(-LN(2)/2)*AW69+(1-EXP(-LN(2)/2))/(LN(2)/2)*AQ70*AT70*VLOOKUP('Données projet'!$B$10,Paramètres!$A$1:$I$88,3,0)*0.475*44/12</f>
        <v>3.173068494327113E-5</v>
      </c>
      <c r="AX70" s="23">
        <f t="shared" si="60"/>
        <v>2.0301128174545777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4.5000000000000115</v>
      </c>
      <c r="BD70" s="13">
        <f>IF('Données projet'!$A$88&gt;35,BD69+BC70-BL69,IF(A70&lt;'Données projet'!$A$88,$BA$205^A70,IF(A70='Données projet'!$A$88,'Données projet'!$B$88,BD69+BC70-BL69)))</f>
        <v>301.59999999999991</v>
      </c>
      <c r="BE70" s="14">
        <f>BD70*VLOOKUP('Données projet'!$B$11,Paramètres!$A$1:$I$88,3,0)*VLOOKUP('Données projet'!$B$11,Paramètres!$A$1:$I$88,5,0)</f>
        <v>239.95295999999993</v>
      </c>
      <c r="BF70" s="14">
        <f t="shared" si="91"/>
        <v>58.429409481604822</v>
      </c>
      <c r="BG70" s="22">
        <f t="shared" si="61"/>
        <v>519.68262684712829</v>
      </c>
      <c r="BH70" s="62">
        <f t="shared" si="62"/>
        <v>813.01596018046166</v>
      </c>
      <c r="BI70" s="62">
        <f ca="1">AVERAGE(OFFSET($BH$3,0,0,'Données projet'!$E$11+1,1))-AVERAGE(OFFSET($H$3,0,0,'Données projet'!$E$11+1,1))</f>
        <v>298.38448036212861</v>
      </c>
      <c r="BJ70" s="62">
        <f t="shared" si="92"/>
        <v>270.4445531106897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projet'!$B$11,Paramètres!$A$1:$I$88,7,0))</f>
        <v>0</v>
      </c>
      <c r="BN70" s="17">
        <f>IF(ISNA(VLOOKUP(A70,'Données projet'!$A$87:$I$107,6,0)),0%,VLOOKUP(A70,'Données projet'!$A$87:$I$107,6,0)*VLOOKUP('Données projet'!$B$11,Paramètres!$A$1:$I$88,7,0))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projet'!$B$11,Paramètres!$A$1:$I$88,3,0)*0.475*44/12</f>
        <v>0</v>
      </c>
      <c r="BQ70" s="23">
        <f>EXP(-LN(2)/25)*BQ69+(1-EXP(-LN(2)/25))/(LN(2)/25)*Calculateur!BL70*Calculateur!BN70*VLOOKUP('Données projet'!$B$11,Paramètres!$A$1:$I$88,3,0)*0.475*44/12</f>
        <v>0</v>
      </c>
      <c r="BR70" s="23">
        <f>EXP(-LN(2)/2)*BR69+(1-EXP(-LN(2)/2))/(LN(2)/2)*BL70*BO70*VLOOKUP('Données projet'!$B$11,Paramètres!$A$1:$I$88,3,0)*0.475*44/12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8.6666666666666661</v>
      </c>
      <c r="BY70" s="13">
        <f>IF('Données projet'!$A$114&gt;35,BY69+BX70-CG69,IF(A70&lt;'Données projet'!$A$114,$BV$205^A70,IF(A70='Données projet'!$A$114,'Données projet'!$B$114,BY69+BX70-CG69)))</f>
        <v>310.66666666666669</v>
      </c>
      <c r="BZ70" s="14">
        <f>BY70*VLOOKUP('Données projet'!$B$12,Paramètres!$A$1:$I$88,3,0)*VLOOKUP('Données projet'!$B$12,Paramètres!$A$1:$I$88,5,0)</f>
        <v>242.32000000000002</v>
      </c>
      <c r="CA70" s="14">
        <f t="shared" si="93"/>
        <v>58.938409961900859</v>
      </c>
      <c r="CB70" s="22">
        <f t="shared" si="64"/>
        <v>524.69173068364398</v>
      </c>
      <c r="CC70" s="62">
        <f t="shared" si="65"/>
        <v>818.02506401697724</v>
      </c>
      <c r="CD70" s="62">
        <f ca="1">AVERAGE(OFFSET($CC$3,0,0,'Données projet'!$E$12+1,1))-AVERAGE(OFFSET($H$3,0,0,'Données projet'!$E$12+1,1))</f>
        <v>217.32600829266818</v>
      </c>
      <c r="CE70" s="62">
        <f t="shared" si="94"/>
        <v>208.79744153433245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projet'!$B$12,Paramètres!$A$1:$I$88,7,0))</f>
        <v>0</v>
      </c>
      <c r="CI70" s="17">
        <f>IF(ISNA(VLOOKUP(A70,'Données projet'!$A$113:$I$133,6,0)),0%,VLOOKUP(A70,'Données projet'!$A$113:$I$133,6,0)*VLOOKUP('Données projet'!$B$12,Paramètres!$A$1:$I$88,7,0))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projet'!$B$12,Paramètres!$A$1:$I$88,3,0)*0.475*44/12</f>
        <v>0</v>
      </c>
      <c r="CL70" s="23">
        <f>EXP(-LN(2)/25)*CL69+(1-EXP(-LN(2)/25))/(LN(2)/25)*Calculateur!CG70*Calculateur!CI70*VLOOKUP('Données projet'!$B$12,Paramètres!$A$1:$I$88,3,0)*0.475*44/12</f>
        <v>0</v>
      </c>
      <c r="CM70" s="23">
        <f>EXP(-LN(2)/2)*CM69+(1-EXP(-LN(2)/2))/(LN(2)/2)*CG70*CJ70*VLOOKUP('Données projet'!$B$12,Paramètres!$A$1:$I$88,3,0)*0.475*44/12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13.857142857142858</v>
      </c>
      <c r="CT70" s="13">
        <f>IF('Données projet'!$A$140&gt;35,CT69+CS70-DB69,IF(A70&lt;'Données projet'!$A$140,$CQ$205^A70,IF(A70='Données projet'!$A$140,'Données projet'!$B$140,CT69+CS70-DB69)))</f>
        <v>509.42857142857105</v>
      </c>
      <c r="CU70" s="18">
        <f>CT70*VLOOKUP('Données projet'!$B$13,Paramètres!$A$1:$I$88,3,0)*VLOOKUP('Données projet'!$B$13,Paramètres!$A$1:$I$88,5,0)</f>
        <v>284.77057142857126</v>
      </c>
      <c r="CV70" s="14">
        <f t="shared" si="95"/>
        <v>67.974174355789401</v>
      </c>
      <c r="CW70" s="22">
        <f t="shared" si="67"/>
        <v>614.36376557442816</v>
      </c>
      <c r="CX70" s="62">
        <f t="shared" si="68"/>
        <v>907.69709890776153</v>
      </c>
      <c r="CY70" s="62">
        <f ca="1">AVERAGE(OFFSET($CX$3,0,0,'Données projet'!$E$13+1,1))-AVERAGE(OFFSET($H$3,0,0,'Données projet'!$E$13+1,1))</f>
        <v>302.20483575440988</v>
      </c>
      <c r="CZ70" s="62">
        <f t="shared" si="96"/>
        <v>275.32862097158687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projet'!$B$13,Paramètres!$A$1:$I$88,7,0))</f>
        <v>0</v>
      </c>
      <c r="DD70" s="17">
        <f>IF(ISNA(VLOOKUP(A70,'Données projet'!$A$139:$I$159,6,0)),0%,VLOOKUP(A70,'Données projet'!$A$139:$I$159,6,0)*VLOOKUP('Données projet'!$B$13,Paramètres!$A$1:$I$88,7,0))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projet'!$B$13,Paramètres!$A$1:$I$88,3,0)*0.475*44/12</f>
        <v>0</v>
      </c>
      <c r="DG70" s="23">
        <f>EXP(-LN(2)/25)*DG69+(1-EXP(-LN(2)/25))/(LN(2)/25)*Calculateur!DB70*Calculateur!DD70*VLOOKUP('Données projet'!$B$13,Paramètres!$A$1:$I$88,3,0)*0.475*44/12</f>
        <v>4.9569053697861234</v>
      </c>
      <c r="DH70" s="23">
        <f>EXP(-LN(2)/2)*DH69+(1-EXP(-LN(2)/2))/(LN(2)/2)*DB70*DE70*VLOOKUP('Données projet'!$B$13,Paramètres!$A$1:$I$88,3,0)*0.475*44/12</f>
        <v>1.8290754985062179E-5</v>
      </c>
      <c r="DI70" s="24">
        <f t="shared" si="69"/>
        <v>4.9569236605411087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projet'!$B$14,Paramètres!$A$1:$I$88,3,0)*VLOOKUP('Données projet'!$B$14,Paramètres!$A$1:$I$88,5,0)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projet'!$B$14,Paramètres!$A$1:$I$88,7,0))</f>
        <v>0</v>
      </c>
      <c r="DY70" s="17">
        <f>IF(ISNA(VLOOKUP(A70,'Données projet'!$A$165:$I$185,6,0)),0%,VLOOKUP(A70,'Données projet'!$A$165:$I$185,6,0)*VLOOKUP('Données projet'!$B$14,Paramètres!$A$1:$I$88,7,0))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projet'!$B$14,Paramètres!$A$1:$I$88,3,0)*0.475*44/12</f>
        <v>#N/A</v>
      </c>
      <c r="EB70" s="23" t="e">
        <f>EXP(-LN(2)/25)*EB69+(1-EXP(-LN(2)/25))/(LN(2)/25)*Calculateur!DW70*Calculateur!DY70*VLOOKUP('Données projet'!$B$14,Paramètres!$A$1:$I$88,3,0)*0.475*44/12</f>
        <v>#N/A</v>
      </c>
      <c r="EC70" s="23" t="e">
        <f>EXP(-LN(2)/2)*EC69+(1-EXP(-LN(2)/2))/(LN(2)/2)*DW70*DZ70*VLOOKUP('Données projet'!$B$14,Paramètres!$A$1:$I$88,3,0)*0.475*44/12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projet'!$B$15,Paramètres!$A$1:$I$88,3,0)*VLOOKUP('Données projet'!$B$15,Paramètres!$A$1:$I$88,5,0)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projet'!$B$15,Paramètres!$A$1:$I$88,7,0))</f>
        <v>0</v>
      </c>
      <c r="ET70" s="17">
        <f>IF(ISNA(VLOOKUP(A70,'Données projet'!$A$191:$I$211,6,0)),0%,VLOOKUP(A70,'Données projet'!$A$191:$I$211,6,0)*VLOOKUP('Données projet'!$B$15,Paramètres!$A$1:$I$88,7,0))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projet'!$B$15,Paramètres!$A$1:$I$88,3,0)*0.475*44/12</f>
        <v>#N/A</v>
      </c>
      <c r="EW70" s="23" t="e">
        <f>EXP(-LN(2)/25)*EW69+(1-EXP(-LN(2)/25))/(LN(2)/25)*Calculateur!ER70*Calculateur!ET70*VLOOKUP('Données projet'!$B$15,Paramètres!$A$1:$I$88,3,0)*0.475*44/12</f>
        <v>#N/A</v>
      </c>
      <c r="EX70" s="23" t="e">
        <f>EXP(-LN(2)/2)*EX69+(1-EXP(-LN(2)/2))/(LN(2)/2)*ER70*EU70*VLOOKUP('Données projet'!$B$15,Paramètres!$A$1:$I$88,3,0)*0.475*44/12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projet'!$B$16,Paramètres!$A$1:$I$88,3,0)*VLOOKUP('Données projet'!$B$16,Paramètres!$A$1:$I$88,5,0)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projet'!$B$16,Paramètres!$A$1:$I$88,7,0))</f>
        <v>0</v>
      </c>
      <c r="FO70" s="17">
        <f>IF(ISNA(VLOOKUP(A70,'Données projet'!$A$217:$I$237,6,0)),0%,VLOOKUP(A70,'Données projet'!$A$217:$I$237,6,0)*VLOOKUP('Données projet'!$B$16,Paramètres!$A$1:$I$88,7,0))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projet'!$B$16,Paramètres!$A$1:$I$88,3,0)*0.475*44/12</f>
        <v>#N/A</v>
      </c>
      <c r="FR70" s="23" t="e">
        <f>EXP(-LN(2)/25)*FR69+(1-EXP(-LN(2)/25))/(LN(2)/25)*Calculateur!FM70*Calculateur!FO70*VLOOKUP('Données projet'!$B$16,Paramètres!$A$1:$I$88,3,0)*0.475*44/12</f>
        <v>#N/A</v>
      </c>
      <c r="FS70" s="23" t="e">
        <f>EXP(-LN(2)/2)*FS69+(1-EXP(-LN(2)/2))/(LN(2)/2)*FM70*FP70*VLOOKUP('Données projet'!$B$16,Paramètres!$A$1:$I$88,3,0)*0.475*44/12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projet'!$B$17,Paramètres!$A$1:$I$88,3,0)*VLOOKUP('Données projet'!$B$17,Paramètres!$A$1:$I$88,5,0)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projet'!$B$17,Paramètres!$A$1:$I$88,7,0))</f>
        <v>0</v>
      </c>
      <c r="GJ70" s="17">
        <f>IF(ISNA(VLOOKUP(A70,'Données projet'!$A$243:$I$263,6,0)),0%,VLOOKUP(A70,'Données projet'!$A$243:$I$263,6,0)*VLOOKUP('Données projet'!$B$17,Paramètres!$A$1:$I$88,7,0))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projet'!$B$17,Paramètres!$A$1:$I$88,3,0)*0.475*44/12</f>
        <v>#N/A</v>
      </c>
      <c r="GM70" s="23" t="e">
        <f>EXP(-LN(2)/25)*GM69+(1-EXP(-LN(2)/25))/(LN(2)/25)*Calculateur!GH70*Calculateur!GJ70*VLOOKUP('Données projet'!$B$17,Paramètres!$A$1:$I$88,3,0)*0.475*44/12</f>
        <v>#N/A</v>
      </c>
      <c r="GN70" s="23" t="e">
        <f>EXP(-LN(2)/2)*GN69+(1-EXP(-LN(2)/2))/(LN(2)/2)*GH70*GK70*VLOOKUP('Données projet'!$B$17,Paramètres!$A$1:$I$88,3,0)*0.475*44/12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projet'!$B$18,Paramètres!$A$1:$I$88,3,0)*VLOOKUP('Données projet'!$B$18,Paramètres!$A$1:$I$88,5,0)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projet'!$B$18,Paramètres!$A$1:$I$88,7,0))</f>
        <v>0</v>
      </c>
      <c r="HE70" s="17">
        <f>IF(ISNA(VLOOKUP(A70,'Données projet'!$A$269:$I$289,6,0)),0%,VLOOKUP(A70,'Données projet'!$A$269:$I$289,6,0)*VLOOKUP('Données projet'!$B$18,Paramètres!$A$1:$I$88,7,0))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projet'!$B$18,Paramètres!$A$1:$I$88,3,0)*0.475*44/12</f>
        <v>#N/A</v>
      </c>
      <c r="HH70" s="23" t="e">
        <f>EXP(-LN(2)/25)*HH69+(1-EXP(-LN(2)/25))/(LN(2)/25)*Calculateur!HC70*Calculateur!HE70*VLOOKUP('Données projet'!$B$18,Paramètres!$A$1:$I$88,3,0)*0.475*44/12</f>
        <v>#N/A</v>
      </c>
      <c r="HI70" s="23" t="e">
        <f>EXP(-LN(2)/2)*HI69+(1-EXP(-LN(2)/2))/(LN(2)/2)*HC70*HF70*VLOOKUP('Données projet'!$B$18,Paramètres!$A$1:$I$88,3,0)*0.475*44/12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projet'!$B$9,Paramètres!$A$1:$I$88,3,0)*VLOOKUP('Données projet'!$B$9,Paramètres!$A$1:$I$88,5,0)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175.05987582828078</v>
      </c>
      <c r="T71" s="62">
        <f t="shared" si="88"/>
        <v>268.54782308462387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projet'!$B$9,Paramètres!$A$1:$I$88,7,0))</f>
        <v>0</v>
      </c>
      <c r="X71" s="17">
        <f>IF(ISNA(VLOOKUP(A71,'Données projet'!$A$35:$I$55,6,0)),0%,VLOOKUP(A71,'Données projet'!$A$35:$I$55,6,0)*VLOOKUP('Données projet'!$B$9,Paramètres!$A$1:$I$88,7,0))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projet'!$B$9,Paramètres!$A$1:$I$88,3,0)*0.475*44/12</f>
        <v>0</v>
      </c>
      <c r="AA71" s="23">
        <f>EXP(-LN(2)/25)*AA70+(1-EXP(-LN(2)/25))/(LN(2)/25)*Calculateur!V71*Calculateur!X71*VLOOKUP('Données projet'!$B$9,Paramètres!$A$1:$I$88,3,0)*0.475*44/12</f>
        <v>3.5898868238445827</v>
      </c>
      <c r="AB71" s="23">
        <f>EXP(-LN(2)/2)*AB70+(1-EXP(-LN(2)/2))/(LN(2)/2)*V71*Y71*VLOOKUP('Données projet'!$B$9,Paramètres!$A$1:$I$88,3,0)*0.475*44/12</f>
        <v>3.1507148515714262E-5</v>
      </c>
      <c r="AC71" s="24">
        <f t="shared" si="57"/>
        <v>3.5899183309930982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20.133333333333333</v>
      </c>
      <c r="AI71" s="14">
        <f>IF('Données projet'!$A$62&gt;35,AI70+AH71-AQ70,IF(A71&lt;'Données projet'!$A$62,$AF$205^A71,IF(A71='Données projet'!$A$62,'Données projet'!$B$62,AI70+AH71-AQ70)))</f>
        <v>714.06666666666604</v>
      </c>
      <c r="AJ71" s="14">
        <f>AI71*VLOOKUP('Données projet'!$B$10,Paramètres!$A$1:$I$88,3,0)*VLOOKUP('Données projet'!$B$10,Paramètres!$A$1:$I$88,5,0)</f>
        <v>343.46606666666634</v>
      </c>
      <c r="AK71" s="14">
        <f t="shared" si="89"/>
        <v>80.215634467857214</v>
      </c>
      <c r="AL71" s="22">
        <f t="shared" si="58"/>
        <v>737.91229614262863</v>
      </c>
      <c r="AM71" s="62">
        <f t="shared" si="59"/>
        <v>1031.245629475962</v>
      </c>
      <c r="AN71" s="62">
        <f ca="1">AVERAGE(OFFSET($AM$3,0,0,'Données projet'!$E$10+1,1))-AVERAGE(OFFSET($H$3,0,0,'Données projet'!$E$10+1,1))</f>
        <v>576.61210817354549</v>
      </c>
      <c r="AO71" s="62">
        <f t="shared" si="90"/>
        <v>343.9428747444544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projet'!$B$10,Paramètres!$A$1:$I$88,7,0))</f>
        <v>0</v>
      </c>
      <c r="AS71" s="17">
        <f>IF(ISNA(VLOOKUP(A71,'Données projet'!$A$61:$I$81,6,0)),0%,VLOOKUP(A71,'Données projet'!$A$61:$I$81,6,0)*VLOOKUP('Données projet'!$B$10,Paramètres!$A$1:$I$88,7,0))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projet'!$B$10,Paramètres!$A$1:$I$88,3,0)*0.475*44/12</f>
        <v>0</v>
      </c>
      <c r="AV71" s="23">
        <f>EXP(-LN(2)/25)*AV70+(1-EXP(-LN(2)/25))/(LN(2)/25)*Calculateur!AQ71*Calculateur!AS71*VLOOKUP('Données projet'!$B$10,Paramètres!$A$1:$I$88,3,0)*0.475*44/12</f>
        <v>1.9745684126945944</v>
      </c>
      <c r="AW71" s="23">
        <f>EXP(-LN(2)/2)*AW70+(1-EXP(-LN(2)/2))/(LN(2)/2)*AQ71*AT71*VLOOKUP('Données projet'!$B$10,Paramètres!$A$1:$I$88,3,0)*0.475*44/12</f>
        <v>2.2436982495080898E-5</v>
      </c>
      <c r="AX71" s="23">
        <f t="shared" si="60"/>
        <v>1.9745908496770894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4.5000000000000115</v>
      </c>
      <c r="BD71" s="13">
        <f>IF('Données projet'!$A$88&gt;35,BD70+BC71-BL70,IF(A71&lt;'Données projet'!$A$88,$BA$205^A71,IF(A71='Données projet'!$A$88,'Données projet'!$B$88,BD70+BC71-BL70)))</f>
        <v>306.09999999999991</v>
      </c>
      <c r="BE71" s="14">
        <f>BD71*VLOOKUP('Données projet'!$B$11,Paramètres!$A$1:$I$88,3,0)*VLOOKUP('Données projet'!$B$11,Paramètres!$A$1:$I$88,5,0)</f>
        <v>243.53315999999995</v>
      </c>
      <c r="BF71" s="14">
        <f t="shared" si="91"/>
        <v>59.199059295522858</v>
      </c>
      <c r="BG71" s="22">
        <f t="shared" si="61"/>
        <v>527.2586152730355</v>
      </c>
      <c r="BH71" s="62">
        <f t="shared" si="62"/>
        <v>820.59194860636876</v>
      </c>
      <c r="BI71" s="62">
        <f ca="1">AVERAGE(OFFSET($BH$3,0,0,'Données projet'!$E$11+1,1))-AVERAGE(OFFSET($H$3,0,0,'Données projet'!$E$11+1,1))</f>
        <v>298.38448036212861</v>
      </c>
      <c r="BJ71" s="62">
        <f t="shared" si="92"/>
        <v>270.4445531106897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projet'!$B$11,Paramètres!$A$1:$I$88,7,0))</f>
        <v>0</v>
      </c>
      <c r="BN71" s="17">
        <f>IF(ISNA(VLOOKUP(A71,'Données projet'!$A$87:$I$107,6,0)),0%,VLOOKUP(A71,'Données projet'!$A$87:$I$107,6,0)*VLOOKUP('Données projet'!$B$11,Paramètres!$A$1:$I$88,7,0))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projet'!$B$11,Paramètres!$A$1:$I$88,3,0)*0.475*44/12</f>
        <v>0</v>
      </c>
      <c r="BQ71" s="23">
        <f>EXP(-LN(2)/25)*BQ70+(1-EXP(-LN(2)/25))/(LN(2)/25)*Calculateur!BL71*Calculateur!BN71*VLOOKUP('Données projet'!$B$11,Paramètres!$A$1:$I$88,3,0)*0.475*44/12</f>
        <v>0</v>
      </c>
      <c r="BR71" s="23">
        <f>EXP(-LN(2)/2)*BR70+(1-EXP(-LN(2)/2))/(LN(2)/2)*BL71*BO71*VLOOKUP('Données projet'!$B$11,Paramètres!$A$1:$I$88,3,0)*0.475*44/12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8.6666666666666661</v>
      </c>
      <c r="BY71" s="13">
        <f>IF('Données projet'!$A$114&gt;35,BY70+BX71-CG70,IF(A71&lt;'Données projet'!$A$114,$BV$205^A71,IF(A71='Données projet'!$A$114,'Données projet'!$B$114,BY70+BX71-CG70)))</f>
        <v>319.33333333333337</v>
      </c>
      <c r="BZ71" s="14">
        <f>BY71*VLOOKUP('Données projet'!$B$12,Paramètres!$A$1:$I$88,3,0)*VLOOKUP('Données projet'!$B$12,Paramètres!$A$1:$I$88,5,0)</f>
        <v>249.08000000000004</v>
      </c>
      <c r="CA71" s="14">
        <f t="shared" si="93"/>
        <v>60.388894447487807</v>
      </c>
      <c r="CB71" s="22">
        <f t="shared" si="64"/>
        <v>538.99165782937473</v>
      </c>
      <c r="CC71" s="62">
        <f t="shared" si="65"/>
        <v>832.3249911627081</v>
      </c>
      <c r="CD71" s="62">
        <f ca="1">AVERAGE(OFFSET($CC$3,0,0,'Données projet'!$E$12+1,1))-AVERAGE(OFFSET($H$3,0,0,'Données projet'!$E$12+1,1))</f>
        <v>217.32600829266818</v>
      </c>
      <c r="CE71" s="62">
        <f t="shared" si="94"/>
        <v>208.79744153433245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projet'!$B$12,Paramètres!$A$1:$I$88,7,0))</f>
        <v>0</v>
      </c>
      <c r="CI71" s="17">
        <f>IF(ISNA(VLOOKUP(A71,'Données projet'!$A$113:$I$133,6,0)),0%,VLOOKUP(A71,'Données projet'!$A$113:$I$133,6,0)*VLOOKUP('Données projet'!$B$12,Paramètres!$A$1:$I$88,7,0))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projet'!$B$12,Paramètres!$A$1:$I$88,3,0)*0.475*44/12</f>
        <v>0</v>
      </c>
      <c r="CL71" s="23">
        <f>EXP(-LN(2)/25)*CL70+(1-EXP(-LN(2)/25))/(LN(2)/25)*Calculateur!CG71*Calculateur!CI71*VLOOKUP('Données projet'!$B$12,Paramètres!$A$1:$I$88,3,0)*0.475*44/12</f>
        <v>0</v>
      </c>
      <c r="CM71" s="23">
        <f>EXP(-LN(2)/2)*CM70+(1-EXP(-LN(2)/2))/(LN(2)/2)*CG71*CJ71*VLOOKUP('Données projet'!$B$12,Paramètres!$A$1:$I$88,3,0)*0.475*44/12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13.857142857142858</v>
      </c>
      <c r="CT71" s="13">
        <f>IF('Données projet'!$A$140&gt;35,CT70+CS71-DB70,IF(A71&lt;'Données projet'!$A$140,$CQ$205^A71,IF(A71='Données projet'!$A$140,'Données projet'!$B$140,CT70+CS71-DB70)))</f>
        <v>523.28571428571388</v>
      </c>
      <c r="CU71" s="18">
        <f>CT71*VLOOKUP('Données projet'!$B$13,Paramètres!$A$1:$I$88,3,0)*VLOOKUP('Données projet'!$B$13,Paramètres!$A$1:$I$88,5,0)</f>
        <v>292.5167142857141</v>
      </c>
      <c r="CV71" s="14">
        <f t="shared" si="95"/>
        <v>69.605380435295899</v>
      </c>
      <c r="CW71" s="22">
        <f t="shared" si="67"/>
        <v>630.69598163909245</v>
      </c>
      <c r="CX71" s="62">
        <f t="shared" si="68"/>
        <v>924.02931497242571</v>
      </c>
      <c r="CY71" s="62">
        <f ca="1">AVERAGE(OFFSET($CX$3,0,0,'Données projet'!$E$13+1,1))-AVERAGE(OFFSET($H$3,0,0,'Données projet'!$E$13+1,1))</f>
        <v>302.20483575440988</v>
      </c>
      <c r="CZ71" s="62">
        <f t="shared" si="96"/>
        <v>275.32862097158687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projet'!$B$13,Paramètres!$A$1:$I$88,7,0))</f>
        <v>0</v>
      </c>
      <c r="DD71" s="17">
        <f>IF(ISNA(VLOOKUP(A71,'Données projet'!$A$139:$I$159,6,0)),0%,VLOOKUP(A71,'Données projet'!$A$139:$I$159,6,0)*VLOOKUP('Données projet'!$B$13,Paramètres!$A$1:$I$88,7,0))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projet'!$B$13,Paramètres!$A$1:$I$88,3,0)*0.475*44/12</f>
        <v>0</v>
      </c>
      <c r="DG71" s="23">
        <f>EXP(-LN(2)/25)*DG70+(1-EXP(-LN(2)/25))/(LN(2)/25)*Calculateur!DB71*Calculateur!DD71*VLOOKUP('Données projet'!$B$13,Paramètres!$A$1:$I$88,3,0)*0.475*44/12</f>
        <v>4.8213585317769976</v>
      </c>
      <c r="DH71" s="23">
        <f>EXP(-LN(2)/2)*DH70+(1-EXP(-LN(2)/2))/(LN(2)/2)*DB71*DE71*VLOOKUP('Données projet'!$B$13,Paramètres!$A$1:$I$88,3,0)*0.475*44/12</f>
        <v>1.2933516882959116E-5</v>
      </c>
      <c r="DI71" s="24">
        <f t="shared" si="69"/>
        <v>4.8213714652938808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projet'!$B$14,Paramètres!$A$1:$I$88,3,0)*VLOOKUP('Données projet'!$B$14,Paramètres!$A$1:$I$88,5,0)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projet'!$B$14,Paramètres!$A$1:$I$88,7,0))</f>
        <v>0</v>
      </c>
      <c r="DY71" s="17">
        <f>IF(ISNA(VLOOKUP(A71,'Données projet'!$A$165:$I$185,6,0)),0%,VLOOKUP(A71,'Données projet'!$A$165:$I$185,6,0)*VLOOKUP('Données projet'!$B$14,Paramètres!$A$1:$I$88,7,0))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projet'!$B$14,Paramètres!$A$1:$I$88,3,0)*0.475*44/12</f>
        <v>#N/A</v>
      </c>
      <c r="EB71" s="23" t="e">
        <f>EXP(-LN(2)/25)*EB70+(1-EXP(-LN(2)/25))/(LN(2)/25)*Calculateur!DW71*Calculateur!DY71*VLOOKUP('Données projet'!$B$14,Paramètres!$A$1:$I$88,3,0)*0.475*44/12</f>
        <v>#N/A</v>
      </c>
      <c r="EC71" s="23" t="e">
        <f>EXP(-LN(2)/2)*EC70+(1-EXP(-LN(2)/2))/(LN(2)/2)*DW71*DZ71*VLOOKUP('Données projet'!$B$14,Paramètres!$A$1:$I$88,3,0)*0.475*44/12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projet'!$B$15,Paramètres!$A$1:$I$88,3,0)*VLOOKUP('Données projet'!$B$15,Paramètres!$A$1:$I$88,5,0)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projet'!$B$15,Paramètres!$A$1:$I$88,7,0))</f>
        <v>0</v>
      </c>
      <c r="ET71" s="17">
        <f>IF(ISNA(VLOOKUP(A71,'Données projet'!$A$191:$I$211,6,0)),0%,VLOOKUP(A71,'Données projet'!$A$191:$I$211,6,0)*VLOOKUP('Données projet'!$B$15,Paramètres!$A$1:$I$88,7,0))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projet'!$B$15,Paramètres!$A$1:$I$88,3,0)*0.475*44/12</f>
        <v>#N/A</v>
      </c>
      <c r="EW71" s="23" t="e">
        <f>EXP(-LN(2)/25)*EW70+(1-EXP(-LN(2)/25))/(LN(2)/25)*Calculateur!ER71*Calculateur!ET71*VLOOKUP('Données projet'!$B$15,Paramètres!$A$1:$I$88,3,0)*0.475*44/12</f>
        <v>#N/A</v>
      </c>
      <c r="EX71" s="23" t="e">
        <f>EXP(-LN(2)/2)*EX70+(1-EXP(-LN(2)/2))/(LN(2)/2)*ER71*EU71*VLOOKUP('Données projet'!$B$15,Paramètres!$A$1:$I$88,3,0)*0.475*44/12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projet'!$B$16,Paramètres!$A$1:$I$88,3,0)*VLOOKUP('Données projet'!$B$16,Paramètres!$A$1:$I$88,5,0)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projet'!$B$16,Paramètres!$A$1:$I$88,7,0))</f>
        <v>0</v>
      </c>
      <c r="FO71" s="17">
        <f>IF(ISNA(VLOOKUP(A71,'Données projet'!$A$217:$I$237,6,0)),0%,VLOOKUP(A71,'Données projet'!$A$217:$I$237,6,0)*VLOOKUP('Données projet'!$B$16,Paramètres!$A$1:$I$88,7,0))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projet'!$B$16,Paramètres!$A$1:$I$88,3,0)*0.475*44/12</f>
        <v>#N/A</v>
      </c>
      <c r="FR71" s="23" t="e">
        <f>EXP(-LN(2)/25)*FR70+(1-EXP(-LN(2)/25))/(LN(2)/25)*Calculateur!FM71*Calculateur!FO71*VLOOKUP('Données projet'!$B$16,Paramètres!$A$1:$I$88,3,0)*0.475*44/12</f>
        <v>#N/A</v>
      </c>
      <c r="FS71" s="23" t="e">
        <f>EXP(-LN(2)/2)*FS70+(1-EXP(-LN(2)/2))/(LN(2)/2)*FM71*FP71*VLOOKUP('Données projet'!$B$16,Paramètres!$A$1:$I$88,3,0)*0.475*44/12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projet'!$B$17,Paramètres!$A$1:$I$88,3,0)*VLOOKUP('Données projet'!$B$17,Paramètres!$A$1:$I$88,5,0)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projet'!$B$17,Paramètres!$A$1:$I$88,7,0))</f>
        <v>0</v>
      </c>
      <c r="GJ71" s="17">
        <f>IF(ISNA(VLOOKUP(A71,'Données projet'!$A$243:$I$263,6,0)),0%,VLOOKUP(A71,'Données projet'!$A$243:$I$263,6,0)*VLOOKUP('Données projet'!$B$17,Paramètres!$A$1:$I$88,7,0))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projet'!$B$17,Paramètres!$A$1:$I$88,3,0)*0.475*44/12</f>
        <v>#N/A</v>
      </c>
      <c r="GM71" s="23" t="e">
        <f>EXP(-LN(2)/25)*GM70+(1-EXP(-LN(2)/25))/(LN(2)/25)*Calculateur!GH71*Calculateur!GJ71*VLOOKUP('Données projet'!$B$17,Paramètres!$A$1:$I$88,3,0)*0.475*44/12</f>
        <v>#N/A</v>
      </c>
      <c r="GN71" s="23" t="e">
        <f>EXP(-LN(2)/2)*GN70+(1-EXP(-LN(2)/2))/(LN(2)/2)*GH71*GK71*VLOOKUP('Données projet'!$B$17,Paramètres!$A$1:$I$88,3,0)*0.475*44/12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projet'!$B$18,Paramètres!$A$1:$I$88,3,0)*VLOOKUP('Données projet'!$B$18,Paramètres!$A$1:$I$88,5,0)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projet'!$B$18,Paramètres!$A$1:$I$88,7,0))</f>
        <v>0</v>
      </c>
      <c r="HE71" s="17">
        <f>IF(ISNA(VLOOKUP(A71,'Données projet'!$A$269:$I$289,6,0)),0%,VLOOKUP(A71,'Données projet'!$A$269:$I$289,6,0)*VLOOKUP('Données projet'!$B$18,Paramètres!$A$1:$I$88,7,0))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projet'!$B$18,Paramètres!$A$1:$I$88,3,0)*0.475*44/12</f>
        <v>#N/A</v>
      </c>
      <c r="HH71" s="23" t="e">
        <f>EXP(-LN(2)/25)*HH70+(1-EXP(-LN(2)/25))/(LN(2)/25)*Calculateur!HC71*Calculateur!HE71*VLOOKUP('Données projet'!$B$18,Paramètres!$A$1:$I$88,3,0)*0.475*44/12</f>
        <v>#N/A</v>
      </c>
      <c r="HI71" s="23" t="e">
        <f>EXP(-LN(2)/2)*HI70+(1-EXP(-LN(2)/2))/(LN(2)/2)*HC71*HF71*VLOOKUP('Données projet'!$B$18,Paramètres!$A$1:$I$88,3,0)*0.475*44/12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projet'!$B$9,Paramètres!$A$1:$I$88,3,0)*VLOOKUP('Données projet'!$B$9,Paramètres!$A$1:$I$88,5,0)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175.05987582828078</v>
      </c>
      <c r="T72" s="62">
        <f t="shared" si="88"/>
        <v>268.54782308462387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projet'!$B$9,Paramètres!$A$1:$I$88,7,0))</f>
        <v>0</v>
      </c>
      <c r="X72" s="17">
        <f>IF(ISNA(VLOOKUP(A72,'Données projet'!$A$35:$I$55,6,0)),0%,VLOOKUP(A72,'Données projet'!$A$35:$I$55,6,0)*VLOOKUP('Données projet'!$B$9,Paramètres!$A$1:$I$88,7,0))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projet'!$B$9,Paramètres!$A$1:$I$88,3,0)*0.475*44/12</f>
        <v>0</v>
      </c>
      <c r="AA72" s="23">
        <f>EXP(-LN(2)/25)*AA71+(1-EXP(-LN(2)/25))/(LN(2)/25)*Calculateur!V72*Calculateur!X72*VLOOKUP('Données projet'!$B$9,Paramètres!$A$1:$I$88,3,0)*0.475*44/12</f>
        <v>3.4917211798626093</v>
      </c>
      <c r="AB72" s="23">
        <f>EXP(-LN(2)/2)*AB71+(1-EXP(-LN(2)/2))/(LN(2)/2)*V72*Y72*VLOOKUP('Données projet'!$B$9,Paramètres!$A$1:$I$88,3,0)*0.475*44/12</f>
        <v>2.227891837131322E-5</v>
      </c>
      <c r="AC72" s="24">
        <f t="shared" si="57"/>
        <v>3.4917434587809808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20.133333333333333</v>
      </c>
      <c r="AI72" s="14">
        <f>IF('Données projet'!$A$62&gt;35,AI71+AH72-AQ71,IF(A72&lt;'Données projet'!$A$62,$AF$205^A72,IF(A72='Données projet'!$A$62,'Données projet'!$B$62,AI71+AH72-AQ71)))</f>
        <v>734.19999999999936</v>
      </c>
      <c r="AJ72" s="14">
        <f>AI72*VLOOKUP('Données projet'!$B$10,Paramètres!$A$1:$I$88,3,0)*VLOOKUP('Données projet'!$B$10,Paramètres!$A$1:$I$88,5,0)</f>
        <v>353.1501999999997</v>
      </c>
      <c r="AK72" s="14">
        <f t="shared" si="89"/>
        <v>82.210831478103245</v>
      </c>
      <c r="AL72" s="22">
        <f t="shared" si="58"/>
        <v>758.25379649102933</v>
      </c>
      <c r="AM72" s="62">
        <f t="shared" si="59"/>
        <v>1051.5871298243626</v>
      </c>
      <c r="AN72" s="62">
        <f ca="1">AVERAGE(OFFSET($AM$3,0,0,'Données projet'!$E$10+1,1))-AVERAGE(OFFSET($H$3,0,0,'Données projet'!$E$10+1,1))</f>
        <v>576.61210817354549</v>
      </c>
      <c r="AO72" s="62">
        <f t="shared" si="90"/>
        <v>343.9428747444544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projet'!$B$10,Paramètres!$A$1:$I$88,7,0))</f>
        <v>0</v>
      </c>
      <c r="AS72" s="17">
        <f>IF(ISNA(VLOOKUP(A72,'Données projet'!$A$61:$I$81,6,0)),0%,VLOOKUP(A72,'Données projet'!$A$61:$I$81,6,0)*VLOOKUP('Données projet'!$B$10,Paramètres!$A$1:$I$88,7,0))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projet'!$B$10,Paramètres!$A$1:$I$88,3,0)*0.475*44/12</f>
        <v>0</v>
      </c>
      <c r="AV72" s="23">
        <f>EXP(-LN(2)/25)*AV71+(1-EXP(-LN(2)/25))/(LN(2)/25)*Calculateur!AQ72*Calculateur!AS72*VLOOKUP('Données projet'!$B$10,Paramètres!$A$1:$I$88,3,0)*0.475*44/12</f>
        <v>1.9205737356114208</v>
      </c>
      <c r="AW72" s="23">
        <f>EXP(-LN(2)/2)*AW71+(1-EXP(-LN(2)/2))/(LN(2)/2)*AQ72*AT72*VLOOKUP('Données projet'!$B$10,Paramètres!$A$1:$I$88,3,0)*0.475*44/12</f>
        <v>1.5865342471635565E-5</v>
      </c>
      <c r="AX72" s="23">
        <f t="shared" si="60"/>
        <v>1.9205896009538923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4.5000000000000115</v>
      </c>
      <c r="BD72" s="13">
        <f>IF('Données projet'!$A$88&gt;35,BD71+BC72-BL71,IF(A72&lt;'Données projet'!$A$88,$BA$205^A72,IF(A72='Données projet'!$A$88,'Données projet'!$B$88,BD71+BC72-BL71)))</f>
        <v>310.59999999999991</v>
      </c>
      <c r="BE72" s="14">
        <f>BD72*VLOOKUP('Données projet'!$B$11,Paramètres!$A$1:$I$88,3,0)*VLOOKUP('Données projet'!$B$11,Paramètres!$A$1:$I$88,5,0)</f>
        <v>247.11335999999991</v>
      </c>
      <c r="BF72" s="14">
        <f t="shared" si="91"/>
        <v>59.967393156546734</v>
      </c>
      <c r="BG72" s="22">
        <f t="shared" si="61"/>
        <v>534.83231174765194</v>
      </c>
      <c r="BH72" s="62">
        <f t="shared" si="62"/>
        <v>828.16564508098531</v>
      </c>
      <c r="BI72" s="62">
        <f ca="1">AVERAGE(OFFSET($BH$3,0,0,'Données projet'!$E$11+1,1))-AVERAGE(OFFSET($H$3,0,0,'Données projet'!$E$11+1,1))</f>
        <v>298.38448036212861</v>
      </c>
      <c r="BJ72" s="62">
        <f t="shared" si="92"/>
        <v>270.4445531106897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projet'!$B$11,Paramètres!$A$1:$I$88,7,0))</f>
        <v>0</v>
      </c>
      <c r="BN72" s="17">
        <f>IF(ISNA(VLOOKUP(A72,'Données projet'!$A$87:$I$107,6,0)),0%,VLOOKUP(A72,'Données projet'!$A$87:$I$107,6,0)*VLOOKUP('Données projet'!$B$11,Paramètres!$A$1:$I$88,7,0))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projet'!$B$11,Paramètres!$A$1:$I$88,3,0)*0.475*44/12</f>
        <v>0</v>
      </c>
      <c r="BQ72" s="23">
        <f>EXP(-LN(2)/25)*BQ71+(1-EXP(-LN(2)/25))/(LN(2)/25)*Calculateur!BL72*Calculateur!BN72*VLOOKUP('Données projet'!$B$11,Paramètres!$A$1:$I$88,3,0)*0.475*44/12</f>
        <v>0</v>
      </c>
      <c r="BR72" s="23">
        <f>EXP(-LN(2)/2)*BR71+(1-EXP(-LN(2)/2))/(LN(2)/2)*BL72*BO72*VLOOKUP('Données projet'!$B$11,Paramètres!$A$1:$I$88,3,0)*0.475*44/12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>
        <f>VLOOKUP(A72,'Données projet'!$A$113:$I$133,2,0)</f>
        <v>328</v>
      </c>
      <c r="BW72" s="13">
        <f>VLOOKUP(A72,'Données projet'!$A$113:$I$133,9,0)</f>
        <v>8.6666666666666661</v>
      </c>
      <c r="BX72" s="13">
        <f t="array" ref="BX72">INDEX(BW:BW,MIN(IF(ISNUMBER(BW72:BW268),ROW(BW72:BW268),"")))</f>
        <v>8.6666666666666661</v>
      </c>
      <c r="BY72" s="13">
        <f>IF('Données projet'!$A$114&gt;35,BY71+BX72-CG71,IF(A72&lt;'Données projet'!$A$114,$BV$205^A72,IF(A72='Données projet'!$A$114,'Données projet'!$B$114,BY71+BX72-CG71)))</f>
        <v>328.00000000000006</v>
      </c>
      <c r="BZ72" s="14">
        <f>BY72*VLOOKUP('Données projet'!$B$12,Paramètres!$A$1:$I$88,3,0)*VLOOKUP('Données projet'!$B$12,Paramètres!$A$1:$I$88,5,0)</f>
        <v>255.84000000000006</v>
      </c>
      <c r="CA72" s="14">
        <f t="shared" si="93"/>
        <v>61.834803371075836</v>
      </c>
      <c r="CB72" s="22">
        <f t="shared" si="64"/>
        <v>553.28361587129041</v>
      </c>
      <c r="CC72" s="62">
        <f t="shared" si="65"/>
        <v>846.61694920462378</v>
      </c>
      <c r="CD72" s="62">
        <f ca="1">AVERAGE(OFFSET($CC$3,0,0,'Données projet'!$E$12+1,1))-AVERAGE(OFFSET($H$3,0,0,'Données projet'!$E$12+1,1))</f>
        <v>217.32600829266818</v>
      </c>
      <c r="CE72" s="62">
        <f t="shared" si="94"/>
        <v>208.79744153433245</v>
      </c>
      <c r="CF72" s="16">
        <f>IF(ISNA(VLOOKUP(A72,'Données projet'!$A$113:$I$133,3,0)),0,VLOOKUP(A72,'Données projet'!$A$113:$I$133,3,0))</f>
        <v>8</v>
      </c>
      <c r="CG72" s="16">
        <f>IF(ISNA(VLOOKUP(A72,'Données projet'!$A$113:$I$133,4,0)),0,VLOOKUP(A72,'Données projet'!$A$113:$I$133,4,0))</f>
        <v>328</v>
      </c>
      <c r="CH72" s="17">
        <f>IF(ISNA(VLOOKUP(A72,'Données projet'!$A$113:$I$133,5,0)),0%,VLOOKUP(A72,'Données projet'!$A$113:$I$133,5,0)*VLOOKUP('Données projet'!$B$12,Paramètres!$A$1:$I$88,7,0))</f>
        <v>0</v>
      </c>
      <c r="CI72" s="17">
        <f>IF(ISNA(VLOOKUP(A72,'Données projet'!$A$113:$I$133,6,0)),0%,VLOOKUP(A72,'Données projet'!$A$113:$I$133,6,0)*VLOOKUP('Données projet'!$B$12,Paramètres!$A$1:$I$88,7,0))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projet'!$B$12,Paramètres!$A$1:$I$88,3,0)*0.475*44/12</f>
        <v>0</v>
      </c>
      <c r="CL72" s="23">
        <f>EXP(-LN(2)/25)*CL71+(1-EXP(-LN(2)/25))/(LN(2)/25)*Calculateur!CG72*Calculateur!CI72*VLOOKUP('Données projet'!$B$12,Paramètres!$A$1:$I$88,3,0)*0.475*44/12</f>
        <v>0</v>
      </c>
      <c r="CM72" s="23">
        <f>EXP(-LN(2)/2)*CM71+(1-EXP(-LN(2)/2))/(LN(2)/2)*CG72*CJ72*VLOOKUP('Données projet'!$B$12,Paramètres!$A$1:$I$88,3,0)*0.475*44/12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13.857142857142858</v>
      </c>
      <c r="CT72" s="13">
        <f>IF('Données projet'!$A$140&gt;35,CT71+CS72-DB71,IF(A72&lt;'Données projet'!$A$140,$CQ$205^A72,IF(A72='Données projet'!$A$140,'Données projet'!$B$140,CT71+CS72-DB71)))</f>
        <v>537.14285714285677</v>
      </c>
      <c r="CU72" s="18">
        <f>CT72*VLOOKUP('Données projet'!$B$13,Paramètres!$A$1:$I$88,3,0)*VLOOKUP('Données projet'!$B$13,Paramètres!$A$1:$I$88,5,0)</f>
        <v>300.26285714285694</v>
      </c>
      <c r="CV72" s="14">
        <f t="shared" si="95"/>
        <v>71.231565620163408</v>
      </c>
      <c r="CW72" s="22">
        <f t="shared" si="67"/>
        <v>647.01945297892712</v>
      </c>
      <c r="CX72" s="62">
        <f t="shared" si="68"/>
        <v>940.35278631226038</v>
      </c>
      <c r="CY72" s="62">
        <f ca="1">AVERAGE(OFFSET($CX$3,0,0,'Données projet'!$E$13+1,1))-AVERAGE(OFFSET($H$3,0,0,'Données projet'!$E$13+1,1))</f>
        <v>302.20483575440988</v>
      </c>
      <c r="CZ72" s="62">
        <f t="shared" si="96"/>
        <v>275.32862097158687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projet'!$B$13,Paramètres!$A$1:$I$88,7,0))</f>
        <v>0</v>
      </c>
      <c r="DD72" s="17">
        <f>IF(ISNA(VLOOKUP(A72,'Données projet'!$A$139:$I$159,6,0)),0%,VLOOKUP(A72,'Données projet'!$A$139:$I$159,6,0)*VLOOKUP('Données projet'!$B$13,Paramètres!$A$1:$I$88,7,0))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projet'!$B$13,Paramètres!$A$1:$I$88,3,0)*0.475*44/12</f>
        <v>0</v>
      </c>
      <c r="DG72" s="23">
        <f>EXP(-LN(2)/25)*DG71+(1-EXP(-LN(2)/25))/(LN(2)/25)*Calculateur!DB72*Calculateur!DD72*VLOOKUP('Données projet'!$B$13,Paramètres!$A$1:$I$88,3,0)*0.475*44/12</f>
        <v>4.6895182291813295</v>
      </c>
      <c r="DH72" s="23">
        <f>EXP(-LN(2)/2)*DH71+(1-EXP(-LN(2)/2))/(LN(2)/2)*DB72*DE72*VLOOKUP('Données projet'!$B$13,Paramètres!$A$1:$I$88,3,0)*0.475*44/12</f>
        <v>9.1453774925310895E-6</v>
      </c>
      <c r="DI72" s="24">
        <f t="shared" si="69"/>
        <v>4.6895273745588222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projet'!$B$14,Paramètres!$A$1:$I$88,3,0)*VLOOKUP('Données projet'!$B$14,Paramètres!$A$1:$I$88,5,0)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projet'!$B$14,Paramètres!$A$1:$I$88,7,0))</f>
        <v>0</v>
      </c>
      <c r="DY72" s="17">
        <f>IF(ISNA(VLOOKUP(A72,'Données projet'!$A$165:$I$185,6,0)),0%,VLOOKUP(A72,'Données projet'!$A$165:$I$185,6,0)*VLOOKUP('Données projet'!$B$14,Paramètres!$A$1:$I$88,7,0))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projet'!$B$14,Paramètres!$A$1:$I$88,3,0)*0.475*44/12</f>
        <v>#N/A</v>
      </c>
      <c r="EB72" s="23" t="e">
        <f>EXP(-LN(2)/25)*EB71+(1-EXP(-LN(2)/25))/(LN(2)/25)*Calculateur!DW72*Calculateur!DY72*VLOOKUP('Données projet'!$B$14,Paramètres!$A$1:$I$88,3,0)*0.475*44/12</f>
        <v>#N/A</v>
      </c>
      <c r="EC72" s="23" t="e">
        <f>EXP(-LN(2)/2)*EC71+(1-EXP(-LN(2)/2))/(LN(2)/2)*DW72*DZ72*VLOOKUP('Données projet'!$B$14,Paramètres!$A$1:$I$88,3,0)*0.475*44/12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projet'!$B$15,Paramètres!$A$1:$I$88,3,0)*VLOOKUP('Données projet'!$B$15,Paramètres!$A$1:$I$88,5,0)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projet'!$B$15,Paramètres!$A$1:$I$88,7,0))</f>
        <v>0</v>
      </c>
      <c r="ET72" s="17">
        <f>IF(ISNA(VLOOKUP(A72,'Données projet'!$A$191:$I$211,6,0)),0%,VLOOKUP(A72,'Données projet'!$A$191:$I$211,6,0)*VLOOKUP('Données projet'!$B$15,Paramètres!$A$1:$I$88,7,0))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projet'!$B$15,Paramètres!$A$1:$I$88,3,0)*0.475*44/12</f>
        <v>#N/A</v>
      </c>
      <c r="EW72" s="23" t="e">
        <f>EXP(-LN(2)/25)*EW71+(1-EXP(-LN(2)/25))/(LN(2)/25)*Calculateur!ER72*Calculateur!ET72*VLOOKUP('Données projet'!$B$15,Paramètres!$A$1:$I$88,3,0)*0.475*44/12</f>
        <v>#N/A</v>
      </c>
      <c r="EX72" s="23" t="e">
        <f>EXP(-LN(2)/2)*EX71+(1-EXP(-LN(2)/2))/(LN(2)/2)*ER72*EU72*VLOOKUP('Données projet'!$B$15,Paramètres!$A$1:$I$88,3,0)*0.475*44/12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projet'!$B$16,Paramètres!$A$1:$I$88,3,0)*VLOOKUP('Données projet'!$B$16,Paramètres!$A$1:$I$88,5,0)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projet'!$B$16,Paramètres!$A$1:$I$88,7,0))</f>
        <v>0</v>
      </c>
      <c r="FO72" s="17">
        <f>IF(ISNA(VLOOKUP(A72,'Données projet'!$A$217:$I$237,6,0)),0%,VLOOKUP(A72,'Données projet'!$A$217:$I$237,6,0)*VLOOKUP('Données projet'!$B$16,Paramètres!$A$1:$I$88,7,0))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projet'!$B$16,Paramètres!$A$1:$I$88,3,0)*0.475*44/12</f>
        <v>#N/A</v>
      </c>
      <c r="FR72" s="23" t="e">
        <f>EXP(-LN(2)/25)*FR71+(1-EXP(-LN(2)/25))/(LN(2)/25)*Calculateur!FM72*Calculateur!FO72*VLOOKUP('Données projet'!$B$16,Paramètres!$A$1:$I$88,3,0)*0.475*44/12</f>
        <v>#N/A</v>
      </c>
      <c r="FS72" s="23" t="e">
        <f>EXP(-LN(2)/2)*FS71+(1-EXP(-LN(2)/2))/(LN(2)/2)*FM72*FP72*VLOOKUP('Données projet'!$B$16,Paramètres!$A$1:$I$88,3,0)*0.475*44/12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projet'!$B$17,Paramètres!$A$1:$I$88,3,0)*VLOOKUP('Données projet'!$B$17,Paramètres!$A$1:$I$88,5,0)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projet'!$B$17,Paramètres!$A$1:$I$88,7,0))</f>
        <v>0</v>
      </c>
      <c r="GJ72" s="17">
        <f>IF(ISNA(VLOOKUP(A72,'Données projet'!$A$243:$I$263,6,0)),0%,VLOOKUP(A72,'Données projet'!$A$243:$I$263,6,0)*VLOOKUP('Données projet'!$B$17,Paramètres!$A$1:$I$88,7,0))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projet'!$B$17,Paramètres!$A$1:$I$88,3,0)*0.475*44/12</f>
        <v>#N/A</v>
      </c>
      <c r="GM72" s="23" t="e">
        <f>EXP(-LN(2)/25)*GM71+(1-EXP(-LN(2)/25))/(LN(2)/25)*Calculateur!GH72*Calculateur!GJ72*VLOOKUP('Données projet'!$B$17,Paramètres!$A$1:$I$88,3,0)*0.475*44/12</f>
        <v>#N/A</v>
      </c>
      <c r="GN72" s="23" t="e">
        <f>EXP(-LN(2)/2)*GN71+(1-EXP(-LN(2)/2))/(LN(2)/2)*GH72*GK72*VLOOKUP('Données projet'!$B$17,Paramètres!$A$1:$I$88,3,0)*0.475*44/12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projet'!$B$18,Paramètres!$A$1:$I$88,3,0)*VLOOKUP('Données projet'!$B$18,Paramètres!$A$1:$I$88,5,0)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projet'!$B$18,Paramètres!$A$1:$I$88,7,0))</f>
        <v>0</v>
      </c>
      <c r="HE72" s="17">
        <f>IF(ISNA(VLOOKUP(A72,'Données projet'!$A$269:$I$289,6,0)),0%,VLOOKUP(A72,'Données projet'!$A$269:$I$289,6,0)*VLOOKUP('Données projet'!$B$18,Paramètres!$A$1:$I$88,7,0))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projet'!$B$18,Paramètres!$A$1:$I$88,3,0)*0.475*44/12</f>
        <v>#N/A</v>
      </c>
      <c r="HH72" s="23" t="e">
        <f>EXP(-LN(2)/25)*HH71+(1-EXP(-LN(2)/25))/(LN(2)/25)*Calculateur!HC72*Calculateur!HE72*VLOOKUP('Données projet'!$B$18,Paramètres!$A$1:$I$88,3,0)*0.475*44/12</f>
        <v>#N/A</v>
      </c>
      <c r="HI72" s="23" t="e">
        <f>EXP(-LN(2)/2)*HI71+(1-EXP(-LN(2)/2))/(LN(2)/2)*HC72*HF72*VLOOKUP('Données projet'!$B$18,Paramètres!$A$1:$I$88,3,0)*0.475*44/12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projet'!$B$9,Paramètres!$A$1:$I$88,3,0)*VLOOKUP('Données projet'!$B$9,Paramètres!$A$1:$I$88,5,0)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175.05987582828078</v>
      </c>
      <c r="T73" s="62">
        <f t="shared" si="88"/>
        <v>268.54782308462387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projet'!$B$9,Paramètres!$A$1:$I$88,7,0))</f>
        <v>0</v>
      </c>
      <c r="X73" s="17">
        <f>IF(ISNA(VLOOKUP(A73,'Données projet'!$A$35:$I$55,6,0)),0%,VLOOKUP(A73,'Données projet'!$A$35:$I$55,6,0)*VLOOKUP('Données projet'!$B$9,Paramètres!$A$1:$I$88,7,0))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projet'!$B$9,Paramètres!$A$1:$I$88,3,0)*0.475*44/12</f>
        <v>0</v>
      </c>
      <c r="AA73" s="23">
        <f>EXP(-LN(2)/25)*AA72+(1-EXP(-LN(2)/25))/(LN(2)/25)*Calculateur!V73*Calculateur!X73*VLOOKUP('Données projet'!$B$9,Paramètres!$A$1:$I$88,3,0)*0.475*44/12</f>
        <v>3.3962398805776299</v>
      </c>
      <c r="AB73" s="23">
        <f>EXP(-LN(2)/2)*AB72+(1-EXP(-LN(2)/2))/(LN(2)/2)*V73*Y73*VLOOKUP('Données projet'!$B$9,Paramètres!$A$1:$I$88,3,0)*0.475*44/12</f>
        <v>1.5753574257857131E-5</v>
      </c>
      <c r="AC73" s="24">
        <f t="shared" si="57"/>
        <v>3.3962556341518879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20.133333333333333</v>
      </c>
      <c r="AI73" s="14">
        <f>IF('Données projet'!$A$62&gt;35,AI72+AH73-AQ72,IF(A73&lt;'Données projet'!$A$62,$AF$205^A73,IF(A73='Données projet'!$A$62,'Données projet'!$B$62,AI72+AH73-AQ72)))</f>
        <v>754.33333333333269</v>
      </c>
      <c r="AJ73" s="14">
        <f>AI73*VLOOKUP('Données projet'!$B$10,Paramètres!$A$1:$I$88,3,0)*VLOOKUP('Données projet'!$B$10,Paramètres!$A$1:$I$88,5,0)</f>
        <v>362.83433333333301</v>
      </c>
      <c r="AK73" s="14">
        <f t="shared" si="89"/>
        <v>84.199669256583391</v>
      </c>
      <c r="AL73" s="22">
        <f t="shared" si="58"/>
        <v>778.5842211774376</v>
      </c>
      <c r="AM73" s="62">
        <f t="shared" si="59"/>
        <v>1071.917554510771</v>
      </c>
      <c r="AN73" s="62">
        <f ca="1">AVERAGE(OFFSET($AM$3,0,0,'Données projet'!$E$10+1,1))-AVERAGE(OFFSET($H$3,0,0,'Données projet'!$E$10+1,1))</f>
        <v>576.61210817354549</v>
      </c>
      <c r="AO73" s="62">
        <f t="shared" si="90"/>
        <v>343.9428747444544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projet'!$B$10,Paramètres!$A$1:$I$88,7,0))</f>
        <v>0</v>
      </c>
      <c r="AS73" s="17">
        <f>IF(ISNA(VLOOKUP(A73,'Données projet'!$A$61:$I$81,6,0)),0%,VLOOKUP(A73,'Données projet'!$A$61:$I$81,6,0)*VLOOKUP('Données projet'!$B$10,Paramètres!$A$1:$I$88,7,0))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projet'!$B$10,Paramètres!$A$1:$I$88,3,0)*0.475*44/12</f>
        <v>0</v>
      </c>
      <c r="AV73" s="23">
        <f>EXP(-LN(2)/25)*AV72+(1-EXP(-LN(2)/25))/(LN(2)/25)*Calculateur!AQ73*Calculateur!AS73*VLOOKUP('Données projet'!$B$10,Paramètres!$A$1:$I$88,3,0)*0.475*44/12</f>
        <v>1.8680555458125432</v>
      </c>
      <c r="AW73" s="23">
        <f>EXP(-LN(2)/2)*AW72+(1-EXP(-LN(2)/2))/(LN(2)/2)*AQ73*AT73*VLOOKUP('Données projet'!$B$10,Paramètres!$A$1:$I$88,3,0)*0.475*44/12</f>
        <v>1.1218491247540449E-5</v>
      </c>
      <c r="AX73" s="23">
        <f t="shared" si="60"/>
        <v>1.8680667643037907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315.10000000000002</v>
      </c>
      <c r="BB73" s="13">
        <f>VLOOKUP(A73,'Données projet'!$A$87:$I$107,9,0)</f>
        <v>4.5000000000000115</v>
      </c>
      <c r="BC73" s="13">
        <f t="array" ref="BC73">INDEX(BB:BB,MIN(IF(ISNUMBER(BB73:BB269),ROW(BB73:BB269),"")))</f>
        <v>4.5000000000000115</v>
      </c>
      <c r="BD73" s="13">
        <f>IF('Données projet'!$A$88&gt;35,BD72+BC73-BL72,IF(A73&lt;'Données projet'!$A$88,$BA$205^A73,IF(A73='Données projet'!$A$88,'Données projet'!$B$88,BD72+BC73-BL72)))</f>
        <v>315.09999999999991</v>
      </c>
      <c r="BE73" s="14">
        <f>BD73*VLOOKUP('Données projet'!$B$11,Paramètres!$A$1:$I$88,3,0)*VLOOKUP('Données projet'!$B$11,Paramètres!$A$1:$I$88,5,0)</f>
        <v>250.69355999999996</v>
      </c>
      <c r="BF73" s="14">
        <f t="shared" si="91"/>
        <v>60.734432333118377</v>
      </c>
      <c r="BG73" s="22">
        <f t="shared" si="61"/>
        <v>542.40375331351447</v>
      </c>
      <c r="BH73" s="62">
        <f t="shared" si="62"/>
        <v>835.73708664684773</v>
      </c>
      <c r="BI73" s="62">
        <f ca="1">AVERAGE(OFFSET($BH$3,0,0,'Données projet'!$E$11+1,1))-AVERAGE(OFFSET($H$3,0,0,'Données projet'!$E$11+1,1))</f>
        <v>298.38448036212861</v>
      </c>
      <c r="BJ73" s="62">
        <f t="shared" si="92"/>
        <v>270.4445531106897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projet'!$B$11,Paramètres!$A$1:$I$88,7,0))</f>
        <v>0</v>
      </c>
      <c r="BN73" s="17">
        <f>IF(ISNA(VLOOKUP(A73,'Données projet'!$A$87:$I$107,6,0)),0%,VLOOKUP(A73,'Données projet'!$A$87:$I$107,6,0)*VLOOKUP('Données projet'!$B$11,Paramètres!$A$1:$I$88,7,0))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projet'!$B$11,Paramètres!$A$1:$I$88,3,0)*0.475*44/12</f>
        <v>0</v>
      </c>
      <c r="BQ73" s="23">
        <f>EXP(-LN(2)/25)*BQ72+(1-EXP(-LN(2)/25))/(LN(2)/25)*Calculateur!BL73*Calculateur!BN73*VLOOKUP('Données projet'!$B$11,Paramètres!$A$1:$I$88,3,0)*0.475*44/12</f>
        <v>0</v>
      </c>
      <c r="BR73" s="23">
        <f>EXP(-LN(2)/2)*BR72+(1-EXP(-LN(2)/2))/(LN(2)/2)*BL73*BO73*VLOOKUP('Données projet'!$B$11,Paramètres!$A$1:$I$88,3,0)*0.475*44/12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5.6843418860808015E-14</v>
      </c>
      <c r="BZ73" s="14">
        <f>BY73*VLOOKUP('Données projet'!$B$12,Paramètres!$A$1:$I$88,3,0)*VLOOKUP('Données projet'!$B$12,Paramètres!$A$1:$I$88,5,0)</f>
        <v>4.4337866711430253E-14</v>
      </c>
      <c r="CA73" s="14">
        <f t="shared" si="93"/>
        <v>7.3222115536967035E-13</v>
      </c>
      <c r="CB73" s="22">
        <f t="shared" si="64"/>
        <v>1.3525069634579169E-12</v>
      </c>
      <c r="CC73" s="62">
        <f t="shared" si="65"/>
        <v>293.33333333333468</v>
      </c>
      <c r="CD73" s="62">
        <f ca="1">AVERAGE(OFFSET($CC$3,0,0,'Données projet'!$E$12+1,1))-AVERAGE(OFFSET($H$3,0,0,'Données projet'!$E$12+1,1))</f>
        <v>217.32600829266818</v>
      </c>
      <c r="CE73" s="62">
        <f t="shared" si="94"/>
        <v>208.79744153433245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projet'!$B$12,Paramètres!$A$1:$I$88,7,0))</f>
        <v>0</v>
      </c>
      <c r="CI73" s="17">
        <f>IF(ISNA(VLOOKUP(A73,'Données projet'!$A$113:$I$133,6,0)),0%,VLOOKUP(A73,'Données projet'!$A$113:$I$133,6,0)*VLOOKUP('Données projet'!$B$12,Paramètres!$A$1:$I$88,7,0))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projet'!$B$12,Paramètres!$A$1:$I$88,3,0)*0.475*44/12</f>
        <v>0</v>
      </c>
      <c r="CL73" s="23">
        <f>EXP(-LN(2)/25)*CL72+(1-EXP(-LN(2)/25))/(LN(2)/25)*Calculateur!CG73*Calculateur!CI73*VLOOKUP('Données projet'!$B$12,Paramètres!$A$1:$I$88,3,0)*0.475*44/12</f>
        <v>0</v>
      </c>
      <c r="CM73" s="23">
        <f>EXP(-LN(2)/2)*CM72+(1-EXP(-LN(2)/2))/(LN(2)/2)*CG73*CJ73*VLOOKUP('Données projet'!$B$12,Paramètres!$A$1:$I$88,3,0)*0.475*44/12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551</v>
      </c>
      <c r="CR73" s="13">
        <f>VLOOKUP(A73,'Données projet'!$A$139:$I$159,9,0)</f>
        <v>13.857142857142858</v>
      </c>
      <c r="CS73" s="13">
        <f t="array" ref="CS73">INDEX(CR:CR,MIN(IF(ISNUMBER(CR73:CR269),ROW(CR73:CR269),"")))</f>
        <v>13.857142857142858</v>
      </c>
      <c r="CT73" s="13">
        <f>IF('Données projet'!$A$140&gt;35,CT72+CS73-DB72,IF(A73&lt;'Données projet'!$A$140,$CQ$205^A73,IF(A73='Données projet'!$A$140,'Données projet'!$B$140,CT72+CS73-DB72)))</f>
        <v>550.99999999999966</v>
      </c>
      <c r="CU73" s="18">
        <f>CT73*VLOOKUP('Données projet'!$B$13,Paramètres!$A$1:$I$88,3,0)*VLOOKUP('Données projet'!$B$13,Paramètres!$A$1:$I$88,5,0)</f>
        <v>308.00899999999979</v>
      </c>
      <c r="CV73" s="14">
        <f t="shared" si="95"/>
        <v>72.852874331417695</v>
      </c>
      <c r="CW73" s="22">
        <f t="shared" si="67"/>
        <v>663.33443112721886</v>
      </c>
      <c r="CX73" s="62">
        <f t="shared" si="68"/>
        <v>956.66776446055223</v>
      </c>
      <c r="CY73" s="62">
        <f ca="1">AVERAGE(OFFSET($CX$3,0,0,'Données projet'!$E$13+1,1))-AVERAGE(OFFSET($H$3,0,0,'Données projet'!$E$13+1,1))</f>
        <v>302.20483575440988</v>
      </c>
      <c r="CZ73" s="62">
        <f t="shared" si="96"/>
        <v>275.32862097158687</v>
      </c>
      <c r="DA73" s="16">
        <f>IF(ISNA(VLOOKUP(A73,'Données projet'!$A$139:$I$159,3,0)),0,VLOOKUP(A73,'Données projet'!$A$139:$I$159,3,0))</f>
        <v>8</v>
      </c>
      <c r="DB73" s="16">
        <f>IF(ISNA(VLOOKUP(A73,'Données projet'!$A$139:$I$159,4,0)),0,VLOOKUP(A73,'Données projet'!$A$139:$I$159,4,0))</f>
        <v>551</v>
      </c>
      <c r="DC73" s="17">
        <f>IF(ISNA(VLOOKUP(A73,'Données projet'!$A$139:$I$159,5,0)),0%,VLOOKUP(A73,'Données projet'!$A$139:$I$159,5,0)*VLOOKUP('Données projet'!$B$13,Paramètres!$A$1:$I$88,7,0))</f>
        <v>0</v>
      </c>
      <c r="DD73" s="17">
        <f>IF(ISNA(VLOOKUP(A73,'Données projet'!$A$139:$I$159,6,0)),0%,VLOOKUP(A73,'Données projet'!$A$139:$I$159,6,0)*VLOOKUP('Données projet'!$B$13,Paramètres!$A$1:$I$88,7,0))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projet'!$B$13,Paramètres!$A$1:$I$88,3,0)*0.475*44/12</f>
        <v>0</v>
      </c>
      <c r="DG73" s="23">
        <f>EXP(-LN(2)/25)*DG72+(1-EXP(-LN(2)/25))/(LN(2)/25)*Calculateur!DB73*Calculateur!DD73*VLOOKUP('Données projet'!$B$13,Paramètres!$A$1:$I$88,3,0)*0.475*44/12</f>
        <v>4.5612831065933204</v>
      </c>
      <c r="DH73" s="23">
        <f>EXP(-LN(2)/2)*DH72+(1-EXP(-LN(2)/2))/(LN(2)/2)*DB73*DE73*VLOOKUP('Données projet'!$B$13,Paramètres!$A$1:$I$88,3,0)*0.475*44/12</f>
        <v>6.4667584414795578E-6</v>
      </c>
      <c r="DI73" s="24">
        <f t="shared" si="69"/>
        <v>4.561289573351762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projet'!$B$14,Paramètres!$A$1:$I$88,3,0)*VLOOKUP('Données projet'!$B$14,Paramètres!$A$1:$I$88,5,0)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projet'!$B$14,Paramètres!$A$1:$I$88,7,0))</f>
        <v>0</v>
      </c>
      <c r="DY73" s="17">
        <f>IF(ISNA(VLOOKUP(A73,'Données projet'!$A$165:$I$185,6,0)),0%,VLOOKUP(A73,'Données projet'!$A$165:$I$185,6,0)*VLOOKUP('Données projet'!$B$14,Paramètres!$A$1:$I$88,7,0))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projet'!$B$14,Paramètres!$A$1:$I$88,3,0)*0.475*44/12</f>
        <v>#N/A</v>
      </c>
      <c r="EB73" s="23" t="e">
        <f>EXP(-LN(2)/25)*EB72+(1-EXP(-LN(2)/25))/(LN(2)/25)*Calculateur!DW73*Calculateur!DY73*VLOOKUP('Données projet'!$B$14,Paramètres!$A$1:$I$88,3,0)*0.475*44/12</f>
        <v>#N/A</v>
      </c>
      <c r="EC73" s="23" t="e">
        <f>EXP(-LN(2)/2)*EC72+(1-EXP(-LN(2)/2))/(LN(2)/2)*DW73*DZ73*VLOOKUP('Données projet'!$B$14,Paramètres!$A$1:$I$88,3,0)*0.475*44/12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projet'!$B$15,Paramètres!$A$1:$I$88,3,0)*VLOOKUP('Données projet'!$B$15,Paramètres!$A$1:$I$88,5,0)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projet'!$B$15,Paramètres!$A$1:$I$88,7,0))</f>
        <v>0</v>
      </c>
      <c r="ET73" s="17">
        <f>IF(ISNA(VLOOKUP(A73,'Données projet'!$A$191:$I$211,6,0)),0%,VLOOKUP(A73,'Données projet'!$A$191:$I$211,6,0)*VLOOKUP('Données projet'!$B$15,Paramètres!$A$1:$I$88,7,0))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projet'!$B$15,Paramètres!$A$1:$I$88,3,0)*0.475*44/12</f>
        <v>#N/A</v>
      </c>
      <c r="EW73" s="23" t="e">
        <f>EXP(-LN(2)/25)*EW72+(1-EXP(-LN(2)/25))/(LN(2)/25)*Calculateur!ER73*Calculateur!ET73*VLOOKUP('Données projet'!$B$15,Paramètres!$A$1:$I$88,3,0)*0.475*44/12</f>
        <v>#N/A</v>
      </c>
      <c r="EX73" s="23" t="e">
        <f>EXP(-LN(2)/2)*EX72+(1-EXP(-LN(2)/2))/(LN(2)/2)*ER73*EU73*VLOOKUP('Données projet'!$B$15,Paramètres!$A$1:$I$88,3,0)*0.475*44/12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projet'!$B$16,Paramètres!$A$1:$I$88,3,0)*VLOOKUP('Données projet'!$B$16,Paramètres!$A$1:$I$88,5,0)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projet'!$B$16,Paramètres!$A$1:$I$88,7,0))</f>
        <v>0</v>
      </c>
      <c r="FO73" s="17">
        <f>IF(ISNA(VLOOKUP(A73,'Données projet'!$A$217:$I$237,6,0)),0%,VLOOKUP(A73,'Données projet'!$A$217:$I$237,6,0)*VLOOKUP('Données projet'!$B$16,Paramètres!$A$1:$I$88,7,0))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projet'!$B$16,Paramètres!$A$1:$I$88,3,0)*0.475*44/12</f>
        <v>#N/A</v>
      </c>
      <c r="FR73" s="23" t="e">
        <f>EXP(-LN(2)/25)*FR72+(1-EXP(-LN(2)/25))/(LN(2)/25)*Calculateur!FM73*Calculateur!FO73*VLOOKUP('Données projet'!$B$16,Paramètres!$A$1:$I$88,3,0)*0.475*44/12</f>
        <v>#N/A</v>
      </c>
      <c r="FS73" s="23" t="e">
        <f>EXP(-LN(2)/2)*FS72+(1-EXP(-LN(2)/2))/(LN(2)/2)*FM73*FP73*VLOOKUP('Données projet'!$B$16,Paramètres!$A$1:$I$88,3,0)*0.475*44/12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projet'!$B$17,Paramètres!$A$1:$I$88,3,0)*VLOOKUP('Données projet'!$B$17,Paramètres!$A$1:$I$88,5,0)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projet'!$B$17,Paramètres!$A$1:$I$88,7,0))</f>
        <v>0</v>
      </c>
      <c r="GJ73" s="17">
        <f>IF(ISNA(VLOOKUP(A73,'Données projet'!$A$243:$I$263,6,0)),0%,VLOOKUP(A73,'Données projet'!$A$243:$I$263,6,0)*VLOOKUP('Données projet'!$B$17,Paramètres!$A$1:$I$88,7,0))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projet'!$B$17,Paramètres!$A$1:$I$88,3,0)*0.475*44/12</f>
        <v>#N/A</v>
      </c>
      <c r="GM73" s="23" t="e">
        <f>EXP(-LN(2)/25)*GM72+(1-EXP(-LN(2)/25))/(LN(2)/25)*Calculateur!GH73*Calculateur!GJ73*VLOOKUP('Données projet'!$B$17,Paramètres!$A$1:$I$88,3,0)*0.475*44/12</f>
        <v>#N/A</v>
      </c>
      <c r="GN73" s="23" t="e">
        <f>EXP(-LN(2)/2)*GN72+(1-EXP(-LN(2)/2))/(LN(2)/2)*GH73*GK73*VLOOKUP('Données projet'!$B$17,Paramètres!$A$1:$I$88,3,0)*0.475*44/12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projet'!$B$18,Paramètres!$A$1:$I$88,3,0)*VLOOKUP('Données projet'!$B$18,Paramètres!$A$1:$I$88,5,0)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projet'!$B$18,Paramètres!$A$1:$I$88,7,0))</f>
        <v>0</v>
      </c>
      <c r="HE73" s="17">
        <f>IF(ISNA(VLOOKUP(A73,'Données projet'!$A$269:$I$289,6,0)),0%,VLOOKUP(A73,'Données projet'!$A$269:$I$289,6,0)*VLOOKUP('Données projet'!$B$18,Paramètres!$A$1:$I$88,7,0))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projet'!$B$18,Paramètres!$A$1:$I$88,3,0)*0.475*44/12</f>
        <v>#N/A</v>
      </c>
      <c r="HH73" s="23" t="e">
        <f>EXP(-LN(2)/25)*HH72+(1-EXP(-LN(2)/25))/(LN(2)/25)*Calculateur!HC73*Calculateur!HE73*VLOOKUP('Données projet'!$B$18,Paramètres!$A$1:$I$88,3,0)*0.475*44/12</f>
        <v>#N/A</v>
      </c>
      <c r="HI73" s="23" t="e">
        <f>EXP(-LN(2)/2)*HI72+(1-EXP(-LN(2)/2))/(LN(2)/2)*HC73*HF73*VLOOKUP('Données projet'!$B$18,Paramètres!$A$1:$I$88,3,0)*0.475*44/12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projet'!$B$9,Paramètres!$A$1:$I$88,3,0)*VLOOKUP('Données projet'!$B$9,Paramètres!$A$1:$I$88,5,0)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175.05987582828078</v>
      </c>
      <c r="T74" s="62">
        <f t="shared" si="88"/>
        <v>268.54782308462387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projet'!$B$9,Paramètres!$A$1:$I$88,7,0))</f>
        <v>0</v>
      </c>
      <c r="X74" s="17">
        <f>IF(ISNA(VLOOKUP(A74,'Données projet'!$A$35:$I$55,6,0)),0%,VLOOKUP(A74,'Données projet'!$A$35:$I$55,6,0)*VLOOKUP('Données projet'!$B$9,Paramètres!$A$1:$I$88,7,0))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projet'!$B$9,Paramètres!$A$1:$I$88,3,0)*0.475*44/12</f>
        <v>0</v>
      </c>
      <c r="AA74" s="23">
        <f>EXP(-LN(2)/25)*AA73+(1-EXP(-LN(2)/25))/(LN(2)/25)*Calculateur!V74*Calculateur!X74*VLOOKUP('Données projet'!$B$9,Paramètres!$A$1:$I$88,3,0)*0.475*44/12</f>
        <v>3.3033695224427415</v>
      </c>
      <c r="AB74" s="23">
        <f>EXP(-LN(2)/2)*AB73+(1-EXP(-LN(2)/2))/(LN(2)/2)*V74*Y74*VLOOKUP('Données projet'!$B$9,Paramètres!$A$1:$I$88,3,0)*0.475*44/12</f>
        <v>1.113945918565661E-5</v>
      </c>
      <c r="AC74" s="24">
        <f t="shared" si="57"/>
        <v>3.3033806619019273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20.133333333333333</v>
      </c>
      <c r="AI74" s="14">
        <f>IF('Données projet'!$A$62&gt;35,AI73+AH74-AQ73,IF(A74&lt;'Données projet'!$A$62,$AF$205^A74,IF(A74='Données projet'!$A$62,'Données projet'!$B$62,AI73+AH74-AQ73)))</f>
        <v>774.46666666666601</v>
      </c>
      <c r="AJ74" s="14">
        <f>AI74*VLOOKUP('Données projet'!$B$10,Paramètres!$A$1:$I$88,3,0)*VLOOKUP('Données projet'!$B$10,Paramètres!$A$1:$I$88,5,0)</f>
        <v>372.51846666666637</v>
      </c>
      <c r="AK74" s="14">
        <f t="shared" si="89"/>
        <v>86.18233704063519</v>
      </c>
      <c r="AL74" s="22">
        <f t="shared" si="58"/>
        <v>798.903899790217</v>
      </c>
      <c r="AM74" s="62">
        <f t="shared" si="59"/>
        <v>1092.2372331235504</v>
      </c>
      <c r="AN74" s="62">
        <f ca="1">AVERAGE(OFFSET($AM$3,0,0,'Données projet'!$E$10+1,1))-AVERAGE(OFFSET($H$3,0,0,'Données projet'!$E$10+1,1))</f>
        <v>576.61210817354549</v>
      </c>
      <c r="AO74" s="62">
        <f t="shared" si="90"/>
        <v>343.9428747444544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projet'!$B$10,Paramètres!$A$1:$I$88,7,0))</f>
        <v>0</v>
      </c>
      <c r="AS74" s="17">
        <f>IF(ISNA(VLOOKUP(A74,'Données projet'!$A$61:$I$81,6,0)),0%,VLOOKUP(A74,'Données projet'!$A$61:$I$81,6,0)*VLOOKUP('Données projet'!$B$10,Paramètres!$A$1:$I$88,7,0))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projet'!$B$10,Paramètres!$A$1:$I$88,3,0)*0.475*44/12</f>
        <v>0</v>
      </c>
      <c r="AV74" s="23">
        <f>EXP(-LN(2)/25)*AV73+(1-EXP(-LN(2)/25))/(LN(2)/25)*Calculateur!AQ74*Calculateur!AS74*VLOOKUP('Données projet'!$B$10,Paramètres!$A$1:$I$88,3,0)*0.475*44/12</f>
        <v>1.8169734686755274</v>
      </c>
      <c r="AW74" s="23">
        <f>EXP(-LN(2)/2)*AW73+(1-EXP(-LN(2)/2))/(LN(2)/2)*AQ74*AT74*VLOOKUP('Données projet'!$B$10,Paramètres!$A$1:$I$88,3,0)*0.475*44/12</f>
        <v>7.9326712358177826E-6</v>
      </c>
      <c r="AX74" s="23">
        <f t="shared" si="60"/>
        <v>1.8169814013467633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4.1799999999999953</v>
      </c>
      <c r="BD74" s="13">
        <f>IF('Données projet'!$A$88&gt;35,BD73+BC74-BL73,IF(A74&lt;'Données projet'!$A$88,$BA$205^A74,IF(A74='Données projet'!$A$88,'Données projet'!$B$88,BD73+BC74-BL73)))</f>
        <v>319.27999999999992</v>
      </c>
      <c r="BE74" s="14">
        <f>BD74*VLOOKUP('Données projet'!$B$11,Paramètres!$A$1:$I$88,3,0)*VLOOKUP('Données projet'!$B$11,Paramètres!$A$1:$I$88,5,0)</f>
        <v>254.01916799999995</v>
      </c>
      <c r="BF74" s="14">
        <f t="shared" si="91"/>
        <v>61.445784693082047</v>
      </c>
      <c r="BG74" s="22">
        <f t="shared" si="61"/>
        <v>549.43479260711786</v>
      </c>
      <c r="BH74" s="62">
        <f t="shared" si="62"/>
        <v>842.76812594045123</v>
      </c>
      <c r="BI74" s="62">
        <f ca="1">AVERAGE(OFFSET($BH$3,0,0,'Données projet'!$E$11+1,1))-AVERAGE(OFFSET($H$3,0,0,'Données projet'!$E$11+1,1))</f>
        <v>298.38448036212861</v>
      </c>
      <c r="BJ74" s="62">
        <f t="shared" si="92"/>
        <v>270.4445531106897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projet'!$B$11,Paramètres!$A$1:$I$88,7,0))</f>
        <v>0</v>
      </c>
      <c r="BN74" s="17">
        <f>IF(ISNA(VLOOKUP(A74,'Données projet'!$A$87:$I$107,6,0)),0%,VLOOKUP(A74,'Données projet'!$A$87:$I$107,6,0)*VLOOKUP('Données projet'!$B$11,Paramètres!$A$1:$I$88,7,0))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projet'!$B$11,Paramètres!$A$1:$I$88,3,0)*0.475*44/12</f>
        <v>0</v>
      </c>
      <c r="BQ74" s="23">
        <f>EXP(-LN(2)/25)*BQ73+(1-EXP(-LN(2)/25))/(LN(2)/25)*Calculateur!BL74*Calculateur!BN74*VLOOKUP('Données projet'!$B$11,Paramètres!$A$1:$I$88,3,0)*0.475*44/12</f>
        <v>0</v>
      </c>
      <c r="BR74" s="23">
        <f>EXP(-LN(2)/2)*BR73+(1-EXP(-LN(2)/2))/(LN(2)/2)*BL74*BO74*VLOOKUP('Données projet'!$B$11,Paramètres!$A$1:$I$88,3,0)*0.475*44/12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5.6843418860808015E-14</v>
      </c>
      <c r="BZ74" s="14">
        <f>BY74*VLOOKUP('Données projet'!$B$12,Paramètres!$A$1:$I$88,3,0)*VLOOKUP('Données projet'!$B$12,Paramètres!$A$1:$I$88,5,0)</f>
        <v>4.4337866711430253E-14</v>
      </c>
      <c r="CA74" s="14">
        <f t="shared" si="93"/>
        <v>7.3222115536967035E-13</v>
      </c>
      <c r="CB74" s="22">
        <f t="shared" si="64"/>
        <v>1.3525069634579169E-12</v>
      </c>
      <c r="CC74" s="62">
        <f t="shared" si="65"/>
        <v>293.33333333333468</v>
      </c>
      <c r="CD74" s="62">
        <f ca="1">AVERAGE(OFFSET($CC$3,0,0,'Données projet'!$E$12+1,1))-AVERAGE(OFFSET($H$3,0,0,'Données projet'!$E$12+1,1))</f>
        <v>217.32600829266818</v>
      </c>
      <c r="CE74" s="62">
        <f t="shared" si="94"/>
        <v>208.79744153433245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projet'!$B$12,Paramètres!$A$1:$I$88,7,0))</f>
        <v>0</v>
      </c>
      <c r="CI74" s="17">
        <f>IF(ISNA(VLOOKUP(A74,'Données projet'!$A$113:$I$133,6,0)),0%,VLOOKUP(A74,'Données projet'!$A$113:$I$133,6,0)*VLOOKUP('Données projet'!$B$12,Paramètres!$A$1:$I$88,7,0))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projet'!$B$12,Paramètres!$A$1:$I$88,3,0)*0.475*44/12</f>
        <v>0</v>
      </c>
      <c r="CL74" s="23">
        <f>EXP(-LN(2)/25)*CL73+(1-EXP(-LN(2)/25))/(LN(2)/25)*Calculateur!CG74*Calculateur!CI74*VLOOKUP('Données projet'!$B$12,Paramètres!$A$1:$I$88,3,0)*0.475*44/12</f>
        <v>0</v>
      </c>
      <c r="CM74" s="23">
        <f>EXP(-LN(2)/2)*CM73+(1-EXP(-LN(2)/2))/(LN(2)/2)*CG74*CJ74*VLOOKUP('Données projet'!$B$12,Paramètres!$A$1:$I$88,3,0)*0.475*44/12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-3.4106051316484809E-13</v>
      </c>
      <c r="CU74" s="18">
        <f>CT74*VLOOKUP('Données projet'!$B$13,Paramètres!$A$1:$I$88,3,0)*VLOOKUP('Données projet'!$B$13,Paramètres!$A$1:$I$88,5,0)</f>
        <v>-1.9065282685915009E-13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302.20483575440988</v>
      </c>
      <c r="CZ74" s="62">
        <f t="shared" si="96"/>
        <v>275.32862097158687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projet'!$B$13,Paramètres!$A$1:$I$88,7,0))</f>
        <v>0</v>
      </c>
      <c r="DD74" s="17">
        <f>IF(ISNA(VLOOKUP(A74,'Données projet'!$A$139:$I$159,6,0)),0%,VLOOKUP(A74,'Données projet'!$A$139:$I$159,6,0)*VLOOKUP('Données projet'!$B$13,Paramètres!$A$1:$I$88,7,0))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projet'!$B$13,Paramètres!$A$1:$I$88,3,0)*0.475*44/12</f>
        <v>0</v>
      </c>
      <c r="DG74" s="23">
        <f>EXP(-LN(2)/25)*DG73+(1-EXP(-LN(2)/25))/(LN(2)/25)*Calculateur!DB74*Calculateur!DD74*VLOOKUP('Données projet'!$B$13,Paramètres!$A$1:$I$88,3,0)*0.475*44/12</f>
        <v>4.4365545801760726</v>
      </c>
      <c r="DH74" s="23">
        <f>EXP(-LN(2)/2)*DH73+(1-EXP(-LN(2)/2))/(LN(2)/2)*DB74*DE74*VLOOKUP('Données projet'!$B$13,Paramètres!$A$1:$I$88,3,0)*0.475*44/12</f>
        <v>4.5726887462655447E-6</v>
      </c>
      <c r="DI74" s="24">
        <f t="shared" si="69"/>
        <v>4.4365591528648185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projet'!$B$14,Paramètres!$A$1:$I$88,3,0)*VLOOKUP('Données projet'!$B$14,Paramètres!$A$1:$I$88,5,0)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projet'!$B$14,Paramètres!$A$1:$I$88,7,0))</f>
        <v>0</v>
      </c>
      <c r="DY74" s="17">
        <f>IF(ISNA(VLOOKUP(A74,'Données projet'!$A$165:$I$185,6,0)),0%,VLOOKUP(A74,'Données projet'!$A$165:$I$185,6,0)*VLOOKUP('Données projet'!$B$14,Paramètres!$A$1:$I$88,7,0))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projet'!$B$14,Paramètres!$A$1:$I$88,3,0)*0.475*44/12</f>
        <v>#N/A</v>
      </c>
      <c r="EB74" s="23" t="e">
        <f>EXP(-LN(2)/25)*EB73+(1-EXP(-LN(2)/25))/(LN(2)/25)*Calculateur!DW74*Calculateur!DY74*VLOOKUP('Données projet'!$B$14,Paramètres!$A$1:$I$88,3,0)*0.475*44/12</f>
        <v>#N/A</v>
      </c>
      <c r="EC74" s="23" t="e">
        <f>EXP(-LN(2)/2)*EC73+(1-EXP(-LN(2)/2))/(LN(2)/2)*DW74*DZ74*VLOOKUP('Données projet'!$B$14,Paramètres!$A$1:$I$88,3,0)*0.475*44/12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projet'!$B$15,Paramètres!$A$1:$I$88,3,0)*VLOOKUP('Données projet'!$B$15,Paramètres!$A$1:$I$88,5,0)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projet'!$B$15,Paramètres!$A$1:$I$88,7,0))</f>
        <v>0</v>
      </c>
      <c r="ET74" s="17">
        <f>IF(ISNA(VLOOKUP(A74,'Données projet'!$A$191:$I$211,6,0)),0%,VLOOKUP(A74,'Données projet'!$A$191:$I$211,6,0)*VLOOKUP('Données projet'!$B$15,Paramètres!$A$1:$I$88,7,0))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projet'!$B$15,Paramètres!$A$1:$I$88,3,0)*0.475*44/12</f>
        <v>#N/A</v>
      </c>
      <c r="EW74" s="23" t="e">
        <f>EXP(-LN(2)/25)*EW73+(1-EXP(-LN(2)/25))/(LN(2)/25)*Calculateur!ER74*Calculateur!ET74*VLOOKUP('Données projet'!$B$15,Paramètres!$A$1:$I$88,3,0)*0.475*44/12</f>
        <v>#N/A</v>
      </c>
      <c r="EX74" s="23" t="e">
        <f>EXP(-LN(2)/2)*EX73+(1-EXP(-LN(2)/2))/(LN(2)/2)*ER74*EU74*VLOOKUP('Données projet'!$B$15,Paramètres!$A$1:$I$88,3,0)*0.475*44/12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projet'!$B$16,Paramètres!$A$1:$I$88,3,0)*VLOOKUP('Données projet'!$B$16,Paramètres!$A$1:$I$88,5,0)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projet'!$B$16,Paramètres!$A$1:$I$88,7,0))</f>
        <v>0</v>
      </c>
      <c r="FO74" s="17">
        <f>IF(ISNA(VLOOKUP(A74,'Données projet'!$A$217:$I$237,6,0)),0%,VLOOKUP(A74,'Données projet'!$A$217:$I$237,6,0)*VLOOKUP('Données projet'!$B$16,Paramètres!$A$1:$I$88,7,0))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projet'!$B$16,Paramètres!$A$1:$I$88,3,0)*0.475*44/12</f>
        <v>#N/A</v>
      </c>
      <c r="FR74" s="23" t="e">
        <f>EXP(-LN(2)/25)*FR73+(1-EXP(-LN(2)/25))/(LN(2)/25)*Calculateur!FM74*Calculateur!FO74*VLOOKUP('Données projet'!$B$16,Paramètres!$A$1:$I$88,3,0)*0.475*44/12</f>
        <v>#N/A</v>
      </c>
      <c r="FS74" s="23" t="e">
        <f>EXP(-LN(2)/2)*FS73+(1-EXP(-LN(2)/2))/(LN(2)/2)*FM74*FP74*VLOOKUP('Données projet'!$B$16,Paramètres!$A$1:$I$88,3,0)*0.475*44/12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projet'!$B$17,Paramètres!$A$1:$I$88,3,0)*VLOOKUP('Données projet'!$B$17,Paramètres!$A$1:$I$88,5,0)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projet'!$B$17,Paramètres!$A$1:$I$88,7,0))</f>
        <v>0</v>
      </c>
      <c r="GJ74" s="17">
        <f>IF(ISNA(VLOOKUP(A74,'Données projet'!$A$243:$I$263,6,0)),0%,VLOOKUP(A74,'Données projet'!$A$243:$I$263,6,0)*VLOOKUP('Données projet'!$B$17,Paramètres!$A$1:$I$88,7,0))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projet'!$B$17,Paramètres!$A$1:$I$88,3,0)*0.475*44/12</f>
        <v>#N/A</v>
      </c>
      <c r="GM74" s="23" t="e">
        <f>EXP(-LN(2)/25)*GM73+(1-EXP(-LN(2)/25))/(LN(2)/25)*Calculateur!GH74*Calculateur!GJ74*VLOOKUP('Données projet'!$B$17,Paramètres!$A$1:$I$88,3,0)*0.475*44/12</f>
        <v>#N/A</v>
      </c>
      <c r="GN74" s="23" t="e">
        <f>EXP(-LN(2)/2)*GN73+(1-EXP(-LN(2)/2))/(LN(2)/2)*GH74*GK74*VLOOKUP('Données projet'!$B$17,Paramètres!$A$1:$I$88,3,0)*0.475*44/12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projet'!$B$18,Paramètres!$A$1:$I$88,3,0)*VLOOKUP('Données projet'!$B$18,Paramètres!$A$1:$I$88,5,0)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projet'!$B$18,Paramètres!$A$1:$I$88,7,0))</f>
        <v>0</v>
      </c>
      <c r="HE74" s="17">
        <f>IF(ISNA(VLOOKUP(A74,'Données projet'!$A$269:$I$289,6,0)),0%,VLOOKUP(A74,'Données projet'!$A$269:$I$289,6,0)*VLOOKUP('Données projet'!$B$18,Paramètres!$A$1:$I$88,7,0))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projet'!$B$18,Paramètres!$A$1:$I$88,3,0)*0.475*44/12</f>
        <v>#N/A</v>
      </c>
      <c r="HH74" s="23" t="e">
        <f>EXP(-LN(2)/25)*HH73+(1-EXP(-LN(2)/25))/(LN(2)/25)*Calculateur!HC74*Calculateur!HE74*VLOOKUP('Données projet'!$B$18,Paramètres!$A$1:$I$88,3,0)*0.475*44/12</f>
        <v>#N/A</v>
      </c>
      <c r="HI74" s="23" t="e">
        <f>EXP(-LN(2)/2)*HI73+(1-EXP(-LN(2)/2))/(LN(2)/2)*HC74*HF74*VLOOKUP('Données projet'!$B$18,Paramètres!$A$1:$I$88,3,0)*0.475*44/12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projet'!$B$9,Paramètres!$A$1:$I$88,3,0)*VLOOKUP('Données projet'!$B$9,Paramètres!$A$1:$I$88,5,0)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175.05987582828078</v>
      </c>
      <c r="T75" s="62">
        <f t="shared" si="88"/>
        <v>268.54782308462387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projet'!$B$9,Paramètres!$A$1:$I$88,7,0))</f>
        <v>0</v>
      </c>
      <c r="X75" s="17">
        <f>IF(ISNA(VLOOKUP(A75,'Données projet'!$A$35:$I$55,6,0)),0%,VLOOKUP(A75,'Données projet'!$A$35:$I$55,6,0)*VLOOKUP('Données projet'!$B$9,Paramètres!$A$1:$I$88,7,0))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projet'!$B$9,Paramètres!$A$1:$I$88,3,0)*0.475*44/12</f>
        <v>0</v>
      </c>
      <c r="AA75" s="23">
        <f>EXP(-LN(2)/25)*AA74+(1-EXP(-LN(2)/25))/(LN(2)/25)*Calculateur!V75*Calculateur!X75*VLOOKUP('Données projet'!$B$9,Paramètres!$A$1:$I$88,3,0)*0.475*44/12</f>
        <v>3.2130387091348913</v>
      </c>
      <c r="AB75" s="23">
        <f>EXP(-LN(2)/2)*AB74+(1-EXP(-LN(2)/2))/(LN(2)/2)*V75*Y75*VLOOKUP('Données projet'!$B$9,Paramètres!$A$1:$I$88,3,0)*0.475*44/12</f>
        <v>7.8767871289285654E-6</v>
      </c>
      <c r="AC75" s="24">
        <f t="shared" si="57"/>
        <v>3.2130465859220201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20.133333333333333</v>
      </c>
      <c r="AI75" s="14">
        <f>IF('Données projet'!$A$62&gt;35,AI74+AH75-AQ74,IF(A75&lt;'Données projet'!$A$62,$AF$205^A75,IF(A75='Données projet'!$A$62,'Données projet'!$B$62,AI74+AH75-AQ74)))</f>
        <v>794.59999999999934</v>
      </c>
      <c r="AJ75" s="14">
        <f>AI75*VLOOKUP('Données projet'!$B$10,Paramètres!$A$1:$I$88,3,0)*VLOOKUP('Données projet'!$B$10,Paramètres!$A$1:$I$88,5,0)</f>
        <v>382.20259999999968</v>
      </c>
      <c r="AK75" s="14">
        <f t="shared" si="89"/>
        <v>88.159013668196579</v>
      </c>
      <c r="AL75" s="22">
        <f t="shared" si="58"/>
        <v>819.21314380544175</v>
      </c>
      <c r="AM75" s="62">
        <f t="shared" si="59"/>
        <v>1112.5464771387751</v>
      </c>
      <c r="AN75" s="62">
        <f ca="1">AVERAGE(OFFSET($AM$3,0,0,'Données projet'!$E$10+1,1))-AVERAGE(OFFSET($H$3,0,0,'Données projet'!$E$10+1,1))</f>
        <v>576.61210817354549</v>
      </c>
      <c r="AO75" s="62">
        <f t="shared" si="90"/>
        <v>343.9428747444544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projet'!$B$10,Paramètres!$A$1:$I$88,7,0))</f>
        <v>0</v>
      </c>
      <c r="AS75" s="17">
        <f>IF(ISNA(VLOOKUP(A75,'Données projet'!$A$61:$I$81,6,0)),0%,VLOOKUP(A75,'Données projet'!$A$61:$I$81,6,0)*VLOOKUP('Données projet'!$B$10,Paramètres!$A$1:$I$88,7,0))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projet'!$B$10,Paramètres!$A$1:$I$88,3,0)*0.475*44/12</f>
        <v>0</v>
      </c>
      <c r="AV75" s="23">
        <f>EXP(-LN(2)/25)*AV74+(1-EXP(-LN(2)/25))/(LN(2)/25)*Calculateur!AQ75*Calculateur!AS75*VLOOKUP('Données projet'!$B$10,Paramètres!$A$1:$I$88,3,0)*0.475*44/12</f>
        <v>1.7672882336241131</v>
      </c>
      <c r="AW75" s="23">
        <f>EXP(-LN(2)/2)*AW74+(1-EXP(-LN(2)/2))/(LN(2)/2)*AQ75*AT75*VLOOKUP('Données projet'!$B$10,Paramètres!$A$1:$I$88,3,0)*0.475*44/12</f>
        <v>5.6092456237702244E-6</v>
      </c>
      <c r="AX75" s="23">
        <f t="shared" si="60"/>
        <v>1.7672938428697369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4.1799999999999953</v>
      </c>
      <c r="BD75" s="13">
        <f>IF('Données projet'!$A$88&gt;35,BD74+BC75-BL74,IF(A75&lt;'Données projet'!$A$88,$BA$205^A75,IF(A75='Données projet'!$A$88,'Données projet'!$B$88,BD74+BC75-BL74)))</f>
        <v>323.45999999999992</v>
      </c>
      <c r="BE75" s="14">
        <f>BD75*VLOOKUP('Données projet'!$B$11,Paramètres!$A$1:$I$88,3,0)*VLOOKUP('Données projet'!$B$11,Paramètres!$A$1:$I$88,5,0)</f>
        <v>257.34477599999997</v>
      </c>
      <c r="BF75" s="14">
        <f t="shared" si="91"/>
        <v>62.15605381333242</v>
      </c>
      <c r="BG75" s="22">
        <f t="shared" si="61"/>
        <v>556.46394525822063</v>
      </c>
      <c r="BH75" s="62">
        <f t="shared" si="62"/>
        <v>849.797278591554</v>
      </c>
      <c r="BI75" s="62">
        <f ca="1">AVERAGE(OFFSET($BH$3,0,0,'Données projet'!$E$11+1,1))-AVERAGE(OFFSET($H$3,0,0,'Données projet'!$E$11+1,1))</f>
        <v>298.38448036212861</v>
      </c>
      <c r="BJ75" s="62">
        <f t="shared" si="92"/>
        <v>270.4445531106897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projet'!$B$11,Paramètres!$A$1:$I$88,7,0))</f>
        <v>0</v>
      </c>
      <c r="BN75" s="17">
        <f>IF(ISNA(VLOOKUP(A75,'Données projet'!$A$87:$I$107,6,0)),0%,VLOOKUP(A75,'Données projet'!$A$87:$I$107,6,0)*VLOOKUP('Données projet'!$B$11,Paramètres!$A$1:$I$88,7,0))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projet'!$B$11,Paramètres!$A$1:$I$88,3,0)*0.475*44/12</f>
        <v>0</v>
      </c>
      <c r="BQ75" s="23">
        <f>EXP(-LN(2)/25)*BQ74+(1-EXP(-LN(2)/25))/(LN(2)/25)*Calculateur!BL75*Calculateur!BN75*VLOOKUP('Données projet'!$B$11,Paramètres!$A$1:$I$88,3,0)*0.475*44/12</f>
        <v>0</v>
      </c>
      <c r="BR75" s="23">
        <f>EXP(-LN(2)/2)*BR74+(1-EXP(-LN(2)/2))/(LN(2)/2)*BL75*BO75*VLOOKUP('Données projet'!$B$11,Paramètres!$A$1:$I$88,3,0)*0.475*44/12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5.6843418860808015E-14</v>
      </c>
      <c r="BZ75" s="14">
        <f>BY75*VLOOKUP('Données projet'!$B$12,Paramètres!$A$1:$I$88,3,0)*VLOOKUP('Données projet'!$B$12,Paramètres!$A$1:$I$88,5,0)</f>
        <v>4.4337866711430253E-14</v>
      </c>
      <c r="CA75" s="14">
        <f t="shared" si="93"/>
        <v>7.3222115536967035E-13</v>
      </c>
      <c r="CB75" s="22">
        <f t="shared" si="64"/>
        <v>1.3525069634579169E-12</v>
      </c>
      <c r="CC75" s="62">
        <f t="shared" si="65"/>
        <v>293.33333333333468</v>
      </c>
      <c r="CD75" s="62">
        <f ca="1">AVERAGE(OFFSET($CC$3,0,0,'Données projet'!$E$12+1,1))-AVERAGE(OFFSET($H$3,0,0,'Données projet'!$E$12+1,1))</f>
        <v>217.32600829266818</v>
      </c>
      <c r="CE75" s="62">
        <f t="shared" si="94"/>
        <v>208.79744153433245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projet'!$B$12,Paramètres!$A$1:$I$88,7,0))</f>
        <v>0</v>
      </c>
      <c r="CI75" s="17">
        <f>IF(ISNA(VLOOKUP(A75,'Données projet'!$A$113:$I$133,6,0)),0%,VLOOKUP(A75,'Données projet'!$A$113:$I$133,6,0)*VLOOKUP('Données projet'!$B$12,Paramètres!$A$1:$I$88,7,0))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projet'!$B$12,Paramètres!$A$1:$I$88,3,0)*0.475*44/12</f>
        <v>0</v>
      </c>
      <c r="CL75" s="23">
        <f>EXP(-LN(2)/25)*CL74+(1-EXP(-LN(2)/25))/(LN(2)/25)*Calculateur!CG75*Calculateur!CI75*VLOOKUP('Données projet'!$B$12,Paramètres!$A$1:$I$88,3,0)*0.475*44/12</f>
        <v>0</v>
      </c>
      <c r="CM75" s="23">
        <f>EXP(-LN(2)/2)*CM74+(1-EXP(-LN(2)/2))/(LN(2)/2)*CG75*CJ75*VLOOKUP('Données projet'!$B$12,Paramètres!$A$1:$I$88,3,0)*0.475*44/12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-3.4106051316484809E-13</v>
      </c>
      <c r="CU75" s="18">
        <f>CT75*VLOOKUP('Données projet'!$B$13,Paramètres!$A$1:$I$88,3,0)*VLOOKUP('Données projet'!$B$13,Paramètres!$A$1:$I$88,5,0)</f>
        <v>-1.9065282685915009E-13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302.20483575440988</v>
      </c>
      <c r="CZ75" s="62">
        <f t="shared" si="96"/>
        <v>275.32862097158687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projet'!$B$13,Paramètres!$A$1:$I$88,7,0))</f>
        <v>0</v>
      </c>
      <c r="DD75" s="17">
        <f>IF(ISNA(VLOOKUP(A75,'Données projet'!$A$139:$I$159,6,0)),0%,VLOOKUP(A75,'Données projet'!$A$139:$I$159,6,0)*VLOOKUP('Données projet'!$B$13,Paramètres!$A$1:$I$88,7,0))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projet'!$B$13,Paramètres!$A$1:$I$88,3,0)*0.475*44/12</f>
        <v>0</v>
      </c>
      <c r="DG75" s="23">
        <f>EXP(-LN(2)/25)*DG74+(1-EXP(-LN(2)/25))/(LN(2)/25)*Calculateur!DB75*Calculateur!DD75*VLOOKUP('Données projet'!$B$13,Paramètres!$A$1:$I$88,3,0)*0.475*44/12</f>
        <v>4.3152367618728924</v>
      </c>
      <c r="DH75" s="23">
        <f>EXP(-LN(2)/2)*DH74+(1-EXP(-LN(2)/2))/(LN(2)/2)*DB75*DE75*VLOOKUP('Données projet'!$B$13,Paramètres!$A$1:$I$88,3,0)*0.475*44/12</f>
        <v>3.2333792207397789E-6</v>
      </c>
      <c r="DI75" s="24">
        <f t="shared" si="69"/>
        <v>4.3152399952521128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projet'!$B$14,Paramètres!$A$1:$I$88,3,0)*VLOOKUP('Données projet'!$B$14,Paramètres!$A$1:$I$88,5,0)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projet'!$B$14,Paramètres!$A$1:$I$88,7,0))</f>
        <v>0</v>
      </c>
      <c r="DY75" s="17">
        <f>IF(ISNA(VLOOKUP(A75,'Données projet'!$A$165:$I$185,6,0)),0%,VLOOKUP(A75,'Données projet'!$A$165:$I$185,6,0)*VLOOKUP('Données projet'!$B$14,Paramètres!$A$1:$I$88,7,0))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projet'!$B$14,Paramètres!$A$1:$I$88,3,0)*0.475*44/12</f>
        <v>#N/A</v>
      </c>
      <c r="EB75" s="23" t="e">
        <f>EXP(-LN(2)/25)*EB74+(1-EXP(-LN(2)/25))/(LN(2)/25)*Calculateur!DW75*Calculateur!DY75*VLOOKUP('Données projet'!$B$14,Paramètres!$A$1:$I$88,3,0)*0.475*44/12</f>
        <v>#N/A</v>
      </c>
      <c r="EC75" s="23" t="e">
        <f>EXP(-LN(2)/2)*EC74+(1-EXP(-LN(2)/2))/(LN(2)/2)*DW75*DZ75*VLOOKUP('Données projet'!$B$14,Paramètres!$A$1:$I$88,3,0)*0.475*44/12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projet'!$B$15,Paramètres!$A$1:$I$88,3,0)*VLOOKUP('Données projet'!$B$15,Paramètres!$A$1:$I$88,5,0)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projet'!$B$15,Paramètres!$A$1:$I$88,7,0))</f>
        <v>0</v>
      </c>
      <c r="ET75" s="17">
        <f>IF(ISNA(VLOOKUP(A75,'Données projet'!$A$191:$I$211,6,0)),0%,VLOOKUP(A75,'Données projet'!$A$191:$I$211,6,0)*VLOOKUP('Données projet'!$B$15,Paramètres!$A$1:$I$88,7,0))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projet'!$B$15,Paramètres!$A$1:$I$88,3,0)*0.475*44/12</f>
        <v>#N/A</v>
      </c>
      <c r="EW75" s="23" t="e">
        <f>EXP(-LN(2)/25)*EW74+(1-EXP(-LN(2)/25))/(LN(2)/25)*Calculateur!ER75*Calculateur!ET75*VLOOKUP('Données projet'!$B$15,Paramètres!$A$1:$I$88,3,0)*0.475*44/12</f>
        <v>#N/A</v>
      </c>
      <c r="EX75" s="23" t="e">
        <f>EXP(-LN(2)/2)*EX74+(1-EXP(-LN(2)/2))/(LN(2)/2)*ER75*EU75*VLOOKUP('Données projet'!$B$15,Paramètres!$A$1:$I$88,3,0)*0.475*44/12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projet'!$B$16,Paramètres!$A$1:$I$88,3,0)*VLOOKUP('Données projet'!$B$16,Paramètres!$A$1:$I$88,5,0)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projet'!$B$16,Paramètres!$A$1:$I$88,7,0))</f>
        <v>0</v>
      </c>
      <c r="FO75" s="17">
        <f>IF(ISNA(VLOOKUP(A75,'Données projet'!$A$217:$I$237,6,0)),0%,VLOOKUP(A75,'Données projet'!$A$217:$I$237,6,0)*VLOOKUP('Données projet'!$B$16,Paramètres!$A$1:$I$88,7,0))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projet'!$B$16,Paramètres!$A$1:$I$88,3,0)*0.475*44/12</f>
        <v>#N/A</v>
      </c>
      <c r="FR75" s="23" t="e">
        <f>EXP(-LN(2)/25)*FR74+(1-EXP(-LN(2)/25))/(LN(2)/25)*Calculateur!FM75*Calculateur!FO75*VLOOKUP('Données projet'!$B$16,Paramètres!$A$1:$I$88,3,0)*0.475*44/12</f>
        <v>#N/A</v>
      </c>
      <c r="FS75" s="23" t="e">
        <f>EXP(-LN(2)/2)*FS74+(1-EXP(-LN(2)/2))/(LN(2)/2)*FM75*FP75*VLOOKUP('Données projet'!$B$16,Paramètres!$A$1:$I$88,3,0)*0.475*44/12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projet'!$B$17,Paramètres!$A$1:$I$88,3,0)*VLOOKUP('Données projet'!$B$17,Paramètres!$A$1:$I$88,5,0)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projet'!$B$17,Paramètres!$A$1:$I$88,7,0))</f>
        <v>0</v>
      </c>
      <c r="GJ75" s="17">
        <f>IF(ISNA(VLOOKUP(A75,'Données projet'!$A$243:$I$263,6,0)),0%,VLOOKUP(A75,'Données projet'!$A$243:$I$263,6,0)*VLOOKUP('Données projet'!$B$17,Paramètres!$A$1:$I$88,7,0))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projet'!$B$17,Paramètres!$A$1:$I$88,3,0)*0.475*44/12</f>
        <v>#N/A</v>
      </c>
      <c r="GM75" s="23" t="e">
        <f>EXP(-LN(2)/25)*GM74+(1-EXP(-LN(2)/25))/(LN(2)/25)*Calculateur!GH75*Calculateur!GJ75*VLOOKUP('Données projet'!$B$17,Paramètres!$A$1:$I$88,3,0)*0.475*44/12</f>
        <v>#N/A</v>
      </c>
      <c r="GN75" s="23" t="e">
        <f>EXP(-LN(2)/2)*GN74+(1-EXP(-LN(2)/2))/(LN(2)/2)*GH75*GK75*VLOOKUP('Données projet'!$B$17,Paramètres!$A$1:$I$88,3,0)*0.475*44/12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projet'!$B$18,Paramètres!$A$1:$I$88,3,0)*VLOOKUP('Données projet'!$B$18,Paramètres!$A$1:$I$88,5,0)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projet'!$B$18,Paramètres!$A$1:$I$88,7,0))</f>
        <v>0</v>
      </c>
      <c r="HE75" s="17">
        <f>IF(ISNA(VLOOKUP(A75,'Données projet'!$A$269:$I$289,6,0)),0%,VLOOKUP(A75,'Données projet'!$A$269:$I$289,6,0)*VLOOKUP('Données projet'!$B$18,Paramètres!$A$1:$I$88,7,0))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projet'!$B$18,Paramètres!$A$1:$I$88,3,0)*0.475*44/12</f>
        <v>#N/A</v>
      </c>
      <c r="HH75" s="23" t="e">
        <f>EXP(-LN(2)/25)*HH74+(1-EXP(-LN(2)/25))/(LN(2)/25)*Calculateur!HC75*Calculateur!HE75*VLOOKUP('Données projet'!$B$18,Paramètres!$A$1:$I$88,3,0)*0.475*44/12</f>
        <v>#N/A</v>
      </c>
      <c r="HI75" s="23" t="e">
        <f>EXP(-LN(2)/2)*HI74+(1-EXP(-LN(2)/2))/(LN(2)/2)*HC75*HF75*VLOOKUP('Données projet'!$B$18,Paramètres!$A$1:$I$88,3,0)*0.475*44/12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projet'!$B$9,Paramètres!$A$1:$I$88,3,0)*VLOOKUP('Données projet'!$B$9,Paramètres!$A$1:$I$88,5,0)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175.05987582828078</v>
      </c>
      <c r="T76" s="62">
        <f t="shared" si="88"/>
        <v>268.54782308462387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projet'!$B$9,Paramètres!$A$1:$I$88,7,0))</f>
        <v>0</v>
      </c>
      <c r="X76" s="17">
        <f>IF(ISNA(VLOOKUP(A76,'Données projet'!$A$35:$I$55,6,0)),0%,VLOOKUP(A76,'Données projet'!$A$35:$I$55,6,0)*VLOOKUP('Données projet'!$B$9,Paramètres!$A$1:$I$88,7,0))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projet'!$B$9,Paramètres!$A$1:$I$88,3,0)*0.475*44/12</f>
        <v>0</v>
      </c>
      <c r="AA76" s="23">
        <f>EXP(-LN(2)/25)*AA75+(1-EXP(-LN(2)/25))/(LN(2)/25)*Calculateur!V76*Calculateur!X76*VLOOKUP('Données projet'!$B$9,Paramètres!$A$1:$I$88,3,0)*0.475*44/12</f>
        <v>3.1251779966672353</v>
      </c>
      <c r="AB76" s="23">
        <f>EXP(-LN(2)/2)*AB75+(1-EXP(-LN(2)/2))/(LN(2)/2)*V76*Y76*VLOOKUP('Données projet'!$B$9,Paramètres!$A$1:$I$88,3,0)*0.475*44/12</f>
        <v>5.569729592828305E-6</v>
      </c>
      <c r="AC76" s="24">
        <f t="shared" si="57"/>
        <v>3.1251835663968279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20.133333333333333</v>
      </c>
      <c r="AI76" s="14">
        <f>IF('Données projet'!$A$62&gt;35,AI75+AH76-AQ75,IF(A76&lt;'Données projet'!$A$62,$AF$205^A76,IF(A76='Données projet'!$A$62,'Données projet'!$B$62,AI75+AH76-AQ75)))</f>
        <v>814.73333333333267</v>
      </c>
      <c r="AJ76" s="14">
        <f>AI76*VLOOKUP('Données projet'!$B$10,Paramètres!$A$1:$I$88,3,0)*VLOOKUP('Données projet'!$B$10,Paramètres!$A$1:$I$88,5,0)</f>
        <v>391.88673333333304</v>
      </c>
      <c r="AK76" s="14">
        <f t="shared" si="89"/>
        <v>90.129868398112251</v>
      </c>
      <c r="AL76" s="22">
        <f t="shared" si="58"/>
        <v>839.51224801560056</v>
      </c>
      <c r="AM76" s="62">
        <f t="shared" si="59"/>
        <v>1132.8455813489338</v>
      </c>
      <c r="AN76" s="62">
        <f ca="1">AVERAGE(OFFSET($AM$3,0,0,'Données projet'!$E$10+1,1))-AVERAGE(OFFSET($H$3,0,0,'Données projet'!$E$10+1,1))</f>
        <v>576.61210817354549</v>
      </c>
      <c r="AO76" s="62">
        <f t="shared" si="90"/>
        <v>343.9428747444544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projet'!$B$10,Paramètres!$A$1:$I$88,7,0))</f>
        <v>0</v>
      </c>
      <c r="AS76" s="17">
        <f>IF(ISNA(VLOOKUP(A76,'Données projet'!$A$61:$I$81,6,0)),0%,VLOOKUP(A76,'Données projet'!$A$61:$I$81,6,0)*VLOOKUP('Données projet'!$B$10,Paramètres!$A$1:$I$88,7,0))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projet'!$B$10,Paramètres!$A$1:$I$88,3,0)*0.475*44/12</f>
        <v>0</v>
      </c>
      <c r="AV76" s="23">
        <f>EXP(-LN(2)/25)*AV75+(1-EXP(-LN(2)/25))/(LN(2)/25)*Calculateur!AQ76*Calculateur!AS76*VLOOKUP('Données projet'!$B$10,Paramètres!$A$1:$I$88,3,0)*0.475*44/12</f>
        <v>1.7189616439380127</v>
      </c>
      <c r="AW76" s="23">
        <f>EXP(-LN(2)/2)*AW75+(1-EXP(-LN(2)/2))/(LN(2)/2)*AQ76*AT76*VLOOKUP('Données projet'!$B$10,Paramètres!$A$1:$I$88,3,0)*0.475*44/12</f>
        <v>3.9663356179088913E-6</v>
      </c>
      <c r="AX76" s="23">
        <f t="shared" si="60"/>
        <v>1.7189656102736306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4.1799999999999953</v>
      </c>
      <c r="BD76" s="13">
        <f>IF('Données projet'!$A$88&gt;35,BD75+BC76-BL75,IF(A76&lt;'Données projet'!$A$88,$BA$205^A76,IF(A76='Données projet'!$A$88,'Données projet'!$B$88,BD75+BC76-BL75)))</f>
        <v>327.63999999999993</v>
      </c>
      <c r="BE76" s="14">
        <f>BD76*VLOOKUP('Données projet'!$B$11,Paramètres!$A$1:$I$88,3,0)*VLOOKUP('Données projet'!$B$11,Paramètres!$A$1:$I$88,5,0)</f>
        <v>260.67038399999996</v>
      </c>
      <c r="BF76" s="14">
        <f t="shared" si="91"/>
        <v>62.865255310877103</v>
      </c>
      <c r="BG76" s="22">
        <f t="shared" si="61"/>
        <v>563.4912384664442</v>
      </c>
      <c r="BH76" s="62">
        <f t="shared" si="62"/>
        <v>856.82457179977746</v>
      </c>
      <c r="BI76" s="62">
        <f ca="1">AVERAGE(OFFSET($BH$3,0,0,'Données projet'!$E$11+1,1))-AVERAGE(OFFSET($H$3,0,0,'Données projet'!$E$11+1,1))</f>
        <v>298.38448036212861</v>
      </c>
      <c r="BJ76" s="62">
        <f t="shared" si="92"/>
        <v>270.4445531106897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projet'!$B$11,Paramètres!$A$1:$I$88,7,0))</f>
        <v>0</v>
      </c>
      <c r="BN76" s="17">
        <f>IF(ISNA(VLOOKUP(A76,'Données projet'!$A$87:$I$107,6,0)),0%,VLOOKUP(A76,'Données projet'!$A$87:$I$107,6,0)*VLOOKUP('Données projet'!$B$11,Paramètres!$A$1:$I$88,7,0))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projet'!$B$11,Paramètres!$A$1:$I$88,3,0)*0.475*44/12</f>
        <v>0</v>
      </c>
      <c r="BQ76" s="23">
        <f>EXP(-LN(2)/25)*BQ75+(1-EXP(-LN(2)/25))/(LN(2)/25)*Calculateur!BL76*Calculateur!BN76*VLOOKUP('Données projet'!$B$11,Paramètres!$A$1:$I$88,3,0)*0.475*44/12</f>
        <v>0</v>
      </c>
      <c r="BR76" s="23">
        <f>EXP(-LN(2)/2)*BR75+(1-EXP(-LN(2)/2))/(LN(2)/2)*BL76*BO76*VLOOKUP('Données projet'!$B$11,Paramètres!$A$1:$I$88,3,0)*0.475*44/12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5.6843418860808015E-14</v>
      </c>
      <c r="BZ76" s="14">
        <f>BY76*VLOOKUP('Données projet'!$B$12,Paramètres!$A$1:$I$88,3,0)*VLOOKUP('Données projet'!$B$12,Paramètres!$A$1:$I$88,5,0)</f>
        <v>4.4337866711430253E-14</v>
      </c>
      <c r="CA76" s="14">
        <f t="shared" si="93"/>
        <v>7.3222115536967035E-13</v>
      </c>
      <c r="CB76" s="22">
        <f t="shared" si="64"/>
        <v>1.3525069634579169E-12</v>
      </c>
      <c r="CC76" s="62">
        <f t="shared" si="65"/>
        <v>293.33333333333468</v>
      </c>
      <c r="CD76" s="62">
        <f ca="1">AVERAGE(OFFSET($CC$3,0,0,'Données projet'!$E$12+1,1))-AVERAGE(OFFSET($H$3,0,0,'Données projet'!$E$12+1,1))</f>
        <v>217.32600829266818</v>
      </c>
      <c r="CE76" s="62">
        <f t="shared" si="94"/>
        <v>208.79744153433245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projet'!$B$12,Paramètres!$A$1:$I$88,7,0))</f>
        <v>0</v>
      </c>
      <c r="CI76" s="17">
        <f>IF(ISNA(VLOOKUP(A76,'Données projet'!$A$113:$I$133,6,0)),0%,VLOOKUP(A76,'Données projet'!$A$113:$I$133,6,0)*VLOOKUP('Données projet'!$B$12,Paramètres!$A$1:$I$88,7,0))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projet'!$B$12,Paramètres!$A$1:$I$88,3,0)*0.475*44/12</f>
        <v>0</v>
      </c>
      <c r="CL76" s="23">
        <f>EXP(-LN(2)/25)*CL75+(1-EXP(-LN(2)/25))/(LN(2)/25)*Calculateur!CG76*Calculateur!CI76*VLOOKUP('Données projet'!$B$12,Paramètres!$A$1:$I$88,3,0)*0.475*44/12</f>
        <v>0</v>
      </c>
      <c r="CM76" s="23">
        <f>EXP(-LN(2)/2)*CM75+(1-EXP(-LN(2)/2))/(LN(2)/2)*CG76*CJ76*VLOOKUP('Données projet'!$B$12,Paramètres!$A$1:$I$88,3,0)*0.475*44/12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-3.4106051316484809E-13</v>
      </c>
      <c r="CU76" s="18">
        <f>CT76*VLOOKUP('Données projet'!$B$13,Paramètres!$A$1:$I$88,3,0)*VLOOKUP('Données projet'!$B$13,Paramètres!$A$1:$I$88,5,0)</f>
        <v>-1.9065282685915009E-13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302.20483575440988</v>
      </c>
      <c r="CZ76" s="62">
        <f t="shared" si="96"/>
        <v>275.32862097158687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projet'!$B$13,Paramètres!$A$1:$I$88,7,0))</f>
        <v>0</v>
      </c>
      <c r="DD76" s="17">
        <f>IF(ISNA(VLOOKUP(A76,'Données projet'!$A$139:$I$159,6,0)),0%,VLOOKUP(A76,'Données projet'!$A$139:$I$159,6,0)*VLOOKUP('Données projet'!$B$13,Paramètres!$A$1:$I$88,7,0))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projet'!$B$13,Paramètres!$A$1:$I$88,3,0)*0.475*44/12</f>
        <v>0</v>
      </c>
      <c r="DG76" s="23">
        <f>EXP(-LN(2)/25)*DG75+(1-EXP(-LN(2)/25))/(LN(2)/25)*Calculateur!DB76*Calculateur!DD76*VLOOKUP('Données projet'!$B$13,Paramètres!$A$1:$I$88,3,0)*0.475*44/12</f>
        <v>4.1972363856910393</v>
      </c>
      <c r="DH76" s="23">
        <f>EXP(-LN(2)/2)*DH75+(1-EXP(-LN(2)/2))/(LN(2)/2)*DB76*DE76*VLOOKUP('Données projet'!$B$13,Paramètres!$A$1:$I$88,3,0)*0.475*44/12</f>
        <v>2.2863443731327724E-6</v>
      </c>
      <c r="DI76" s="24">
        <f t="shared" si="69"/>
        <v>4.1972386720354127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projet'!$B$14,Paramètres!$A$1:$I$88,3,0)*VLOOKUP('Données projet'!$B$14,Paramètres!$A$1:$I$88,5,0)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projet'!$B$14,Paramètres!$A$1:$I$88,7,0))</f>
        <v>0</v>
      </c>
      <c r="DY76" s="17">
        <f>IF(ISNA(VLOOKUP(A76,'Données projet'!$A$165:$I$185,6,0)),0%,VLOOKUP(A76,'Données projet'!$A$165:$I$185,6,0)*VLOOKUP('Données projet'!$B$14,Paramètres!$A$1:$I$88,7,0))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projet'!$B$14,Paramètres!$A$1:$I$88,3,0)*0.475*44/12</f>
        <v>#N/A</v>
      </c>
      <c r="EB76" s="23" t="e">
        <f>EXP(-LN(2)/25)*EB75+(1-EXP(-LN(2)/25))/(LN(2)/25)*Calculateur!DW76*Calculateur!DY76*VLOOKUP('Données projet'!$B$14,Paramètres!$A$1:$I$88,3,0)*0.475*44/12</f>
        <v>#N/A</v>
      </c>
      <c r="EC76" s="23" t="e">
        <f>EXP(-LN(2)/2)*EC75+(1-EXP(-LN(2)/2))/(LN(2)/2)*DW76*DZ76*VLOOKUP('Données projet'!$B$14,Paramètres!$A$1:$I$88,3,0)*0.475*44/12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projet'!$B$15,Paramètres!$A$1:$I$88,3,0)*VLOOKUP('Données projet'!$B$15,Paramètres!$A$1:$I$88,5,0)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projet'!$B$15,Paramètres!$A$1:$I$88,7,0))</f>
        <v>0</v>
      </c>
      <c r="ET76" s="17">
        <f>IF(ISNA(VLOOKUP(A76,'Données projet'!$A$191:$I$211,6,0)),0%,VLOOKUP(A76,'Données projet'!$A$191:$I$211,6,0)*VLOOKUP('Données projet'!$B$15,Paramètres!$A$1:$I$88,7,0))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projet'!$B$15,Paramètres!$A$1:$I$88,3,0)*0.475*44/12</f>
        <v>#N/A</v>
      </c>
      <c r="EW76" s="23" t="e">
        <f>EXP(-LN(2)/25)*EW75+(1-EXP(-LN(2)/25))/(LN(2)/25)*Calculateur!ER76*Calculateur!ET76*VLOOKUP('Données projet'!$B$15,Paramètres!$A$1:$I$88,3,0)*0.475*44/12</f>
        <v>#N/A</v>
      </c>
      <c r="EX76" s="23" t="e">
        <f>EXP(-LN(2)/2)*EX75+(1-EXP(-LN(2)/2))/(LN(2)/2)*ER76*EU76*VLOOKUP('Données projet'!$B$15,Paramètres!$A$1:$I$88,3,0)*0.475*44/12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projet'!$B$16,Paramètres!$A$1:$I$88,3,0)*VLOOKUP('Données projet'!$B$16,Paramètres!$A$1:$I$88,5,0)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projet'!$B$16,Paramètres!$A$1:$I$88,7,0))</f>
        <v>0</v>
      </c>
      <c r="FO76" s="17">
        <f>IF(ISNA(VLOOKUP(A76,'Données projet'!$A$217:$I$237,6,0)),0%,VLOOKUP(A76,'Données projet'!$A$217:$I$237,6,0)*VLOOKUP('Données projet'!$B$16,Paramètres!$A$1:$I$88,7,0))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projet'!$B$16,Paramètres!$A$1:$I$88,3,0)*0.475*44/12</f>
        <v>#N/A</v>
      </c>
      <c r="FR76" s="23" t="e">
        <f>EXP(-LN(2)/25)*FR75+(1-EXP(-LN(2)/25))/(LN(2)/25)*Calculateur!FM76*Calculateur!FO76*VLOOKUP('Données projet'!$B$16,Paramètres!$A$1:$I$88,3,0)*0.475*44/12</f>
        <v>#N/A</v>
      </c>
      <c r="FS76" s="23" t="e">
        <f>EXP(-LN(2)/2)*FS75+(1-EXP(-LN(2)/2))/(LN(2)/2)*FM76*FP76*VLOOKUP('Données projet'!$B$16,Paramètres!$A$1:$I$88,3,0)*0.475*44/12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projet'!$B$17,Paramètres!$A$1:$I$88,3,0)*VLOOKUP('Données projet'!$B$17,Paramètres!$A$1:$I$88,5,0)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projet'!$B$17,Paramètres!$A$1:$I$88,7,0))</f>
        <v>0</v>
      </c>
      <c r="GJ76" s="17">
        <f>IF(ISNA(VLOOKUP(A76,'Données projet'!$A$243:$I$263,6,0)),0%,VLOOKUP(A76,'Données projet'!$A$243:$I$263,6,0)*VLOOKUP('Données projet'!$B$17,Paramètres!$A$1:$I$88,7,0))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projet'!$B$17,Paramètres!$A$1:$I$88,3,0)*0.475*44/12</f>
        <v>#N/A</v>
      </c>
      <c r="GM76" s="23" t="e">
        <f>EXP(-LN(2)/25)*GM75+(1-EXP(-LN(2)/25))/(LN(2)/25)*Calculateur!GH76*Calculateur!GJ76*VLOOKUP('Données projet'!$B$17,Paramètres!$A$1:$I$88,3,0)*0.475*44/12</f>
        <v>#N/A</v>
      </c>
      <c r="GN76" s="23" t="e">
        <f>EXP(-LN(2)/2)*GN75+(1-EXP(-LN(2)/2))/(LN(2)/2)*GH76*GK76*VLOOKUP('Données projet'!$B$17,Paramètres!$A$1:$I$88,3,0)*0.475*44/12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projet'!$B$18,Paramètres!$A$1:$I$88,3,0)*VLOOKUP('Données projet'!$B$18,Paramètres!$A$1:$I$88,5,0)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projet'!$B$18,Paramètres!$A$1:$I$88,7,0))</f>
        <v>0</v>
      </c>
      <c r="HE76" s="17">
        <f>IF(ISNA(VLOOKUP(A76,'Données projet'!$A$269:$I$289,6,0)),0%,VLOOKUP(A76,'Données projet'!$A$269:$I$289,6,0)*VLOOKUP('Données projet'!$B$18,Paramètres!$A$1:$I$88,7,0))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projet'!$B$18,Paramètres!$A$1:$I$88,3,0)*0.475*44/12</f>
        <v>#N/A</v>
      </c>
      <c r="HH76" s="23" t="e">
        <f>EXP(-LN(2)/25)*HH75+(1-EXP(-LN(2)/25))/(LN(2)/25)*Calculateur!HC76*Calculateur!HE76*VLOOKUP('Données projet'!$B$18,Paramètres!$A$1:$I$88,3,0)*0.475*44/12</f>
        <v>#N/A</v>
      </c>
      <c r="HI76" s="23" t="e">
        <f>EXP(-LN(2)/2)*HI75+(1-EXP(-LN(2)/2))/(LN(2)/2)*HC76*HF76*VLOOKUP('Données projet'!$B$18,Paramètres!$A$1:$I$88,3,0)*0.475*44/12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projet'!$B$9,Paramètres!$A$1:$I$88,3,0)*VLOOKUP('Données projet'!$B$9,Paramètres!$A$1:$I$88,5,0)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175.05987582828078</v>
      </c>
      <c r="T77" s="62">
        <f t="shared" si="88"/>
        <v>268.54782308462387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projet'!$B$9,Paramètres!$A$1:$I$88,7,0))</f>
        <v>0</v>
      </c>
      <c r="X77" s="17">
        <f>IF(ISNA(VLOOKUP(A77,'Données projet'!$A$35:$I$55,6,0)),0%,VLOOKUP(A77,'Données projet'!$A$35:$I$55,6,0)*VLOOKUP('Données projet'!$B$9,Paramètres!$A$1:$I$88,7,0))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projet'!$B$9,Paramètres!$A$1:$I$88,3,0)*0.475*44/12</f>
        <v>0</v>
      </c>
      <c r="AA77" s="23">
        <f>EXP(-LN(2)/25)*AA76+(1-EXP(-LN(2)/25))/(LN(2)/25)*Calculateur!V77*Calculateur!X77*VLOOKUP('Données projet'!$B$9,Paramètres!$A$1:$I$88,3,0)*0.475*44/12</f>
        <v>3.0397198400024017</v>
      </c>
      <c r="AB77" s="23">
        <f>EXP(-LN(2)/2)*AB76+(1-EXP(-LN(2)/2))/(LN(2)/2)*V77*Y77*VLOOKUP('Données projet'!$B$9,Paramètres!$A$1:$I$88,3,0)*0.475*44/12</f>
        <v>3.9383935644642827E-6</v>
      </c>
      <c r="AC77" s="24">
        <f t="shared" si="57"/>
        <v>3.0397237783959663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20.133333333333333</v>
      </c>
      <c r="AI77" s="14">
        <f>IF('Données projet'!$A$62&gt;35,AI76+AH77-AQ76,IF(A77&lt;'Données projet'!$A$62,$AF$205^A77,IF(A77='Données projet'!$A$62,'Données projet'!$B$62,AI76+AH77-AQ76)))</f>
        <v>834.86666666666599</v>
      </c>
      <c r="AJ77" s="14">
        <f>AI77*VLOOKUP('Données projet'!$B$10,Paramètres!$A$1:$I$88,3,0)*VLOOKUP('Données projet'!$B$10,Paramètres!$A$1:$I$88,5,0)</f>
        <v>401.5708666666664</v>
      </c>
      <c r="AK77" s="14">
        <f t="shared" si="89"/>
        <v>92.095061647072171</v>
      </c>
      <c r="AL77" s="22">
        <f t="shared" si="58"/>
        <v>859.80149181309469</v>
      </c>
      <c r="AM77" s="62">
        <f t="shared" si="59"/>
        <v>1153.1348251464281</v>
      </c>
      <c r="AN77" s="62">
        <f ca="1">AVERAGE(OFFSET($AM$3,0,0,'Données projet'!$E$10+1,1))-AVERAGE(OFFSET($H$3,0,0,'Données projet'!$E$10+1,1))</f>
        <v>576.61210817354549</v>
      </c>
      <c r="AO77" s="62">
        <f t="shared" si="90"/>
        <v>343.9428747444544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projet'!$B$10,Paramètres!$A$1:$I$88,7,0))</f>
        <v>0</v>
      </c>
      <c r="AS77" s="17">
        <f>IF(ISNA(VLOOKUP(A77,'Données projet'!$A$61:$I$81,6,0)),0%,VLOOKUP(A77,'Données projet'!$A$61:$I$81,6,0)*VLOOKUP('Données projet'!$B$10,Paramètres!$A$1:$I$88,7,0))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projet'!$B$10,Paramètres!$A$1:$I$88,3,0)*0.475*44/12</f>
        <v>0</v>
      </c>
      <c r="AV77" s="23">
        <f>EXP(-LN(2)/25)*AV76+(1-EXP(-LN(2)/25))/(LN(2)/25)*Calculateur!AQ77*Calculateur!AS77*VLOOKUP('Données projet'!$B$10,Paramètres!$A$1:$I$88,3,0)*0.475*44/12</f>
        <v>1.6719565473882636</v>
      </c>
      <c r="AW77" s="23">
        <f>EXP(-LN(2)/2)*AW76+(1-EXP(-LN(2)/2))/(LN(2)/2)*AQ77*AT77*VLOOKUP('Données projet'!$B$10,Paramètres!$A$1:$I$88,3,0)*0.475*44/12</f>
        <v>2.8046228118851122E-6</v>
      </c>
      <c r="AX77" s="23">
        <f t="shared" si="60"/>
        <v>1.6719593520110756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4.1799999999999953</v>
      </c>
      <c r="BD77" s="13">
        <f>IF('Données projet'!$A$88&gt;35,BD76+BC77-BL76,IF(A77&lt;'Données projet'!$A$88,$BA$205^A77,IF(A77='Données projet'!$A$88,'Données projet'!$B$88,BD76+BC77-BL76)))</f>
        <v>331.81999999999994</v>
      </c>
      <c r="BE77" s="14">
        <f>BD77*VLOOKUP('Données projet'!$B$11,Paramètres!$A$1:$I$88,3,0)*VLOOKUP('Données projet'!$B$11,Paramètres!$A$1:$I$88,5,0)</f>
        <v>263.99599199999994</v>
      </c>
      <c r="BF77" s="14">
        <f t="shared" si="91"/>
        <v>63.573404381330448</v>
      </c>
      <c r="BG77" s="22">
        <f t="shared" si="61"/>
        <v>570.51669869748378</v>
      </c>
      <c r="BH77" s="62">
        <f t="shared" si="62"/>
        <v>863.85003203081715</v>
      </c>
      <c r="BI77" s="62">
        <f ca="1">AVERAGE(OFFSET($BH$3,0,0,'Données projet'!$E$11+1,1))-AVERAGE(OFFSET($H$3,0,0,'Données projet'!$E$11+1,1))</f>
        <v>298.38448036212861</v>
      </c>
      <c r="BJ77" s="62">
        <f t="shared" si="92"/>
        <v>270.4445531106897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projet'!$B$11,Paramètres!$A$1:$I$88,7,0))</f>
        <v>0</v>
      </c>
      <c r="BN77" s="17">
        <f>IF(ISNA(VLOOKUP(A77,'Données projet'!$A$87:$I$107,6,0)),0%,VLOOKUP(A77,'Données projet'!$A$87:$I$107,6,0)*VLOOKUP('Données projet'!$B$11,Paramètres!$A$1:$I$88,7,0))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projet'!$B$11,Paramètres!$A$1:$I$88,3,0)*0.475*44/12</f>
        <v>0</v>
      </c>
      <c r="BQ77" s="23">
        <f>EXP(-LN(2)/25)*BQ76+(1-EXP(-LN(2)/25))/(LN(2)/25)*Calculateur!BL77*Calculateur!BN77*VLOOKUP('Données projet'!$B$11,Paramètres!$A$1:$I$88,3,0)*0.475*44/12</f>
        <v>0</v>
      </c>
      <c r="BR77" s="23">
        <f>EXP(-LN(2)/2)*BR76+(1-EXP(-LN(2)/2))/(LN(2)/2)*BL77*BO77*VLOOKUP('Données projet'!$B$11,Paramètres!$A$1:$I$88,3,0)*0.475*44/12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5.6843418860808015E-14</v>
      </c>
      <c r="BZ77" s="14">
        <f>BY77*VLOOKUP('Données projet'!$B$12,Paramètres!$A$1:$I$88,3,0)*VLOOKUP('Données projet'!$B$12,Paramètres!$A$1:$I$88,5,0)</f>
        <v>4.4337866711430253E-14</v>
      </c>
      <c r="CA77" s="14">
        <f t="shared" si="93"/>
        <v>7.3222115536967035E-13</v>
      </c>
      <c r="CB77" s="22">
        <f t="shared" si="64"/>
        <v>1.3525069634579169E-12</v>
      </c>
      <c r="CC77" s="62">
        <f t="shared" si="65"/>
        <v>293.33333333333468</v>
      </c>
      <c r="CD77" s="62">
        <f ca="1">AVERAGE(OFFSET($CC$3,0,0,'Données projet'!$E$12+1,1))-AVERAGE(OFFSET($H$3,0,0,'Données projet'!$E$12+1,1))</f>
        <v>217.32600829266818</v>
      </c>
      <c r="CE77" s="62">
        <f t="shared" si="94"/>
        <v>208.79744153433245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projet'!$B$12,Paramètres!$A$1:$I$88,7,0))</f>
        <v>0</v>
      </c>
      <c r="CI77" s="17">
        <f>IF(ISNA(VLOOKUP(A77,'Données projet'!$A$113:$I$133,6,0)),0%,VLOOKUP(A77,'Données projet'!$A$113:$I$133,6,0)*VLOOKUP('Données projet'!$B$12,Paramètres!$A$1:$I$88,7,0))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projet'!$B$12,Paramètres!$A$1:$I$88,3,0)*0.475*44/12</f>
        <v>0</v>
      </c>
      <c r="CL77" s="23">
        <f>EXP(-LN(2)/25)*CL76+(1-EXP(-LN(2)/25))/(LN(2)/25)*Calculateur!CG77*Calculateur!CI77*VLOOKUP('Données projet'!$B$12,Paramètres!$A$1:$I$88,3,0)*0.475*44/12</f>
        <v>0</v>
      </c>
      <c r="CM77" s="23">
        <f>EXP(-LN(2)/2)*CM76+(1-EXP(-LN(2)/2))/(LN(2)/2)*CG77*CJ77*VLOOKUP('Données projet'!$B$12,Paramètres!$A$1:$I$88,3,0)*0.475*44/12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-3.4106051316484809E-13</v>
      </c>
      <c r="CU77" s="18">
        <f>CT77*VLOOKUP('Données projet'!$B$13,Paramètres!$A$1:$I$88,3,0)*VLOOKUP('Données projet'!$B$13,Paramètres!$A$1:$I$88,5,0)</f>
        <v>-1.9065282685915009E-13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302.20483575440988</v>
      </c>
      <c r="CZ77" s="62">
        <f t="shared" si="96"/>
        <v>275.32862097158687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projet'!$B$13,Paramètres!$A$1:$I$88,7,0))</f>
        <v>0</v>
      </c>
      <c r="DD77" s="17">
        <f>IF(ISNA(VLOOKUP(A77,'Données projet'!$A$139:$I$159,6,0)),0%,VLOOKUP(A77,'Données projet'!$A$139:$I$159,6,0)*VLOOKUP('Données projet'!$B$13,Paramètres!$A$1:$I$88,7,0))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projet'!$B$13,Paramètres!$A$1:$I$88,3,0)*0.475*44/12</f>
        <v>0</v>
      </c>
      <c r="DG77" s="23">
        <f>EXP(-LN(2)/25)*DG76+(1-EXP(-LN(2)/25))/(LN(2)/25)*Calculateur!DB77*Calculateur!DD77*VLOOKUP('Données projet'!$B$13,Paramètres!$A$1:$I$88,3,0)*0.475*44/12</f>
        <v>4.0824627360012489</v>
      </c>
      <c r="DH77" s="23">
        <f>EXP(-LN(2)/2)*DH76+(1-EXP(-LN(2)/2))/(LN(2)/2)*DB77*DE77*VLOOKUP('Données projet'!$B$13,Paramètres!$A$1:$I$88,3,0)*0.475*44/12</f>
        <v>1.6166896103698895E-6</v>
      </c>
      <c r="DI77" s="24">
        <f t="shared" si="69"/>
        <v>4.0824643526908595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projet'!$B$14,Paramètres!$A$1:$I$88,3,0)*VLOOKUP('Données projet'!$B$14,Paramètres!$A$1:$I$88,5,0)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projet'!$B$14,Paramètres!$A$1:$I$88,7,0))</f>
        <v>0</v>
      </c>
      <c r="DY77" s="17">
        <f>IF(ISNA(VLOOKUP(A77,'Données projet'!$A$165:$I$185,6,0)),0%,VLOOKUP(A77,'Données projet'!$A$165:$I$185,6,0)*VLOOKUP('Données projet'!$B$14,Paramètres!$A$1:$I$88,7,0))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projet'!$B$14,Paramètres!$A$1:$I$88,3,0)*0.475*44/12</f>
        <v>#N/A</v>
      </c>
      <c r="EB77" s="23" t="e">
        <f>EXP(-LN(2)/25)*EB76+(1-EXP(-LN(2)/25))/(LN(2)/25)*Calculateur!DW77*Calculateur!DY77*VLOOKUP('Données projet'!$B$14,Paramètres!$A$1:$I$88,3,0)*0.475*44/12</f>
        <v>#N/A</v>
      </c>
      <c r="EC77" s="23" t="e">
        <f>EXP(-LN(2)/2)*EC76+(1-EXP(-LN(2)/2))/(LN(2)/2)*DW77*DZ77*VLOOKUP('Données projet'!$B$14,Paramètres!$A$1:$I$88,3,0)*0.475*44/12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projet'!$B$15,Paramètres!$A$1:$I$88,3,0)*VLOOKUP('Données projet'!$B$15,Paramètres!$A$1:$I$88,5,0)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projet'!$B$15,Paramètres!$A$1:$I$88,7,0))</f>
        <v>0</v>
      </c>
      <c r="ET77" s="17">
        <f>IF(ISNA(VLOOKUP(A77,'Données projet'!$A$191:$I$211,6,0)),0%,VLOOKUP(A77,'Données projet'!$A$191:$I$211,6,0)*VLOOKUP('Données projet'!$B$15,Paramètres!$A$1:$I$88,7,0))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projet'!$B$15,Paramètres!$A$1:$I$88,3,0)*0.475*44/12</f>
        <v>#N/A</v>
      </c>
      <c r="EW77" s="23" t="e">
        <f>EXP(-LN(2)/25)*EW76+(1-EXP(-LN(2)/25))/(LN(2)/25)*Calculateur!ER77*Calculateur!ET77*VLOOKUP('Données projet'!$B$15,Paramètres!$A$1:$I$88,3,0)*0.475*44/12</f>
        <v>#N/A</v>
      </c>
      <c r="EX77" s="23" t="e">
        <f>EXP(-LN(2)/2)*EX76+(1-EXP(-LN(2)/2))/(LN(2)/2)*ER77*EU77*VLOOKUP('Données projet'!$B$15,Paramètres!$A$1:$I$88,3,0)*0.475*44/12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projet'!$B$16,Paramètres!$A$1:$I$88,3,0)*VLOOKUP('Données projet'!$B$16,Paramètres!$A$1:$I$88,5,0)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projet'!$B$16,Paramètres!$A$1:$I$88,7,0))</f>
        <v>0</v>
      </c>
      <c r="FO77" s="17">
        <f>IF(ISNA(VLOOKUP(A77,'Données projet'!$A$217:$I$237,6,0)),0%,VLOOKUP(A77,'Données projet'!$A$217:$I$237,6,0)*VLOOKUP('Données projet'!$B$16,Paramètres!$A$1:$I$88,7,0))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projet'!$B$16,Paramètres!$A$1:$I$88,3,0)*0.475*44/12</f>
        <v>#N/A</v>
      </c>
      <c r="FR77" s="23" t="e">
        <f>EXP(-LN(2)/25)*FR76+(1-EXP(-LN(2)/25))/(LN(2)/25)*Calculateur!FM77*Calculateur!FO77*VLOOKUP('Données projet'!$B$16,Paramètres!$A$1:$I$88,3,0)*0.475*44/12</f>
        <v>#N/A</v>
      </c>
      <c r="FS77" s="23" t="e">
        <f>EXP(-LN(2)/2)*FS76+(1-EXP(-LN(2)/2))/(LN(2)/2)*FM77*FP77*VLOOKUP('Données projet'!$B$16,Paramètres!$A$1:$I$88,3,0)*0.475*44/12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projet'!$B$17,Paramètres!$A$1:$I$88,3,0)*VLOOKUP('Données projet'!$B$17,Paramètres!$A$1:$I$88,5,0)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projet'!$B$17,Paramètres!$A$1:$I$88,7,0))</f>
        <v>0</v>
      </c>
      <c r="GJ77" s="17">
        <f>IF(ISNA(VLOOKUP(A77,'Données projet'!$A$243:$I$263,6,0)),0%,VLOOKUP(A77,'Données projet'!$A$243:$I$263,6,0)*VLOOKUP('Données projet'!$B$17,Paramètres!$A$1:$I$88,7,0))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projet'!$B$17,Paramètres!$A$1:$I$88,3,0)*0.475*44/12</f>
        <v>#N/A</v>
      </c>
      <c r="GM77" s="23" t="e">
        <f>EXP(-LN(2)/25)*GM76+(1-EXP(-LN(2)/25))/(LN(2)/25)*Calculateur!GH77*Calculateur!GJ77*VLOOKUP('Données projet'!$B$17,Paramètres!$A$1:$I$88,3,0)*0.475*44/12</f>
        <v>#N/A</v>
      </c>
      <c r="GN77" s="23" t="e">
        <f>EXP(-LN(2)/2)*GN76+(1-EXP(-LN(2)/2))/(LN(2)/2)*GH77*GK77*VLOOKUP('Données projet'!$B$17,Paramètres!$A$1:$I$88,3,0)*0.475*44/12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projet'!$B$18,Paramètres!$A$1:$I$88,3,0)*VLOOKUP('Données projet'!$B$18,Paramètres!$A$1:$I$88,5,0)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projet'!$B$18,Paramètres!$A$1:$I$88,7,0))</f>
        <v>0</v>
      </c>
      <c r="HE77" s="17">
        <f>IF(ISNA(VLOOKUP(A77,'Données projet'!$A$269:$I$289,6,0)),0%,VLOOKUP(A77,'Données projet'!$A$269:$I$289,6,0)*VLOOKUP('Données projet'!$B$18,Paramètres!$A$1:$I$88,7,0))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projet'!$B$18,Paramètres!$A$1:$I$88,3,0)*0.475*44/12</f>
        <v>#N/A</v>
      </c>
      <c r="HH77" s="23" t="e">
        <f>EXP(-LN(2)/25)*HH76+(1-EXP(-LN(2)/25))/(LN(2)/25)*Calculateur!HC77*Calculateur!HE77*VLOOKUP('Données projet'!$B$18,Paramètres!$A$1:$I$88,3,0)*0.475*44/12</f>
        <v>#N/A</v>
      </c>
      <c r="HI77" s="23" t="e">
        <f>EXP(-LN(2)/2)*HI76+(1-EXP(-LN(2)/2))/(LN(2)/2)*HC77*HF77*VLOOKUP('Données projet'!$B$18,Paramètres!$A$1:$I$88,3,0)*0.475*44/12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projet'!$B$9,Paramètres!$A$1:$I$88,3,0)*VLOOKUP('Données projet'!$B$9,Paramètres!$A$1:$I$88,5,0)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175.05987582828078</v>
      </c>
      <c r="T78" s="62">
        <f t="shared" si="88"/>
        <v>268.54782308462387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projet'!$B$9,Paramètres!$A$1:$I$88,7,0))</f>
        <v>0</v>
      </c>
      <c r="X78" s="17">
        <f>IF(ISNA(VLOOKUP(A78,'Données projet'!$A$35:$I$55,6,0)),0%,VLOOKUP(A78,'Données projet'!$A$35:$I$55,6,0)*VLOOKUP('Données projet'!$B$9,Paramètres!$A$1:$I$88,7,0))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projet'!$B$9,Paramètres!$A$1:$I$88,3,0)*0.475*44/12</f>
        <v>0</v>
      </c>
      <c r="AA78" s="23">
        <f>EXP(-LN(2)/25)*AA77+(1-EXP(-LN(2)/25))/(LN(2)/25)*Calculateur!V78*Calculateur!X78*VLOOKUP('Données projet'!$B$9,Paramètres!$A$1:$I$88,3,0)*0.475*44/12</f>
        <v>2.9565985411256168</v>
      </c>
      <c r="AB78" s="23">
        <f>EXP(-LN(2)/2)*AB77+(1-EXP(-LN(2)/2))/(LN(2)/2)*V78*Y78*VLOOKUP('Données projet'!$B$9,Paramètres!$A$1:$I$88,3,0)*0.475*44/12</f>
        <v>2.7848647964141525E-6</v>
      </c>
      <c r="AC78" s="24">
        <f t="shared" si="57"/>
        <v>2.9566013259904134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855</v>
      </c>
      <c r="AG78" s="13">
        <f>VLOOKUP(A78,'Données projet'!$A$61:$I$81,9,0)</f>
        <v>20.133333333333333</v>
      </c>
      <c r="AH78" s="13">
        <f t="array" ref="AH78">INDEX(AG:AG,MIN(IF(ISNUMBER(AG78:AG274),ROW(AG78:AG274),"")))</f>
        <v>20.133333333333333</v>
      </c>
      <c r="AI78" s="14">
        <f>IF('Données projet'!$A$62&gt;35,AI77+AH78-AQ77,IF(A78&lt;'Données projet'!$A$62,$AF$205^A78,IF(A78='Données projet'!$A$62,'Données projet'!$B$62,AI77+AH78-AQ77)))</f>
        <v>854.99999999999932</v>
      </c>
      <c r="AJ78" s="14">
        <f>AI78*VLOOKUP('Données projet'!$B$10,Paramètres!$A$1:$I$88,3,0)*VLOOKUP('Données projet'!$B$10,Paramètres!$A$1:$I$88,5,0)</f>
        <v>411.25499999999965</v>
      </c>
      <c r="AK78" s="14">
        <f t="shared" si="89"/>
        <v>94.054745653461794</v>
      </c>
      <c r="AL78" s="22">
        <f t="shared" si="58"/>
        <v>880.0811403464453</v>
      </c>
      <c r="AM78" s="62">
        <f t="shared" si="59"/>
        <v>1173.4144736797787</v>
      </c>
      <c r="AN78" s="62">
        <f ca="1">AVERAGE(OFFSET($AM$3,0,0,'Données projet'!$E$10+1,1))-AVERAGE(OFFSET($H$3,0,0,'Données projet'!$E$10+1,1))</f>
        <v>576.61210817354549</v>
      </c>
      <c r="AO78" s="62">
        <f t="shared" si="90"/>
        <v>343.9428747444544</v>
      </c>
      <c r="AP78" s="16">
        <f>IF(ISNA(VLOOKUP(A78,'Données projet'!$A$61:$I$81,3,0)),0,VLOOKUP(A78,'Données projet'!$A$61:$I$81,3,0))</f>
        <v>4</v>
      </c>
      <c r="AQ78" s="16">
        <f>IF(ISNA(VLOOKUP(A78,'Données projet'!$A$61:$I$81,4,0)),0,VLOOKUP(A78,'Données projet'!$A$61:$I$81,4,0))</f>
        <v>173</v>
      </c>
      <c r="AR78" s="17">
        <f>IF(ISNA(VLOOKUP(A78,'Données projet'!$A$61:$I$81,5,0)),0%,VLOOKUP(A78,'Données projet'!$A$61:$I$81,5,0)*VLOOKUP('Données projet'!$B$10,Paramètres!$A$1:$I$88,7,0))</f>
        <v>0</v>
      </c>
      <c r="AS78" s="17">
        <f>IF(ISNA(VLOOKUP(A78,'Données projet'!$A$61:$I$81,6,0)),0%,VLOOKUP(A78,'Données projet'!$A$61:$I$81,6,0)*VLOOKUP('Données projet'!$B$10,Paramètres!$A$1:$I$88,7,0))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projet'!$B$10,Paramètres!$A$1:$I$88,3,0)*0.475*44/12</f>
        <v>0</v>
      </c>
      <c r="AV78" s="23">
        <f>EXP(-LN(2)/25)*AV77+(1-EXP(-LN(2)/25))/(LN(2)/25)*Calculateur!AQ78*Calculateur!AS78*VLOOKUP('Données projet'!$B$10,Paramètres!$A$1:$I$88,3,0)*0.475*44/12</f>
        <v>1.626236807675558</v>
      </c>
      <c r="AW78" s="23">
        <f>EXP(-LN(2)/2)*AW77+(1-EXP(-LN(2)/2))/(LN(2)/2)*AQ78*AT78*VLOOKUP('Données projet'!$B$10,Paramètres!$A$1:$I$88,3,0)*0.475*44/12</f>
        <v>1.9831678089544457E-6</v>
      </c>
      <c r="AX78" s="23">
        <f t="shared" si="60"/>
        <v>1.6262387908433669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336</v>
      </c>
      <c r="BB78" s="13">
        <f>VLOOKUP(A78,'Données projet'!$A$87:$I$107,9,0)</f>
        <v>4.1799999999999953</v>
      </c>
      <c r="BC78" s="13">
        <f t="array" ref="BC78">INDEX(BB:BB,MIN(IF(ISNUMBER(BB78:BB274),ROW(BB78:BB274),"")))</f>
        <v>4.1799999999999953</v>
      </c>
      <c r="BD78" s="13">
        <f>IF('Données projet'!$A$88&gt;35,BD77+BC78-BL77,IF(A78&lt;'Données projet'!$A$88,$BA$205^A78,IF(A78='Données projet'!$A$88,'Données projet'!$B$88,BD77+BC78-BL77)))</f>
        <v>335.99999999999994</v>
      </c>
      <c r="BE78" s="14">
        <f>BD78*VLOOKUP('Données projet'!$B$11,Paramètres!$A$1:$I$88,3,0)*VLOOKUP('Données projet'!$B$11,Paramètres!$A$1:$I$88,5,0)</f>
        <v>267.32159999999999</v>
      </c>
      <c r="BF78" s="14">
        <f t="shared" si="91"/>
        <v>64.280515815446378</v>
      </c>
      <c r="BG78" s="22">
        <f t="shared" si="61"/>
        <v>577.54035171190242</v>
      </c>
      <c r="BH78" s="62">
        <f t="shared" si="62"/>
        <v>870.87368504523579</v>
      </c>
      <c r="BI78" s="62">
        <f ca="1">AVERAGE(OFFSET($BH$3,0,0,'Données projet'!$E$11+1,1))-AVERAGE(OFFSET($H$3,0,0,'Données projet'!$E$11+1,1))</f>
        <v>298.38448036212861</v>
      </c>
      <c r="BJ78" s="62">
        <f t="shared" si="92"/>
        <v>270.4445531106897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projet'!$B$11,Paramètres!$A$1:$I$88,7,0))</f>
        <v>0</v>
      </c>
      <c r="BN78" s="17">
        <f>IF(ISNA(VLOOKUP(A78,'Données projet'!$A$87:$I$107,6,0)),0%,VLOOKUP(A78,'Données projet'!$A$87:$I$107,6,0)*VLOOKUP('Données projet'!$B$11,Paramètres!$A$1:$I$88,7,0))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projet'!$B$11,Paramètres!$A$1:$I$88,3,0)*0.475*44/12</f>
        <v>0</v>
      </c>
      <c r="BQ78" s="23">
        <f>EXP(-LN(2)/25)*BQ77+(1-EXP(-LN(2)/25))/(LN(2)/25)*Calculateur!BL78*Calculateur!BN78*VLOOKUP('Données projet'!$B$11,Paramètres!$A$1:$I$88,3,0)*0.475*44/12</f>
        <v>0</v>
      </c>
      <c r="BR78" s="23">
        <f>EXP(-LN(2)/2)*BR77+(1-EXP(-LN(2)/2))/(LN(2)/2)*BL78*BO78*VLOOKUP('Données projet'!$B$11,Paramètres!$A$1:$I$88,3,0)*0.475*44/12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5.6843418860808015E-14</v>
      </c>
      <c r="BZ78" s="14">
        <f>BY78*VLOOKUP('Données projet'!$B$12,Paramètres!$A$1:$I$88,3,0)*VLOOKUP('Données projet'!$B$12,Paramètres!$A$1:$I$88,5,0)</f>
        <v>4.4337866711430253E-14</v>
      </c>
      <c r="CA78" s="14">
        <f t="shared" si="93"/>
        <v>7.3222115536967035E-13</v>
      </c>
      <c r="CB78" s="22">
        <f t="shared" si="64"/>
        <v>1.3525069634579169E-12</v>
      </c>
      <c r="CC78" s="62">
        <f t="shared" si="65"/>
        <v>293.33333333333468</v>
      </c>
      <c r="CD78" s="62">
        <f ca="1">AVERAGE(OFFSET($CC$3,0,0,'Données projet'!$E$12+1,1))-AVERAGE(OFFSET($H$3,0,0,'Données projet'!$E$12+1,1))</f>
        <v>217.32600829266818</v>
      </c>
      <c r="CE78" s="62">
        <f t="shared" si="94"/>
        <v>208.79744153433245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projet'!$B$12,Paramètres!$A$1:$I$88,7,0))</f>
        <v>0</v>
      </c>
      <c r="CI78" s="17">
        <f>IF(ISNA(VLOOKUP(A78,'Données projet'!$A$113:$I$133,6,0)),0%,VLOOKUP(A78,'Données projet'!$A$113:$I$133,6,0)*VLOOKUP('Données projet'!$B$12,Paramètres!$A$1:$I$88,7,0))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projet'!$B$12,Paramètres!$A$1:$I$88,3,0)*0.475*44/12</f>
        <v>0</v>
      </c>
      <c r="CL78" s="23">
        <f>EXP(-LN(2)/25)*CL77+(1-EXP(-LN(2)/25))/(LN(2)/25)*Calculateur!CG78*Calculateur!CI78*VLOOKUP('Données projet'!$B$12,Paramètres!$A$1:$I$88,3,0)*0.475*44/12</f>
        <v>0</v>
      </c>
      <c r="CM78" s="23">
        <f>EXP(-LN(2)/2)*CM77+(1-EXP(-LN(2)/2))/(LN(2)/2)*CG78*CJ78*VLOOKUP('Données projet'!$B$12,Paramètres!$A$1:$I$88,3,0)*0.475*44/12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-3.4106051316484809E-13</v>
      </c>
      <c r="CU78" s="18">
        <f>CT78*VLOOKUP('Données projet'!$B$13,Paramètres!$A$1:$I$88,3,0)*VLOOKUP('Données projet'!$B$13,Paramètres!$A$1:$I$88,5,0)</f>
        <v>-1.9065282685915009E-13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302.20483575440988</v>
      </c>
      <c r="CZ78" s="62">
        <f t="shared" si="96"/>
        <v>275.32862097158687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projet'!$B$13,Paramètres!$A$1:$I$88,7,0))</f>
        <v>0</v>
      </c>
      <c r="DD78" s="17">
        <f>IF(ISNA(VLOOKUP(A78,'Données projet'!$A$139:$I$159,6,0)),0%,VLOOKUP(A78,'Données projet'!$A$139:$I$159,6,0)*VLOOKUP('Données projet'!$B$13,Paramètres!$A$1:$I$88,7,0))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projet'!$B$13,Paramètres!$A$1:$I$88,3,0)*0.475*44/12</f>
        <v>0</v>
      </c>
      <c r="DG78" s="23">
        <f>EXP(-LN(2)/25)*DG77+(1-EXP(-LN(2)/25))/(LN(2)/25)*Calculateur!DB78*Calculateur!DD78*VLOOKUP('Données projet'!$B$13,Paramètres!$A$1:$I$88,3,0)*0.475*44/12</f>
        <v>3.9708275777979098</v>
      </c>
      <c r="DH78" s="23">
        <f>EXP(-LN(2)/2)*DH77+(1-EXP(-LN(2)/2))/(LN(2)/2)*DB78*DE78*VLOOKUP('Données projet'!$B$13,Paramètres!$A$1:$I$88,3,0)*0.475*44/12</f>
        <v>1.1431721865663862E-6</v>
      </c>
      <c r="DI78" s="24">
        <f t="shared" si="69"/>
        <v>3.9708287209700965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projet'!$B$14,Paramètres!$A$1:$I$88,3,0)*VLOOKUP('Données projet'!$B$14,Paramètres!$A$1:$I$88,5,0)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projet'!$B$14,Paramètres!$A$1:$I$88,7,0))</f>
        <v>0</v>
      </c>
      <c r="DY78" s="17">
        <f>IF(ISNA(VLOOKUP(A78,'Données projet'!$A$165:$I$185,6,0)),0%,VLOOKUP(A78,'Données projet'!$A$165:$I$185,6,0)*VLOOKUP('Données projet'!$B$14,Paramètres!$A$1:$I$88,7,0))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projet'!$B$14,Paramètres!$A$1:$I$88,3,0)*0.475*44/12</f>
        <v>#N/A</v>
      </c>
      <c r="EB78" s="23" t="e">
        <f>EXP(-LN(2)/25)*EB77+(1-EXP(-LN(2)/25))/(LN(2)/25)*Calculateur!DW78*Calculateur!DY78*VLOOKUP('Données projet'!$B$14,Paramètres!$A$1:$I$88,3,0)*0.475*44/12</f>
        <v>#N/A</v>
      </c>
      <c r="EC78" s="23" t="e">
        <f>EXP(-LN(2)/2)*EC77+(1-EXP(-LN(2)/2))/(LN(2)/2)*DW78*DZ78*VLOOKUP('Données projet'!$B$14,Paramètres!$A$1:$I$88,3,0)*0.475*44/12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projet'!$B$15,Paramètres!$A$1:$I$88,3,0)*VLOOKUP('Données projet'!$B$15,Paramètres!$A$1:$I$88,5,0)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projet'!$B$15,Paramètres!$A$1:$I$88,7,0))</f>
        <v>0</v>
      </c>
      <c r="ET78" s="17">
        <f>IF(ISNA(VLOOKUP(A78,'Données projet'!$A$191:$I$211,6,0)),0%,VLOOKUP(A78,'Données projet'!$A$191:$I$211,6,0)*VLOOKUP('Données projet'!$B$15,Paramètres!$A$1:$I$88,7,0))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projet'!$B$15,Paramètres!$A$1:$I$88,3,0)*0.475*44/12</f>
        <v>#N/A</v>
      </c>
      <c r="EW78" s="23" t="e">
        <f>EXP(-LN(2)/25)*EW77+(1-EXP(-LN(2)/25))/(LN(2)/25)*Calculateur!ER78*Calculateur!ET78*VLOOKUP('Données projet'!$B$15,Paramètres!$A$1:$I$88,3,0)*0.475*44/12</f>
        <v>#N/A</v>
      </c>
      <c r="EX78" s="23" t="e">
        <f>EXP(-LN(2)/2)*EX77+(1-EXP(-LN(2)/2))/(LN(2)/2)*ER78*EU78*VLOOKUP('Données projet'!$B$15,Paramètres!$A$1:$I$88,3,0)*0.475*44/12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projet'!$B$16,Paramètres!$A$1:$I$88,3,0)*VLOOKUP('Données projet'!$B$16,Paramètres!$A$1:$I$88,5,0)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projet'!$B$16,Paramètres!$A$1:$I$88,7,0))</f>
        <v>0</v>
      </c>
      <c r="FO78" s="17">
        <f>IF(ISNA(VLOOKUP(A78,'Données projet'!$A$217:$I$237,6,0)),0%,VLOOKUP(A78,'Données projet'!$A$217:$I$237,6,0)*VLOOKUP('Données projet'!$B$16,Paramètres!$A$1:$I$88,7,0))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projet'!$B$16,Paramètres!$A$1:$I$88,3,0)*0.475*44/12</f>
        <v>#N/A</v>
      </c>
      <c r="FR78" s="23" t="e">
        <f>EXP(-LN(2)/25)*FR77+(1-EXP(-LN(2)/25))/(LN(2)/25)*Calculateur!FM78*Calculateur!FO78*VLOOKUP('Données projet'!$B$16,Paramètres!$A$1:$I$88,3,0)*0.475*44/12</f>
        <v>#N/A</v>
      </c>
      <c r="FS78" s="23" t="e">
        <f>EXP(-LN(2)/2)*FS77+(1-EXP(-LN(2)/2))/(LN(2)/2)*FM78*FP78*VLOOKUP('Données projet'!$B$16,Paramètres!$A$1:$I$88,3,0)*0.475*44/12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projet'!$B$17,Paramètres!$A$1:$I$88,3,0)*VLOOKUP('Données projet'!$B$17,Paramètres!$A$1:$I$88,5,0)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projet'!$B$17,Paramètres!$A$1:$I$88,7,0))</f>
        <v>0</v>
      </c>
      <c r="GJ78" s="17">
        <f>IF(ISNA(VLOOKUP(A78,'Données projet'!$A$243:$I$263,6,0)),0%,VLOOKUP(A78,'Données projet'!$A$243:$I$263,6,0)*VLOOKUP('Données projet'!$B$17,Paramètres!$A$1:$I$88,7,0))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projet'!$B$17,Paramètres!$A$1:$I$88,3,0)*0.475*44/12</f>
        <v>#N/A</v>
      </c>
      <c r="GM78" s="23" t="e">
        <f>EXP(-LN(2)/25)*GM77+(1-EXP(-LN(2)/25))/(LN(2)/25)*Calculateur!GH78*Calculateur!GJ78*VLOOKUP('Données projet'!$B$17,Paramètres!$A$1:$I$88,3,0)*0.475*44/12</f>
        <v>#N/A</v>
      </c>
      <c r="GN78" s="23" t="e">
        <f>EXP(-LN(2)/2)*GN77+(1-EXP(-LN(2)/2))/(LN(2)/2)*GH78*GK78*VLOOKUP('Données projet'!$B$17,Paramètres!$A$1:$I$88,3,0)*0.475*44/12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projet'!$B$18,Paramètres!$A$1:$I$88,3,0)*VLOOKUP('Données projet'!$B$18,Paramètres!$A$1:$I$88,5,0)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projet'!$B$18,Paramètres!$A$1:$I$88,7,0))</f>
        <v>0</v>
      </c>
      <c r="HE78" s="17">
        <f>IF(ISNA(VLOOKUP(A78,'Données projet'!$A$269:$I$289,6,0)),0%,VLOOKUP(A78,'Données projet'!$A$269:$I$289,6,0)*VLOOKUP('Données projet'!$B$18,Paramètres!$A$1:$I$88,7,0))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projet'!$B$18,Paramètres!$A$1:$I$88,3,0)*0.475*44/12</f>
        <v>#N/A</v>
      </c>
      <c r="HH78" s="23" t="e">
        <f>EXP(-LN(2)/25)*HH77+(1-EXP(-LN(2)/25))/(LN(2)/25)*Calculateur!HC78*Calculateur!HE78*VLOOKUP('Données projet'!$B$18,Paramètres!$A$1:$I$88,3,0)*0.475*44/12</f>
        <v>#N/A</v>
      </c>
      <c r="HI78" s="23" t="e">
        <f>EXP(-LN(2)/2)*HI77+(1-EXP(-LN(2)/2))/(LN(2)/2)*HC78*HF78*VLOOKUP('Données projet'!$B$18,Paramètres!$A$1:$I$88,3,0)*0.475*44/12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projet'!$B$9,Paramètres!$A$1:$I$88,3,0)*VLOOKUP('Données projet'!$B$9,Paramètres!$A$1:$I$88,5,0)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175.05987582828078</v>
      </c>
      <c r="T79" s="62">
        <f t="shared" si="88"/>
        <v>268.54782308462387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projet'!$B$9,Paramètres!$A$1:$I$88,7,0))</f>
        <v>0</v>
      </c>
      <c r="X79" s="17">
        <f>IF(ISNA(VLOOKUP(A79,'Données projet'!$A$35:$I$55,6,0)),0%,VLOOKUP(A79,'Données projet'!$A$35:$I$55,6,0)*VLOOKUP('Données projet'!$B$9,Paramètres!$A$1:$I$88,7,0))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projet'!$B$9,Paramètres!$A$1:$I$88,3,0)*0.475*44/12</f>
        <v>0</v>
      </c>
      <c r="AA79" s="23">
        <f>EXP(-LN(2)/25)*AA78+(1-EXP(-LN(2)/25))/(LN(2)/25)*Calculateur!V79*Calculateur!X79*VLOOKUP('Données projet'!$B$9,Paramètres!$A$1:$I$88,3,0)*0.475*44/12</f>
        <v>2.8757501985377769</v>
      </c>
      <c r="AB79" s="23">
        <f>EXP(-LN(2)/2)*AB78+(1-EXP(-LN(2)/2))/(LN(2)/2)*V79*Y79*VLOOKUP('Données projet'!$B$9,Paramètres!$A$1:$I$88,3,0)*0.475*44/12</f>
        <v>1.9691967822321413E-6</v>
      </c>
      <c r="AC79" s="24">
        <f t="shared" si="57"/>
        <v>2.875752167734559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15.533333333333333</v>
      </c>
      <c r="AI79" s="14">
        <f>IF('Données projet'!$A$62&gt;35,AI78+AH79-AQ78,IF(A79&lt;'Données projet'!$A$62,$AF$205^A79,IF(A79='Données projet'!$A$62,'Données projet'!$B$62,AI78+AH79-AQ78)))</f>
        <v>697.53333333333262</v>
      </c>
      <c r="AJ79" s="14">
        <f>AI79*VLOOKUP('Données projet'!$B$10,Paramètres!$A$1:$I$88,3,0)*VLOOKUP('Données projet'!$B$10,Paramètres!$A$1:$I$88,5,0)</f>
        <v>335.51353333333299</v>
      </c>
      <c r="AK79" s="14">
        <f t="shared" si="89"/>
        <v>78.572298619612226</v>
      </c>
      <c r="AL79" s="22">
        <f t="shared" si="58"/>
        <v>721.19949065137962</v>
      </c>
      <c r="AM79" s="62">
        <f t="shared" si="59"/>
        <v>1014.5328239847129</v>
      </c>
      <c r="AN79" s="62">
        <f ca="1">AVERAGE(OFFSET($AM$3,0,0,'Données projet'!$E$10+1,1))-AVERAGE(OFFSET($H$3,0,0,'Données projet'!$E$10+1,1))</f>
        <v>576.61210817354549</v>
      </c>
      <c r="AO79" s="62">
        <f t="shared" si="90"/>
        <v>343.9428747444544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projet'!$B$10,Paramètres!$A$1:$I$88,7,0))</f>
        <v>0</v>
      </c>
      <c r="AS79" s="17">
        <f>IF(ISNA(VLOOKUP(A79,'Données projet'!$A$61:$I$81,6,0)),0%,VLOOKUP(A79,'Données projet'!$A$61:$I$81,6,0)*VLOOKUP('Données projet'!$B$10,Paramètres!$A$1:$I$88,7,0))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projet'!$B$10,Paramètres!$A$1:$I$88,3,0)*0.475*44/12</f>
        <v>0</v>
      </c>
      <c r="AV79" s="23">
        <f>EXP(-LN(2)/25)*AV78+(1-EXP(-LN(2)/25))/(LN(2)/25)*Calculateur!AQ79*Calculateur!AS79*VLOOKUP('Données projet'!$B$10,Paramètres!$A$1:$I$88,3,0)*0.475*44/12</f>
        <v>1.5817672766495929</v>
      </c>
      <c r="AW79" s="23">
        <f>EXP(-LN(2)/2)*AW78+(1-EXP(-LN(2)/2))/(LN(2)/2)*AQ79*AT79*VLOOKUP('Données projet'!$B$10,Paramètres!$A$1:$I$88,3,0)*0.475*44/12</f>
        <v>1.4023114059425561E-6</v>
      </c>
      <c r="AX79" s="23">
        <f t="shared" si="60"/>
        <v>1.5817686789609988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3.5600000000000023</v>
      </c>
      <c r="BD79" s="13">
        <f>IF('Données projet'!$A$88&gt;35,BD78+BC79-BL78,IF(A79&lt;'Données projet'!$A$88,$BA$205^A79,IF(A79='Données projet'!$A$88,'Données projet'!$B$88,BD78+BC79-BL78)))</f>
        <v>339.55999999999995</v>
      </c>
      <c r="BE79" s="14">
        <f>BD79*VLOOKUP('Données projet'!$B$11,Paramètres!$A$1:$I$88,3,0)*VLOOKUP('Données projet'!$B$11,Paramètres!$A$1:$I$88,5,0)</f>
        <v>270.15393599999999</v>
      </c>
      <c r="BF79" s="14">
        <f t="shared" si="91"/>
        <v>64.881937308334173</v>
      </c>
      <c r="BG79" s="22">
        <f t="shared" si="61"/>
        <v>583.52081267868198</v>
      </c>
      <c r="BH79" s="62">
        <f t="shared" si="62"/>
        <v>876.85414601201524</v>
      </c>
      <c r="BI79" s="62">
        <f ca="1">AVERAGE(OFFSET($BH$3,0,0,'Données projet'!$E$11+1,1))-AVERAGE(OFFSET($H$3,0,0,'Données projet'!$E$11+1,1))</f>
        <v>298.38448036212861</v>
      </c>
      <c r="BJ79" s="62">
        <f t="shared" si="92"/>
        <v>270.4445531106897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projet'!$B$11,Paramètres!$A$1:$I$88,7,0))</f>
        <v>0</v>
      </c>
      <c r="BN79" s="17">
        <f>IF(ISNA(VLOOKUP(A79,'Données projet'!$A$87:$I$107,6,0)),0%,VLOOKUP(A79,'Données projet'!$A$87:$I$107,6,0)*VLOOKUP('Données projet'!$B$11,Paramètres!$A$1:$I$88,7,0))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projet'!$B$11,Paramètres!$A$1:$I$88,3,0)*0.475*44/12</f>
        <v>0</v>
      </c>
      <c r="BQ79" s="23">
        <f>EXP(-LN(2)/25)*BQ78+(1-EXP(-LN(2)/25))/(LN(2)/25)*Calculateur!BL79*Calculateur!BN79*VLOOKUP('Données projet'!$B$11,Paramètres!$A$1:$I$88,3,0)*0.475*44/12</f>
        <v>0</v>
      </c>
      <c r="BR79" s="23">
        <f>EXP(-LN(2)/2)*BR78+(1-EXP(-LN(2)/2))/(LN(2)/2)*BL79*BO79*VLOOKUP('Données projet'!$B$11,Paramètres!$A$1:$I$88,3,0)*0.475*44/12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5.6843418860808015E-14</v>
      </c>
      <c r="BZ79" s="14">
        <f>BY79*VLOOKUP('Données projet'!$B$12,Paramètres!$A$1:$I$88,3,0)*VLOOKUP('Données projet'!$B$12,Paramètres!$A$1:$I$88,5,0)</f>
        <v>4.4337866711430253E-14</v>
      </c>
      <c r="CA79" s="14">
        <f t="shared" si="93"/>
        <v>7.3222115536967035E-13</v>
      </c>
      <c r="CB79" s="22">
        <f t="shared" si="64"/>
        <v>1.3525069634579169E-12</v>
      </c>
      <c r="CC79" s="62">
        <f t="shared" si="65"/>
        <v>293.33333333333468</v>
      </c>
      <c r="CD79" s="62">
        <f ca="1">AVERAGE(OFFSET($CC$3,0,0,'Données projet'!$E$12+1,1))-AVERAGE(OFFSET($H$3,0,0,'Données projet'!$E$12+1,1))</f>
        <v>217.32600829266818</v>
      </c>
      <c r="CE79" s="62">
        <f t="shared" si="94"/>
        <v>208.79744153433245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projet'!$B$12,Paramètres!$A$1:$I$88,7,0))</f>
        <v>0</v>
      </c>
      <c r="CI79" s="17">
        <f>IF(ISNA(VLOOKUP(A79,'Données projet'!$A$113:$I$133,6,0)),0%,VLOOKUP(A79,'Données projet'!$A$113:$I$133,6,0)*VLOOKUP('Données projet'!$B$12,Paramètres!$A$1:$I$88,7,0))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projet'!$B$12,Paramètres!$A$1:$I$88,3,0)*0.475*44/12</f>
        <v>0</v>
      </c>
      <c r="CL79" s="23">
        <f>EXP(-LN(2)/25)*CL78+(1-EXP(-LN(2)/25))/(LN(2)/25)*Calculateur!CG79*Calculateur!CI79*VLOOKUP('Données projet'!$B$12,Paramètres!$A$1:$I$88,3,0)*0.475*44/12</f>
        <v>0</v>
      </c>
      <c r="CM79" s="23">
        <f>EXP(-LN(2)/2)*CM78+(1-EXP(-LN(2)/2))/(LN(2)/2)*CG79*CJ79*VLOOKUP('Données projet'!$B$12,Paramètres!$A$1:$I$88,3,0)*0.475*44/12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-3.4106051316484809E-13</v>
      </c>
      <c r="CU79" s="18">
        <f>CT79*VLOOKUP('Données projet'!$B$13,Paramètres!$A$1:$I$88,3,0)*VLOOKUP('Données projet'!$B$13,Paramètres!$A$1:$I$88,5,0)</f>
        <v>-1.9065282685915009E-13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302.20483575440988</v>
      </c>
      <c r="CZ79" s="62">
        <f t="shared" si="96"/>
        <v>275.32862097158687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projet'!$B$13,Paramètres!$A$1:$I$88,7,0))</f>
        <v>0</v>
      </c>
      <c r="DD79" s="17">
        <f>IF(ISNA(VLOOKUP(A79,'Données projet'!$A$139:$I$159,6,0)),0%,VLOOKUP(A79,'Données projet'!$A$139:$I$159,6,0)*VLOOKUP('Données projet'!$B$13,Paramètres!$A$1:$I$88,7,0))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projet'!$B$13,Paramètres!$A$1:$I$88,3,0)*0.475*44/12</f>
        <v>0</v>
      </c>
      <c r="DG79" s="23">
        <f>EXP(-LN(2)/25)*DG78+(1-EXP(-LN(2)/25))/(LN(2)/25)*Calculateur!DB79*Calculateur!DD79*VLOOKUP('Données projet'!$B$13,Paramètres!$A$1:$I$88,3,0)*0.475*44/12</f>
        <v>3.8622450888662789</v>
      </c>
      <c r="DH79" s="23">
        <f>EXP(-LN(2)/2)*DH78+(1-EXP(-LN(2)/2))/(LN(2)/2)*DB79*DE79*VLOOKUP('Données projet'!$B$13,Paramètres!$A$1:$I$88,3,0)*0.475*44/12</f>
        <v>8.0834480518494473E-7</v>
      </c>
      <c r="DI79" s="24">
        <f t="shared" si="69"/>
        <v>3.8622458972110842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projet'!$B$14,Paramètres!$A$1:$I$88,3,0)*VLOOKUP('Données projet'!$B$14,Paramètres!$A$1:$I$88,5,0)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projet'!$B$14,Paramètres!$A$1:$I$88,7,0))</f>
        <v>0</v>
      </c>
      <c r="DY79" s="17">
        <f>IF(ISNA(VLOOKUP(A79,'Données projet'!$A$165:$I$185,6,0)),0%,VLOOKUP(A79,'Données projet'!$A$165:$I$185,6,0)*VLOOKUP('Données projet'!$B$14,Paramètres!$A$1:$I$88,7,0))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projet'!$B$14,Paramètres!$A$1:$I$88,3,0)*0.475*44/12</f>
        <v>#N/A</v>
      </c>
      <c r="EB79" s="23" t="e">
        <f>EXP(-LN(2)/25)*EB78+(1-EXP(-LN(2)/25))/(LN(2)/25)*Calculateur!DW79*Calculateur!DY79*VLOOKUP('Données projet'!$B$14,Paramètres!$A$1:$I$88,3,0)*0.475*44/12</f>
        <v>#N/A</v>
      </c>
      <c r="EC79" s="23" t="e">
        <f>EXP(-LN(2)/2)*EC78+(1-EXP(-LN(2)/2))/(LN(2)/2)*DW79*DZ79*VLOOKUP('Données projet'!$B$14,Paramètres!$A$1:$I$88,3,0)*0.475*44/12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projet'!$B$15,Paramètres!$A$1:$I$88,3,0)*VLOOKUP('Données projet'!$B$15,Paramètres!$A$1:$I$88,5,0)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projet'!$B$15,Paramètres!$A$1:$I$88,7,0))</f>
        <v>0</v>
      </c>
      <c r="ET79" s="17">
        <f>IF(ISNA(VLOOKUP(A79,'Données projet'!$A$191:$I$211,6,0)),0%,VLOOKUP(A79,'Données projet'!$A$191:$I$211,6,0)*VLOOKUP('Données projet'!$B$15,Paramètres!$A$1:$I$88,7,0))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projet'!$B$15,Paramètres!$A$1:$I$88,3,0)*0.475*44/12</f>
        <v>#N/A</v>
      </c>
      <c r="EW79" s="23" t="e">
        <f>EXP(-LN(2)/25)*EW78+(1-EXP(-LN(2)/25))/(LN(2)/25)*Calculateur!ER79*Calculateur!ET79*VLOOKUP('Données projet'!$B$15,Paramètres!$A$1:$I$88,3,0)*0.475*44/12</f>
        <v>#N/A</v>
      </c>
      <c r="EX79" s="23" t="e">
        <f>EXP(-LN(2)/2)*EX78+(1-EXP(-LN(2)/2))/(LN(2)/2)*ER79*EU79*VLOOKUP('Données projet'!$B$15,Paramètres!$A$1:$I$88,3,0)*0.475*44/12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projet'!$B$16,Paramètres!$A$1:$I$88,3,0)*VLOOKUP('Données projet'!$B$16,Paramètres!$A$1:$I$88,5,0)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projet'!$B$16,Paramètres!$A$1:$I$88,7,0))</f>
        <v>0</v>
      </c>
      <c r="FO79" s="17">
        <f>IF(ISNA(VLOOKUP(A79,'Données projet'!$A$217:$I$237,6,0)),0%,VLOOKUP(A79,'Données projet'!$A$217:$I$237,6,0)*VLOOKUP('Données projet'!$B$16,Paramètres!$A$1:$I$88,7,0))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projet'!$B$16,Paramètres!$A$1:$I$88,3,0)*0.475*44/12</f>
        <v>#N/A</v>
      </c>
      <c r="FR79" s="23" t="e">
        <f>EXP(-LN(2)/25)*FR78+(1-EXP(-LN(2)/25))/(LN(2)/25)*Calculateur!FM79*Calculateur!FO79*VLOOKUP('Données projet'!$B$16,Paramètres!$A$1:$I$88,3,0)*0.475*44/12</f>
        <v>#N/A</v>
      </c>
      <c r="FS79" s="23" t="e">
        <f>EXP(-LN(2)/2)*FS78+(1-EXP(-LN(2)/2))/(LN(2)/2)*FM79*FP79*VLOOKUP('Données projet'!$B$16,Paramètres!$A$1:$I$88,3,0)*0.475*44/12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projet'!$B$17,Paramètres!$A$1:$I$88,3,0)*VLOOKUP('Données projet'!$B$17,Paramètres!$A$1:$I$88,5,0)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projet'!$B$17,Paramètres!$A$1:$I$88,7,0))</f>
        <v>0</v>
      </c>
      <c r="GJ79" s="17">
        <f>IF(ISNA(VLOOKUP(A79,'Données projet'!$A$243:$I$263,6,0)),0%,VLOOKUP(A79,'Données projet'!$A$243:$I$263,6,0)*VLOOKUP('Données projet'!$B$17,Paramètres!$A$1:$I$88,7,0))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projet'!$B$17,Paramètres!$A$1:$I$88,3,0)*0.475*44/12</f>
        <v>#N/A</v>
      </c>
      <c r="GM79" s="23" t="e">
        <f>EXP(-LN(2)/25)*GM78+(1-EXP(-LN(2)/25))/(LN(2)/25)*Calculateur!GH79*Calculateur!GJ79*VLOOKUP('Données projet'!$B$17,Paramètres!$A$1:$I$88,3,0)*0.475*44/12</f>
        <v>#N/A</v>
      </c>
      <c r="GN79" s="23" t="e">
        <f>EXP(-LN(2)/2)*GN78+(1-EXP(-LN(2)/2))/(LN(2)/2)*GH79*GK79*VLOOKUP('Données projet'!$B$17,Paramètres!$A$1:$I$88,3,0)*0.475*44/12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projet'!$B$18,Paramètres!$A$1:$I$88,3,0)*VLOOKUP('Données projet'!$B$18,Paramètres!$A$1:$I$88,5,0)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projet'!$B$18,Paramètres!$A$1:$I$88,7,0))</f>
        <v>0</v>
      </c>
      <c r="HE79" s="17">
        <f>IF(ISNA(VLOOKUP(A79,'Données projet'!$A$269:$I$289,6,0)),0%,VLOOKUP(A79,'Données projet'!$A$269:$I$289,6,0)*VLOOKUP('Données projet'!$B$18,Paramètres!$A$1:$I$88,7,0))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projet'!$B$18,Paramètres!$A$1:$I$88,3,0)*0.475*44/12</f>
        <v>#N/A</v>
      </c>
      <c r="HH79" s="23" t="e">
        <f>EXP(-LN(2)/25)*HH78+(1-EXP(-LN(2)/25))/(LN(2)/25)*Calculateur!HC79*Calculateur!HE79*VLOOKUP('Données projet'!$B$18,Paramètres!$A$1:$I$88,3,0)*0.475*44/12</f>
        <v>#N/A</v>
      </c>
      <c r="HI79" s="23" t="e">
        <f>EXP(-LN(2)/2)*HI78+(1-EXP(-LN(2)/2))/(LN(2)/2)*HC79*HF79*VLOOKUP('Données projet'!$B$18,Paramètres!$A$1:$I$88,3,0)*0.475*44/12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projet'!$B$9,Paramètres!$A$1:$I$88,3,0)*VLOOKUP('Données projet'!$B$9,Paramètres!$A$1:$I$88,5,0)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175.05987582828078</v>
      </c>
      <c r="T80" s="62">
        <f t="shared" si="88"/>
        <v>268.54782308462387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projet'!$B$9,Paramètres!$A$1:$I$88,7,0))</f>
        <v>0</v>
      </c>
      <c r="X80" s="17">
        <f>IF(ISNA(VLOOKUP(A80,'Données projet'!$A$35:$I$55,6,0)),0%,VLOOKUP(A80,'Données projet'!$A$35:$I$55,6,0)*VLOOKUP('Données projet'!$B$9,Paramètres!$A$1:$I$88,7,0))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projet'!$B$9,Paramètres!$A$1:$I$88,3,0)*0.475*44/12</f>
        <v>0</v>
      </c>
      <c r="AA80" s="23">
        <f>EXP(-LN(2)/25)*AA79+(1-EXP(-LN(2)/25))/(LN(2)/25)*Calculateur!V80*Calculateur!X80*VLOOKUP('Données projet'!$B$9,Paramètres!$A$1:$I$88,3,0)*0.475*44/12</f>
        <v>2.7971126581296311</v>
      </c>
      <c r="AB80" s="23">
        <f>EXP(-LN(2)/2)*AB79+(1-EXP(-LN(2)/2))/(LN(2)/2)*V80*Y80*VLOOKUP('Données projet'!$B$9,Paramètres!$A$1:$I$88,3,0)*0.475*44/12</f>
        <v>1.3924323982070763E-6</v>
      </c>
      <c r="AC80" s="24">
        <f t="shared" si="57"/>
        <v>2.7971140505620293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15.533333333333333</v>
      </c>
      <c r="AI80" s="14">
        <f>IF('Données projet'!$A$62&gt;35,AI79+AH80-AQ79,IF(A80&lt;'Données projet'!$A$62,$AF$205^A80,IF(A80='Données projet'!$A$62,'Données projet'!$B$62,AI79+AH80-AQ79)))</f>
        <v>713.06666666666592</v>
      </c>
      <c r="AJ80" s="14">
        <f>AI80*VLOOKUP('Données projet'!$B$10,Paramètres!$A$1:$I$88,3,0)*VLOOKUP('Données projet'!$B$10,Paramètres!$A$1:$I$88,5,0)</f>
        <v>342.98506666666634</v>
      </c>
      <c r="AK80" s="14">
        <f t="shared" si="89"/>
        <v>80.116365985105915</v>
      </c>
      <c r="AL80" s="22">
        <f t="shared" si="58"/>
        <v>736.9016618685032</v>
      </c>
      <c r="AM80" s="62">
        <f t="shared" si="59"/>
        <v>1030.2349952018365</v>
      </c>
      <c r="AN80" s="62">
        <f ca="1">AVERAGE(OFFSET($AM$3,0,0,'Données projet'!$E$10+1,1))-AVERAGE(OFFSET($H$3,0,0,'Données projet'!$E$10+1,1))</f>
        <v>576.61210817354549</v>
      </c>
      <c r="AO80" s="62">
        <f t="shared" si="90"/>
        <v>343.9428747444544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projet'!$B$10,Paramètres!$A$1:$I$88,7,0))</f>
        <v>0</v>
      </c>
      <c r="AS80" s="17">
        <f>IF(ISNA(VLOOKUP(A80,'Données projet'!$A$61:$I$81,6,0)),0%,VLOOKUP(A80,'Données projet'!$A$61:$I$81,6,0)*VLOOKUP('Données projet'!$B$10,Paramètres!$A$1:$I$88,7,0))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projet'!$B$10,Paramètres!$A$1:$I$88,3,0)*0.475*44/12</f>
        <v>0</v>
      </c>
      <c r="AV80" s="23">
        <f>EXP(-LN(2)/25)*AV79+(1-EXP(-LN(2)/25))/(LN(2)/25)*Calculateur!AQ80*Calculateur!AS80*VLOOKUP('Données projet'!$B$10,Paramètres!$A$1:$I$88,3,0)*0.475*44/12</f>
        <v>1.538513767288084</v>
      </c>
      <c r="AW80" s="23">
        <f>EXP(-LN(2)/2)*AW79+(1-EXP(-LN(2)/2))/(LN(2)/2)*AQ80*AT80*VLOOKUP('Données projet'!$B$10,Paramètres!$A$1:$I$88,3,0)*0.475*44/12</f>
        <v>9.9158390447722283E-7</v>
      </c>
      <c r="AX80" s="23">
        <f t="shared" si="60"/>
        <v>1.5385147588719885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3.5600000000000023</v>
      </c>
      <c r="BD80" s="13">
        <f>IF('Données projet'!$A$88&gt;35,BD79+BC80-BL79,IF(A80&lt;'Données projet'!$A$88,$BA$205^A80,IF(A80='Données projet'!$A$88,'Données projet'!$B$88,BD79+BC80-BL79)))</f>
        <v>343.11999999999995</v>
      </c>
      <c r="BE80" s="14">
        <f>BD80*VLOOKUP('Données projet'!$B$11,Paramètres!$A$1:$I$88,3,0)*VLOOKUP('Données projet'!$B$11,Paramètres!$A$1:$I$88,5,0)</f>
        <v>272.98627199999993</v>
      </c>
      <c r="BF80" s="14">
        <f t="shared" si="91"/>
        <v>65.482625286487632</v>
      </c>
      <c r="BG80" s="22">
        <f t="shared" si="61"/>
        <v>589.49999610729913</v>
      </c>
      <c r="BH80" s="62">
        <f t="shared" si="62"/>
        <v>882.8333294406325</v>
      </c>
      <c r="BI80" s="62">
        <f ca="1">AVERAGE(OFFSET($BH$3,0,0,'Données projet'!$E$11+1,1))-AVERAGE(OFFSET($H$3,0,0,'Données projet'!$E$11+1,1))</f>
        <v>298.38448036212861</v>
      </c>
      <c r="BJ80" s="62">
        <f t="shared" si="92"/>
        <v>270.4445531106897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projet'!$B$11,Paramètres!$A$1:$I$88,7,0))</f>
        <v>0</v>
      </c>
      <c r="BN80" s="17">
        <f>IF(ISNA(VLOOKUP(A80,'Données projet'!$A$87:$I$107,6,0)),0%,VLOOKUP(A80,'Données projet'!$A$87:$I$107,6,0)*VLOOKUP('Données projet'!$B$11,Paramètres!$A$1:$I$88,7,0))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projet'!$B$11,Paramètres!$A$1:$I$88,3,0)*0.475*44/12</f>
        <v>0</v>
      </c>
      <c r="BQ80" s="23">
        <f>EXP(-LN(2)/25)*BQ79+(1-EXP(-LN(2)/25))/(LN(2)/25)*Calculateur!BL80*Calculateur!BN80*VLOOKUP('Données projet'!$B$11,Paramètres!$A$1:$I$88,3,0)*0.475*44/12</f>
        <v>0</v>
      </c>
      <c r="BR80" s="23">
        <f>EXP(-LN(2)/2)*BR79+(1-EXP(-LN(2)/2))/(LN(2)/2)*BL80*BO80*VLOOKUP('Données projet'!$B$11,Paramètres!$A$1:$I$88,3,0)*0.475*44/12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5.6843418860808015E-14</v>
      </c>
      <c r="BZ80" s="14">
        <f>BY80*VLOOKUP('Données projet'!$B$12,Paramètres!$A$1:$I$88,3,0)*VLOOKUP('Données projet'!$B$12,Paramètres!$A$1:$I$88,5,0)</f>
        <v>4.4337866711430253E-14</v>
      </c>
      <c r="CA80" s="14">
        <f t="shared" si="93"/>
        <v>7.3222115536967035E-13</v>
      </c>
      <c r="CB80" s="22">
        <f t="shared" si="64"/>
        <v>1.3525069634579169E-12</v>
      </c>
      <c r="CC80" s="62">
        <f t="shared" si="65"/>
        <v>293.33333333333468</v>
      </c>
      <c r="CD80" s="62">
        <f ca="1">AVERAGE(OFFSET($CC$3,0,0,'Données projet'!$E$12+1,1))-AVERAGE(OFFSET($H$3,0,0,'Données projet'!$E$12+1,1))</f>
        <v>217.32600829266818</v>
      </c>
      <c r="CE80" s="62">
        <f t="shared" si="94"/>
        <v>208.79744153433245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projet'!$B$12,Paramètres!$A$1:$I$88,7,0))</f>
        <v>0</v>
      </c>
      <c r="CI80" s="17">
        <f>IF(ISNA(VLOOKUP(A80,'Données projet'!$A$113:$I$133,6,0)),0%,VLOOKUP(A80,'Données projet'!$A$113:$I$133,6,0)*VLOOKUP('Données projet'!$B$12,Paramètres!$A$1:$I$88,7,0))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projet'!$B$12,Paramètres!$A$1:$I$88,3,0)*0.475*44/12</f>
        <v>0</v>
      </c>
      <c r="CL80" s="23">
        <f>EXP(-LN(2)/25)*CL79+(1-EXP(-LN(2)/25))/(LN(2)/25)*Calculateur!CG80*Calculateur!CI80*VLOOKUP('Données projet'!$B$12,Paramètres!$A$1:$I$88,3,0)*0.475*44/12</f>
        <v>0</v>
      </c>
      <c r="CM80" s="23">
        <f>EXP(-LN(2)/2)*CM79+(1-EXP(-LN(2)/2))/(LN(2)/2)*CG80*CJ80*VLOOKUP('Données projet'!$B$12,Paramètres!$A$1:$I$88,3,0)*0.475*44/12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-3.4106051316484809E-13</v>
      </c>
      <c r="CU80" s="18">
        <f>CT80*VLOOKUP('Données projet'!$B$13,Paramètres!$A$1:$I$88,3,0)*VLOOKUP('Données projet'!$B$13,Paramètres!$A$1:$I$88,5,0)</f>
        <v>-1.9065282685915009E-13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302.20483575440988</v>
      </c>
      <c r="CZ80" s="62">
        <f t="shared" si="96"/>
        <v>275.32862097158687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projet'!$B$13,Paramètres!$A$1:$I$88,7,0))</f>
        <v>0</v>
      </c>
      <c r="DD80" s="17">
        <f>IF(ISNA(VLOOKUP(A80,'Données projet'!$A$139:$I$159,6,0)),0%,VLOOKUP(A80,'Données projet'!$A$139:$I$159,6,0)*VLOOKUP('Données projet'!$B$13,Paramètres!$A$1:$I$88,7,0))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projet'!$B$13,Paramètres!$A$1:$I$88,3,0)*0.475*44/12</f>
        <v>0</v>
      </c>
      <c r="DG80" s="23">
        <f>EXP(-LN(2)/25)*DG79+(1-EXP(-LN(2)/25))/(LN(2)/25)*Calculateur!DB80*Calculateur!DD80*VLOOKUP('Données projet'!$B$13,Paramètres!$A$1:$I$88,3,0)*0.475*44/12</f>
        <v>3.7566317938045888</v>
      </c>
      <c r="DH80" s="23">
        <f>EXP(-LN(2)/2)*DH79+(1-EXP(-LN(2)/2))/(LN(2)/2)*DB80*DE80*VLOOKUP('Données projet'!$B$13,Paramètres!$A$1:$I$88,3,0)*0.475*44/12</f>
        <v>5.7158609328319309E-7</v>
      </c>
      <c r="DI80" s="24">
        <f t="shared" si="69"/>
        <v>3.7566323653906819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projet'!$B$14,Paramètres!$A$1:$I$88,3,0)*VLOOKUP('Données projet'!$B$14,Paramètres!$A$1:$I$88,5,0)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projet'!$B$14,Paramètres!$A$1:$I$88,7,0))</f>
        <v>0</v>
      </c>
      <c r="DY80" s="17">
        <f>IF(ISNA(VLOOKUP(A80,'Données projet'!$A$165:$I$185,6,0)),0%,VLOOKUP(A80,'Données projet'!$A$165:$I$185,6,0)*VLOOKUP('Données projet'!$B$14,Paramètres!$A$1:$I$88,7,0))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projet'!$B$14,Paramètres!$A$1:$I$88,3,0)*0.475*44/12</f>
        <v>#N/A</v>
      </c>
      <c r="EB80" s="23" t="e">
        <f>EXP(-LN(2)/25)*EB79+(1-EXP(-LN(2)/25))/(LN(2)/25)*Calculateur!DW80*Calculateur!DY80*VLOOKUP('Données projet'!$B$14,Paramètres!$A$1:$I$88,3,0)*0.475*44/12</f>
        <v>#N/A</v>
      </c>
      <c r="EC80" s="23" t="e">
        <f>EXP(-LN(2)/2)*EC79+(1-EXP(-LN(2)/2))/(LN(2)/2)*DW80*DZ80*VLOOKUP('Données projet'!$B$14,Paramètres!$A$1:$I$88,3,0)*0.475*44/12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projet'!$B$15,Paramètres!$A$1:$I$88,3,0)*VLOOKUP('Données projet'!$B$15,Paramètres!$A$1:$I$88,5,0)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projet'!$B$15,Paramètres!$A$1:$I$88,7,0))</f>
        <v>0</v>
      </c>
      <c r="ET80" s="17">
        <f>IF(ISNA(VLOOKUP(A80,'Données projet'!$A$191:$I$211,6,0)),0%,VLOOKUP(A80,'Données projet'!$A$191:$I$211,6,0)*VLOOKUP('Données projet'!$B$15,Paramètres!$A$1:$I$88,7,0))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projet'!$B$15,Paramètres!$A$1:$I$88,3,0)*0.475*44/12</f>
        <v>#N/A</v>
      </c>
      <c r="EW80" s="23" t="e">
        <f>EXP(-LN(2)/25)*EW79+(1-EXP(-LN(2)/25))/(LN(2)/25)*Calculateur!ER80*Calculateur!ET80*VLOOKUP('Données projet'!$B$15,Paramètres!$A$1:$I$88,3,0)*0.475*44/12</f>
        <v>#N/A</v>
      </c>
      <c r="EX80" s="23" t="e">
        <f>EXP(-LN(2)/2)*EX79+(1-EXP(-LN(2)/2))/(LN(2)/2)*ER80*EU80*VLOOKUP('Données projet'!$B$15,Paramètres!$A$1:$I$88,3,0)*0.475*44/12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projet'!$B$16,Paramètres!$A$1:$I$88,3,0)*VLOOKUP('Données projet'!$B$16,Paramètres!$A$1:$I$88,5,0)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projet'!$B$16,Paramètres!$A$1:$I$88,7,0))</f>
        <v>0</v>
      </c>
      <c r="FO80" s="17">
        <f>IF(ISNA(VLOOKUP(A80,'Données projet'!$A$217:$I$237,6,0)),0%,VLOOKUP(A80,'Données projet'!$A$217:$I$237,6,0)*VLOOKUP('Données projet'!$B$16,Paramètres!$A$1:$I$88,7,0))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projet'!$B$16,Paramètres!$A$1:$I$88,3,0)*0.475*44/12</f>
        <v>#N/A</v>
      </c>
      <c r="FR80" s="23" t="e">
        <f>EXP(-LN(2)/25)*FR79+(1-EXP(-LN(2)/25))/(LN(2)/25)*Calculateur!FM80*Calculateur!FO80*VLOOKUP('Données projet'!$B$16,Paramètres!$A$1:$I$88,3,0)*0.475*44/12</f>
        <v>#N/A</v>
      </c>
      <c r="FS80" s="23" t="e">
        <f>EXP(-LN(2)/2)*FS79+(1-EXP(-LN(2)/2))/(LN(2)/2)*FM80*FP80*VLOOKUP('Données projet'!$B$16,Paramètres!$A$1:$I$88,3,0)*0.475*44/12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projet'!$B$17,Paramètres!$A$1:$I$88,3,0)*VLOOKUP('Données projet'!$B$17,Paramètres!$A$1:$I$88,5,0)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projet'!$B$17,Paramètres!$A$1:$I$88,7,0))</f>
        <v>0</v>
      </c>
      <c r="GJ80" s="17">
        <f>IF(ISNA(VLOOKUP(A80,'Données projet'!$A$243:$I$263,6,0)),0%,VLOOKUP(A80,'Données projet'!$A$243:$I$263,6,0)*VLOOKUP('Données projet'!$B$17,Paramètres!$A$1:$I$88,7,0))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projet'!$B$17,Paramètres!$A$1:$I$88,3,0)*0.475*44/12</f>
        <v>#N/A</v>
      </c>
      <c r="GM80" s="23" t="e">
        <f>EXP(-LN(2)/25)*GM79+(1-EXP(-LN(2)/25))/(LN(2)/25)*Calculateur!GH80*Calculateur!GJ80*VLOOKUP('Données projet'!$B$17,Paramètres!$A$1:$I$88,3,0)*0.475*44/12</f>
        <v>#N/A</v>
      </c>
      <c r="GN80" s="23" t="e">
        <f>EXP(-LN(2)/2)*GN79+(1-EXP(-LN(2)/2))/(LN(2)/2)*GH80*GK80*VLOOKUP('Données projet'!$B$17,Paramètres!$A$1:$I$88,3,0)*0.475*44/12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projet'!$B$18,Paramètres!$A$1:$I$88,3,0)*VLOOKUP('Données projet'!$B$18,Paramètres!$A$1:$I$88,5,0)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projet'!$B$18,Paramètres!$A$1:$I$88,7,0))</f>
        <v>0</v>
      </c>
      <c r="HE80" s="17">
        <f>IF(ISNA(VLOOKUP(A80,'Données projet'!$A$269:$I$289,6,0)),0%,VLOOKUP(A80,'Données projet'!$A$269:$I$289,6,0)*VLOOKUP('Données projet'!$B$18,Paramètres!$A$1:$I$88,7,0))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projet'!$B$18,Paramètres!$A$1:$I$88,3,0)*0.475*44/12</f>
        <v>#N/A</v>
      </c>
      <c r="HH80" s="23" t="e">
        <f>EXP(-LN(2)/25)*HH79+(1-EXP(-LN(2)/25))/(LN(2)/25)*Calculateur!HC80*Calculateur!HE80*VLOOKUP('Données projet'!$B$18,Paramètres!$A$1:$I$88,3,0)*0.475*44/12</f>
        <v>#N/A</v>
      </c>
      <c r="HI80" s="23" t="e">
        <f>EXP(-LN(2)/2)*HI79+(1-EXP(-LN(2)/2))/(LN(2)/2)*HC80*HF80*VLOOKUP('Données projet'!$B$18,Paramètres!$A$1:$I$88,3,0)*0.475*44/12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projet'!$B$9,Paramètres!$A$1:$I$88,3,0)*VLOOKUP('Données projet'!$B$9,Paramètres!$A$1:$I$88,5,0)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175.05987582828078</v>
      </c>
      <c r="T81" s="62">
        <f t="shared" si="88"/>
        <v>268.54782308462387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projet'!$B$9,Paramètres!$A$1:$I$88,7,0))</f>
        <v>0</v>
      </c>
      <c r="X81" s="17">
        <f>IF(ISNA(VLOOKUP(A81,'Données projet'!$A$35:$I$55,6,0)),0%,VLOOKUP(A81,'Données projet'!$A$35:$I$55,6,0)*VLOOKUP('Données projet'!$B$9,Paramètres!$A$1:$I$88,7,0))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projet'!$B$9,Paramètres!$A$1:$I$88,3,0)*0.475*44/12</f>
        <v>0</v>
      </c>
      <c r="AA81" s="23">
        <f>EXP(-LN(2)/25)*AA80+(1-EXP(-LN(2)/25))/(LN(2)/25)*Calculateur!V81*Calculateur!X81*VLOOKUP('Données projet'!$B$9,Paramètres!$A$1:$I$88,3,0)*0.475*44/12</f>
        <v>2.7206254653993147</v>
      </c>
      <c r="AB81" s="23">
        <f>EXP(-LN(2)/2)*AB80+(1-EXP(-LN(2)/2))/(LN(2)/2)*V81*Y81*VLOOKUP('Données projet'!$B$9,Paramètres!$A$1:$I$88,3,0)*0.475*44/12</f>
        <v>9.8459839111607067E-7</v>
      </c>
      <c r="AC81" s="24">
        <f t="shared" si="57"/>
        <v>2.720626449997706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15.533333333333333</v>
      </c>
      <c r="AI81" s="14">
        <f>IF('Données projet'!$A$62&gt;35,AI80+AH81-AQ80,IF(A81&lt;'Données projet'!$A$62,$AF$205^A81,IF(A81='Données projet'!$A$62,'Données projet'!$B$62,AI80+AH81-AQ80)))</f>
        <v>728.59999999999923</v>
      </c>
      <c r="AJ81" s="14">
        <f>AI81*VLOOKUP('Données projet'!$B$10,Paramètres!$A$1:$I$88,3,0)*VLOOKUP('Données projet'!$B$10,Paramètres!$A$1:$I$88,5,0)</f>
        <v>350.45659999999964</v>
      </c>
      <c r="AK81" s="14">
        <f t="shared" si="89"/>
        <v>81.656522785075992</v>
      </c>
      <c r="AL81" s="22">
        <f t="shared" si="58"/>
        <v>752.59702218400662</v>
      </c>
      <c r="AM81" s="62">
        <f t="shared" si="59"/>
        <v>1045.9303555173399</v>
      </c>
      <c r="AN81" s="62">
        <f ca="1">AVERAGE(OFFSET($AM$3,0,0,'Données projet'!$E$10+1,1))-AVERAGE(OFFSET($H$3,0,0,'Données projet'!$E$10+1,1))</f>
        <v>576.61210817354549</v>
      </c>
      <c r="AO81" s="62">
        <f t="shared" si="90"/>
        <v>343.9428747444544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projet'!$B$10,Paramètres!$A$1:$I$88,7,0))</f>
        <v>0</v>
      </c>
      <c r="AS81" s="17">
        <f>IF(ISNA(VLOOKUP(A81,'Données projet'!$A$61:$I$81,6,0)),0%,VLOOKUP(A81,'Données projet'!$A$61:$I$81,6,0)*VLOOKUP('Données projet'!$B$10,Paramètres!$A$1:$I$88,7,0))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projet'!$B$10,Paramètres!$A$1:$I$88,3,0)*0.475*44/12</f>
        <v>0</v>
      </c>
      <c r="AV81" s="23">
        <f>EXP(-LN(2)/25)*AV80+(1-EXP(-LN(2)/25))/(LN(2)/25)*Calculateur!AQ81*Calculateur!AS81*VLOOKUP('Données projet'!$B$10,Paramètres!$A$1:$I$88,3,0)*0.475*44/12</f>
        <v>1.4964430274146687</v>
      </c>
      <c r="AW81" s="23">
        <f>EXP(-LN(2)/2)*AW80+(1-EXP(-LN(2)/2))/(LN(2)/2)*AQ81*AT81*VLOOKUP('Données projet'!$B$10,Paramètres!$A$1:$I$88,3,0)*0.475*44/12</f>
        <v>7.0115570297127806E-7</v>
      </c>
      <c r="AX81" s="23">
        <f t="shared" si="60"/>
        <v>1.4964437285703718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3.5600000000000023</v>
      </c>
      <c r="BD81" s="13">
        <f>IF('Données projet'!$A$88&gt;35,BD80+BC81-BL80,IF(A81&lt;'Données projet'!$A$88,$BA$205^A81,IF(A81='Données projet'!$A$88,'Données projet'!$B$88,BD80+BC81-BL80)))</f>
        <v>346.67999999999995</v>
      </c>
      <c r="BE81" s="14">
        <f>BD81*VLOOKUP('Données projet'!$B$11,Paramètres!$A$1:$I$88,3,0)*VLOOKUP('Données projet'!$B$11,Paramètres!$A$1:$I$88,5,0)</f>
        <v>275.81860799999998</v>
      </c>
      <c r="BF81" s="14">
        <f t="shared" si="91"/>
        <v>66.082588241439169</v>
      </c>
      <c r="BG81" s="22">
        <f t="shared" si="61"/>
        <v>595.47791678717317</v>
      </c>
      <c r="BH81" s="62">
        <f t="shared" si="62"/>
        <v>888.81125012050643</v>
      </c>
      <c r="BI81" s="62">
        <f ca="1">AVERAGE(OFFSET($BH$3,0,0,'Données projet'!$E$11+1,1))-AVERAGE(OFFSET($H$3,0,0,'Données projet'!$E$11+1,1))</f>
        <v>298.38448036212861</v>
      </c>
      <c r="BJ81" s="62">
        <f t="shared" si="92"/>
        <v>270.4445531106897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projet'!$B$11,Paramètres!$A$1:$I$88,7,0))</f>
        <v>0</v>
      </c>
      <c r="BN81" s="17">
        <f>IF(ISNA(VLOOKUP(A81,'Données projet'!$A$87:$I$107,6,0)),0%,VLOOKUP(A81,'Données projet'!$A$87:$I$107,6,0)*VLOOKUP('Données projet'!$B$11,Paramètres!$A$1:$I$88,7,0))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projet'!$B$11,Paramètres!$A$1:$I$88,3,0)*0.475*44/12</f>
        <v>0</v>
      </c>
      <c r="BQ81" s="23">
        <f>EXP(-LN(2)/25)*BQ80+(1-EXP(-LN(2)/25))/(LN(2)/25)*Calculateur!BL81*Calculateur!BN81*VLOOKUP('Données projet'!$B$11,Paramètres!$A$1:$I$88,3,0)*0.475*44/12</f>
        <v>0</v>
      </c>
      <c r="BR81" s="23">
        <f>EXP(-LN(2)/2)*BR80+(1-EXP(-LN(2)/2))/(LN(2)/2)*BL81*BO81*VLOOKUP('Données projet'!$B$11,Paramètres!$A$1:$I$88,3,0)*0.475*44/12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5.6843418860808015E-14</v>
      </c>
      <c r="BZ81" s="14">
        <f>BY81*VLOOKUP('Données projet'!$B$12,Paramètres!$A$1:$I$88,3,0)*VLOOKUP('Données projet'!$B$12,Paramètres!$A$1:$I$88,5,0)</f>
        <v>4.4337866711430253E-14</v>
      </c>
      <c r="CA81" s="14">
        <f t="shared" si="93"/>
        <v>7.3222115536967035E-13</v>
      </c>
      <c r="CB81" s="22">
        <f t="shared" si="64"/>
        <v>1.3525069634579169E-12</v>
      </c>
      <c r="CC81" s="62">
        <f t="shared" si="65"/>
        <v>293.33333333333468</v>
      </c>
      <c r="CD81" s="62">
        <f ca="1">AVERAGE(OFFSET($CC$3,0,0,'Données projet'!$E$12+1,1))-AVERAGE(OFFSET($H$3,0,0,'Données projet'!$E$12+1,1))</f>
        <v>217.32600829266818</v>
      </c>
      <c r="CE81" s="62">
        <f t="shared" si="94"/>
        <v>208.79744153433245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projet'!$B$12,Paramètres!$A$1:$I$88,7,0))</f>
        <v>0</v>
      </c>
      <c r="CI81" s="17">
        <f>IF(ISNA(VLOOKUP(A81,'Données projet'!$A$113:$I$133,6,0)),0%,VLOOKUP(A81,'Données projet'!$A$113:$I$133,6,0)*VLOOKUP('Données projet'!$B$12,Paramètres!$A$1:$I$88,7,0))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projet'!$B$12,Paramètres!$A$1:$I$88,3,0)*0.475*44/12</f>
        <v>0</v>
      </c>
      <c r="CL81" s="23">
        <f>EXP(-LN(2)/25)*CL80+(1-EXP(-LN(2)/25))/(LN(2)/25)*Calculateur!CG81*Calculateur!CI81*VLOOKUP('Données projet'!$B$12,Paramètres!$A$1:$I$88,3,0)*0.475*44/12</f>
        <v>0</v>
      </c>
      <c r="CM81" s="23">
        <f>EXP(-LN(2)/2)*CM80+(1-EXP(-LN(2)/2))/(LN(2)/2)*CG81*CJ81*VLOOKUP('Données projet'!$B$12,Paramètres!$A$1:$I$88,3,0)*0.475*44/12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-3.4106051316484809E-13</v>
      </c>
      <c r="CU81" s="18">
        <f>CT81*VLOOKUP('Données projet'!$B$13,Paramètres!$A$1:$I$88,3,0)*VLOOKUP('Données projet'!$B$13,Paramètres!$A$1:$I$88,5,0)</f>
        <v>-1.9065282685915009E-13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302.20483575440988</v>
      </c>
      <c r="CZ81" s="62">
        <f t="shared" si="96"/>
        <v>275.32862097158687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projet'!$B$13,Paramètres!$A$1:$I$88,7,0))</f>
        <v>0</v>
      </c>
      <c r="DD81" s="17">
        <f>IF(ISNA(VLOOKUP(A81,'Données projet'!$A$139:$I$159,6,0)),0%,VLOOKUP(A81,'Données projet'!$A$139:$I$159,6,0)*VLOOKUP('Données projet'!$B$13,Paramètres!$A$1:$I$88,7,0))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projet'!$B$13,Paramètres!$A$1:$I$88,3,0)*0.475*44/12</f>
        <v>0</v>
      </c>
      <c r="DG81" s="23">
        <f>EXP(-LN(2)/25)*DG80+(1-EXP(-LN(2)/25))/(LN(2)/25)*Calculateur!DB81*Calculateur!DD81*VLOOKUP('Données projet'!$B$13,Paramètres!$A$1:$I$88,3,0)*0.475*44/12</f>
        <v>3.6539064998503221</v>
      </c>
      <c r="DH81" s="23">
        <f>EXP(-LN(2)/2)*DH80+(1-EXP(-LN(2)/2))/(LN(2)/2)*DB81*DE81*VLOOKUP('Données projet'!$B$13,Paramètres!$A$1:$I$88,3,0)*0.475*44/12</f>
        <v>4.0417240259247237E-7</v>
      </c>
      <c r="DI81" s="24">
        <f t="shared" si="69"/>
        <v>3.6539069040227248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projet'!$B$14,Paramètres!$A$1:$I$88,3,0)*VLOOKUP('Données projet'!$B$14,Paramètres!$A$1:$I$88,5,0)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projet'!$B$14,Paramètres!$A$1:$I$88,7,0))</f>
        <v>0</v>
      </c>
      <c r="DY81" s="17">
        <f>IF(ISNA(VLOOKUP(A81,'Données projet'!$A$165:$I$185,6,0)),0%,VLOOKUP(A81,'Données projet'!$A$165:$I$185,6,0)*VLOOKUP('Données projet'!$B$14,Paramètres!$A$1:$I$88,7,0))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projet'!$B$14,Paramètres!$A$1:$I$88,3,0)*0.475*44/12</f>
        <v>#N/A</v>
      </c>
      <c r="EB81" s="23" t="e">
        <f>EXP(-LN(2)/25)*EB80+(1-EXP(-LN(2)/25))/(LN(2)/25)*Calculateur!DW81*Calculateur!DY81*VLOOKUP('Données projet'!$B$14,Paramètres!$A$1:$I$88,3,0)*0.475*44/12</f>
        <v>#N/A</v>
      </c>
      <c r="EC81" s="23" t="e">
        <f>EXP(-LN(2)/2)*EC80+(1-EXP(-LN(2)/2))/(LN(2)/2)*DW81*DZ81*VLOOKUP('Données projet'!$B$14,Paramètres!$A$1:$I$88,3,0)*0.475*44/12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projet'!$B$15,Paramètres!$A$1:$I$88,3,0)*VLOOKUP('Données projet'!$B$15,Paramètres!$A$1:$I$88,5,0)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projet'!$B$15,Paramètres!$A$1:$I$88,7,0))</f>
        <v>0</v>
      </c>
      <c r="ET81" s="17">
        <f>IF(ISNA(VLOOKUP(A81,'Données projet'!$A$191:$I$211,6,0)),0%,VLOOKUP(A81,'Données projet'!$A$191:$I$211,6,0)*VLOOKUP('Données projet'!$B$15,Paramètres!$A$1:$I$88,7,0))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projet'!$B$15,Paramètres!$A$1:$I$88,3,0)*0.475*44/12</f>
        <v>#N/A</v>
      </c>
      <c r="EW81" s="23" t="e">
        <f>EXP(-LN(2)/25)*EW80+(1-EXP(-LN(2)/25))/(LN(2)/25)*Calculateur!ER81*Calculateur!ET81*VLOOKUP('Données projet'!$B$15,Paramètres!$A$1:$I$88,3,0)*0.475*44/12</f>
        <v>#N/A</v>
      </c>
      <c r="EX81" s="23" t="e">
        <f>EXP(-LN(2)/2)*EX80+(1-EXP(-LN(2)/2))/(LN(2)/2)*ER81*EU81*VLOOKUP('Données projet'!$B$15,Paramètres!$A$1:$I$88,3,0)*0.475*44/12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projet'!$B$16,Paramètres!$A$1:$I$88,3,0)*VLOOKUP('Données projet'!$B$16,Paramètres!$A$1:$I$88,5,0)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projet'!$B$16,Paramètres!$A$1:$I$88,7,0))</f>
        <v>0</v>
      </c>
      <c r="FO81" s="17">
        <f>IF(ISNA(VLOOKUP(A81,'Données projet'!$A$217:$I$237,6,0)),0%,VLOOKUP(A81,'Données projet'!$A$217:$I$237,6,0)*VLOOKUP('Données projet'!$B$16,Paramètres!$A$1:$I$88,7,0))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projet'!$B$16,Paramètres!$A$1:$I$88,3,0)*0.475*44/12</f>
        <v>#N/A</v>
      </c>
      <c r="FR81" s="23" t="e">
        <f>EXP(-LN(2)/25)*FR80+(1-EXP(-LN(2)/25))/(LN(2)/25)*Calculateur!FM81*Calculateur!FO81*VLOOKUP('Données projet'!$B$16,Paramètres!$A$1:$I$88,3,0)*0.475*44/12</f>
        <v>#N/A</v>
      </c>
      <c r="FS81" s="23" t="e">
        <f>EXP(-LN(2)/2)*FS80+(1-EXP(-LN(2)/2))/(LN(2)/2)*FM81*FP81*VLOOKUP('Données projet'!$B$16,Paramètres!$A$1:$I$88,3,0)*0.475*44/12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projet'!$B$17,Paramètres!$A$1:$I$88,3,0)*VLOOKUP('Données projet'!$B$17,Paramètres!$A$1:$I$88,5,0)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projet'!$B$17,Paramètres!$A$1:$I$88,7,0))</f>
        <v>0</v>
      </c>
      <c r="GJ81" s="17">
        <f>IF(ISNA(VLOOKUP(A81,'Données projet'!$A$243:$I$263,6,0)),0%,VLOOKUP(A81,'Données projet'!$A$243:$I$263,6,0)*VLOOKUP('Données projet'!$B$17,Paramètres!$A$1:$I$88,7,0))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projet'!$B$17,Paramètres!$A$1:$I$88,3,0)*0.475*44/12</f>
        <v>#N/A</v>
      </c>
      <c r="GM81" s="23" t="e">
        <f>EXP(-LN(2)/25)*GM80+(1-EXP(-LN(2)/25))/(LN(2)/25)*Calculateur!GH81*Calculateur!GJ81*VLOOKUP('Données projet'!$B$17,Paramètres!$A$1:$I$88,3,0)*0.475*44/12</f>
        <v>#N/A</v>
      </c>
      <c r="GN81" s="23" t="e">
        <f>EXP(-LN(2)/2)*GN80+(1-EXP(-LN(2)/2))/(LN(2)/2)*GH81*GK81*VLOOKUP('Données projet'!$B$17,Paramètres!$A$1:$I$88,3,0)*0.475*44/12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projet'!$B$18,Paramètres!$A$1:$I$88,3,0)*VLOOKUP('Données projet'!$B$18,Paramètres!$A$1:$I$88,5,0)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projet'!$B$18,Paramètres!$A$1:$I$88,7,0))</f>
        <v>0</v>
      </c>
      <c r="HE81" s="17">
        <f>IF(ISNA(VLOOKUP(A81,'Données projet'!$A$269:$I$289,6,0)),0%,VLOOKUP(A81,'Données projet'!$A$269:$I$289,6,0)*VLOOKUP('Données projet'!$B$18,Paramètres!$A$1:$I$88,7,0))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projet'!$B$18,Paramètres!$A$1:$I$88,3,0)*0.475*44/12</f>
        <v>#N/A</v>
      </c>
      <c r="HH81" s="23" t="e">
        <f>EXP(-LN(2)/25)*HH80+(1-EXP(-LN(2)/25))/(LN(2)/25)*Calculateur!HC81*Calculateur!HE81*VLOOKUP('Données projet'!$B$18,Paramètres!$A$1:$I$88,3,0)*0.475*44/12</f>
        <v>#N/A</v>
      </c>
      <c r="HI81" s="23" t="e">
        <f>EXP(-LN(2)/2)*HI80+(1-EXP(-LN(2)/2))/(LN(2)/2)*HC81*HF81*VLOOKUP('Données projet'!$B$18,Paramètres!$A$1:$I$88,3,0)*0.475*44/12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projet'!$B$9,Paramètres!$A$1:$I$88,3,0)*VLOOKUP('Données projet'!$B$9,Paramètres!$A$1:$I$88,5,0)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175.05987582828078</v>
      </c>
      <c r="T82" s="62">
        <f t="shared" si="88"/>
        <v>268.54782308462387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projet'!$B$9,Paramètres!$A$1:$I$88,7,0))</f>
        <v>0</v>
      </c>
      <c r="X82" s="17">
        <f>IF(ISNA(VLOOKUP(A82,'Données projet'!$A$35:$I$55,6,0)),0%,VLOOKUP(A82,'Données projet'!$A$35:$I$55,6,0)*VLOOKUP('Données projet'!$B$9,Paramètres!$A$1:$I$88,7,0))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projet'!$B$9,Paramètres!$A$1:$I$88,3,0)*0.475*44/12</f>
        <v>0</v>
      </c>
      <c r="AA82" s="23">
        <f>EXP(-LN(2)/25)*AA81+(1-EXP(-LN(2)/25))/(LN(2)/25)*Calculateur!V82*Calculateur!X82*VLOOKUP('Données projet'!$B$9,Paramètres!$A$1:$I$88,3,0)*0.475*44/12</f>
        <v>2.6462298189764955</v>
      </c>
      <c r="AB82" s="23">
        <f>EXP(-LN(2)/2)*AB81+(1-EXP(-LN(2)/2))/(LN(2)/2)*V82*Y82*VLOOKUP('Données projet'!$B$9,Paramètres!$A$1:$I$88,3,0)*0.475*44/12</f>
        <v>6.9621619910353813E-7</v>
      </c>
      <c r="AC82" s="24">
        <f t="shared" si="57"/>
        <v>2.6462305151926944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15.533333333333333</v>
      </c>
      <c r="AI82" s="14">
        <f>IF('Données projet'!$A$62&gt;35,AI81+AH82-AQ81,IF(A82&lt;'Données projet'!$A$62,$AF$205^A82,IF(A82='Données projet'!$A$62,'Données projet'!$B$62,AI81+AH82-AQ81)))</f>
        <v>744.13333333333253</v>
      </c>
      <c r="AJ82" s="14">
        <f>AI82*VLOOKUP('Données projet'!$B$10,Paramètres!$A$1:$I$88,3,0)*VLOOKUP('Données projet'!$B$10,Paramètres!$A$1:$I$88,5,0)</f>
        <v>357.92813333333294</v>
      </c>
      <c r="AK82" s="14">
        <f t="shared" si="89"/>
        <v>83.192861993749659</v>
      </c>
      <c r="AL82" s="22">
        <f t="shared" si="58"/>
        <v>768.2857335280022</v>
      </c>
      <c r="AM82" s="62">
        <f t="shared" si="59"/>
        <v>1061.6190668613356</v>
      </c>
      <c r="AN82" s="62">
        <f ca="1">AVERAGE(OFFSET($AM$3,0,0,'Données projet'!$E$10+1,1))-AVERAGE(OFFSET($H$3,0,0,'Données projet'!$E$10+1,1))</f>
        <v>576.61210817354549</v>
      </c>
      <c r="AO82" s="62">
        <f t="shared" si="90"/>
        <v>343.9428747444544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projet'!$B$10,Paramètres!$A$1:$I$88,7,0))</f>
        <v>0</v>
      </c>
      <c r="AS82" s="17">
        <f>IF(ISNA(VLOOKUP(A82,'Données projet'!$A$61:$I$81,6,0)),0%,VLOOKUP(A82,'Données projet'!$A$61:$I$81,6,0)*VLOOKUP('Données projet'!$B$10,Paramètres!$A$1:$I$88,7,0))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projet'!$B$10,Paramètres!$A$1:$I$88,3,0)*0.475*44/12</f>
        <v>0</v>
      </c>
      <c r="AV82" s="23">
        <f>EXP(-LN(2)/25)*AV81+(1-EXP(-LN(2)/25))/(LN(2)/25)*Calculateur!AQ82*Calculateur!AS82*VLOOKUP('Données projet'!$B$10,Paramètres!$A$1:$I$88,3,0)*0.475*44/12</f>
        <v>1.4555227141354961</v>
      </c>
      <c r="AW82" s="23">
        <f>EXP(-LN(2)/2)*AW81+(1-EXP(-LN(2)/2))/(LN(2)/2)*AQ82*AT82*VLOOKUP('Données projet'!$B$10,Paramètres!$A$1:$I$88,3,0)*0.475*44/12</f>
        <v>4.9579195223861141E-7</v>
      </c>
      <c r="AX82" s="23">
        <f t="shared" si="60"/>
        <v>1.4555232099274482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3.5600000000000023</v>
      </c>
      <c r="BD82" s="13">
        <f>IF('Données projet'!$A$88&gt;35,BD81+BC82-BL81,IF(A82&lt;'Données projet'!$A$88,$BA$205^A82,IF(A82='Données projet'!$A$88,'Données projet'!$B$88,BD81+BC82-BL81)))</f>
        <v>350.23999999999995</v>
      </c>
      <c r="BE82" s="14">
        <f>BD82*VLOOKUP('Données projet'!$B$11,Paramètres!$A$1:$I$88,3,0)*VLOOKUP('Données projet'!$B$11,Paramètres!$A$1:$I$88,5,0)</f>
        <v>278.65094399999998</v>
      </c>
      <c r="BF82" s="14">
        <f t="shared" si="91"/>
        <v>66.681834480275469</v>
      </c>
      <c r="BG82" s="22">
        <f t="shared" si="61"/>
        <v>601.45458918647978</v>
      </c>
      <c r="BH82" s="62">
        <f t="shared" si="62"/>
        <v>894.78792251981304</v>
      </c>
      <c r="BI82" s="62">
        <f ca="1">AVERAGE(OFFSET($BH$3,0,0,'Données projet'!$E$11+1,1))-AVERAGE(OFFSET($H$3,0,0,'Données projet'!$E$11+1,1))</f>
        <v>298.38448036212861</v>
      </c>
      <c r="BJ82" s="62">
        <f t="shared" si="92"/>
        <v>270.4445531106897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projet'!$B$11,Paramètres!$A$1:$I$88,7,0))</f>
        <v>0</v>
      </c>
      <c r="BN82" s="17">
        <f>IF(ISNA(VLOOKUP(A82,'Données projet'!$A$87:$I$107,6,0)),0%,VLOOKUP(A82,'Données projet'!$A$87:$I$107,6,0)*VLOOKUP('Données projet'!$B$11,Paramètres!$A$1:$I$88,7,0))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projet'!$B$11,Paramètres!$A$1:$I$88,3,0)*0.475*44/12</f>
        <v>0</v>
      </c>
      <c r="BQ82" s="23">
        <f>EXP(-LN(2)/25)*BQ81+(1-EXP(-LN(2)/25))/(LN(2)/25)*Calculateur!BL82*Calculateur!BN82*VLOOKUP('Données projet'!$B$11,Paramètres!$A$1:$I$88,3,0)*0.475*44/12</f>
        <v>0</v>
      </c>
      <c r="BR82" s="23">
        <f>EXP(-LN(2)/2)*BR81+(1-EXP(-LN(2)/2))/(LN(2)/2)*BL82*BO82*VLOOKUP('Données projet'!$B$11,Paramètres!$A$1:$I$88,3,0)*0.475*44/12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5.6843418860808015E-14</v>
      </c>
      <c r="BZ82" s="14">
        <f>BY82*VLOOKUP('Données projet'!$B$12,Paramètres!$A$1:$I$88,3,0)*VLOOKUP('Données projet'!$B$12,Paramètres!$A$1:$I$88,5,0)</f>
        <v>4.4337866711430253E-14</v>
      </c>
      <c r="CA82" s="14">
        <f t="shared" si="93"/>
        <v>7.3222115536967035E-13</v>
      </c>
      <c r="CB82" s="22">
        <f t="shared" si="64"/>
        <v>1.3525069634579169E-12</v>
      </c>
      <c r="CC82" s="62">
        <f t="shared" si="65"/>
        <v>293.33333333333468</v>
      </c>
      <c r="CD82" s="62">
        <f ca="1">AVERAGE(OFFSET($CC$3,0,0,'Données projet'!$E$12+1,1))-AVERAGE(OFFSET($H$3,0,0,'Données projet'!$E$12+1,1))</f>
        <v>217.32600829266818</v>
      </c>
      <c r="CE82" s="62">
        <f t="shared" si="94"/>
        <v>208.79744153433245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projet'!$B$12,Paramètres!$A$1:$I$88,7,0))</f>
        <v>0</v>
      </c>
      <c r="CI82" s="17">
        <f>IF(ISNA(VLOOKUP(A82,'Données projet'!$A$113:$I$133,6,0)),0%,VLOOKUP(A82,'Données projet'!$A$113:$I$133,6,0)*VLOOKUP('Données projet'!$B$12,Paramètres!$A$1:$I$88,7,0))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projet'!$B$12,Paramètres!$A$1:$I$88,3,0)*0.475*44/12</f>
        <v>0</v>
      </c>
      <c r="CL82" s="23">
        <f>EXP(-LN(2)/25)*CL81+(1-EXP(-LN(2)/25))/(LN(2)/25)*Calculateur!CG82*Calculateur!CI82*VLOOKUP('Données projet'!$B$12,Paramètres!$A$1:$I$88,3,0)*0.475*44/12</f>
        <v>0</v>
      </c>
      <c r="CM82" s="23">
        <f>EXP(-LN(2)/2)*CM81+(1-EXP(-LN(2)/2))/(LN(2)/2)*CG82*CJ82*VLOOKUP('Données projet'!$B$12,Paramètres!$A$1:$I$88,3,0)*0.475*44/12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-3.4106051316484809E-13</v>
      </c>
      <c r="CU82" s="18">
        <f>CT82*VLOOKUP('Données projet'!$B$13,Paramètres!$A$1:$I$88,3,0)*VLOOKUP('Données projet'!$B$13,Paramètres!$A$1:$I$88,5,0)</f>
        <v>-1.9065282685915009E-13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302.20483575440988</v>
      </c>
      <c r="CZ82" s="62">
        <f t="shared" si="96"/>
        <v>275.32862097158687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projet'!$B$13,Paramètres!$A$1:$I$88,7,0))</f>
        <v>0</v>
      </c>
      <c r="DD82" s="17">
        <f>IF(ISNA(VLOOKUP(A82,'Données projet'!$A$139:$I$159,6,0)),0%,VLOOKUP(A82,'Données projet'!$A$139:$I$159,6,0)*VLOOKUP('Données projet'!$B$13,Paramètres!$A$1:$I$88,7,0))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projet'!$B$13,Paramètres!$A$1:$I$88,3,0)*0.475*44/12</f>
        <v>0</v>
      </c>
      <c r="DG82" s="23">
        <f>EXP(-LN(2)/25)*DG81+(1-EXP(-LN(2)/25))/(LN(2)/25)*Calculateur!DB82*Calculateur!DD82*VLOOKUP('Données projet'!$B$13,Paramètres!$A$1:$I$88,3,0)*0.475*44/12</f>
        <v>3.5539902344613234</v>
      </c>
      <c r="DH82" s="23">
        <f>EXP(-LN(2)/2)*DH81+(1-EXP(-LN(2)/2))/(LN(2)/2)*DB82*DE82*VLOOKUP('Données projet'!$B$13,Paramètres!$A$1:$I$88,3,0)*0.475*44/12</f>
        <v>2.8579304664159655E-7</v>
      </c>
      <c r="DI82" s="24">
        <f t="shared" si="69"/>
        <v>3.55399052025437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projet'!$B$14,Paramètres!$A$1:$I$88,3,0)*VLOOKUP('Données projet'!$B$14,Paramètres!$A$1:$I$88,5,0)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projet'!$B$14,Paramètres!$A$1:$I$88,7,0))</f>
        <v>0</v>
      </c>
      <c r="DY82" s="17">
        <f>IF(ISNA(VLOOKUP(A82,'Données projet'!$A$165:$I$185,6,0)),0%,VLOOKUP(A82,'Données projet'!$A$165:$I$185,6,0)*VLOOKUP('Données projet'!$B$14,Paramètres!$A$1:$I$88,7,0))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projet'!$B$14,Paramètres!$A$1:$I$88,3,0)*0.475*44/12</f>
        <v>#N/A</v>
      </c>
      <c r="EB82" s="23" t="e">
        <f>EXP(-LN(2)/25)*EB81+(1-EXP(-LN(2)/25))/(LN(2)/25)*Calculateur!DW82*Calculateur!DY82*VLOOKUP('Données projet'!$B$14,Paramètres!$A$1:$I$88,3,0)*0.475*44/12</f>
        <v>#N/A</v>
      </c>
      <c r="EC82" s="23" t="e">
        <f>EXP(-LN(2)/2)*EC81+(1-EXP(-LN(2)/2))/(LN(2)/2)*DW82*DZ82*VLOOKUP('Données projet'!$B$14,Paramètres!$A$1:$I$88,3,0)*0.475*44/12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projet'!$B$15,Paramètres!$A$1:$I$88,3,0)*VLOOKUP('Données projet'!$B$15,Paramètres!$A$1:$I$88,5,0)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projet'!$B$15,Paramètres!$A$1:$I$88,7,0))</f>
        <v>0</v>
      </c>
      <c r="ET82" s="17">
        <f>IF(ISNA(VLOOKUP(A82,'Données projet'!$A$191:$I$211,6,0)),0%,VLOOKUP(A82,'Données projet'!$A$191:$I$211,6,0)*VLOOKUP('Données projet'!$B$15,Paramètres!$A$1:$I$88,7,0))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projet'!$B$15,Paramètres!$A$1:$I$88,3,0)*0.475*44/12</f>
        <v>#N/A</v>
      </c>
      <c r="EW82" s="23" t="e">
        <f>EXP(-LN(2)/25)*EW81+(1-EXP(-LN(2)/25))/(LN(2)/25)*Calculateur!ER82*Calculateur!ET82*VLOOKUP('Données projet'!$B$15,Paramètres!$A$1:$I$88,3,0)*0.475*44/12</f>
        <v>#N/A</v>
      </c>
      <c r="EX82" s="23" t="e">
        <f>EXP(-LN(2)/2)*EX81+(1-EXP(-LN(2)/2))/(LN(2)/2)*ER82*EU82*VLOOKUP('Données projet'!$B$15,Paramètres!$A$1:$I$88,3,0)*0.475*44/12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projet'!$B$16,Paramètres!$A$1:$I$88,3,0)*VLOOKUP('Données projet'!$B$16,Paramètres!$A$1:$I$88,5,0)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projet'!$B$16,Paramètres!$A$1:$I$88,7,0))</f>
        <v>0</v>
      </c>
      <c r="FO82" s="17">
        <f>IF(ISNA(VLOOKUP(A82,'Données projet'!$A$217:$I$237,6,0)),0%,VLOOKUP(A82,'Données projet'!$A$217:$I$237,6,0)*VLOOKUP('Données projet'!$B$16,Paramètres!$A$1:$I$88,7,0))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projet'!$B$16,Paramètres!$A$1:$I$88,3,0)*0.475*44/12</f>
        <v>#N/A</v>
      </c>
      <c r="FR82" s="23" t="e">
        <f>EXP(-LN(2)/25)*FR81+(1-EXP(-LN(2)/25))/(LN(2)/25)*Calculateur!FM82*Calculateur!FO82*VLOOKUP('Données projet'!$B$16,Paramètres!$A$1:$I$88,3,0)*0.475*44/12</f>
        <v>#N/A</v>
      </c>
      <c r="FS82" s="23" t="e">
        <f>EXP(-LN(2)/2)*FS81+(1-EXP(-LN(2)/2))/(LN(2)/2)*FM82*FP82*VLOOKUP('Données projet'!$B$16,Paramètres!$A$1:$I$88,3,0)*0.475*44/12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projet'!$B$17,Paramètres!$A$1:$I$88,3,0)*VLOOKUP('Données projet'!$B$17,Paramètres!$A$1:$I$88,5,0)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projet'!$B$17,Paramètres!$A$1:$I$88,7,0))</f>
        <v>0</v>
      </c>
      <c r="GJ82" s="17">
        <f>IF(ISNA(VLOOKUP(A82,'Données projet'!$A$243:$I$263,6,0)),0%,VLOOKUP(A82,'Données projet'!$A$243:$I$263,6,0)*VLOOKUP('Données projet'!$B$17,Paramètres!$A$1:$I$88,7,0))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projet'!$B$17,Paramètres!$A$1:$I$88,3,0)*0.475*44/12</f>
        <v>#N/A</v>
      </c>
      <c r="GM82" s="23" t="e">
        <f>EXP(-LN(2)/25)*GM81+(1-EXP(-LN(2)/25))/(LN(2)/25)*Calculateur!GH82*Calculateur!GJ82*VLOOKUP('Données projet'!$B$17,Paramètres!$A$1:$I$88,3,0)*0.475*44/12</f>
        <v>#N/A</v>
      </c>
      <c r="GN82" s="23" t="e">
        <f>EXP(-LN(2)/2)*GN81+(1-EXP(-LN(2)/2))/(LN(2)/2)*GH82*GK82*VLOOKUP('Données projet'!$B$17,Paramètres!$A$1:$I$88,3,0)*0.475*44/12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projet'!$B$18,Paramètres!$A$1:$I$88,3,0)*VLOOKUP('Données projet'!$B$18,Paramètres!$A$1:$I$88,5,0)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projet'!$B$18,Paramètres!$A$1:$I$88,7,0))</f>
        <v>0</v>
      </c>
      <c r="HE82" s="17">
        <f>IF(ISNA(VLOOKUP(A82,'Données projet'!$A$269:$I$289,6,0)),0%,VLOOKUP(A82,'Données projet'!$A$269:$I$289,6,0)*VLOOKUP('Données projet'!$B$18,Paramètres!$A$1:$I$88,7,0))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projet'!$B$18,Paramètres!$A$1:$I$88,3,0)*0.475*44/12</f>
        <v>#N/A</v>
      </c>
      <c r="HH82" s="23" t="e">
        <f>EXP(-LN(2)/25)*HH81+(1-EXP(-LN(2)/25))/(LN(2)/25)*Calculateur!HC82*Calculateur!HE82*VLOOKUP('Données projet'!$B$18,Paramètres!$A$1:$I$88,3,0)*0.475*44/12</f>
        <v>#N/A</v>
      </c>
      <c r="HI82" s="23" t="e">
        <f>EXP(-LN(2)/2)*HI81+(1-EXP(-LN(2)/2))/(LN(2)/2)*HC82*HF82*VLOOKUP('Données projet'!$B$18,Paramètres!$A$1:$I$88,3,0)*0.475*44/12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projet'!$B$9,Paramètres!$A$1:$I$88,3,0)*VLOOKUP('Données projet'!$B$9,Paramètres!$A$1:$I$88,5,0)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175.05987582828078</v>
      </c>
      <c r="T83" s="62">
        <f t="shared" si="88"/>
        <v>268.54782308462387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projet'!$B$9,Paramètres!$A$1:$I$88,7,0))</f>
        <v>0</v>
      </c>
      <c r="X83" s="17">
        <f>IF(ISNA(VLOOKUP(A83,'Données projet'!$A$35:$I$55,6,0)),0%,VLOOKUP(A83,'Données projet'!$A$35:$I$55,6,0)*VLOOKUP('Données projet'!$B$9,Paramètres!$A$1:$I$88,7,0))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projet'!$B$9,Paramètres!$A$1:$I$88,3,0)*0.475*44/12</f>
        <v>0</v>
      </c>
      <c r="AA83" s="23">
        <f>EXP(-LN(2)/25)*AA82+(1-EXP(-LN(2)/25))/(LN(2)/25)*Calculateur!V83*Calculateur!X83*VLOOKUP('Données projet'!$B$9,Paramètres!$A$1:$I$88,3,0)*0.475*44/12</f>
        <v>2.5738685254174052</v>
      </c>
      <c r="AB83" s="23">
        <f>EXP(-LN(2)/2)*AB82+(1-EXP(-LN(2)/2))/(LN(2)/2)*V83*Y83*VLOOKUP('Données projet'!$B$9,Paramètres!$A$1:$I$88,3,0)*0.475*44/12</f>
        <v>4.9229919555803534E-7</v>
      </c>
      <c r="AC83" s="24">
        <f t="shared" si="57"/>
        <v>2.5738690177166008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15.533333333333333</v>
      </c>
      <c r="AI83" s="14">
        <f>IF('Données projet'!$A$62&gt;35,AI82+AH83-AQ82,IF(A83&lt;'Données projet'!$A$62,$AF$205^A83,IF(A83='Données projet'!$A$62,'Données projet'!$B$62,AI82+AH83-AQ82)))</f>
        <v>759.66666666666583</v>
      </c>
      <c r="AJ83" s="14">
        <f>AI83*VLOOKUP('Données projet'!$B$10,Paramètres!$A$1:$I$88,3,0)*VLOOKUP('Données projet'!$B$10,Paramètres!$A$1:$I$88,5,0)</f>
        <v>365.39966666666629</v>
      </c>
      <c r="AK83" s="14">
        <f t="shared" si="89"/>
        <v>84.725472481977363</v>
      </c>
      <c r="AL83" s="22">
        <f t="shared" si="58"/>
        <v>783.96795068388781</v>
      </c>
      <c r="AM83" s="62">
        <f t="shared" si="59"/>
        <v>1077.3012840172212</v>
      </c>
      <c r="AN83" s="62">
        <f ca="1">AVERAGE(OFFSET($AM$3,0,0,'Données projet'!$E$10+1,1))-AVERAGE(OFFSET($H$3,0,0,'Données projet'!$E$10+1,1))</f>
        <v>576.61210817354549</v>
      </c>
      <c r="AO83" s="62">
        <f t="shared" si="90"/>
        <v>343.9428747444544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projet'!$B$10,Paramètres!$A$1:$I$88,7,0))</f>
        <v>0</v>
      </c>
      <c r="AS83" s="17">
        <f>IF(ISNA(VLOOKUP(A83,'Données projet'!$A$61:$I$81,6,0)),0%,VLOOKUP(A83,'Données projet'!$A$61:$I$81,6,0)*VLOOKUP('Données projet'!$B$10,Paramètres!$A$1:$I$88,7,0))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projet'!$B$10,Paramètres!$A$1:$I$88,3,0)*0.475*44/12</f>
        <v>0</v>
      </c>
      <c r="AV83" s="23">
        <f>EXP(-LN(2)/25)*AV82+(1-EXP(-LN(2)/25))/(LN(2)/25)*Calculateur!AQ83*Calculateur!AS83*VLOOKUP('Données projet'!$B$10,Paramètres!$A$1:$I$88,3,0)*0.475*44/12</f>
        <v>1.415721368974848</v>
      </c>
      <c r="AW83" s="23">
        <f>EXP(-LN(2)/2)*AW82+(1-EXP(-LN(2)/2))/(LN(2)/2)*AQ83*AT83*VLOOKUP('Données projet'!$B$10,Paramètres!$A$1:$I$88,3,0)*0.475*44/12</f>
        <v>3.5057785148563903E-7</v>
      </c>
      <c r="AX83" s="23">
        <f t="shared" si="60"/>
        <v>1.4157217195526994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353.8</v>
      </c>
      <c r="BB83" s="13">
        <f>VLOOKUP(A83,'Données projet'!$A$87:$I$107,9,0)</f>
        <v>3.5600000000000023</v>
      </c>
      <c r="BC83" s="13">
        <f t="array" ref="BC83">INDEX(BB:BB,MIN(IF(ISNUMBER(BB83:BB279),ROW(BB83:BB279),"")))</f>
        <v>3.5600000000000023</v>
      </c>
      <c r="BD83" s="13">
        <f>IF('Données projet'!$A$88&gt;35,BD82+BC83-BL82,IF(A83&lt;'Données projet'!$A$88,$BA$205^A83,IF(A83='Données projet'!$A$88,'Données projet'!$B$88,BD82+BC83-BL82)))</f>
        <v>353.79999999999995</v>
      </c>
      <c r="BE83" s="14">
        <f>BD83*VLOOKUP('Données projet'!$B$11,Paramètres!$A$1:$I$88,3,0)*VLOOKUP('Données projet'!$B$11,Paramètres!$A$1:$I$88,5,0)</f>
        <v>281.48327999999998</v>
      </c>
      <c r="BF83" s="14">
        <f t="shared" si="91"/>
        <v>67.280372131477449</v>
      </c>
      <c r="BG83" s="22">
        <f t="shared" si="61"/>
        <v>607.43002746232321</v>
      </c>
      <c r="BH83" s="62">
        <f t="shared" si="62"/>
        <v>900.76336079565658</v>
      </c>
      <c r="BI83" s="62">
        <f ca="1">AVERAGE(OFFSET($BH$3,0,0,'Données projet'!$E$11+1,1))-AVERAGE(OFFSET($H$3,0,0,'Données projet'!$E$11+1,1))</f>
        <v>298.38448036212861</v>
      </c>
      <c r="BJ83" s="62">
        <f t="shared" si="92"/>
        <v>270.4445531106897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353.8</v>
      </c>
      <c r="BM83" s="17">
        <f>IF(ISNA(VLOOKUP(A83,'Données projet'!$A$87:$I$107,5,0)),0%,VLOOKUP(A83,'Données projet'!$A$87:$I$107,5,0)*VLOOKUP('Données projet'!$B$11,Paramètres!$A$1:$I$88,7,0))</f>
        <v>0</v>
      </c>
      <c r="BN83" s="17">
        <f>IF(ISNA(VLOOKUP(A83,'Données projet'!$A$87:$I$107,6,0)),0%,VLOOKUP(A83,'Données projet'!$A$87:$I$107,6,0)*VLOOKUP('Données projet'!$B$11,Paramètres!$A$1:$I$88,7,0))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projet'!$B$11,Paramètres!$A$1:$I$88,3,0)*0.475*44/12</f>
        <v>0</v>
      </c>
      <c r="BQ83" s="23">
        <f>EXP(-LN(2)/25)*BQ82+(1-EXP(-LN(2)/25))/(LN(2)/25)*Calculateur!BL83*Calculateur!BN83*VLOOKUP('Données projet'!$B$11,Paramètres!$A$1:$I$88,3,0)*0.475*44/12</f>
        <v>0</v>
      </c>
      <c r="BR83" s="23">
        <f>EXP(-LN(2)/2)*BR82+(1-EXP(-LN(2)/2))/(LN(2)/2)*BL83*BO83*VLOOKUP('Données projet'!$B$11,Paramètres!$A$1:$I$88,3,0)*0.475*44/12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5.6843418860808015E-14</v>
      </c>
      <c r="BZ83" s="14">
        <f>BY83*VLOOKUP('Données projet'!$B$12,Paramètres!$A$1:$I$88,3,0)*VLOOKUP('Données projet'!$B$12,Paramètres!$A$1:$I$88,5,0)</f>
        <v>4.4337866711430253E-14</v>
      </c>
      <c r="CA83" s="14">
        <f t="shared" si="93"/>
        <v>7.3222115536967035E-13</v>
      </c>
      <c r="CB83" s="22">
        <f t="shared" si="64"/>
        <v>1.3525069634579169E-12</v>
      </c>
      <c r="CC83" s="62">
        <f t="shared" si="65"/>
        <v>293.33333333333468</v>
      </c>
      <c r="CD83" s="62">
        <f ca="1">AVERAGE(OFFSET($CC$3,0,0,'Données projet'!$E$12+1,1))-AVERAGE(OFFSET($H$3,0,0,'Données projet'!$E$12+1,1))</f>
        <v>217.32600829266818</v>
      </c>
      <c r="CE83" s="62">
        <f t="shared" si="94"/>
        <v>208.79744153433245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projet'!$B$12,Paramètres!$A$1:$I$88,7,0))</f>
        <v>0</v>
      </c>
      <c r="CI83" s="17">
        <f>IF(ISNA(VLOOKUP(A83,'Données projet'!$A$113:$I$133,6,0)),0%,VLOOKUP(A83,'Données projet'!$A$113:$I$133,6,0)*VLOOKUP('Données projet'!$B$12,Paramètres!$A$1:$I$88,7,0))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projet'!$B$12,Paramètres!$A$1:$I$88,3,0)*0.475*44/12</f>
        <v>0</v>
      </c>
      <c r="CL83" s="23">
        <f>EXP(-LN(2)/25)*CL82+(1-EXP(-LN(2)/25))/(LN(2)/25)*Calculateur!CG83*Calculateur!CI83*VLOOKUP('Données projet'!$B$12,Paramètres!$A$1:$I$88,3,0)*0.475*44/12</f>
        <v>0</v>
      </c>
      <c r="CM83" s="23">
        <f>EXP(-LN(2)/2)*CM82+(1-EXP(-LN(2)/2))/(LN(2)/2)*CG83*CJ83*VLOOKUP('Données projet'!$B$12,Paramètres!$A$1:$I$88,3,0)*0.475*44/12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-3.4106051316484809E-13</v>
      </c>
      <c r="CU83" s="18">
        <f>CT83*VLOOKUP('Données projet'!$B$13,Paramètres!$A$1:$I$88,3,0)*VLOOKUP('Données projet'!$B$13,Paramètres!$A$1:$I$88,5,0)</f>
        <v>-1.9065282685915009E-13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302.20483575440988</v>
      </c>
      <c r="CZ83" s="62">
        <f t="shared" si="96"/>
        <v>275.32862097158687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projet'!$B$13,Paramètres!$A$1:$I$88,7,0))</f>
        <v>0</v>
      </c>
      <c r="DD83" s="17">
        <f>IF(ISNA(VLOOKUP(A83,'Données projet'!$A$139:$I$159,6,0)),0%,VLOOKUP(A83,'Données projet'!$A$139:$I$159,6,0)*VLOOKUP('Données projet'!$B$13,Paramètres!$A$1:$I$88,7,0))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projet'!$B$13,Paramètres!$A$1:$I$88,3,0)*0.475*44/12</f>
        <v>0</v>
      </c>
      <c r="DG83" s="23">
        <f>EXP(-LN(2)/25)*DG82+(1-EXP(-LN(2)/25))/(LN(2)/25)*Calculateur!DB83*Calculateur!DD83*VLOOKUP('Données projet'!$B$13,Paramètres!$A$1:$I$88,3,0)*0.475*44/12</f>
        <v>3.4568061846037548</v>
      </c>
      <c r="DH83" s="23">
        <f>EXP(-LN(2)/2)*DH82+(1-EXP(-LN(2)/2))/(LN(2)/2)*DB83*DE83*VLOOKUP('Données projet'!$B$13,Paramètres!$A$1:$I$88,3,0)*0.475*44/12</f>
        <v>2.0208620129623618E-7</v>
      </c>
      <c r="DI83" s="24">
        <f t="shared" si="69"/>
        <v>3.4568063866899559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projet'!$B$14,Paramètres!$A$1:$I$88,3,0)*VLOOKUP('Données projet'!$B$14,Paramètres!$A$1:$I$88,5,0)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projet'!$B$14,Paramètres!$A$1:$I$88,7,0))</f>
        <v>0</v>
      </c>
      <c r="DY83" s="17">
        <f>IF(ISNA(VLOOKUP(A83,'Données projet'!$A$165:$I$185,6,0)),0%,VLOOKUP(A83,'Données projet'!$A$165:$I$185,6,0)*VLOOKUP('Données projet'!$B$14,Paramètres!$A$1:$I$88,7,0))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projet'!$B$14,Paramètres!$A$1:$I$88,3,0)*0.475*44/12</f>
        <v>#N/A</v>
      </c>
      <c r="EB83" s="23" t="e">
        <f>EXP(-LN(2)/25)*EB82+(1-EXP(-LN(2)/25))/(LN(2)/25)*Calculateur!DW83*Calculateur!DY83*VLOOKUP('Données projet'!$B$14,Paramètres!$A$1:$I$88,3,0)*0.475*44/12</f>
        <v>#N/A</v>
      </c>
      <c r="EC83" s="23" t="e">
        <f>EXP(-LN(2)/2)*EC82+(1-EXP(-LN(2)/2))/(LN(2)/2)*DW83*DZ83*VLOOKUP('Données projet'!$B$14,Paramètres!$A$1:$I$88,3,0)*0.475*44/12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projet'!$B$15,Paramètres!$A$1:$I$88,3,0)*VLOOKUP('Données projet'!$B$15,Paramètres!$A$1:$I$88,5,0)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projet'!$B$15,Paramètres!$A$1:$I$88,7,0))</f>
        <v>0</v>
      </c>
      <c r="ET83" s="17">
        <f>IF(ISNA(VLOOKUP(A83,'Données projet'!$A$191:$I$211,6,0)),0%,VLOOKUP(A83,'Données projet'!$A$191:$I$211,6,0)*VLOOKUP('Données projet'!$B$15,Paramètres!$A$1:$I$88,7,0))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projet'!$B$15,Paramètres!$A$1:$I$88,3,0)*0.475*44/12</f>
        <v>#N/A</v>
      </c>
      <c r="EW83" s="23" t="e">
        <f>EXP(-LN(2)/25)*EW82+(1-EXP(-LN(2)/25))/(LN(2)/25)*Calculateur!ER83*Calculateur!ET83*VLOOKUP('Données projet'!$B$15,Paramètres!$A$1:$I$88,3,0)*0.475*44/12</f>
        <v>#N/A</v>
      </c>
      <c r="EX83" s="23" t="e">
        <f>EXP(-LN(2)/2)*EX82+(1-EXP(-LN(2)/2))/(LN(2)/2)*ER83*EU83*VLOOKUP('Données projet'!$B$15,Paramètres!$A$1:$I$88,3,0)*0.475*44/12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projet'!$B$16,Paramètres!$A$1:$I$88,3,0)*VLOOKUP('Données projet'!$B$16,Paramètres!$A$1:$I$88,5,0)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projet'!$B$16,Paramètres!$A$1:$I$88,7,0))</f>
        <v>0</v>
      </c>
      <c r="FO83" s="17">
        <f>IF(ISNA(VLOOKUP(A83,'Données projet'!$A$217:$I$237,6,0)),0%,VLOOKUP(A83,'Données projet'!$A$217:$I$237,6,0)*VLOOKUP('Données projet'!$B$16,Paramètres!$A$1:$I$88,7,0))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projet'!$B$16,Paramètres!$A$1:$I$88,3,0)*0.475*44/12</f>
        <v>#N/A</v>
      </c>
      <c r="FR83" s="23" t="e">
        <f>EXP(-LN(2)/25)*FR82+(1-EXP(-LN(2)/25))/(LN(2)/25)*Calculateur!FM83*Calculateur!FO83*VLOOKUP('Données projet'!$B$16,Paramètres!$A$1:$I$88,3,0)*0.475*44/12</f>
        <v>#N/A</v>
      </c>
      <c r="FS83" s="23" t="e">
        <f>EXP(-LN(2)/2)*FS82+(1-EXP(-LN(2)/2))/(LN(2)/2)*FM83*FP83*VLOOKUP('Données projet'!$B$16,Paramètres!$A$1:$I$88,3,0)*0.475*44/12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projet'!$B$17,Paramètres!$A$1:$I$88,3,0)*VLOOKUP('Données projet'!$B$17,Paramètres!$A$1:$I$88,5,0)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projet'!$B$17,Paramètres!$A$1:$I$88,7,0))</f>
        <v>0</v>
      </c>
      <c r="GJ83" s="17">
        <f>IF(ISNA(VLOOKUP(A83,'Données projet'!$A$243:$I$263,6,0)),0%,VLOOKUP(A83,'Données projet'!$A$243:$I$263,6,0)*VLOOKUP('Données projet'!$B$17,Paramètres!$A$1:$I$88,7,0))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projet'!$B$17,Paramètres!$A$1:$I$88,3,0)*0.475*44/12</f>
        <v>#N/A</v>
      </c>
      <c r="GM83" s="23" t="e">
        <f>EXP(-LN(2)/25)*GM82+(1-EXP(-LN(2)/25))/(LN(2)/25)*Calculateur!GH83*Calculateur!GJ83*VLOOKUP('Données projet'!$B$17,Paramètres!$A$1:$I$88,3,0)*0.475*44/12</f>
        <v>#N/A</v>
      </c>
      <c r="GN83" s="23" t="e">
        <f>EXP(-LN(2)/2)*GN82+(1-EXP(-LN(2)/2))/(LN(2)/2)*GH83*GK83*VLOOKUP('Données projet'!$B$17,Paramètres!$A$1:$I$88,3,0)*0.475*44/12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projet'!$B$18,Paramètres!$A$1:$I$88,3,0)*VLOOKUP('Données projet'!$B$18,Paramètres!$A$1:$I$88,5,0)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projet'!$B$18,Paramètres!$A$1:$I$88,7,0))</f>
        <v>0</v>
      </c>
      <c r="HE83" s="17">
        <f>IF(ISNA(VLOOKUP(A83,'Données projet'!$A$269:$I$289,6,0)),0%,VLOOKUP(A83,'Données projet'!$A$269:$I$289,6,0)*VLOOKUP('Données projet'!$B$18,Paramètres!$A$1:$I$88,7,0))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projet'!$B$18,Paramètres!$A$1:$I$88,3,0)*0.475*44/12</f>
        <v>#N/A</v>
      </c>
      <c r="HH83" s="23" t="e">
        <f>EXP(-LN(2)/25)*HH82+(1-EXP(-LN(2)/25))/(LN(2)/25)*Calculateur!HC83*Calculateur!HE83*VLOOKUP('Données projet'!$B$18,Paramètres!$A$1:$I$88,3,0)*0.475*44/12</f>
        <v>#N/A</v>
      </c>
      <c r="HI83" s="23" t="e">
        <f>EXP(-LN(2)/2)*HI82+(1-EXP(-LN(2)/2))/(LN(2)/2)*HC83*HF83*VLOOKUP('Données projet'!$B$18,Paramètres!$A$1:$I$88,3,0)*0.475*44/12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projet'!$B$9,Paramètres!$A$1:$I$88,3,0)*VLOOKUP('Données projet'!$B$9,Paramètres!$A$1:$I$88,5,0)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175.05987582828078</v>
      </c>
      <c r="T84" s="62">
        <f t="shared" si="88"/>
        <v>268.54782308462387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projet'!$B$9,Paramètres!$A$1:$I$88,7,0))</f>
        <v>0</v>
      </c>
      <c r="X84" s="17">
        <f>IF(ISNA(VLOOKUP(A84,'Données projet'!$A$35:$I$55,6,0)),0%,VLOOKUP(A84,'Données projet'!$A$35:$I$55,6,0)*VLOOKUP('Données projet'!$B$9,Paramètres!$A$1:$I$88,7,0))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projet'!$B$9,Paramètres!$A$1:$I$88,3,0)*0.475*44/12</f>
        <v>0</v>
      </c>
      <c r="AA84" s="23">
        <f>EXP(-LN(2)/25)*AA83+(1-EXP(-LN(2)/25))/(LN(2)/25)*Calculateur!V84*Calculateur!X84*VLOOKUP('Données projet'!$B$9,Paramètres!$A$1:$I$88,3,0)*0.475*44/12</f>
        <v>2.5034859552360031</v>
      </c>
      <c r="AB84" s="23">
        <f>EXP(-LN(2)/2)*AB83+(1-EXP(-LN(2)/2))/(LN(2)/2)*V84*Y84*VLOOKUP('Données projet'!$B$9,Paramètres!$A$1:$I$88,3,0)*0.475*44/12</f>
        <v>3.4810809955176907E-7</v>
      </c>
      <c r="AC84" s="24">
        <f t="shared" si="57"/>
        <v>2.5034863033441028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15.533333333333333</v>
      </c>
      <c r="AI84" s="14">
        <f>IF('Données projet'!$A$62&gt;35,AI83+AH84-AQ83,IF(A84&lt;'Données projet'!$A$62,$AF$205^A84,IF(A84='Données projet'!$A$62,'Données projet'!$B$62,AI83+AH84-AQ83)))</f>
        <v>775.19999999999914</v>
      </c>
      <c r="AJ84" s="14">
        <f>AI84*VLOOKUP('Données projet'!$B$10,Paramètres!$A$1:$I$88,3,0)*VLOOKUP('Données projet'!$B$10,Paramètres!$A$1:$I$88,5,0)</f>
        <v>372.87119999999959</v>
      </c>
      <c r="AK84" s="14">
        <f t="shared" si="89"/>
        <v>86.254439278472958</v>
      </c>
      <c r="AL84" s="22">
        <f t="shared" si="58"/>
        <v>799.64382174333969</v>
      </c>
      <c r="AM84" s="62">
        <f t="shared" si="59"/>
        <v>1092.9771550766729</v>
      </c>
      <c r="AN84" s="62">
        <f ca="1">AVERAGE(OFFSET($AM$3,0,0,'Données projet'!$E$10+1,1))-AVERAGE(OFFSET($H$3,0,0,'Données projet'!$E$10+1,1))</f>
        <v>576.61210817354549</v>
      </c>
      <c r="AO84" s="62">
        <f t="shared" si="90"/>
        <v>343.9428747444544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projet'!$B$10,Paramètres!$A$1:$I$88,7,0))</f>
        <v>0</v>
      </c>
      <c r="AS84" s="17">
        <f>IF(ISNA(VLOOKUP(A84,'Données projet'!$A$61:$I$81,6,0)),0%,VLOOKUP(A84,'Données projet'!$A$61:$I$81,6,0)*VLOOKUP('Données projet'!$B$10,Paramètres!$A$1:$I$88,7,0))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projet'!$B$10,Paramètres!$A$1:$I$88,3,0)*0.475*44/12</f>
        <v>0</v>
      </c>
      <c r="AV84" s="23">
        <f>EXP(-LN(2)/25)*AV83+(1-EXP(-LN(2)/25))/(LN(2)/25)*Calculateur!AQ84*Calculateur!AS84*VLOOKUP('Données projet'!$B$10,Paramètres!$A$1:$I$88,3,0)*0.475*44/12</f>
        <v>1.3770083936906796</v>
      </c>
      <c r="AW84" s="23">
        <f>EXP(-LN(2)/2)*AW83+(1-EXP(-LN(2)/2))/(LN(2)/2)*AQ84*AT84*VLOOKUP('Données projet'!$B$10,Paramètres!$A$1:$I$88,3,0)*0.475*44/12</f>
        <v>2.4789597611930571E-7</v>
      </c>
      <c r="AX84" s="23">
        <f t="shared" si="60"/>
        <v>1.3770086415866558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-5.6843418860808015E-14</v>
      </c>
      <c r="BE84" s="14">
        <f>BD84*VLOOKUP('Données projet'!$B$11,Paramètres!$A$1:$I$88,3,0)*VLOOKUP('Données projet'!$B$11,Paramètres!$A$1:$I$88,5,0)</f>
        <v>-4.5224624045658861E-14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298.38448036212861</v>
      </c>
      <c r="BJ84" s="62">
        <f t="shared" si="92"/>
        <v>270.4445531106897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projet'!$B$11,Paramètres!$A$1:$I$88,7,0))</f>
        <v>0</v>
      </c>
      <c r="BN84" s="17">
        <f>IF(ISNA(VLOOKUP(A84,'Données projet'!$A$87:$I$107,6,0)),0%,VLOOKUP(A84,'Données projet'!$A$87:$I$107,6,0)*VLOOKUP('Données projet'!$B$11,Paramètres!$A$1:$I$88,7,0))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projet'!$B$11,Paramètres!$A$1:$I$88,3,0)*0.475*44/12</f>
        <v>0</v>
      </c>
      <c r="BQ84" s="23">
        <f>EXP(-LN(2)/25)*BQ83+(1-EXP(-LN(2)/25))/(LN(2)/25)*Calculateur!BL84*Calculateur!BN84*VLOOKUP('Données projet'!$B$11,Paramètres!$A$1:$I$88,3,0)*0.475*44/12</f>
        <v>0</v>
      </c>
      <c r="BR84" s="23">
        <f>EXP(-LN(2)/2)*BR83+(1-EXP(-LN(2)/2))/(LN(2)/2)*BL84*BO84*VLOOKUP('Données projet'!$B$11,Paramètres!$A$1:$I$88,3,0)*0.475*44/12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5.6843418860808015E-14</v>
      </c>
      <c r="BZ84" s="14">
        <f>BY84*VLOOKUP('Données projet'!$B$12,Paramètres!$A$1:$I$88,3,0)*VLOOKUP('Données projet'!$B$12,Paramètres!$A$1:$I$88,5,0)</f>
        <v>4.4337866711430253E-14</v>
      </c>
      <c r="CA84" s="14">
        <f t="shared" si="93"/>
        <v>7.3222115536967035E-13</v>
      </c>
      <c r="CB84" s="22">
        <f t="shared" si="64"/>
        <v>1.3525069634579169E-12</v>
      </c>
      <c r="CC84" s="62">
        <f t="shared" si="65"/>
        <v>293.33333333333468</v>
      </c>
      <c r="CD84" s="62">
        <f ca="1">AVERAGE(OFFSET($CC$3,0,0,'Données projet'!$E$12+1,1))-AVERAGE(OFFSET($H$3,0,0,'Données projet'!$E$12+1,1))</f>
        <v>217.32600829266818</v>
      </c>
      <c r="CE84" s="62">
        <f t="shared" si="94"/>
        <v>208.79744153433245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projet'!$B$12,Paramètres!$A$1:$I$88,7,0))</f>
        <v>0</v>
      </c>
      <c r="CI84" s="17">
        <f>IF(ISNA(VLOOKUP(A84,'Données projet'!$A$113:$I$133,6,0)),0%,VLOOKUP(A84,'Données projet'!$A$113:$I$133,6,0)*VLOOKUP('Données projet'!$B$12,Paramètres!$A$1:$I$88,7,0))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projet'!$B$12,Paramètres!$A$1:$I$88,3,0)*0.475*44/12</f>
        <v>0</v>
      </c>
      <c r="CL84" s="23">
        <f>EXP(-LN(2)/25)*CL83+(1-EXP(-LN(2)/25))/(LN(2)/25)*Calculateur!CG84*Calculateur!CI84*VLOOKUP('Données projet'!$B$12,Paramètres!$A$1:$I$88,3,0)*0.475*44/12</f>
        <v>0</v>
      </c>
      <c r="CM84" s="23">
        <f>EXP(-LN(2)/2)*CM83+(1-EXP(-LN(2)/2))/(LN(2)/2)*CG84*CJ84*VLOOKUP('Données projet'!$B$12,Paramètres!$A$1:$I$88,3,0)*0.475*44/12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-3.4106051316484809E-13</v>
      </c>
      <c r="CU84" s="18">
        <f>CT84*VLOOKUP('Données projet'!$B$13,Paramètres!$A$1:$I$88,3,0)*VLOOKUP('Données projet'!$B$13,Paramètres!$A$1:$I$88,5,0)</f>
        <v>-1.9065282685915009E-13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302.20483575440988</v>
      </c>
      <c r="CZ84" s="62">
        <f t="shared" si="96"/>
        <v>275.32862097158687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projet'!$B$13,Paramètres!$A$1:$I$88,7,0))</f>
        <v>0</v>
      </c>
      <c r="DD84" s="17">
        <f>IF(ISNA(VLOOKUP(A84,'Données projet'!$A$139:$I$159,6,0)),0%,VLOOKUP(A84,'Données projet'!$A$139:$I$159,6,0)*VLOOKUP('Données projet'!$B$13,Paramètres!$A$1:$I$88,7,0))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projet'!$B$13,Paramètres!$A$1:$I$88,3,0)*0.475*44/12</f>
        <v>0</v>
      </c>
      <c r="DG84" s="23">
        <f>EXP(-LN(2)/25)*DG83+(1-EXP(-LN(2)/25))/(LN(2)/25)*Calculateur!DB84*Calculateur!DD84*VLOOKUP('Données projet'!$B$13,Paramètres!$A$1:$I$88,3,0)*0.475*44/12</f>
        <v>3.3622796377002286</v>
      </c>
      <c r="DH84" s="23">
        <f>EXP(-LN(2)/2)*DH83+(1-EXP(-LN(2)/2))/(LN(2)/2)*DB84*DE84*VLOOKUP('Données projet'!$B$13,Paramètres!$A$1:$I$88,3,0)*0.475*44/12</f>
        <v>1.4289652332079827E-7</v>
      </c>
      <c r="DI84" s="24">
        <f t="shared" si="69"/>
        <v>3.3622797805967521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projet'!$B$14,Paramètres!$A$1:$I$88,3,0)*VLOOKUP('Données projet'!$B$14,Paramètres!$A$1:$I$88,5,0)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projet'!$B$14,Paramètres!$A$1:$I$88,7,0))</f>
        <v>0</v>
      </c>
      <c r="DY84" s="17">
        <f>IF(ISNA(VLOOKUP(A84,'Données projet'!$A$165:$I$185,6,0)),0%,VLOOKUP(A84,'Données projet'!$A$165:$I$185,6,0)*VLOOKUP('Données projet'!$B$14,Paramètres!$A$1:$I$88,7,0))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projet'!$B$14,Paramètres!$A$1:$I$88,3,0)*0.475*44/12</f>
        <v>#N/A</v>
      </c>
      <c r="EB84" s="23" t="e">
        <f>EXP(-LN(2)/25)*EB83+(1-EXP(-LN(2)/25))/(LN(2)/25)*Calculateur!DW84*Calculateur!DY84*VLOOKUP('Données projet'!$B$14,Paramètres!$A$1:$I$88,3,0)*0.475*44/12</f>
        <v>#N/A</v>
      </c>
      <c r="EC84" s="23" t="e">
        <f>EXP(-LN(2)/2)*EC83+(1-EXP(-LN(2)/2))/(LN(2)/2)*DW84*DZ84*VLOOKUP('Données projet'!$B$14,Paramètres!$A$1:$I$88,3,0)*0.475*44/12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projet'!$B$15,Paramètres!$A$1:$I$88,3,0)*VLOOKUP('Données projet'!$B$15,Paramètres!$A$1:$I$88,5,0)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projet'!$B$15,Paramètres!$A$1:$I$88,7,0))</f>
        <v>0</v>
      </c>
      <c r="ET84" s="17">
        <f>IF(ISNA(VLOOKUP(A84,'Données projet'!$A$191:$I$211,6,0)),0%,VLOOKUP(A84,'Données projet'!$A$191:$I$211,6,0)*VLOOKUP('Données projet'!$B$15,Paramètres!$A$1:$I$88,7,0))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projet'!$B$15,Paramètres!$A$1:$I$88,3,0)*0.475*44/12</f>
        <v>#N/A</v>
      </c>
      <c r="EW84" s="23" t="e">
        <f>EXP(-LN(2)/25)*EW83+(1-EXP(-LN(2)/25))/(LN(2)/25)*Calculateur!ER84*Calculateur!ET84*VLOOKUP('Données projet'!$B$15,Paramètres!$A$1:$I$88,3,0)*0.475*44/12</f>
        <v>#N/A</v>
      </c>
      <c r="EX84" s="23" t="e">
        <f>EXP(-LN(2)/2)*EX83+(1-EXP(-LN(2)/2))/(LN(2)/2)*ER84*EU84*VLOOKUP('Données projet'!$B$15,Paramètres!$A$1:$I$88,3,0)*0.475*44/12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projet'!$B$16,Paramètres!$A$1:$I$88,3,0)*VLOOKUP('Données projet'!$B$16,Paramètres!$A$1:$I$88,5,0)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projet'!$B$16,Paramètres!$A$1:$I$88,7,0))</f>
        <v>0</v>
      </c>
      <c r="FO84" s="17">
        <f>IF(ISNA(VLOOKUP(A84,'Données projet'!$A$217:$I$237,6,0)),0%,VLOOKUP(A84,'Données projet'!$A$217:$I$237,6,0)*VLOOKUP('Données projet'!$B$16,Paramètres!$A$1:$I$88,7,0))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projet'!$B$16,Paramètres!$A$1:$I$88,3,0)*0.475*44/12</f>
        <v>#N/A</v>
      </c>
      <c r="FR84" s="23" t="e">
        <f>EXP(-LN(2)/25)*FR83+(1-EXP(-LN(2)/25))/(LN(2)/25)*Calculateur!FM84*Calculateur!FO84*VLOOKUP('Données projet'!$B$16,Paramètres!$A$1:$I$88,3,0)*0.475*44/12</f>
        <v>#N/A</v>
      </c>
      <c r="FS84" s="23" t="e">
        <f>EXP(-LN(2)/2)*FS83+(1-EXP(-LN(2)/2))/(LN(2)/2)*FM84*FP84*VLOOKUP('Données projet'!$B$16,Paramètres!$A$1:$I$88,3,0)*0.475*44/12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projet'!$B$17,Paramètres!$A$1:$I$88,3,0)*VLOOKUP('Données projet'!$B$17,Paramètres!$A$1:$I$88,5,0)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projet'!$B$17,Paramètres!$A$1:$I$88,7,0))</f>
        <v>0</v>
      </c>
      <c r="GJ84" s="17">
        <f>IF(ISNA(VLOOKUP(A84,'Données projet'!$A$243:$I$263,6,0)),0%,VLOOKUP(A84,'Données projet'!$A$243:$I$263,6,0)*VLOOKUP('Données projet'!$B$17,Paramètres!$A$1:$I$88,7,0))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projet'!$B$17,Paramètres!$A$1:$I$88,3,0)*0.475*44/12</f>
        <v>#N/A</v>
      </c>
      <c r="GM84" s="23" t="e">
        <f>EXP(-LN(2)/25)*GM83+(1-EXP(-LN(2)/25))/(LN(2)/25)*Calculateur!GH84*Calculateur!GJ84*VLOOKUP('Données projet'!$B$17,Paramètres!$A$1:$I$88,3,0)*0.475*44/12</f>
        <v>#N/A</v>
      </c>
      <c r="GN84" s="23" t="e">
        <f>EXP(-LN(2)/2)*GN83+(1-EXP(-LN(2)/2))/(LN(2)/2)*GH84*GK84*VLOOKUP('Données projet'!$B$17,Paramètres!$A$1:$I$88,3,0)*0.475*44/12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projet'!$B$18,Paramètres!$A$1:$I$88,3,0)*VLOOKUP('Données projet'!$B$18,Paramètres!$A$1:$I$88,5,0)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projet'!$B$18,Paramètres!$A$1:$I$88,7,0))</f>
        <v>0</v>
      </c>
      <c r="HE84" s="17">
        <f>IF(ISNA(VLOOKUP(A84,'Données projet'!$A$269:$I$289,6,0)),0%,VLOOKUP(A84,'Données projet'!$A$269:$I$289,6,0)*VLOOKUP('Données projet'!$B$18,Paramètres!$A$1:$I$88,7,0))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projet'!$B$18,Paramètres!$A$1:$I$88,3,0)*0.475*44/12</f>
        <v>#N/A</v>
      </c>
      <c r="HH84" s="23" t="e">
        <f>EXP(-LN(2)/25)*HH83+(1-EXP(-LN(2)/25))/(LN(2)/25)*Calculateur!HC84*Calculateur!HE84*VLOOKUP('Données projet'!$B$18,Paramètres!$A$1:$I$88,3,0)*0.475*44/12</f>
        <v>#N/A</v>
      </c>
      <c r="HI84" s="23" t="e">
        <f>EXP(-LN(2)/2)*HI83+(1-EXP(-LN(2)/2))/(LN(2)/2)*HC84*HF84*VLOOKUP('Données projet'!$B$18,Paramètres!$A$1:$I$88,3,0)*0.475*44/12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projet'!$B$9,Paramètres!$A$1:$I$88,3,0)*VLOOKUP('Données projet'!$B$9,Paramètres!$A$1:$I$88,5,0)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175.05987582828078</v>
      </c>
      <c r="T85" s="62">
        <f t="shared" si="88"/>
        <v>268.54782308462387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projet'!$B$9,Paramètres!$A$1:$I$88,7,0))</f>
        <v>0</v>
      </c>
      <c r="X85" s="17">
        <f>IF(ISNA(VLOOKUP(A85,'Données projet'!$A$35:$I$55,6,0)),0%,VLOOKUP(A85,'Données projet'!$A$35:$I$55,6,0)*VLOOKUP('Données projet'!$B$9,Paramètres!$A$1:$I$88,7,0))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projet'!$B$9,Paramètres!$A$1:$I$88,3,0)*0.475*44/12</f>
        <v>0</v>
      </c>
      <c r="AA85" s="23">
        <f>EXP(-LN(2)/25)*AA84+(1-EXP(-LN(2)/25))/(LN(2)/25)*Calculateur!V85*Calculateur!X85*VLOOKUP('Données projet'!$B$9,Paramètres!$A$1:$I$88,3,0)*0.475*44/12</f>
        <v>2.43502800013747</v>
      </c>
      <c r="AB85" s="23">
        <f>EXP(-LN(2)/2)*AB84+(1-EXP(-LN(2)/2))/(LN(2)/2)*V85*Y85*VLOOKUP('Données projet'!$B$9,Paramètres!$A$1:$I$88,3,0)*0.475*44/12</f>
        <v>2.4614959777901767E-7</v>
      </c>
      <c r="AC85" s="24">
        <f t="shared" si="57"/>
        <v>2.4350282462870676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15.533333333333333</v>
      </c>
      <c r="AI85" s="14">
        <f>IF('Données projet'!$A$62&gt;35,AI84+AH85-AQ84,IF(A85&lt;'Données projet'!$A$62,$AF$205^A85,IF(A85='Données projet'!$A$62,'Données projet'!$B$62,AI84+AH85-AQ84)))</f>
        <v>790.73333333333244</v>
      </c>
      <c r="AJ85" s="14">
        <f>AI85*VLOOKUP('Données projet'!$B$10,Paramètres!$A$1:$I$88,3,0)*VLOOKUP('Données projet'!$B$10,Paramètres!$A$1:$I$88,5,0)</f>
        <v>380.34273333333289</v>
      </c>
      <c r="AK85" s="14">
        <f t="shared" si="89"/>
        <v>87.779843809524635</v>
      </c>
      <c r="AL85" s="22">
        <f t="shared" si="58"/>
        <v>815.31348852381007</v>
      </c>
      <c r="AM85" s="62">
        <f t="shared" si="59"/>
        <v>1108.6468218571433</v>
      </c>
      <c r="AN85" s="62">
        <f ca="1">AVERAGE(OFFSET($AM$3,0,0,'Données projet'!$E$10+1,1))-AVERAGE(OFFSET($H$3,0,0,'Données projet'!$E$10+1,1))</f>
        <v>576.61210817354549</v>
      </c>
      <c r="AO85" s="62">
        <f t="shared" si="90"/>
        <v>343.9428747444544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projet'!$B$10,Paramètres!$A$1:$I$88,7,0))</f>
        <v>0</v>
      </c>
      <c r="AS85" s="17">
        <f>IF(ISNA(VLOOKUP(A85,'Données projet'!$A$61:$I$81,6,0)),0%,VLOOKUP(A85,'Données projet'!$A$61:$I$81,6,0)*VLOOKUP('Données projet'!$B$10,Paramètres!$A$1:$I$88,7,0))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projet'!$B$10,Paramètres!$A$1:$I$88,3,0)*0.475*44/12</f>
        <v>0</v>
      </c>
      <c r="AV85" s="23">
        <f>EXP(-LN(2)/25)*AV84+(1-EXP(-LN(2)/25))/(LN(2)/25)*Calculateur!AQ85*Calculateur!AS85*VLOOKUP('Données projet'!$B$10,Paramètres!$A$1:$I$88,3,0)*0.475*44/12</f>
        <v>1.3393540267514839</v>
      </c>
      <c r="AW85" s="23">
        <f>EXP(-LN(2)/2)*AW84+(1-EXP(-LN(2)/2))/(LN(2)/2)*AQ85*AT85*VLOOKUP('Données projet'!$B$10,Paramètres!$A$1:$I$88,3,0)*0.475*44/12</f>
        <v>1.7528892574281951E-7</v>
      </c>
      <c r="AX85" s="23">
        <f t="shared" si="60"/>
        <v>1.3393542020404097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-5.6843418860808015E-14</v>
      </c>
      <c r="BE85" s="14">
        <f>BD85*VLOOKUP('Données projet'!$B$11,Paramètres!$A$1:$I$88,3,0)*VLOOKUP('Données projet'!$B$11,Paramètres!$A$1:$I$88,5,0)</f>
        <v>-4.5224624045658861E-14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298.38448036212861</v>
      </c>
      <c r="BJ85" s="62">
        <f t="shared" si="92"/>
        <v>270.4445531106897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projet'!$B$11,Paramètres!$A$1:$I$88,7,0))</f>
        <v>0</v>
      </c>
      <c r="BN85" s="17">
        <f>IF(ISNA(VLOOKUP(A85,'Données projet'!$A$87:$I$107,6,0)),0%,VLOOKUP(A85,'Données projet'!$A$87:$I$107,6,0)*VLOOKUP('Données projet'!$B$11,Paramètres!$A$1:$I$88,7,0))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projet'!$B$11,Paramètres!$A$1:$I$88,3,0)*0.475*44/12</f>
        <v>0</v>
      </c>
      <c r="BQ85" s="23">
        <f>EXP(-LN(2)/25)*BQ84+(1-EXP(-LN(2)/25))/(LN(2)/25)*Calculateur!BL85*Calculateur!BN85*VLOOKUP('Données projet'!$B$11,Paramètres!$A$1:$I$88,3,0)*0.475*44/12</f>
        <v>0</v>
      </c>
      <c r="BR85" s="23">
        <f>EXP(-LN(2)/2)*BR84+(1-EXP(-LN(2)/2))/(LN(2)/2)*BL85*BO85*VLOOKUP('Données projet'!$B$11,Paramètres!$A$1:$I$88,3,0)*0.475*44/12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5.6843418860808015E-14</v>
      </c>
      <c r="BZ85" s="14">
        <f>BY85*VLOOKUP('Données projet'!$B$12,Paramètres!$A$1:$I$88,3,0)*VLOOKUP('Données projet'!$B$12,Paramètres!$A$1:$I$88,5,0)</f>
        <v>4.4337866711430253E-14</v>
      </c>
      <c r="CA85" s="14">
        <f t="shared" si="93"/>
        <v>7.3222115536967035E-13</v>
      </c>
      <c r="CB85" s="22">
        <f t="shared" si="64"/>
        <v>1.3525069634579169E-12</v>
      </c>
      <c r="CC85" s="62">
        <f t="shared" si="65"/>
        <v>293.33333333333468</v>
      </c>
      <c r="CD85" s="62">
        <f ca="1">AVERAGE(OFFSET($CC$3,0,0,'Données projet'!$E$12+1,1))-AVERAGE(OFFSET($H$3,0,0,'Données projet'!$E$12+1,1))</f>
        <v>217.32600829266818</v>
      </c>
      <c r="CE85" s="62">
        <f t="shared" si="94"/>
        <v>208.79744153433245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projet'!$B$12,Paramètres!$A$1:$I$88,7,0))</f>
        <v>0</v>
      </c>
      <c r="CI85" s="17">
        <f>IF(ISNA(VLOOKUP(A85,'Données projet'!$A$113:$I$133,6,0)),0%,VLOOKUP(A85,'Données projet'!$A$113:$I$133,6,0)*VLOOKUP('Données projet'!$B$12,Paramètres!$A$1:$I$88,7,0))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projet'!$B$12,Paramètres!$A$1:$I$88,3,0)*0.475*44/12</f>
        <v>0</v>
      </c>
      <c r="CL85" s="23">
        <f>EXP(-LN(2)/25)*CL84+(1-EXP(-LN(2)/25))/(LN(2)/25)*Calculateur!CG85*Calculateur!CI85*VLOOKUP('Données projet'!$B$12,Paramètres!$A$1:$I$88,3,0)*0.475*44/12</f>
        <v>0</v>
      </c>
      <c r="CM85" s="23">
        <f>EXP(-LN(2)/2)*CM84+(1-EXP(-LN(2)/2))/(LN(2)/2)*CG85*CJ85*VLOOKUP('Données projet'!$B$12,Paramètres!$A$1:$I$88,3,0)*0.475*44/12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-3.4106051316484809E-13</v>
      </c>
      <c r="CU85" s="18">
        <f>CT85*VLOOKUP('Données projet'!$B$13,Paramètres!$A$1:$I$88,3,0)*VLOOKUP('Données projet'!$B$13,Paramètres!$A$1:$I$88,5,0)</f>
        <v>-1.9065282685915009E-13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302.20483575440988</v>
      </c>
      <c r="CZ85" s="62">
        <f t="shared" si="96"/>
        <v>275.32862097158687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projet'!$B$13,Paramètres!$A$1:$I$88,7,0))</f>
        <v>0</v>
      </c>
      <c r="DD85" s="17">
        <f>IF(ISNA(VLOOKUP(A85,'Données projet'!$A$139:$I$159,6,0)),0%,VLOOKUP(A85,'Données projet'!$A$139:$I$159,6,0)*VLOOKUP('Données projet'!$B$13,Paramètres!$A$1:$I$88,7,0))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projet'!$B$13,Paramètres!$A$1:$I$88,3,0)*0.475*44/12</f>
        <v>0</v>
      </c>
      <c r="DG85" s="23">
        <f>EXP(-LN(2)/25)*DG84+(1-EXP(-LN(2)/25))/(LN(2)/25)*Calculateur!DB85*Calculateur!DD85*VLOOKUP('Données projet'!$B$13,Paramètres!$A$1:$I$88,3,0)*0.475*44/12</f>
        <v>3.2703379241927144</v>
      </c>
      <c r="DH85" s="23">
        <f>EXP(-LN(2)/2)*DH84+(1-EXP(-LN(2)/2))/(LN(2)/2)*DB85*DE85*VLOOKUP('Données projet'!$B$13,Paramètres!$A$1:$I$88,3,0)*0.475*44/12</f>
        <v>1.0104310064811809E-7</v>
      </c>
      <c r="DI85" s="24">
        <f t="shared" si="69"/>
        <v>3.270338025235815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projet'!$B$14,Paramètres!$A$1:$I$88,3,0)*VLOOKUP('Données projet'!$B$14,Paramètres!$A$1:$I$88,5,0)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projet'!$B$14,Paramètres!$A$1:$I$88,7,0))</f>
        <v>0</v>
      </c>
      <c r="DY85" s="17">
        <f>IF(ISNA(VLOOKUP(A85,'Données projet'!$A$165:$I$185,6,0)),0%,VLOOKUP(A85,'Données projet'!$A$165:$I$185,6,0)*VLOOKUP('Données projet'!$B$14,Paramètres!$A$1:$I$88,7,0))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projet'!$B$14,Paramètres!$A$1:$I$88,3,0)*0.475*44/12</f>
        <v>#N/A</v>
      </c>
      <c r="EB85" s="23" t="e">
        <f>EXP(-LN(2)/25)*EB84+(1-EXP(-LN(2)/25))/(LN(2)/25)*Calculateur!DW85*Calculateur!DY85*VLOOKUP('Données projet'!$B$14,Paramètres!$A$1:$I$88,3,0)*0.475*44/12</f>
        <v>#N/A</v>
      </c>
      <c r="EC85" s="23" t="e">
        <f>EXP(-LN(2)/2)*EC84+(1-EXP(-LN(2)/2))/(LN(2)/2)*DW85*DZ85*VLOOKUP('Données projet'!$B$14,Paramètres!$A$1:$I$88,3,0)*0.475*44/12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projet'!$B$15,Paramètres!$A$1:$I$88,3,0)*VLOOKUP('Données projet'!$B$15,Paramètres!$A$1:$I$88,5,0)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projet'!$B$15,Paramètres!$A$1:$I$88,7,0))</f>
        <v>0</v>
      </c>
      <c r="ET85" s="17">
        <f>IF(ISNA(VLOOKUP(A85,'Données projet'!$A$191:$I$211,6,0)),0%,VLOOKUP(A85,'Données projet'!$A$191:$I$211,6,0)*VLOOKUP('Données projet'!$B$15,Paramètres!$A$1:$I$88,7,0))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projet'!$B$15,Paramètres!$A$1:$I$88,3,0)*0.475*44/12</f>
        <v>#N/A</v>
      </c>
      <c r="EW85" s="23" t="e">
        <f>EXP(-LN(2)/25)*EW84+(1-EXP(-LN(2)/25))/(LN(2)/25)*Calculateur!ER85*Calculateur!ET85*VLOOKUP('Données projet'!$B$15,Paramètres!$A$1:$I$88,3,0)*0.475*44/12</f>
        <v>#N/A</v>
      </c>
      <c r="EX85" s="23" t="e">
        <f>EXP(-LN(2)/2)*EX84+(1-EXP(-LN(2)/2))/(LN(2)/2)*ER85*EU85*VLOOKUP('Données projet'!$B$15,Paramètres!$A$1:$I$88,3,0)*0.475*44/12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projet'!$B$16,Paramètres!$A$1:$I$88,3,0)*VLOOKUP('Données projet'!$B$16,Paramètres!$A$1:$I$88,5,0)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projet'!$B$16,Paramètres!$A$1:$I$88,7,0))</f>
        <v>0</v>
      </c>
      <c r="FO85" s="17">
        <f>IF(ISNA(VLOOKUP(A85,'Données projet'!$A$217:$I$237,6,0)),0%,VLOOKUP(A85,'Données projet'!$A$217:$I$237,6,0)*VLOOKUP('Données projet'!$B$16,Paramètres!$A$1:$I$88,7,0))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projet'!$B$16,Paramètres!$A$1:$I$88,3,0)*0.475*44/12</f>
        <v>#N/A</v>
      </c>
      <c r="FR85" s="23" t="e">
        <f>EXP(-LN(2)/25)*FR84+(1-EXP(-LN(2)/25))/(LN(2)/25)*Calculateur!FM85*Calculateur!FO85*VLOOKUP('Données projet'!$B$16,Paramètres!$A$1:$I$88,3,0)*0.475*44/12</f>
        <v>#N/A</v>
      </c>
      <c r="FS85" s="23" t="e">
        <f>EXP(-LN(2)/2)*FS84+(1-EXP(-LN(2)/2))/(LN(2)/2)*FM85*FP85*VLOOKUP('Données projet'!$B$16,Paramètres!$A$1:$I$88,3,0)*0.475*44/12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projet'!$B$17,Paramètres!$A$1:$I$88,3,0)*VLOOKUP('Données projet'!$B$17,Paramètres!$A$1:$I$88,5,0)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projet'!$B$17,Paramètres!$A$1:$I$88,7,0))</f>
        <v>0</v>
      </c>
      <c r="GJ85" s="17">
        <f>IF(ISNA(VLOOKUP(A85,'Données projet'!$A$243:$I$263,6,0)),0%,VLOOKUP(A85,'Données projet'!$A$243:$I$263,6,0)*VLOOKUP('Données projet'!$B$17,Paramètres!$A$1:$I$88,7,0))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projet'!$B$17,Paramètres!$A$1:$I$88,3,0)*0.475*44/12</f>
        <v>#N/A</v>
      </c>
      <c r="GM85" s="23" t="e">
        <f>EXP(-LN(2)/25)*GM84+(1-EXP(-LN(2)/25))/(LN(2)/25)*Calculateur!GH85*Calculateur!GJ85*VLOOKUP('Données projet'!$B$17,Paramètres!$A$1:$I$88,3,0)*0.475*44/12</f>
        <v>#N/A</v>
      </c>
      <c r="GN85" s="23" t="e">
        <f>EXP(-LN(2)/2)*GN84+(1-EXP(-LN(2)/2))/(LN(2)/2)*GH85*GK85*VLOOKUP('Données projet'!$B$17,Paramètres!$A$1:$I$88,3,0)*0.475*44/12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projet'!$B$18,Paramètres!$A$1:$I$88,3,0)*VLOOKUP('Données projet'!$B$18,Paramètres!$A$1:$I$88,5,0)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projet'!$B$18,Paramètres!$A$1:$I$88,7,0))</f>
        <v>0</v>
      </c>
      <c r="HE85" s="17">
        <f>IF(ISNA(VLOOKUP(A85,'Données projet'!$A$269:$I$289,6,0)),0%,VLOOKUP(A85,'Données projet'!$A$269:$I$289,6,0)*VLOOKUP('Données projet'!$B$18,Paramètres!$A$1:$I$88,7,0))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projet'!$B$18,Paramètres!$A$1:$I$88,3,0)*0.475*44/12</f>
        <v>#N/A</v>
      </c>
      <c r="HH85" s="23" t="e">
        <f>EXP(-LN(2)/25)*HH84+(1-EXP(-LN(2)/25))/(LN(2)/25)*Calculateur!HC85*Calculateur!HE85*VLOOKUP('Données projet'!$B$18,Paramètres!$A$1:$I$88,3,0)*0.475*44/12</f>
        <v>#N/A</v>
      </c>
      <c r="HI85" s="23" t="e">
        <f>EXP(-LN(2)/2)*HI84+(1-EXP(-LN(2)/2))/(LN(2)/2)*HC85*HF85*VLOOKUP('Données projet'!$B$18,Paramètres!$A$1:$I$88,3,0)*0.475*44/12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projet'!$B$9,Paramètres!$A$1:$I$88,3,0)*VLOOKUP('Données projet'!$B$9,Paramètres!$A$1:$I$88,5,0)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175.05987582828078</v>
      </c>
      <c r="T86" s="62">
        <f t="shared" si="88"/>
        <v>268.54782308462387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projet'!$B$9,Paramètres!$A$1:$I$88,7,0))</f>
        <v>0</v>
      </c>
      <c r="X86" s="17">
        <f>IF(ISNA(VLOOKUP(A86,'Données projet'!$A$35:$I$55,6,0)),0%,VLOOKUP(A86,'Données projet'!$A$35:$I$55,6,0)*VLOOKUP('Données projet'!$B$9,Paramètres!$A$1:$I$88,7,0))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projet'!$B$9,Paramètres!$A$1:$I$88,3,0)*0.475*44/12</f>
        <v>0</v>
      </c>
      <c r="AA86" s="23">
        <f>EXP(-LN(2)/25)*AA85+(1-EXP(-LN(2)/25))/(LN(2)/25)*Calculateur!V86*Calculateur!X86*VLOOKUP('Données projet'!$B$9,Paramètres!$A$1:$I$88,3,0)*0.475*44/12</f>
        <v>2.3684420314211536</v>
      </c>
      <c r="AB86" s="23">
        <f>EXP(-LN(2)/2)*AB85+(1-EXP(-LN(2)/2))/(LN(2)/2)*V86*Y86*VLOOKUP('Données projet'!$B$9,Paramètres!$A$1:$I$88,3,0)*0.475*44/12</f>
        <v>1.7405404977588453E-7</v>
      </c>
      <c r="AC86" s="24">
        <f t="shared" si="57"/>
        <v>2.3684422054752035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15.533333333333333</v>
      </c>
      <c r="AI86" s="14">
        <f>IF('Données projet'!$A$62&gt;35,AI85+AH86-AQ85,IF(A86&lt;'Données projet'!$A$62,$AF$205^A86,IF(A86='Données projet'!$A$62,'Données projet'!$B$62,AI85+AH86-AQ85)))</f>
        <v>806.26666666666574</v>
      </c>
      <c r="AJ86" s="14">
        <f>AI86*VLOOKUP('Données projet'!$B$10,Paramètres!$A$1:$I$88,3,0)*VLOOKUP('Données projet'!$B$10,Paramètres!$A$1:$I$88,5,0)</f>
        <v>387.81426666666624</v>
      </c>
      <c r="AK86" s="14">
        <f t="shared" si="89"/>
        <v>89.301764119336468</v>
      </c>
      <c r="AL86" s="22">
        <f t="shared" si="58"/>
        <v>830.97708695228812</v>
      </c>
      <c r="AM86" s="62">
        <f t="shared" si="59"/>
        <v>1124.3104202856214</v>
      </c>
      <c r="AN86" s="62">
        <f ca="1">AVERAGE(OFFSET($AM$3,0,0,'Données projet'!$E$10+1,1))-AVERAGE(OFFSET($H$3,0,0,'Données projet'!$E$10+1,1))</f>
        <v>576.61210817354549</v>
      </c>
      <c r="AO86" s="62">
        <f t="shared" si="90"/>
        <v>343.9428747444544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projet'!$B$10,Paramètres!$A$1:$I$88,7,0))</f>
        <v>0</v>
      </c>
      <c r="AS86" s="17">
        <f>IF(ISNA(VLOOKUP(A86,'Données projet'!$A$61:$I$81,6,0)),0%,VLOOKUP(A86,'Données projet'!$A$61:$I$81,6,0)*VLOOKUP('Données projet'!$B$10,Paramètres!$A$1:$I$88,7,0))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projet'!$B$10,Paramètres!$A$1:$I$88,3,0)*0.475*44/12</f>
        <v>0</v>
      </c>
      <c r="AV86" s="23">
        <f>EXP(-LN(2)/25)*AV85+(1-EXP(-LN(2)/25))/(LN(2)/25)*Calculateur!AQ86*Calculateur!AS86*VLOOKUP('Données projet'!$B$10,Paramètres!$A$1:$I$88,3,0)*0.475*44/12</f>
        <v>1.3027293204563974</v>
      </c>
      <c r="AW86" s="23">
        <f>EXP(-LN(2)/2)*AW85+(1-EXP(-LN(2)/2))/(LN(2)/2)*AQ86*AT86*VLOOKUP('Données projet'!$B$10,Paramètres!$A$1:$I$88,3,0)*0.475*44/12</f>
        <v>1.2394798805965285E-7</v>
      </c>
      <c r="AX86" s="23">
        <f t="shared" si="60"/>
        <v>1.3027294444043855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-5.6843418860808015E-14</v>
      </c>
      <c r="BE86" s="14">
        <f>BD86*VLOOKUP('Données projet'!$B$11,Paramètres!$A$1:$I$88,3,0)*VLOOKUP('Données projet'!$B$11,Paramètres!$A$1:$I$88,5,0)</f>
        <v>-4.5224624045658861E-14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298.38448036212861</v>
      </c>
      <c r="BJ86" s="62">
        <f t="shared" si="92"/>
        <v>270.4445531106897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projet'!$B$11,Paramètres!$A$1:$I$88,7,0))</f>
        <v>0</v>
      </c>
      <c r="BN86" s="17">
        <f>IF(ISNA(VLOOKUP(A86,'Données projet'!$A$87:$I$107,6,0)),0%,VLOOKUP(A86,'Données projet'!$A$87:$I$107,6,0)*VLOOKUP('Données projet'!$B$11,Paramètres!$A$1:$I$88,7,0))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projet'!$B$11,Paramètres!$A$1:$I$88,3,0)*0.475*44/12</f>
        <v>0</v>
      </c>
      <c r="BQ86" s="23">
        <f>EXP(-LN(2)/25)*BQ85+(1-EXP(-LN(2)/25))/(LN(2)/25)*Calculateur!BL86*Calculateur!BN86*VLOOKUP('Données projet'!$B$11,Paramètres!$A$1:$I$88,3,0)*0.475*44/12</f>
        <v>0</v>
      </c>
      <c r="BR86" s="23">
        <f>EXP(-LN(2)/2)*BR85+(1-EXP(-LN(2)/2))/(LN(2)/2)*BL86*BO86*VLOOKUP('Données projet'!$B$11,Paramètres!$A$1:$I$88,3,0)*0.475*44/12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5.6843418860808015E-14</v>
      </c>
      <c r="BZ86" s="14">
        <f>BY86*VLOOKUP('Données projet'!$B$12,Paramètres!$A$1:$I$88,3,0)*VLOOKUP('Données projet'!$B$12,Paramètres!$A$1:$I$88,5,0)</f>
        <v>4.4337866711430253E-14</v>
      </c>
      <c r="CA86" s="14">
        <f t="shared" si="93"/>
        <v>7.3222115536967035E-13</v>
      </c>
      <c r="CB86" s="22">
        <f t="shared" si="64"/>
        <v>1.3525069634579169E-12</v>
      </c>
      <c r="CC86" s="62">
        <f t="shared" si="65"/>
        <v>293.33333333333468</v>
      </c>
      <c r="CD86" s="62">
        <f ca="1">AVERAGE(OFFSET($CC$3,0,0,'Données projet'!$E$12+1,1))-AVERAGE(OFFSET($H$3,0,0,'Données projet'!$E$12+1,1))</f>
        <v>217.32600829266818</v>
      </c>
      <c r="CE86" s="62">
        <f t="shared" si="94"/>
        <v>208.79744153433245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projet'!$B$12,Paramètres!$A$1:$I$88,7,0))</f>
        <v>0</v>
      </c>
      <c r="CI86" s="17">
        <f>IF(ISNA(VLOOKUP(A86,'Données projet'!$A$113:$I$133,6,0)),0%,VLOOKUP(A86,'Données projet'!$A$113:$I$133,6,0)*VLOOKUP('Données projet'!$B$12,Paramètres!$A$1:$I$88,7,0))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projet'!$B$12,Paramètres!$A$1:$I$88,3,0)*0.475*44/12</f>
        <v>0</v>
      </c>
      <c r="CL86" s="23">
        <f>EXP(-LN(2)/25)*CL85+(1-EXP(-LN(2)/25))/(LN(2)/25)*Calculateur!CG86*Calculateur!CI86*VLOOKUP('Données projet'!$B$12,Paramètres!$A$1:$I$88,3,0)*0.475*44/12</f>
        <v>0</v>
      </c>
      <c r="CM86" s="23">
        <f>EXP(-LN(2)/2)*CM85+(1-EXP(-LN(2)/2))/(LN(2)/2)*CG86*CJ86*VLOOKUP('Données projet'!$B$12,Paramètres!$A$1:$I$88,3,0)*0.475*44/12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-3.4106051316484809E-13</v>
      </c>
      <c r="CU86" s="18">
        <f>CT86*VLOOKUP('Données projet'!$B$13,Paramètres!$A$1:$I$88,3,0)*VLOOKUP('Données projet'!$B$13,Paramètres!$A$1:$I$88,5,0)</f>
        <v>-1.9065282685915009E-13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302.20483575440988</v>
      </c>
      <c r="CZ86" s="62">
        <f t="shared" si="96"/>
        <v>275.32862097158687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projet'!$B$13,Paramètres!$A$1:$I$88,7,0))</f>
        <v>0</v>
      </c>
      <c r="DD86" s="17">
        <f>IF(ISNA(VLOOKUP(A86,'Données projet'!$A$139:$I$159,6,0)),0%,VLOOKUP(A86,'Données projet'!$A$139:$I$159,6,0)*VLOOKUP('Données projet'!$B$13,Paramètres!$A$1:$I$88,7,0))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projet'!$B$13,Paramètres!$A$1:$I$88,3,0)*0.475*44/12</f>
        <v>0</v>
      </c>
      <c r="DG86" s="23">
        <f>EXP(-LN(2)/25)*DG85+(1-EXP(-LN(2)/25))/(LN(2)/25)*Calculateur!DB86*Calculateur!DD86*VLOOKUP('Données projet'!$B$13,Paramètres!$A$1:$I$88,3,0)*0.475*44/12</f>
        <v>3.1809103616760677</v>
      </c>
      <c r="DH86" s="23">
        <f>EXP(-LN(2)/2)*DH85+(1-EXP(-LN(2)/2))/(LN(2)/2)*DB86*DE86*VLOOKUP('Données projet'!$B$13,Paramètres!$A$1:$I$88,3,0)*0.475*44/12</f>
        <v>7.1448261660399136E-8</v>
      </c>
      <c r="DI86" s="24">
        <f t="shared" si="69"/>
        <v>3.1809104331243292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projet'!$B$14,Paramètres!$A$1:$I$88,3,0)*VLOOKUP('Données projet'!$B$14,Paramètres!$A$1:$I$88,5,0)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projet'!$B$14,Paramètres!$A$1:$I$88,7,0))</f>
        <v>0</v>
      </c>
      <c r="DY86" s="17">
        <f>IF(ISNA(VLOOKUP(A86,'Données projet'!$A$165:$I$185,6,0)),0%,VLOOKUP(A86,'Données projet'!$A$165:$I$185,6,0)*VLOOKUP('Données projet'!$B$14,Paramètres!$A$1:$I$88,7,0))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projet'!$B$14,Paramètres!$A$1:$I$88,3,0)*0.475*44/12</f>
        <v>#N/A</v>
      </c>
      <c r="EB86" s="23" t="e">
        <f>EXP(-LN(2)/25)*EB85+(1-EXP(-LN(2)/25))/(LN(2)/25)*Calculateur!DW86*Calculateur!DY86*VLOOKUP('Données projet'!$B$14,Paramètres!$A$1:$I$88,3,0)*0.475*44/12</f>
        <v>#N/A</v>
      </c>
      <c r="EC86" s="23" t="e">
        <f>EXP(-LN(2)/2)*EC85+(1-EXP(-LN(2)/2))/(LN(2)/2)*DW86*DZ86*VLOOKUP('Données projet'!$B$14,Paramètres!$A$1:$I$88,3,0)*0.475*44/12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projet'!$B$15,Paramètres!$A$1:$I$88,3,0)*VLOOKUP('Données projet'!$B$15,Paramètres!$A$1:$I$88,5,0)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projet'!$B$15,Paramètres!$A$1:$I$88,7,0))</f>
        <v>0</v>
      </c>
      <c r="ET86" s="17">
        <f>IF(ISNA(VLOOKUP(A86,'Données projet'!$A$191:$I$211,6,0)),0%,VLOOKUP(A86,'Données projet'!$A$191:$I$211,6,0)*VLOOKUP('Données projet'!$B$15,Paramètres!$A$1:$I$88,7,0))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projet'!$B$15,Paramètres!$A$1:$I$88,3,0)*0.475*44/12</f>
        <v>#N/A</v>
      </c>
      <c r="EW86" s="23" t="e">
        <f>EXP(-LN(2)/25)*EW85+(1-EXP(-LN(2)/25))/(LN(2)/25)*Calculateur!ER86*Calculateur!ET86*VLOOKUP('Données projet'!$B$15,Paramètres!$A$1:$I$88,3,0)*0.475*44/12</f>
        <v>#N/A</v>
      </c>
      <c r="EX86" s="23" t="e">
        <f>EXP(-LN(2)/2)*EX85+(1-EXP(-LN(2)/2))/(LN(2)/2)*ER86*EU86*VLOOKUP('Données projet'!$B$15,Paramètres!$A$1:$I$88,3,0)*0.475*44/12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projet'!$B$16,Paramètres!$A$1:$I$88,3,0)*VLOOKUP('Données projet'!$B$16,Paramètres!$A$1:$I$88,5,0)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projet'!$B$16,Paramètres!$A$1:$I$88,7,0))</f>
        <v>0</v>
      </c>
      <c r="FO86" s="17">
        <f>IF(ISNA(VLOOKUP(A86,'Données projet'!$A$217:$I$237,6,0)),0%,VLOOKUP(A86,'Données projet'!$A$217:$I$237,6,0)*VLOOKUP('Données projet'!$B$16,Paramètres!$A$1:$I$88,7,0))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projet'!$B$16,Paramètres!$A$1:$I$88,3,0)*0.475*44/12</f>
        <v>#N/A</v>
      </c>
      <c r="FR86" s="23" t="e">
        <f>EXP(-LN(2)/25)*FR85+(1-EXP(-LN(2)/25))/(LN(2)/25)*Calculateur!FM86*Calculateur!FO86*VLOOKUP('Données projet'!$B$16,Paramètres!$A$1:$I$88,3,0)*0.475*44/12</f>
        <v>#N/A</v>
      </c>
      <c r="FS86" s="23" t="e">
        <f>EXP(-LN(2)/2)*FS85+(1-EXP(-LN(2)/2))/(LN(2)/2)*FM86*FP86*VLOOKUP('Données projet'!$B$16,Paramètres!$A$1:$I$88,3,0)*0.475*44/12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projet'!$B$17,Paramètres!$A$1:$I$88,3,0)*VLOOKUP('Données projet'!$B$17,Paramètres!$A$1:$I$88,5,0)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projet'!$B$17,Paramètres!$A$1:$I$88,7,0))</f>
        <v>0</v>
      </c>
      <c r="GJ86" s="17">
        <f>IF(ISNA(VLOOKUP(A86,'Données projet'!$A$243:$I$263,6,0)),0%,VLOOKUP(A86,'Données projet'!$A$243:$I$263,6,0)*VLOOKUP('Données projet'!$B$17,Paramètres!$A$1:$I$88,7,0))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projet'!$B$17,Paramètres!$A$1:$I$88,3,0)*0.475*44/12</f>
        <v>#N/A</v>
      </c>
      <c r="GM86" s="23" t="e">
        <f>EXP(-LN(2)/25)*GM85+(1-EXP(-LN(2)/25))/(LN(2)/25)*Calculateur!GH86*Calculateur!GJ86*VLOOKUP('Données projet'!$B$17,Paramètres!$A$1:$I$88,3,0)*0.475*44/12</f>
        <v>#N/A</v>
      </c>
      <c r="GN86" s="23" t="e">
        <f>EXP(-LN(2)/2)*GN85+(1-EXP(-LN(2)/2))/(LN(2)/2)*GH86*GK86*VLOOKUP('Données projet'!$B$17,Paramètres!$A$1:$I$88,3,0)*0.475*44/12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projet'!$B$18,Paramètres!$A$1:$I$88,3,0)*VLOOKUP('Données projet'!$B$18,Paramètres!$A$1:$I$88,5,0)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projet'!$B$18,Paramètres!$A$1:$I$88,7,0))</f>
        <v>0</v>
      </c>
      <c r="HE86" s="17">
        <f>IF(ISNA(VLOOKUP(A86,'Données projet'!$A$269:$I$289,6,0)),0%,VLOOKUP(A86,'Données projet'!$A$269:$I$289,6,0)*VLOOKUP('Données projet'!$B$18,Paramètres!$A$1:$I$88,7,0))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projet'!$B$18,Paramètres!$A$1:$I$88,3,0)*0.475*44/12</f>
        <v>#N/A</v>
      </c>
      <c r="HH86" s="23" t="e">
        <f>EXP(-LN(2)/25)*HH85+(1-EXP(-LN(2)/25))/(LN(2)/25)*Calculateur!HC86*Calculateur!HE86*VLOOKUP('Données projet'!$B$18,Paramètres!$A$1:$I$88,3,0)*0.475*44/12</f>
        <v>#N/A</v>
      </c>
      <c r="HI86" s="23" t="e">
        <f>EXP(-LN(2)/2)*HI85+(1-EXP(-LN(2)/2))/(LN(2)/2)*HC86*HF86*VLOOKUP('Données projet'!$B$18,Paramètres!$A$1:$I$88,3,0)*0.475*44/12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projet'!$B$9,Paramètres!$A$1:$I$88,3,0)*VLOOKUP('Données projet'!$B$9,Paramètres!$A$1:$I$88,5,0)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175.05987582828078</v>
      </c>
      <c r="T87" s="62">
        <f t="shared" si="88"/>
        <v>268.54782308462387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projet'!$B$9,Paramètres!$A$1:$I$88,7,0))</f>
        <v>0</v>
      </c>
      <c r="X87" s="17">
        <f>IF(ISNA(VLOOKUP(A87,'Données projet'!$A$35:$I$55,6,0)),0%,VLOOKUP(A87,'Données projet'!$A$35:$I$55,6,0)*VLOOKUP('Données projet'!$B$9,Paramètres!$A$1:$I$88,7,0))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projet'!$B$9,Paramètres!$A$1:$I$88,3,0)*0.475*44/12</f>
        <v>0</v>
      </c>
      <c r="AA87" s="23">
        <f>EXP(-LN(2)/25)*AA86+(1-EXP(-LN(2)/25))/(LN(2)/25)*Calculateur!V87*Calculateur!X87*VLOOKUP('Données projet'!$B$9,Paramètres!$A$1:$I$88,3,0)*0.475*44/12</f>
        <v>2.3036768595209889</v>
      </c>
      <c r="AB87" s="23">
        <f>EXP(-LN(2)/2)*AB86+(1-EXP(-LN(2)/2))/(LN(2)/2)*V87*Y87*VLOOKUP('Données projet'!$B$9,Paramètres!$A$1:$I$88,3,0)*0.475*44/12</f>
        <v>1.2307479888950883E-7</v>
      </c>
      <c r="AC87" s="24">
        <f t="shared" si="57"/>
        <v>2.3036769825957877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15.533333333333333</v>
      </c>
      <c r="AI87" s="14">
        <f>IF('Données projet'!$A$62&gt;35,AI86+AH87-AQ86,IF(A87&lt;'Données projet'!$A$62,$AF$205^A87,IF(A87='Données projet'!$A$62,'Données projet'!$B$62,AI86+AH87-AQ86)))</f>
        <v>821.79999999999905</v>
      </c>
      <c r="AJ87" s="14">
        <f>AI87*VLOOKUP('Données projet'!$B$10,Paramètres!$A$1:$I$88,3,0)*VLOOKUP('Données projet'!$B$10,Paramètres!$A$1:$I$88,5,0)</f>
        <v>395.28579999999954</v>
      </c>
      <c r="AK87" s="14">
        <f t="shared" si="89"/>
        <v>90.820275072911812</v>
      </c>
      <c r="AL87" s="22">
        <f t="shared" si="58"/>
        <v>846.634747418654</v>
      </c>
      <c r="AM87" s="62">
        <f t="shared" si="59"/>
        <v>1139.9680807519874</v>
      </c>
      <c r="AN87" s="62">
        <f ca="1">AVERAGE(OFFSET($AM$3,0,0,'Données projet'!$E$10+1,1))-AVERAGE(OFFSET($H$3,0,0,'Données projet'!$E$10+1,1))</f>
        <v>576.61210817354549</v>
      </c>
      <c r="AO87" s="62">
        <f t="shared" si="90"/>
        <v>343.9428747444544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projet'!$B$10,Paramètres!$A$1:$I$88,7,0))</f>
        <v>0</v>
      </c>
      <c r="AS87" s="17">
        <f>IF(ISNA(VLOOKUP(A87,'Données projet'!$A$61:$I$81,6,0)),0%,VLOOKUP(A87,'Données projet'!$A$61:$I$81,6,0)*VLOOKUP('Données projet'!$B$10,Paramètres!$A$1:$I$88,7,0))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projet'!$B$10,Paramètres!$A$1:$I$88,3,0)*0.475*44/12</f>
        <v>0</v>
      </c>
      <c r="AV87" s="23">
        <f>EXP(-LN(2)/25)*AV86+(1-EXP(-LN(2)/25))/(LN(2)/25)*Calculateur!AQ87*Calculateur!AS87*VLOOKUP('Données projet'!$B$10,Paramètres!$A$1:$I$88,3,0)*0.475*44/12</f>
        <v>1.2671061186809598</v>
      </c>
      <c r="AW87" s="23">
        <f>EXP(-LN(2)/2)*AW86+(1-EXP(-LN(2)/2))/(LN(2)/2)*AQ87*AT87*VLOOKUP('Données projet'!$B$10,Paramètres!$A$1:$I$88,3,0)*0.475*44/12</f>
        <v>8.7644462871409757E-8</v>
      </c>
      <c r="AX87" s="23">
        <f t="shared" si="60"/>
        <v>1.2671062063254226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-5.6843418860808015E-14</v>
      </c>
      <c r="BE87" s="14">
        <f>BD87*VLOOKUP('Données projet'!$B$11,Paramètres!$A$1:$I$88,3,0)*VLOOKUP('Données projet'!$B$11,Paramètres!$A$1:$I$88,5,0)</f>
        <v>-4.5224624045658861E-14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298.38448036212861</v>
      </c>
      <c r="BJ87" s="62">
        <f t="shared" si="92"/>
        <v>270.4445531106897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projet'!$B$11,Paramètres!$A$1:$I$88,7,0))</f>
        <v>0</v>
      </c>
      <c r="BN87" s="17">
        <f>IF(ISNA(VLOOKUP(A87,'Données projet'!$A$87:$I$107,6,0)),0%,VLOOKUP(A87,'Données projet'!$A$87:$I$107,6,0)*VLOOKUP('Données projet'!$B$11,Paramètres!$A$1:$I$88,7,0))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projet'!$B$11,Paramètres!$A$1:$I$88,3,0)*0.475*44/12</f>
        <v>0</v>
      </c>
      <c r="BQ87" s="23">
        <f>EXP(-LN(2)/25)*BQ86+(1-EXP(-LN(2)/25))/(LN(2)/25)*Calculateur!BL87*Calculateur!BN87*VLOOKUP('Données projet'!$B$11,Paramètres!$A$1:$I$88,3,0)*0.475*44/12</f>
        <v>0</v>
      </c>
      <c r="BR87" s="23">
        <f>EXP(-LN(2)/2)*BR86+(1-EXP(-LN(2)/2))/(LN(2)/2)*BL87*BO87*VLOOKUP('Données projet'!$B$11,Paramètres!$A$1:$I$88,3,0)*0.475*44/12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5.6843418860808015E-14</v>
      </c>
      <c r="BZ87" s="14">
        <f>BY87*VLOOKUP('Données projet'!$B$12,Paramètres!$A$1:$I$88,3,0)*VLOOKUP('Données projet'!$B$12,Paramètres!$A$1:$I$88,5,0)</f>
        <v>4.4337866711430253E-14</v>
      </c>
      <c r="CA87" s="14">
        <f t="shared" si="93"/>
        <v>7.3222115536967035E-13</v>
      </c>
      <c r="CB87" s="22">
        <f t="shared" si="64"/>
        <v>1.3525069634579169E-12</v>
      </c>
      <c r="CC87" s="62">
        <f t="shared" si="65"/>
        <v>293.33333333333468</v>
      </c>
      <c r="CD87" s="62">
        <f ca="1">AVERAGE(OFFSET($CC$3,0,0,'Données projet'!$E$12+1,1))-AVERAGE(OFFSET($H$3,0,0,'Données projet'!$E$12+1,1))</f>
        <v>217.32600829266818</v>
      </c>
      <c r="CE87" s="62">
        <f t="shared" si="94"/>
        <v>208.79744153433245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projet'!$B$12,Paramètres!$A$1:$I$88,7,0))</f>
        <v>0</v>
      </c>
      <c r="CI87" s="17">
        <f>IF(ISNA(VLOOKUP(A87,'Données projet'!$A$113:$I$133,6,0)),0%,VLOOKUP(A87,'Données projet'!$A$113:$I$133,6,0)*VLOOKUP('Données projet'!$B$12,Paramètres!$A$1:$I$88,7,0))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projet'!$B$12,Paramètres!$A$1:$I$88,3,0)*0.475*44/12</f>
        <v>0</v>
      </c>
      <c r="CL87" s="23">
        <f>EXP(-LN(2)/25)*CL86+(1-EXP(-LN(2)/25))/(LN(2)/25)*Calculateur!CG87*Calculateur!CI87*VLOOKUP('Données projet'!$B$12,Paramètres!$A$1:$I$88,3,0)*0.475*44/12</f>
        <v>0</v>
      </c>
      <c r="CM87" s="23">
        <f>EXP(-LN(2)/2)*CM86+(1-EXP(-LN(2)/2))/(LN(2)/2)*CG87*CJ87*VLOOKUP('Données projet'!$B$12,Paramètres!$A$1:$I$88,3,0)*0.475*44/12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-3.4106051316484809E-13</v>
      </c>
      <c r="CU87" s="18">
        <f>CT87*VLOOKUP('Données projet'!$B$13,Paramètres!$A$1:$I$88,3,0)*VLOOKUP('Données projet'!$B$13,Paramètres!$A$1:$I$88,5,0)</f>
        <v>-1.9065282685915009E-13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302.20483575440988</v>
      </c>
      <c r="CZ87" s="62">
        <f t="shared" si="96"/>
        <v>275.32862097158687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projet'!$B$13,Paramètres!$A$1:$I$88,7,0))</f>
        <v>0</v>
      </c>
      <c r="DD87" s="17">
        <f>IF(ISNA(VLOOKUP(A87,'Données projet'!$A$139:$I$159,6,0)),0%,VLOOKUP(A87,'Données projet'!$A$139:$I$159,6,0)*VLOOKUP('Données projet'!$B$13,Paramètres!$A$1:$I$88,7,0))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projet'!$B$13,Paramètres!$A$1:$I$88,3,0)*0.475*44/12</f>
        <v>0</v>
      </c>
      <c r="DG87" s="23">
        <f>EXP(-LN(2)/25)*DG86+(1-EXP(-LN(2)/25))/(LN(2)/25)*Calculateur!DB87*Calculateur!DD87*VLOOKUP('Données projet'!$B$13,Paramètres!$A$1:$I$88,3,0)*0.475*44/12</f>
        <v>3.0939282005592297</v>
      </c>
      <c r="DH87" s="23">
        <f>EXP(-LN(2)/2)*DH86+(1-EXP(-LN(2)/2))/(LN(2)/2)*DB87*DE87*VLOOKUP('Données projet'!$B$13,Paramètres!$A$1:$I$88,3,0)*0.475*44/12</f>
        <v>5.0521550324059046E-8</v>
      </c>
      <c r="DI87" s="24">
        <f t="shared" si="69"/>
        <v>3.0939282510807802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projet'!$B$14,Paramètres!$A$1:$I$88,3,0)*VLOOKUP('Données projet'!$B$14,Paramètres!$A$1:$I$88,5,0)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projet'!$B$14,Paramètres!$A$1:$I$88,7,0))</f>
        <v>0</v>
      </c>
      <c r="DY87" s="17">
        <f>IF(ISNA(VLOOKUP(A87,'Données projet'!$A$165:$I$185,6,0)),0%,VLOOKUP(A87,'Données projet'!$A$165:$I$185,6,0)*VLOOKUP('Données projet'!$B$14,Paramètres!$A$1:$I$88,7,0))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projet'!$B$14,Paramètres!$A$1:$I$88,3,0)*0.475*44/12</f>
        <v>#N/A</v>
      </c>
      <c r="EB87" s="23" t="e">
        <f>EXP(-LN(2)/25)*EB86+(1-EXP(-LN(2)/25))/(LN(2)/25)*Calculateur!DW87*Calculateur!DY87*VLOOKUP('Données projet'!$B$14,Paramètres!$A$1:$I$88,3,0)*0.475*44/12</f>
        <v>#N/A</v>
      </c>
      <c r="EC87" s="23" t="e">
        <f>EXP(-LN(2)/2)*EC86+(1-EXP(-LN(2)/2))/(LN(2)/2)*DW87*DZ87*VLOOKUP('Données projet'!$B$14,Paramètres!$A$1:$I$88,3,0)*0.475*44/12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projet'!$B$15,Paramètres!$A$1:$I$88,3,0)*VLOOKUP('Données projet'!$B$15,Paramètres!$A$1:$I$88,5,0)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projet'!$B$15,Paramètres!$A$1:$I$88,7,0))</f>
        <v>0</v>
      </c>
      <c r="ET87" s="17">
        <f>IF(ISNA(VLOOKUP(A87,'Données projet'!$A$191:$I$211,6,0)),0%,VLOOKUP(A87,'Données projet'!$A$191:$I$211,6,0)*VLOOKUP('Données projet'!$B$15,Paramètres!$A$1:$I$88,7,0))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projet'!$B$15,Paramètres!$A$1:$I$88,3,0)*0.475*44/12</f>
        <v>#N/A</v>
      </c>
      <c r="EW87" s="23" t="e">
        <f>EXP(-LN(2)/25)*EW86+(1-EXP(-LN(2)/25))/(LN(2)/25)*Calculateur!ER87*Calculateur!ET87*VLOOKUP('Données projet'!$B$15,Paramètres!$A$1:$I$88,3,0)*0.475*44/12</f>
        <v>#N/A</v>
      </c>
      <c r="EX87" s="23" t="e">
        <f>EXP(-LN(2)/2)*EX86+(1-EXP(-LN(2)/2))/(LN(2)/2)*ER87*EU87*VLOOKUP('Données projet'!$B$15,Paramètres!$A$1:$I$88,3,0)*0.475*44/12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projet'!$B$16,Paramètres!$A$1:$I$88,3,0)*VLOOKUP('Données projet'!$B$16,Paramètres!$A$1:$I$88,5,0)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projet'!$B$16,Paramètres!$A$1:$I$88,7,0))</f>
        <v>0</v>
      </c>
      <c r="FO87" s="17">
        <f>IF(ISNA(VLOOKUP(A87,'Données projet'!$A$217:$I$237,6,0)),0%,VLOOKUP(A87,'Données projet'!$A$217:$I$237,6,0)*VLOOKUP('Données projet'!$B$16,Paramètres!$A$1:$I$88,7,0))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projet'!$B$16,Paramètres!$A$1:$I$88,3,0)*0.475*44/12</f>
        <v>#N/A</v>
      </c>
      <c r="FR87" s="23" t="e">
        <f>EXP(-LN(2)/25)*FR86+(1-EXP(-LN(2)/25))/(LN(2)/25)*Calculateur!FM87*Calculateur!FO87*VLOOKUP('Données projet'!$B$16,Paramètres!$A$1:$I$88,3,0)*0.475*44/12</f>
        <v>#N/A</v>
      </c>
      <c r="FS87" s="23" t="e">
        <f>EXP(-LN(2)/2)*FS86+(1-EXP(-LN(2)/2))/(LN(2)/2)*FM87*FP87*VLOOKUP('Données projet'!$B$16,Paramètres!$A$1:$I$88,3,0)*0.475*44/12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projet'!$B$17,Paramètres!$A$1:$I$88,3,0)*VLOOKUP('Données projet'!$B$17,Paramètres!$A$1:$I$88,5,0)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projet'!$B$17,Paramètres!$A$1:$I$88,7,0))</f>
        <v>0</v>
      </c>
      <c r="GJ87" s="17">
        <f>IF(ISNA(VLOOKUP(A87,'Données projet'!$A$243:$I$263,6,0)),0%,VLOOKUP(A87,'Données projet'!$A$243:$I$263,6,0)*VLOOKUP('Données projet'!$B$17,Paramètres!$A$1:$I$88,7,0))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projet'!$B$17,Paramètres!$A$1:$I$88,3,0)*0.475*44/12</f>
        <v>#N/A</v>
      </c>
      <c r="GM87" s="23" t="e">
        <f>EXP(-LN(2)/25)*GM86+(1-EXP(-LN(2)/25))/(LN(2)/25)*Calculateur!GH87*Calculateur!GJ87*VLOOKUP('Données projet'!$B$17,Paramètres!$A$1:$I$88,3,0)*0.475*44/12</f>
        <v>#N/A</v>
      </c>
      <c r="GN87" s="23" t="e">
        <f>EXP(-LN(2)/2)*GN86+(1-EXP(-LN(2)/2))/(LN(2)/2)*GH87*GK87*VLOOKUP('Données projet'!$B$17,Paramètres!$A$1:$I$88,3,0)*0.475*44/12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projet'!$B$18,Paramètres!$A$1:$I$88,3,0)*VLOOKUP('Données projet'!$B$18,Paramètres!$A$1:$I$88,5,0)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projet'!$B$18,Paramètres!$A$1:$I$88,7,0))</f>
        <v>0</v>
      </c>
      <c r="HE87" s="17">
        <f>IF(ISNA(VLOOKUP(A87,'Données projet'!$A$269:$I$289,6,0)),0%,VLOOKUP(A87,'Données projet'!$A$269:$I$289,6,0)*VLOOKUP('Données projet'!$B$18,Paramètres!$A$1:$I$88,7,0))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projet'!$B$18,Paramètres!$A$1:$I$88,3,0)*0.475*44/12</f>
        <v>#N/A</v>
      </c>
      <c r="HH87" s="23" t="e">
        <f>EXP(-LN(2)/25)*HH86+(1-EXP(-LN(2)/25))/(LN(2)/25)*Calculateur!HC87*Calculateur!HE87*VLOOKUP('Données projet'!$B$18,Paramètres!$A$1:$I$88,3,0)*0.475*44/12</f>
        <v>#N/A</v>
      </c>
      <c r="HI87" s="23" t="e">
        <f>EXP(-LN(2)/2)*HI86+(1-EXP(-LN(2)/2))/(LN(2)/2)*HC87*HF87*VLOOKUP('Données projet'!$B$18,Paramètres!$A$1:$I$88,3,0)*0.475*44/12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projet'!$B$9,Paramètres!$A$1:$I$88,3,0)*VLOOKUP('Données projet'!$B$9,Paramètres!$A$1:$I$88,5,0)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175.05987582828078</v>
      </c>
      <c r="T88" s="62">
        <f t="shared" si="88"/>
        <v>268.54782308462387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projet'!$B$9,Paramètres!$A$1:$I$88,7,0))</f>
        <v>0</v>
      </c>
      <c r="X88" s="17">
        <f>IF(ISNA(VLOOKUP(A88,'Données projet'!$A$35:$I$55,6,0)),0%,VLOOKUP(A88,'Données projet'!$A$35:$I$55,6,0)*VLOOKUP('Données projet'!$B$9,Paramètres!$A$1:$I$88,7,0))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projet'!$B$9,Paramètres!$A$1:$I$88,3,0)*0.475*44/12</f>
        <v>0</v>
      </c>
      <c r="AA88" s="23">
        <f>EXP(-LN(2)/25)*AA87+(1-EXP(-LN(2)/25))/(LN(2)/25)*Calculateur!V88*Calculateur!X88*VLOOKUP('Données projet'!$B$9,Paramètres!$A$1:$I$88,3,0)*0.475*44/12</f>
        <v>2.2406826946522864</v>
      </c>
      <c r="AB88" s="23">
        <f>EXP(-LN(2)/2)*AB87+(1-EXP(-LN(2)/2))/(LN(2)/2)*V88*Y88*VLOOKUP('Données projet'!$B$9,Paramètres!$A$1:$I$88,3,0)*0.475*44/12</f>
        <v>8.7027024887942266E-8</v>
      </c>
      <c r="AC88" s="24">
        <f t="shared" si="57"/>
        <v>2.2406827816793111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15.533333333333333</v>
      </c>
      <c r="AI88" s="14">
        <f>IF('Données projet'!$A$62&gt;35,AI87+AH88-AQ87,IF(A88&lt;'Données projet'!$A$62,$AF$205^A88,IF(A88='Données projet'!$A$62,'Données projet'!$B$62,AI87+AH88-AQ87)))</f>
        <v>837.33333333333235</v>
      </c>
      <c r="AJ88" s="14">
        <f>AI88*VLOOKUP('Données projet'!$B$10,Paramètres!$A$1:$I$88,3,0)*VLOOKUP('Données projet'!$B$10,Paramètres!$A$1:$I$88,5,0)</f>
        <v>402.75733333333289</v>
      </c>
      <c r="AK88" s="14">
        <f t="shared" si="89"/>
        <v>92.335448543161604</v>
      </c>
      <c r="AL88" s="22">
        <f t="shared" si="58"/>
        <v>862.28659510156115</v>
      </c>
      <c r="AM88" s="62">
        <f t="shared" si="59"/>
        <v>1155.6199284348945</v>
      </c>
      <c r="AN88" s="62">
        <f ca="1">AVERAGE(OFFSET($AM$3,0,0,'Données projet'!$E$10+1,1))-AVERAGE(OFFSET($H$3,0,0,'Données projet'!$E$10+1,1))</f>
        <v>576.61210817354549</v>
      </c>
      <c r="AO88" s="62">
        <f t="shared" si="90"/>
        <v>343.9428747444544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projet'!$B$10,Paramètres!$A$1:$I$88,7,0))</f>
        <v>0</v>
      </c>
      <c r="AS88" s="17">
        <f>IF(ISNA(VLOOKUP(A88,'Données projet'!$A$61:$I$81,6,0)),0%,VLOOKUP(A88,'Données projet'!$A$61:$I$81,6,0)*VLOOKUP('Données projet'!$B$10,Paramètres!$A$1:$I$88,7,0))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projet'!$B$10,Paramètres!$A$1:$I$88,3,0)*0.475*44/12</f>
        <v>0</v>
      </c>
      <c r="AV88" s="23">
        <f>EXP(-LN(2)/25)*AV87+(1-EXP(-LN(2)/25))/(LN(2)/25)*Calculateur!AQ88*Calculateur!AS88*VLOOKUP('Données projet'!$B$10,Paramètres!$A$1:$I$88,3,0)*0.475*44/12</f>
        <v>1.2324570352314141</v>
      </c>
      <c r="AW88" s="23">
        <f>EXP(-LN(2)/2)*AW87+(1-EXP(-LN(2)/2))/(LN(2)/2)*AQ88*AT88*VLOOKUP('Données projet'!$B$10,Paramètres!$A$1:$I$88,3,0)*0.475*44/12</f>
        <v>6.1973994029826427E-8</v>
      </c>
      <c r="AX88" s="23">
        <f t="shared" si="60"/>
        <v>1.2324570972054081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-5.6843418860808015E-14</v>
      </c>
      <c r="BE88" s="14">
        <f>BD88*VLOOKUP('Données projet'!$B$11,Paramètres!$A$1:$I$88,3,0)*VLOOKUP('Données projet'!$B$11,Paramètres!$A$1:$I$88,5,0)</f>
        <v>-4.5224624045658861E-14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298.38448036212861</v>
      </c>
      <c r="BJ88" s="62">
        <f t="shared" si="92"/>
        <v>270.4445531106897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projet'!$B$11,Paramètres!$A$1:$I$88,7,0))</f>
        <v>0</v>
      </c>
      <c r="BN88" s="17">
        <f>IF(ISNA(VLOOKUP(A88,'Données projet'!$A$87:$I$107,6,0)),0%,VLOOKUP(A88,'Données projet'!$A$87:$I$107,6,0)*VLOOKUP('Données projet'!$B$11,Paramètres!$A$1:$I$88,7,0))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projet'!$B$11,Paramètres!$A$1:$I$88,3,0)*0.475*44/12</f>
        <v>0</v>
      </c>
      <c r="BQ88" s="23">
        <f>EXP(-LN(2)/25)*BQ87+(1-EXP(-LN(2)/25))/(LN(2)/25)*Calculateur!BL88*Calculateur!BN88*VLOOKUP('Données projet'!$B$11,Paramètres!$A$1:$I$88,3,0)*0.475*44/12</f>
        <v>0</v>
      </c>
      <c r="BR88" s="23">
        <f>EXP(-LN(2)/2)*BR87+(1-EXP(-LN(2)/2))/(LN(2)/2)*BL88*BO88*VLOOKUP('Données projet'!$B$11,Paramètres!$A$1:$I$88,3,0)*0.475*44/12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5.6843418860808015E-14</v>
      </c>
      <c r="BZ88" s="14">
        <f>BY88*VLOOKUP('Données projet'!$B$12,Paramètres!$A$1:$I$88,3,0)*VLOOKUP('Données projet'!$B$12,Paramètres!$A$1:$I$88,5,0)</f>
        <v>4.4337866711430253E-14</v>
      </c>
      <c r="CA88" s="14">
        <f t="shared" si="93"/>
        <v>7.3222115536967035E-13</v>
      </c>
      <c r="CB88" s="22">
        <f t="shared" si="64"/>
        <v>1.3525069634579169E-12</v>
      </c>
      <c r="CC88" s="62">
        <f t="shared" si="65"/>
        <v>293.33333333333468</v>
      </c>
      <c r="CD88" s="62">
        <f ca="1">AVERAGE(OFFSET($CC$3,0,0,'Données projet'!$E$12+1,1))-AVERAGE(OFFSET($H$3,0,0,'Données projet'!$E$12+1,1))</f>
        <v>217.32600829266818</v>
      </c>
      <c r="CE88" s="62">
        <f t="shared" si="94"/>
        <v>208.79744153433245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projet'!$B$12,Paramètres!$A$1:$I$88,7,0))</f>
        <v>0</v>
      </c>
      <c r="CI88" s="17">
        <f>IF(ISNA(VLOOKUP(A88,'Données projet'!$A$113:$I$133,6,0)),0%,VLOOKUP(A88,'Données projet'!$A$113:$I$133,6,0)*VLOOKUP('Données projet'!$B$12,Paramètres!$A$1:$I$88,7,0))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projet'!$B$12,Paramètres!$A$1:$I$88,3,0)*0.475*44/12</f>
        <v>0</v>
      </c>
      <c r="CL88" s="23">
        <f>EXP(-LN(2)/25)*CL87+(1-EXP(-LN(2)/25))/(LN(2)/25)*Calculateur!CG88*Calculateur!CI88*VLOOKUP('Données projet'!$B$12,Paramètres!$A$1:$I$88,3,0)*0.475*44/12</f>
        <v>0</v>
      </c>
      <c r="CM88" s="23">
        <f>EXP(-LN(2)/2)*CM87+(1-EXP(-LN(2)/2))/(LN(2)/2)*CG88*CJ88*VLOOKUP('Données projet'!$B$12,Paramètres!$A$1:$I$88,3,0)*0.475*44/12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-3.4106051316484809E-13</v>
      </c>
      <c r="CU88" s="18">
        <f>CT88*VLOOKUP('Données projet'!$B$13,Paramètres!$A$1:$I$88,3,0)*VLOOKUP('Données projet'!$B$13,Paramètres!$A$1:$I$88,5,0)</f>
        <v>-1.9065282685915009E-13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302.20483575440988</v>
      </c>
      <c r="CZ88" s="62">
        <f t="shared" si="96"/>
        <v>275.32862097158687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projet'!$B$13,Paramètres!$A$1:$I$88,7,0))</f>
        <v>0</v>
      </c>
      <c r="DD88" s="17">
        <f>IF(ISNA(VLOOKUP(A88,'Données projet'!$A$139:$I$159,6,0)),0%,VLOOKUP(A88,'Données projet'!$A$139:$I$159,6,0)*VLOOKUP('Données projet'!$B$13,Paramètres!$A$1:$I$88,7,0))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projet'!$B$13,Paramètres!$A$1:$I$88,3,0)*0.475*44/12</f>
        <v>0</v>
      </c>
      <c r="DG88" s="23">
        <f>EXP(-LN(2)/25)*DG87+(1-EXP(-LN(2)/25))/(LN(2)/25)*Calculateur!DB88*Calculateur!DD88*VLOOKUP('Données projet'!$B$13,Paramètres!$A$1:$I$88,3,0)*0.475*44/12</f>
        <v>3.0093245712123249</v>
      </c>
      <c r="DH88" s="23">
        <f>EXP(-LN(2)/2)*DH87+(1-EXP(-LN(2)/2))/(LN(2)/2)*DB88*DE88*VLOOKUP('Données projet'!$B$13,Paramètres!$A$1:$I$88,3,0)*0.475*44/12</f>
        <v>3.5724130830199568E-8</v>
      </c>
      <c r="DI88" s="24">
        <f t="shared" si="69"/>
        <v>3.0093246069364556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projet'!$B$14,Paramètres!$A$1:$I$88,3,0)*VLOOKUP('Données projet'!$B$14,Paramètres!$A$1:$I$88,5,0)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projet'!$B$14,Paramètres!$A$1:$I$88,7,0))</f>
        <v>0</v>
      </c>
      <c r="DY88" s="17">
        <f>IF(ISNA(VLOOKUP(A88,'Données projet'!$A$165:$I$185,6,0)),0%,VLOOKUP(A88,'Données projet'!$A$165:$I$185,6,0)*VLOOKUP('Données projet'!$B$14,Paramètres!$A$1:$I$88,7,0))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projet'!$B$14,Paramètres!$A$1:$I$88,3,0)*0.475*44/12</f>
        <v>#N/A</v>
      </c>
      <c r="EB88" s="23" t="e">
        <f>EXP(-LN(2)/25)*EB87+(1-EXP(-LN(2)/25))/(LN(2)/25)*Calculateur!DW88*Calculateur!DY88*VLOOKUP('Données projet'!$B$14,Paramètres!$A$1:$I$88,3,0)*0.475*44/12</f>
        <v>#N/A</v>
      </c>
      <c r="EC88" s="23" t="e">
        <f>EXP(-LN(2)/2)*EC87+(1-EXP(-LN(2)/2))/(LN(2)/2)*DW88*DZ88*VLOOKUP('Données projet'!$B$14,Paramètres!$A$1:$I$88,3,0)*0.475*44/12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projet'!$B$15,Paramètres!$A$1:$I$88,3,0)*VLOOKUP('Données projet'!$B$15,Paramètres!$A$1:$I$88,5,0)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projet'!$B$15,Paramètres!$A$1:$I$88,7,0))</f>
        <v>0</v>
      </c>
      <c r="ET88" s="17">
        <f>IF(ISNA(VLOOKUP(A88,'Données projet'!$A$191:$I$211,6,0)),0%,VLOOKUP(A88,'Données projet'!$A$191:$I$211,6,0)*VLOOKUP('Données projet'!$B$15,Paramètres!$A$1:$I$88,7,0))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projet'!$B$15,Paramètres!$A$1:$I$88,3,0)*0.475*44/12</f>
        <v>#N/A</v>
      </c>
      <c r="EW88" s="23" t="e">
        <f>EXP(-LN(2)/25)*EW87+(1-EXP(-LN(2)/25))/(LN(2)/25)*Calculateur!ER88*Calculateur!ET88*VLOOKUP('Données projet'!$B$15,Paramètres!$A$1:$I$88,3,0)*0.475*44/12</f>
        <v>#N/A</v>
      </c>
      <c r="EX88" s="23" t="e">
        <f>EXP(-LN(2)/2)*EX87+(1-EXP(-LN(2)/2))/(LN(2)/2)*ER88*EU88*VLOOKUP('Données projet'!$B$15,Paramètres!$A$1:$I$88,3,0)*0.475*44/12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projet'!$B$16,Paramètres!$A$1:$I$88,3,0)*VLOOKUP('Données projet'!$B$16,Paramètres!$A$1:$I$88,5,0)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projet'!$B$16,Paramètres!$A$1:$I$88,7,0))</f>
        <v>0</v>
      </c>
      <c r="FO88" s="17">
        <f>IF(ISNA(VLOOKUP(A88,'Données projet'!$A$217:$I$237,6,0)),0%,VLOOKUP(A88,'Données projet'!$A$217:$I$237,6,0)*VLOOKUP('Données projet'!$B$16,Paramètres!$A$1:$I$88,7,0))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projet'!$B$16,Paramètres!$A$1:$I$88,3,0)*0.475*44/12</f>
        <v>#N/A</v>
      </c>
      <c r="FR88" s="23" t="e">
        <f>EXP(-LN(2)/25)*FR87+(1-EXP(-LN(2)/25))/(LN(2)/25)*Calculateur!FM88*Calculateur!FO88*VLOOKUP('Données projet'!$B$16,Paramètres!$A$1:$I$88,3,0)*0.475*44/12</f>
        <v>#N/A</v>
      </c>
      <c r="FS88" s="23" t="e">
        <f>EXP(-LN(2)/2)*FS87+(1-EXP(-LN(2)/2))/(LN(2)/2)*FM88*FP88*VLOOKUP('Données projet'!$B$16,Paramètres!$A$1:$I$88,3,0)*0.475*44/12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projet'!$B$17,Paramètres!$A$1:$I$88,3,0)*VLOOKUP('Données projet'!$B$17,Paramètres!$A$1:$I$88,5,0)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projet'!$B$17,Paramètres!$A$1:$I$88,7,0))</f>
        <v>0</v>
      </c>
      <c r="GJ88" s="17">
        <f>IF(ISNA(VLOOKUP(A88,'Données projet'!$A$243:$I$263,6,0)),0%,VLOOKUP(A88,'Données projet'!$A$243:$I$263,6,0)*VLOOKUP('Données projet'!$B$17,Paramètres!$A$1:$I$88,7,0))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projet'!$B$17,Paramètres!$A$1:$I$88,3,0)*0.475*44/12</f>
        <v>#N/A</v>
      </c>
      <c r="GM88" s="23" t="e">
        <f>EXP(-LN(2)/25)*GM87+(1-EXP(-LN(2)/25))/(LN(2)/25)*Calculateur!GH88*Calculateur!GJ88*VLOOKUP('Données projet'!$B$17,Paramètres!$A$1:$I$88,3,0)*0.475*44/12</f>
        <v>#N/A</v>
      </c>
      <c r="GN88" s="23" t="e">
        <f>EXP(-LN(2)/2)*GN87+(1-EXP(-LN(2)/2))/(LN(2)/2)*GH88*GK88*VLOOKUP('Données projet'!$B$17,Paramètres!$A$1:$I$88,3,0)*0.475*44/12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projet'!$B$18,Paramètres!$A$1:$I$88,3,0)*VLOOKUP('Données projet'!$B$18,Paramètres!$A$1:$I$88,5,0)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projet'!$B$18,Paramètres!$A$1:$I$88,7,0))</f>
        <v>0</v>
      </c>
      <c r="HE88" s="17">
        <f>IF(ISNA(VLOOKUP(A88,'Données projet'!$A$269:$I$289,6,0)),0%,VLOOKUP(A88,'Données projet'!$A$269:$I$289,6,0)*VLOOKUP('Données projet'!$B$18,Paramètres!$A$1:$I$88,7,0))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projet'!$B$18,Paramètres!$A$1:$I$88,3,0)*0.475*44/12</f>
        <v>#N/A</v>
      </c>
      <c r="HH88" s="23" t="e">
        <f>EXP(-LN(2)/25)*HH87+(1-EXP(-LN(2)/25))/(LN(2)/25)*Calculateur!HC88*Calculateur!HE88*VLOOKUP('Données projet'!$B$18,Paramètres!$A$1:$I$88,3,0)*0.475*44/12</f>
        <v>#N/A</v>
      </c>
      <c r="HI88" s="23" t="e">
        <f>EXP(-LN(2)/2)*HI87+(1-EXP(-LN(2)/2))/(LN(2)/2)*HC88*HF88*VLOOKUP('Données projet'!$B$18,Paramètres!$A$1:$I$88,3,0)*0.475*44/12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projet'!$B$9,Paramètres!$A$1:$I$88,3,0)*VLOOKUP('Données projet'!$B$9,Paramètres!$A$1:$I$88,5,0)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175.05987582828078</v>
      </c>
      <c r="T89" s="62">
        <f t="shared" si="88"/>
        <v>268.54782308462387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projet'!$B$9,Paramètres!$A$1:$I$88,7,0))</f>
        <v>0</v>
      </c>
      <c r="X89" s="17">
        <f>IF(ISNA(VLOOKUP(A89,'Données projet'!$A$35:$I$55,6,0)),0%,VLOOKUP(A89,'Données projet'!$A$35:$I$55,6,0)*VLOOKUP('Données projet'!$B$9,Paramètres!$A$1:$I$88,7,0))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projet'!$B$9,Paramètres!$A$1:$I$88,3,0)*0.475*44/12</f>
        <v>0</v>
      </c>
      <c r="AA89" s="23">
        <f>EXP(-LN(2)/25)*AA88+(1-EXP(-LN(2)/25))/(LN(2)/25)*Calculateur!V89*Calculateur!X89*VLOOKUP('Données projet'!$B$9,Paramètres!$A$1:$I$88,3,0)*0.475*44/12</f>
        <v>2.1794111085346377</v>
      </c>
      <c r="AB89" s="23">
        <f>EXP(-LN(2)/2)*AB88+(1-EXP(-LN(2)/2))/(LN(2)/2)*V89*Y89*VLOOKUP('Données projet'!$B$9,Paramètres!$A$1:$I$88,3,0)*0.475*44/12</f>
        <v>6.1537399444754417E-8</v>
      </c>
      <c r="AC89" s="24">
        <f t="shared" si="57"/>
        <v>2.1794111700720373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15.533333333333333</v>
      </c>
      <c r="AI89" s="14">
        <f>IF('Données projet'!$A$62&gt;35,AI88+AH89-AQ88,IF(A89&lt;'Données projet'!$A$62,$AF$205^A89,IF(A89='Données projet'!$A$62,'Données projet'!$B$62,AI88+AH89-AQ88)))</f>
        <v>852.86666666666565</v>
      </c>
      <c r="AJ89" s="14">
        <f>AI89*VLOOKUP('Données projet'!$B$10,Paramètres!$A$1:$I$88,3,0)*VLOOKUP('Données projet'!$B$10,Paramètres!$A$1:$I$88,5,0)</f>
        <v>410.22886666666619</v>
      </c>
      <c r="AK89" s="14">
        <f t="shared" si="89"/>
        <v>93.847353583737217</v>
      </c>
      <c r="AL89" s="22">
        <f t="shared" si="58"/>
        <v>877.93275026945264</v>
      </c>
      <c r="AM89" s="62">
        <f t="shared" si="59"/>
        <v>1171.266083602786</v>
      </c>
      <c r="AN89" s="62">
        <f ca="1">AVERAGE(OFFSET($AM$3,0,0,'Données projet'!$E$10+1,1))-AVERAGE(OFFSET($H$3,0,0,'Données projet'!$E$10+1,1))</f>
        <v>576.61210817354549</v>
      </c>
      <c r="AO89" s="62">
        <f t="shared" si="90"/>
        <v>343.9428747444544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projet'!$B$10,Paramètres!$A$1:$I$88,7,0))</f>
        <v>0</v>
      </c>
      <c r="AS89" s="17">
        <f>IF(ISNA(VLOOKUP(A89,'Données projet'!$A$61:$I$81,6,0)),0%,VLOOKUP(A89,'Données projet'!$A$61:$I$81,6,0)*VLOOKUP('Données projet'!$B$10,Paramètres!$A$1:$I$88,7,0))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projet'!$B$10,Paramètres!$A$1:$I$88,3,0)*0.475*44/12</f>
        <v>0</v>
      </c>
      <c r="AV89" s="23">
        <f>EXP(-LN(2)/25)*AV88+(1-EXP(-LN(2)/25))/(LN(2)/25)*Calculateur!AQ89*Calculateur!AS89*VLOOKUP('Données projet'!$B$10,Paramètres!$A$1:$I$88,3,0)*0.475*44/12</f>
        <v>1.1987554327909125</v>
      </c>
      <c r="AW89" s="23">
        <f>EXP(-LN(2)/2)*AW88+(1-EXP(-LN(2)/2))/(LN(2)/2)*AQ89*AT89*VLOOKUP('Données projet'!$B$10,Paramètres!$A$1:$I$88,3,0)*0.475*44/12</f>
        <v>4.3822231435704878E-8</v>
      </c>
      <c r="AX89" s="23">
        <f t="shared" si="60"/>
        <v>1.1987554766131439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-5.6843418860808015E-14</v>
      </c>
      <c r="BE89" s="14">
        <f>BD89*VLOOKUP('Données projet'!$B$11,Paramètres!$A$1:$I$88,3,0)*VLOOKUP('Données projet'!$B$11,Paramètres!$A$1:$I$88,5,0)</f>
        <v>-4.5224624045658861E-14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298.38448036212861</v>
      </c>
      <c r="BJ89" s="62">
        <f t="shared" si="92"/>
        <v>270.4445531106897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projet'!$B$11,Paramètres!$A$1:$I$88,7,0))</f>
        <v>0</v>
      </c>
      <c r="BN89" s="17">
        <f>IF(ISNA(VLOOKUP(A89,'Données projet'!$A$87:$I$107,6,0)),0%,VLOOKUP(A89,'Données projet'!$A$87:$I$107,6,0)*VLOOKUP('Données projet'!$B$11,Paramètres!$A$1:$I$88,7,0))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projet'!$B$11,Paramètres!$A$1:$I$88,3,0)*0.475*44/12</f>
        <v>0</v>
      </c>
      <c r="BQ89" s="23">
        <f>EXP(-LN(2)/25)*BQ88+(1-EXP(-LN(2)/25))/(LN(2)/25)*Calculateur!BL89*Calculateur!BN89*VLOOKUP('Données projet'!$B$11,Paramètres!$A$1:$I$88,3,0)*0.475*44/12</f>
        <v>0</v>
      </c>
      <c r="BR89" s="23">
        <f>EXP(-LN(2)/2)*BR88+(1-EXP(-LN(2)/2))/(LN(2)/2)*BL89*BO89*VLOOKUP('Données projet'!$B$11,Paramètres!$A$1:$I$88,3,0)*0.475*44/12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5.6843418860808015E-14</v>
      </c>
      <c r="BZ89" s="14">
        <f>BY89*VLOOKUP('Données projet'!$B$12,Paramètres!$A$1:$I$88,3,0)*VLOOKUP('Données projet'!$B$12,Paramètres!$A$1:$I$88,5,0)</f>
        <v>4.4337866711430253E-14</v>
      </c>
      <c r="CA89" s="14">
        <f t="shared" si="93"/>
        <v>7.3222115536967035E-13</v>
      </c>
      <c r="CB89" s="22">
        <f t="shared" si="64"/>
        <v>1.3525069634579169E-12</v>
      </c>
      <c r="CC89" s="62">
        <f t="shared" si="65"/>
        <v>293.33333333333468</v>
      </c>
      <c r="CD89" s="62">
        <f ca="1">AVERAGE(OFFSET($CC$3,0,0,'Données projet'!$E$12+1,1))-AVERAGE(OFFSET($H$3,0,0,'Données projet'!$E$12+1,1))</f>
        <v>217.32600829266818</v>
      </c>
      <c r="CE89" s="62">
        <f t="shared" si="94"/>
        <v>208.79744153433245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projet'!$B$12,Paramètres!$A$1:$I$88,7,0))</f>
        <v>0</v>
      </c>
      <c r="CI89" s="17">
        <f>IF(ISNA(VLOOKUP(A89,'Données projet'!$A$113:$I$133,6,0)),0%,VLOOKUP(A89,'Données projet'!$A$113:$I$133,6,0)*VLOOKUP('Données projet'!$B$12,Paramètres!$A$1:$I$88,7,0))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projet'!$B$12,Paramètres!$A$1:$I$88,3,0)*0.475*44/12</f>
        <v>0</v>
      </c>
      <c r="CL89" s="23">
        <f>EXP(-LN(2)/25)*CL88+(1-EXP(-LN(2)/25))/(LN(2)/25)*Calculateur!CG89*Calculateur!CI89*VLOOKUP('Données projet'!$B$12,Paramètres!$A$1:$I$88,3,0)*0.475*44/12</f>
        <v>0</v>
      </c>
      <c r="CM89" s="23">
        <f>EXP(-LN(2)/2)*CM88+(1-EXP(-LN(2)/2))/(LN(2)/2)*CG89*CJ89*VLOOKUP('Données projet'!$B$12,Paramètres!$A$1:$I$88,3,0)*0.475*44/12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-3.4106051316484809E-13</v>
      </c>
      <c r="CU89" s="18">
        <f>CT89*VLOOKUP('Données projet'!$B$13,Paramètres!$A$1:$I$88,3,0)*VLOOKUP('Données projet'!$B$13,Paramètres!$A$1:$I$88,5,0)</f>
        <v>-1.9065282685915009E-13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302.20483575440988</v>
      </c>
      <c r="CZ89" s="62">
        <f t="shared" si="96"/>
        <v>275.32862097158687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projet'!$B$13,Paramètres!$A$1:$I$88,7,0))</f>
        <v>0</v>
      </c>
      <c r="DD89" s="17">
        <f>IF(ISNA(VLOOKUP(A89,'Données projet'!$A$139:$I$159,6,0)),0%,VLOOKUP(A89,'Données projet'!$A$139:$I$159,6,0)*VLOOKUP('Données projet'!$B$13,Paramètres!$A$1:$I$88,7,0))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projet'!$B$13,Paramètres!$A$1:$I$88,3,0)*0.475*44/12</f>
        <v>0</v>
      </c>
      <c r="DG89" s="23">
        <f>EXP(-LN(2)/25)*DG88+(1-EXP(-LN(2)/25))/(LN(2)/25)*Calculateur!DB89*Calculateur!DD89*VLOOKUP('Données projet'!$B$13,Paramètres!$A$1:$I$88,3,0)*0.475*44/12</f>
        <v>2.9270344325590227</v>
      </c>
      <c r="DH89" s="23">
        <f>EXP(-LN(2)/2)*DH88+(1-EXP(-LN(2)/2))/(LN(2)/2)*DB89*DE89*VLOOKUP('Données projet'!$B$13,Paramètres!$A$1:$I$88,3,0)*0.475*44/12</f>
        <v>2.5260775162029523E-8</v>
      </c>
      <c r="DI89" s="24">
        <f t="shared" si="69"/>
        <v>2.927034457819798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projet'!$B$14,Paramètres!$A$1:$I$88,3,0)*VLOOKUP('Données projet'!$B$14,Paramètres!$A$1:$I$88,5,0)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projet'!$B$14,Paramètres!$A$1:$I$88,7,0))</f>
        <v>0</v>
      </c>
      <c r="DY89" s="17">
        <f>IF(ISNA(VLOOKUP(A89,'Données projet'!$A$165:$I$185,6,0)),0%,VLOOKUP(A89,'Données projet'!$A$165:$I$185,6,0)*VLOOKUP('Données projet'!$B$14,Paramètres!$A$1:$I$88,7,0))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projet'!$B$14,Paramètres!$A$1:$I$88,3,0)*0.475*44/12</f>
        <v>#N/A</v>
      </c>
      <c r="EB89" s="23" t="e">
        <f>EXP(-LN(2)/25)*EB88+(1-EXP(-LN(2)/25))/(LN(2)/25)*Calculateur!DW89*Calculateur!DY89*VLOOKUP('Données projet'!$B$14,Paramètres!$A$1:$I$88,3,0)*0.475*44/12</f>
        <v>#N/A</v>
      </c>
      <c r="EC89" s="23" t="e">
        <f>EXP(-LN(2)/2)*EC88+(1-EXP(-LN(2)/2))/(LN(2)/2)*DW89*DZ89*VLOOKUP('Données projet'!$B$14,Paramètres!$A$1:$I$88,3,0)*0.475*44/12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projet'!$B$15,Paramètres!$A$1:$I$88,3,0)*VLOOKUP('Données projet'!$B$15,Paramètres!$A$1:$I$88,5,0)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projet'!$B$15,Paramètres!$A$1:$I$88,7,0))</f>
        <v>0</v>
      </c>
      <c r="ET89" s="17">
        <f>IF(ISNA(VLOOKUP(A89,'Données projet'!$A$191:$I$211,6,0)),0%,VLOOKUP(A89,'Données projet'!$A$191:$I$211,6,0)*VLOOKUP('Données projet'!$B$15,Paramètres!$A$1:$I$88,7,0))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projet'!$B$15,Paramètres!$A$1:$I$88,3,0)*0.475*44/12</f>
        <v>#N/A</v>
      </c>
      <c r="EW89" s="23" t="e">
        <f>EXP(-LN(2)/25)*EW88+(1-EXP(-LN(2)/25))/(LN(2)/25)*Calculateur!ER89*Calculateur!ET89*VLOOKUP('Données projet'!$B$15,Paramètres!$A$1:$I$88,3,0)*0.475*44/12</f>
        <v>#N/A</v>
      </c>
      <c r="EX89" s="23" t="e">
        <f>EXP(-LN(2)/2)*EX88+(1-EXP(-LN(2)/2))/(LN(2)/2)*ER89*EU89*VLOOKUP('Données projet'!$B$15,Paramètres!$A$1:$I$88,3,0)*0.475*44/12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projet'!$B$16,Paramètres!$A$1:$I$88,3,0)*VLOOKUP('Données projet'!$B$16,Paramètres!$A$1:$I$88,5,0)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projet'!$B$16,Paramètres!$A$1:$I$88,7,0))</f>
        <v>0</v>
      </c>
      <c r="FO89" s="17">
        <f>IF(ISNA(VLOOKUP(A89,'Données projet'!$A$217:$I$237,6,0)),0%,VLOOKUP(A89,'Données projet'!$A$217:$I$237,6,0)*VLOOKUP('Données projet'!$B$16,Paramètres!$A$1:$I$88,7,0))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projet'!$B$16,Paramètres!$A$1:$I$88,3,0)*0.475*44/12</f>
        <v>#N/A</v>
      </c>
      <c r="FR89" s="23" t="e">
        <f>EXP(-LN(2)/25)*FR88+(1-EXP(-LN(2)/25))/(LN(2)/25)*Calculateur!FM89*Calculateur!FO89*VLOOKUP('Données projet'!$B$16,Paramètres!$A$1:$I$88,3,0)*0.475*44/12</f>
        <v>#N/A</v>
      </c>
      <c r="FS89" s="23" t="e">
        <f>EXP(-LN(2)/2)*FS88+(1-EXP(-LN(2)/2))/(LN(2)/2)*FM89*FP89*VLOOKUP('Données projet'!$B$16,Paramètres!$A$1:$I$88,3,0)*0.475*44/12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projet'!$B$17,Paramètres!$A$1:$I$88,3,0)*VLOOKUP('Données projet'!$B$17,Paramètres!$A$1:$I$88,5,0)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projet'!$B$17,Paramètres!$A$1:$I$88,7,0))</f>
        <v>0</v>
      </c>
      <c r="GJ89" s="17">
        <f>IF(ISNA(VLOOKUP(A89,'Données projet'!$A$243:$I$263,6,0)),0%,VLOOKUP(A89,'Données projet'!$A$243:$I$263,6,0)*VLOOKUP('Données projet'!$B$17,Paramètres!$A$1:$I$88,7,0))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projet'!$B$17,Paramètres!$A$1:$I$88,3,0)*0.475*44/12</f>
        <v>#N/A</v>
      </c>
      <c r="GM89" s="23" t="e">
        <f>EXP(-LN(2)/25)*GM88+(1-EXP(-LN(2)/25))/(LN(2)/25)*Calculateur!GH89*Calculateur!GJ89*VLOOKUP('Données projet'!$B$17,Paramètres!$A$1:$I$88,3,0)*0.475*44/12</f>
        <v>#N/A</v>
      </c>
      <c r="GN89" s="23" t="e">
        <f>EXP(-LN(2)/2)*GN88+(1-EXP(-LN(2)/2))/(LN(2)/2)*GH89*GK89*VLOOKUP('Données projet'!$B$17,Paramètres!$A$1:$I$88,3,0)*0.475*44/12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projet'!$B$18,Paramètres!$A$1:$I$88,3,0)*VLOOKUP('Données projet'!$B$18,Paramètres!$A$1:$I$88,5,0)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projet'!$B$18,Paramètres!$A$1:$I$88,7,0))</f>
        <v>0</v>
      </c>
      <c r="HE89" s="17">
        <f>IF(ISNA(VLOOKUP(A89,'Données projet'!$A$269:$I$289,6,0)),0%,VLOOKUP(A89,'Données projet'!$A$269:$I$289,6,0)*VLOOKUP('Données projet'!$B$18,Paramètres!$A$1:$I$88,7,0))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projet'!$B$18,Paramètres!$A$1:$I$88,3,0)*0.475*44/12</f>
        <v>#N/A</v>
      </c>
      <c r="HH89" s="23" t="e">
        <f>EXP(-LN(2)/25)*HH88+(1-EXP(-LN(2)/25))/(LN(2)/25)*Calculateur!HC89*Calculateur!HE89*VLOOKUP('Données projet'!$B$18,Paramètres!$A$1:$I$88,3,0)*0.475*44/12</f>
        <v>#N/A</v>
      </c>
      <c r="HI89" s="23" t="e">
        <f>EXP(-LN(2)/2)*HI88+(1-EXP(-LN(2)/2))/(LN(2)/2)*HC89*HF89*VLOOKUP('Données projet'!$B$18,Paramètres!$A$1:$I$88,3,0)*0.475*44/12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projet'!$B$9,Paramètres!$A$1:$I$88,3,0)*VLOOKUP('Données projet'!$B$9,Paramètres!$A$1:$I$88,5,0)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175.05987582828078</v>
      </c>
      <c r="T90" s="62">
        <f t="shared" si="88"/>
        <v>268.54782308462387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projet'!$B$9,Paramètres!$A$1:$I$88,7,0))</f>
        <v>0</v>
      </c>
      <c r="X90" s="17">
        <f>IF(ISNA(VLOOKUP(A90,'Données projet'!$A$35:$I$55,6,0)),0%,VLOOKUP(A90,'Données projet'!$A$35:$I$55,6,0)*VLOOKUP('Données projet'!$B$9,Paramètres!$A$1:$I$88,7,0))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projet'!$B$9,Paramètres!$A$1:$I$88,3,0)*0.475*44/12</f>
        <v>0</v>
      </c>
      <c r="AA90" s="23">
        <f>EXP(-LN(2)/25)*AA89+(1-EXP(-LN(2)/25))/(LN(2)/25)*Calculateur!V90*Calculateur!X90*VLOOKUP('Données projet'!$B$9,Paramètres!$A$1:$I$88,3,0)*0.475*44/12</f>
        <v>2.1198149971615088</v>
      </c>
      <c r="AB90" s="23">
        <f>EXP(-LN(2)/2)*AB89+(1-EXP(-LN(2)/2))/(LN(2)/2)*V90*Y90*VLOOKUP('Données projet'!$B$9,Paramètres!$A$1:$I$88,3,0)*0.475*44/12</f>
        <v>4.3513512443971133E-8</v>
      </c>
      <c r="AC90" s="24">
        <f t="shared" si="57"/>
        <v>2.1198150406750211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15.533333333333333</v>
      </c>
      <c r="AI90" s="14">
        <f>IF('Données projet'!$A$62&gt;35,AI89+AH90-AQ89,IF(A90&lt;'Données projet'!$A$62,$AF$205^A90,IF(A90='Données projet'!$A$62,'Données projet'!$B$62,AI89+AH90-AQ89)))</f>
        <v>868.39999999999895</v>
      </c>
      <c r="AJ90" s="14">
        <f>AI90*VLOOKUP('Données projet'!$B$10,Paramètres!$A$1:$I$88,3,0)*VLOOKUP('Données projet'!$B$10,Paramètres!$A$1:$I$88,5,0)</f>
        <v>417.70039999999949</v>
      </c>
      <c r="AK90" s="14">
        <f t="shared" si="89"/>
        <v>95.356056588915337</v>
      </c>
      <c r="AL90" s="22">
        <f t="shared" si="58"/>
        <v>893.57332855902644</v>
      </c>
      <c r="AM90" s="62">
        <f t="shared" si="59"/>
        <v>1186.9066618923598</v>
      </c>
      <c r="AN90" s="62">
        <f ca="1">AVERAGE(OFFSET($AM$3,0,0,'Données projet'!$E$10+1,1))-AVERAGE(OFFSET($H$3,0,0,'Données projet'!$E$10+1,1))</f>
        <v>576.61210817354549</v>
      </c>
      <c r="AO90" s="62">
        <f t="shared" si="90"/>
        <v>343.9428747444544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projet'!$B$10,Paramètres!$A$1:$I$88,7,0))</f>
        <v>0</v>
      </c>
      <c r="AS90" s="17">
        <f>IF(ISNA(VLOOKUP(A90,'Données projet'!$A$61:$I$81,6,0)),0%,VLOOKUP(A90,'Données projet'!$A$61:$I$81,6,0)*VLOOKUP('Données projet'!$B$10,Paramètres!$A$1:$I$88,7,0))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projet'!$B$10,Paramètres!$A$1:$I$88,3,0)*0.475*44/12</f>
        <v>0</v>
      </c>
      <c r="AV90" s="23">
        <f>EXP(-LN(2)/25)*AV89+(1-EXP(-LN(2)/25))/(LN(2)/25)*Calculateur!AQ90*Calculateur!AS90*VLOOKUP('Données projet'!$B$10,Paramètres!$A$1:$I$88,3,0)*0.475*44/12</f>
        <v>1.1659754024414366</v>
      </c>
      <c r="AW90" s="23">
        <f>EXP(-LN(2)/2)*AW89+(1-EXP(-LN(2)/2))/(LN(2)/2)*AQ90*AT90*VLOOKUP('Données projet'!$B$10,Paramètres!$A$1:$I$88,3,0)*0.475*44/12</f>
        <v>3.0986997014913213E-8</v>
      </c>
      <c r="AX90" s="23">
        <f t="shared" si="60"/>
        <v>1.1659754334284336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-5.6843418860808015E-14</v>
      </c>
      <c r="BE90" s="14">
        <f>BD90*VLOOKUP('Données projet'!$B$11,Paramètres!$A$1:$I$88,3,0)*VLOOKUP('Données projet'!$B$11,Paramètres!$A$1:$I$88,5,0)</f>
        <v>-4.5224624045658861E-14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298.38448036212861</v>
      </c>
      <c r="BJ90" s="62">
        <f t="shared" si="92"/>
        <v>270.4445531106897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projet'!$B$11,Paramètres!$A$1:$I$88,7,0))</f>
        <v>0</v>
      </c>
      <c r="BN90" s="17">
        <f>IF(ISNA(VLOOKUP(A90,'Données projet'!$A$87:$I$107,6,0)),0%,VLOOKUP(A90,'Données projet'!$A$87:$I$107,6,0)*VLOOKUP('Données projet'!$B$11,Paramètres!$A$1:$I$88,7,0))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projet'!$B$11,Paramètres!$A$1:$I$88,3,0)*0.475*44/12</f>
        <v>0</v>
      </c>
      <c r="BQ90" s="23">
        <f>EXP(-LN(2)/25)*BQ89+(1-EXP(-LN(2)/25))/(LN(2)/25)*Calculateur!BL90*Calculateur!BN90*VLOOKUP('Données projet'!$B$11,Paramètres!$A$1:$I$88,3,0)*0.475*44/12</f>
        <v>0</v>
      </c>
      <c r="BR90" s="23">
        <f>EXP(-LN(2)/2)*BR89+(1-EXP(-LN(2)/2))/(LN(2)/2)*BL90*BO90*VLOOKUP('Données projet'!$B$11,Paramètres!$A$1:$I$88,3,0)*0.475*44/12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5.6843418860808015E-14</v>
      </c>
      <c r="BZ90" s="14">
        <f>BY90*VLOOKUP('Données projet'!$B$12,Paramètres!$A$1:$I$88,3,0)*VLOOKUP('Données projet'!$B$12,Paramètres!$A$1:$I$88,5,0)</f>
        <v>4.4337866711430253E-14</v>
      </c>
      <c r="CA90" s="14">
        <f t="shared" si="93"/>
        <v>7.3222115536967035E-13</v>
      </c>
      <c r="CB90" s="22">
        <f t="shared" si="64"/>
        <v>1.3525069634579169E-12</v>
      </c>
      <c r="CC90" s="62">
        <f t="shared" si="65"/>
        <v>293.33333333333468</v>
      </c>
      <c r="CD90" s="62">
        <f ca="1">AVERAGE(OFFSET($CC$3,0,0,'Données projet'!$E$12+1,1))-AVERAGE(OFFSET($H$3,0,0,'Données projet'!$E$12+1,1))</f>
        <v>217.32600829266818</v>
      </c>
      <c r="CE90" s="62">
        <f t="shared" si="94"/>
        <v>208.79744153433245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projet'!$B$12,Paramètres!$A$1:$I$88,7,0))</f>
        <v>0</v>
      </c>
      <c r="CI90" s="17">
        <f>IF(ISNA(VLOOKUP(A90,'Données projet'!$A$113:$I$133,6,0)),0%,VLOOKUP(A90,'Données projet'!$A$113:$I$133,6,0)*VLOOKUP('Données projet'!$B$12,Paramètres!$A$1:$I$88,7,0))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projet'!$B$12,Paramètres!$A$1:$I$88,3,0)*0.475*44/12</f>
        <v>0</v>
      </c>
      <c r="CL90" s="23">
        <f>EXP(-LN(2)/25)*CL89+(1-EXP(-LN(2)/25))/(LN(2)/25)*Calculateur!CG90*Calculateur!CI90*VLOOKUP('Données projet'!$B$12,Paramètres!$A$1:$I$88,3,0)*0.475*44/12</f>
        <v>0</v>
      </c>
      <c r="CM90" s="23">
        <f>EXP(-LN(2)/2)*CM89+(1-EXP(-LN(2)/2))/(LN(2)/2)*CG90*CJ90*VLOOKUP('Données projet'!$B$12,Paramètres!$A$1:$I$88,3,0)*0.475*44/12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-3.4106051316484809E-13</v>
      </c>
      <c r="CU90" s="18">
        <f>CT90*VLOOKUP('Données projet'!$B$13,Paramètres!$A$1:$I$88,3,0)*VLOOKUP('Données projet'!$B$13,Paramètres!$A$1:$I$88,5,0)</f>
        <v>-1.9065282685915009E-13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302.20483575440988</v>
      </c>
      <c r="CZ90" s="62">
        <f t="shared" si="96"/>
        <v>275.32862097158687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projet'!$B$13,Paramètres!$A$1:$I$88,7,0))</f>
        <v>0</v>
      </c>
      <c r="DD90" s="17">
        <f>IF(ISNA(VLOOKUP(A90,'Données projet'!$A$139:$I$159,6,0)),0%,VLOOKUP(A90,'Données projet'!$A$139:$I$159,6,0)*VLOOKUP('Données projet'!$B$13,Paramètres!$A$1:$I$88,7,0))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projet'!$B$13,Paramètres!$A$1:$I$88,3,0)*0.475*44/12</f>
        <v>0</v>
      </c>
      <c r="DG90" s="23">
        <f>EXP(-LN(2)/25)*DG89+(1-EXP(-LN(2)/25))/(LN(2)/25)*Calculateur!DB90*Calculateur!DD90*VLOOKUP('Données projet'!$B$13,Paramètres!$A$1:$I$88,3,0)*0.475*44/12</f>
        <v>2.8469945220746453</v>
      </c>
      <c r="DH90" s="23">
        <f>EXP(-LN(2)/2)*DH89+(1-EXP(-LN(2)/2))/(LN(2)/2)*DB90*DE90*VLOOKUP('Données projet'!$B$13,Paramètres!$A$1:$I$88,3,0)*0.475*44/12</f>
        <v>1.7862065415099784E-8</v>
      </c>
      <c r="DI90" s="24">
        <f t="shared" si="69"/>
        <v>2.8469945399367109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projet'!$B$14,Paramètres!$A$1:$I$88,3,0)*VLOOKUP('Données projet'!$B$14,Paramètres!$A$1:$I$88,5,0)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projet'!$B$14,Paramètres!$A$1:$I$88,7,0))</f>
        <v>0</v>
      </c>
      <c r="DY90" s="17">
        <f>IF(ISNA(VLOOKUP(A90,'Données projet'!$A$165:$I$185,6,0)),0%,VLOOKUP(A90,'Données projet'!$A$165:$I$185,6,0)*VLOOKUP('Données projet'!$B$14,Paramètres!$A$1:$I$88,7,0))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projet'!$B$14,Paramètres!$A$1:$I$88,3,0)*0.475*44/12</f>
        <v>#N/A</v>
      </c>
      <c r="EB90" s="23" t="e">
        <f>EXP(-LN(2)/25)*EB89+(1-EXP(-LN(2)/25))/(LN(2)/25)*Calculateur!DW90*Calculateur!DY90*VLOOKUP('Données projet'!$B$14,Paramètres!$A$1:$I$88,3,0)*0.475*44/12</f>
        <v>#N/A</v>
      </c>
      <c r="EC90" s="23" t="e">
        <f>EXP(-LN(2)/2)*EC89+(1-EXP(-LN(2)/2))/(LN(2)/2)*DW90*DZ90*VLOOKUP('Données projet'!$B$14,Paramètres!$A$1:$I$88,3,0)*0.475*44/12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projet'!$B$15,Paramètres!$A$1:$I$88,3,0)*VLOOKUP('Données projet'!$B$15,Paramètres!$A$1:$I$88,5,0)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projet'!$B$15,Paramètres!$A$1:$I$88,7,0))</f>
        <v>0</v>
      </c>
      <c r="ET90" s="17">
        <f>IF(ISNA(VLOOKUP(A90,'Données projet'!$A$191:$I$211,6,0)),0%,VLOOKUP(A90,'Données projet'!$A$191:$I$211,6,0)*VLOOKUP('Données projet'!$B$15,Paramètres!$A$1:$I$88,7,0))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projet'!$B$15,Paramètres!$A$1:$I$88,3,0)*0.475*44/12</f>
        <v>#N/A</v>
      </c>
      <c r="EW90" s="23" t="e">
        <f>EXP(-LN(2)/25)*EW89+(1-EXP(-LN(2)/25))/(LN(2)/25)*Calculateur!ER90*Calculateur!ET90*VLOOKUP('Données projet'!$B$15,Paramètres!$A$1:$I$88,3,0)*0.475*44/12</f>
        <v>#N/A</v>
      </c>
      <c r="EX90" s="23" t="e">
        <f>EXP(-LN(2)/2)*EX89+(1-EXP(-LN(2)/2))/(LN(2)/2)*ER90*EU90*VLOOKUP('Données projet'!$B$15,Paramètres!$A$1:$I$88,3,0)*0.475*44/12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projet'!$B$16,Paramètres!$A$1:$I$88,3,0)*VLOOKUP('Données projet'!$B$16,Paramètres!$A$1:$I$88,5,0)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projet'!$B$16,Paramètres!$A$1:$I$88,7,0))</f>
        <v>0</v>
      </c>
      <c r="FO90" s="17">
        <f>IF(ISNA(VLOOKUP(A90,'Données projet'!$A$217:$I$237,6,0)),0%,VLOOKUP(A90,'Données projet'!$A$217:$I$237,6,0)*VLOOKUP('Données projet'!$B$16,Paramètres!$A$1:$I$88,7,0))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projet'!$B$16,Paramètres!$A$1:$I$88,3,0)*0.475*44/12</f>
        <v>#N/A</v>
      </c>
      <c r="FR90" s="23" t="e">
        <f>EXP(-LN(2)/25)*FR89+(1-EXP(-LN(2)/25))/(LN(2)/25)*Calculateur!FM90*Calculateur!FO90*VLOOKUP('Données projet'!$B$16,Paramètres!$A$1:$I$88,3,0)*0.475*44/12</f>
        <v>#N/A</v>
      </c>
      <c r="FS90" s="23" t="e">
        <f>EXP(-LN(2)/2)*FS89+(1-EXP(-LN(2)/2))/(LN(2)/2)*FM90*FP90*VLOOKUP('Données projet'!$B$16,Paramètres!$A$1:$I$88,3,0)*0.475*44/12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projet'!$B$17,Paramètres!$A$1:$I$88,3,0)*VLOOKUP('Données projet'!$B$17,Paramètres!$A$1:$I$88,5,0)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projet'!$B$17,Paramètres!$A$1:$I$88,7,0))</f>
        <v>0</v>
      </c>
      <c r="GJ90" s="17">
        <f>IF(ISNA(VLOOKUP(A90,'Données projet'!$A$243:$I$263,6,0)),0%,VLOOKUP(A90,'Données projet'!$A$243:$I$263,6,0)*VLOOKUP('Données projet'!$B$17,Paramètres!$A$1:$I$88,7,0))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projet'!$B$17,Paramètres!$A$1:$I$88,3,0)*0.475*44/12</f>
        <v>#N/A</v>
      </c>
      <c r="GM90" s="23" t="e">
        <f>EXP(-LN(2)/25)*GM89+(1-EXP(-LN(2)/25))/(LN(2)/25)*Calculateur!GH90*Calculateur!GJ90*VLOOKUP('Données projet'!$B$17,Paramètres!$A$1:$I$88,3,0)*0.475*44/12</f>
        <v>#N/A</v>
      </c>
      <c r="GN90" s="23" t="e">
        <f>EXP(-LN(2)/2)*GN89+(1-EXP(-LN(2)/2))/(LN(2)/2)*GH90*GK90*VLOOKUP('Données projet'!$B$17,Paramètres!$A$1:$I$88,3,0)*0.475*44/12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projet'!$B$18,Paramètres!$A$1:$I$88,3,0)*VLOOKUP('Données projet'!$B$18,Paramètres!$A$1:$I$88,5,0)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projet'!$B$18,Paramètres!$A$1:$I$88,7,0))</f>
        <v>0</v>
      </c>
      <c r="HE90" s="17">
        <f>IF(ISNA(VLOOKUP(A90,'Données projet'!$A$269:$I$289,6,0)),0%,VLOOKUP(A90,'Données projet'!$A$269:$I$289,6,0)*VLOOKUP('Données projet'!$B$18,Paramètres!$A$1:$I$88,7,0))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projet'!$B$18,Paramètres!$A$1:$I$88,3,0)*0.475*44/12</f>
        <v>#N/A</v>
      </c>
      <c r="HH90" s="23" t="e">
        <f>EXP(-LN(2)/25)*HH89+(1-EXP(-LN(2)/25))/(LN(2)/25)*Calculateur!HC90*Calculateur!HE90*VLOOKUP('Données projet'!$B$18,Paramètres!$A$1:$I$88,3,0)*0.475*44/12</f>
        <v>#N/A</v>
      </c>
      <c r="HI90" s="23" t="e">
        <f>EXP(-LN(2)/2)*HI89+(1-EXP(-LN(2)/2))/(LN(2)/2)*HC90*HF90*VLOOKUP('Données projet'!$B$18,Paramètres!$A$1:$I$88,3,0)*0.475*44/12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projet'!$B$9,Paramètres!$A$1:$I$88,3,0)*VLOOKUP('Données projet'!$B$9,Paramètres!$A$1:$I$88,5,0)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175.05987582828078</v>
      </c>
      <c r="T91" s="62">
        <f t="shared" si="88"/>
        <v>268.54782308462387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projet'!$B$9,Paramètres!$A$1:$I$88,7,0))</f>
        <v>0</v>
      </c>
      <c r="X91" s="17">
        <f>IF(ISNA(VLOOKUP(A91,'Données projet'!$A$35:$I$55,6,0)),0%,VLOOKUP(A91,'Données projet'!$A$35:$I$55,6,0)*VLOOKUP('Données projet'!$B$9,Paramètres!$A$1:$I$88,7,0))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projet'!$B$9,Paramètres!$A$1:$I$88,3,0)*0.475*44/12</f>
        <v>0</v>
      </c>
      <c r="AA91" s="23">
        <f>EXP(-LN(2)/25)*AA90+(1-EXP(-LN(2)/25))/(LN(2)/25)*Calculateur!V91*Calculateur!X91*VLOOKUP('Données projet'!$B$9,Paramètres!$A$1:$I$88,3,0)*0.475*44/12</f>
        <v>2.0618485445879013</v>
      </c>
      <c r="AB91" s="23">
        <f>EXP(-LN(2)/2)*AB90+(1-EXP(-LN(2)/2))/(LN(2)/2)*V91*Y91*VLOOKUP('Données projet'!$B$9,Paramètres!$A$1:$I$88,3,0)*0.475*44/12</f>
        <v>3.0768699722377209E-8</v>
      </c>
      <c r="AC91" s="24">
        <f t="shared" si="57"/>
        <v>2.0618485753566009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15.533333333333333</v>
      </c>
      <c r="AI91" s="14">
        <f>IF('Données projet'!$A$62&gt;35,AI90+AH91-AQ90,IF(A91&lt;'Données projet'!$A$62,$AF$205^A91,IF(A91='Données projet'!$A$62,'Données projet'!$B$62,AI90+AH91-AQ90)))</f>
        <v>883.93333333333226</v>
      </c>
      <c r="AJ91" s="14">
        <f>AI91*VLOOKUP('Données projet'!$B$10,Paramètres!$A$1:$I$88,3,0)*VLOOKUP('Données projet'!$B$10,Paramètres!$A$1:$I$88,5,0)</f>
        <v>425.17193333333284</v>
      </c>
      <c r="AK91" s="14">
        <f t="shared" si="89"/>
        <v>96.861621441719123</v>
      </c>
      <c r="AL91" s="22">
        <f t="shared" si="58"/>
        <v>909.20844123321547</v>
      </c>
      <c r="AM91" s="62">
        <f t="shared" si="59"/>
        <v>1202.5417745665488</v>
      </c>
      <c r="AN91" s="62">
        <f ca="1">AVERAGE(OFFSET($AM$3,0,0,'Données projet'!$E$10+1,1))-AVERAGE(OFFSET($H$3,0,0,'Données projet'!$E$10+1,1))</f>
        <v>576.61210817354549</v>
      </c>
      <c r="AO91" s="62">
        <f t="shared" si="90"/>
        <v>343.9428747444544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projet'!$B$10,Paramètres!$A$1:$I$88,7,0))</f>
        <v>0</v>
      </c>
      <c r="AS91" s="17">
        <f>IF(ISNA(VLOOKUP(A91,'Données projet'!$A$61:$I$81,6,0)),0%,VLOOKUP(A91,'Données projet'!$A$61:$I$81,6,0)*VLOOKUP('Données projet'!$B$10,Paramètres!$A$1:$I$88,7,0))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projet'!$B$10,Paramètres!$A$1:$I$88,3,0)*0.475*44/12</f>
        <v>0</v>
      </c>
      <c r="AV91" s="23">
        <f>EXP(-LN(2)/25)*AV90+(1-EXP(-LN(2)/25))/(LN(2)/25)*Calculateur!AQ91*Calculateur!AS91*VLOOKUP('Données projet'!$B$10,Paramètres!$A$1:$I$88,3,0)*0.475*44/12</f>
        <v>1.1340917437456939</v>
      </c>
      <c r="AW91" s="23">
        <f>EXP(-LN(2)/2)*AW90+(1-EXP(-LN(2)/2))/(LN(2)/2)*AQ91*AT91*VLOOKUP('Données projet'!$B$10,Paramètres!$A$1:$I$88,3,0)*0.475*44/12</f>
        <v>2.1911115717852439E-8</v>
      </c>
      <c r="AX91" s="23">
        <f t="shared" si="60"/>
        <v>1.1340917656568097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-5.6843418860808015E-14</v>
      </c>
      <c r="BE91" s="14">
        <f>BD91*VLOOKUP('Données projet'!$B$11,Paramètres!$A$1:$I$88,3,0)*VLOOKUP('Données projet'!$B$11,Paramètres!$A$1:$I$88,5,0)</f>
        <v>-4.5224624045658861E-14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298.38448036212861</v>
      </c>
      <c r="BJ91" s="62">
        <f t="shared" si="92"/>
        <v>270.4445531106897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projet'!$B$11,Paramètres!$A$1:$I$88,7,0))</f>
        <v>0</v>
      </c>
      <c r="BN91" s="17">
        <f>IF(ISNA(VLOOKUP(A91,'Données projet'!$A$87:$I$107,6,0)),0%,VLOOKUP(A91,'Données projet'!$A$87:$I$107,6,0)*VLOOKUP('Données projet'!$B$11,Paramètres!$A$1:$I$88,7,0))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projet'!$B$11,Paramètres!$A$1:$I$88,3,0)*0.475*44/12</f>
        <v>0</v>
      </c>
      <c r="BQ91" s="23">
        <f>EXP(-LN(2)/25)*BQ90+(1-EXP(-LN(2)/25))/(LN(2)/25)*Calculateur!BL91*Calculateur!BN91*VLOOKUP('Données projet'!$B$11,Paramètres!$A$1:$I$88,3,0)*0.475*44/12</f>
        <v>0</v>
      </c>
      <c r="BR91" s="23">
        <f>EXP(-LN(2)/2)*BR90+(1-EXP(-LN(2)/2))/(LN(2)/2)*BL91*BO91*VLOOKUP('Données projet'!$B$11,Paramètres!$A$1:$I$88,3,0)*0.475*44/12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5.6843418860808015E-14</v>
      </c>
      <c r="BZ91" s="14">
        <f>BY91*VLOOKUP('Données projet'!$B$12,Paramètres!$A$1:$I$88,3,0)*VLOOKUP('Données projet'!$B$12,Paramètres!$A$1:$I$88,5,0)</f>
        <v>4.4337866711430253E-14</v>
      </c>
      <c r="CA91" s="14">
        <f t="shared" si="93"/>
        <v>7.3222115536967035E-13</v>
      </c>
      <c r="CB91" s="22">
        <f t="shared" si="64"/>
        <v>1.3525069634579169E-12</v>
      </c>
      <c r="CC91" s="62">
        <f t="shared" si="65"/>
        <v>293.33333333333468</v>
      </c>
      <c r="CD91" s="62">
        <f ca="1">AVERAGE(OFFSET($CC$3,0,0,'Données projet'!$E$12+1,1))-AVERAGE(OFFSET($H$3,0,0,'Données projet'!$E$12+1,1))</f>
        <v>217.32600829266818</v>
      </c>
      <c r="CE91" s="62">
        <f t="shared" si="94"/>
        <v>208.79744153433245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projet'!$B$12,Paramètres!$A$1:$I$88,7,0))</f>
        <v>0</v>
      </c>
      <c r="CI91" s="17">
        <f>IF(ISNA(VLOOKUP(A91,'Données projet'!$A$113:$I$133,6,0)),0%,VLOOKUP(A91,'Données projet'!$A$113:$I$133,6,0)*VLOOKUP('Données projet'!$B$12,Paramètres!$A$1:$I$88,7,0))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projet'!$B$12,Paramètres!$A$1:$I$88,3,0)*0.475*44/12</f>
        <v>0</v>
      </c>
      <c r="CL91" s="23">
        <f>EXP(-LN(2)/25)*CL90+(1-EXP(-LN(2)/25))/(LN(2)/25)*Calculateur!CG91*Calculateur!CI91*VLOOKUP('Données projet'!$B$12,Paramètres!$A$1:$I$88,3,0)*0.475*44/12</f>
        <v>0</v>
      </c>
      <c r="CM91" s="23">
        <f>EXP(-LN(2)/2)*CM90+(1-EXP(-LN(2)/2))/(LN(2)/2)*CG91*CJ91*VLOOKUP('Données projet'!$B$12,Paramètres!$A$1:$I$88,3,0)*0.475*44/12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-3.4106051316484809E-13</v>
      </c>
      <c r="CU91" s="18">
        <f>CT91*VLOOKUP('Données projet'!$B$13,Paramètres!$A$1:$I$88,3,0)*VLOOKUP('Données projet'!$B$13,Paramètres!$A$1:$I$88,5,0)</f>
        <v>-1.9065282685915009E-13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302.20483575440988</v>
      </c>
      <c r="CZ91" s="62">
        <f t="shared" si="96"/>
        <v>275.32862097158687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projet'!$B$13,Paramètres!$A$1:$I$88,7,0))</f>
        <v>0</v>
      </c>
      <c r="DD91" s="17">
        <f>IF(ISNA(VLOOKUP(A91,'Données projet'!$A$139:$I$159,6,0)),0%,VLOOKUP(A91,'Données projet'!$A$139:$I$159,6,0)*VLOOKUP('Données projet'!$B$13,Paramètres!$A$1:$I$88,7,0))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projet'!$B$13,Paramètres!$A$1:$I$88,3,0)*0.475*44/12</f>
        <v>0</v>
      </c>
      <c r="DG91" s="23">
        <f>EXP(-LN(2)/25)*DG90+(1-EXP(-LN(2)/25))/(LN(2)/25)*Calculateur!DB91*Calculateur!DD91*VLOOKUP('Données projet'!$B$13,Paramètres!$A$1:$I$88,3,0)*0.475*44/12</f>
        <v>2.769143307151579</v>
      </c>
      <c r="DH91" s="23">
        <f>EXP(-LN(2)/2)*DH90+(1-EXP(-LN(2)/2))/(LN(2)/2)*DB91*DE91*VLOOKUP('Données projet'!$B$13,Paramètres!$A$1:$I$88,3,0)*0.475*44/12</f>
        <v>1.2630387581014761E-8</v>
      </c>
      <c r="DI91" s="24">
        <f t="shared" si="69"/>
        <v>2.7691433197819664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projet'!$B$14,Paramètres!$A$1:$I$88,3,0)*VLOOKUP('Données projet'!$B$14,Paramètres!$A$1:$I$88,5,0)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projet'!$B$14,Paramètres!$A$1:$I$88,7,0))</f>
        <v>0</v>
      </c>
      <c r="DY91" s="17">
        <f>IF(ISNA(VLOOKUP(A91,'Données projet'!$A$165:$I$185,6,0)),0%,VLOOKUP(A91,'Données projet'!$A$165:$I$185,6,0)*VLOOKUP('Données projet'!$B$14,Paramètres!$A$1:$I$88,7,0))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projet'!$B$14,Paramètres!$A$1:$I$88,3,0)*0.475*44/12</f>
        <v>#N/A</v>
      </c>
      <c r="EB91" s="23" t="e">
        <f>EXP(-LN(2)/25)*EB90+(1-EXP(-LN(2)/25))/(LN(2)/25)*Calculateur!DW91*Calculateur!DY91*VLOOKUP('Données projet'!$B$14,Paramètres!$A$1:$I$88,3,0)*0.475*44/12</f>
        <v>#N/A</v>
      </c>
      <c r="EC91" s="23" t="e">
        <f>EXP(-LN(2)/2)*EC90+(1-EXP(-LN(2)/2))/(LN(2)/2)*DW91*DZ91*VLOOKUP('Données projet'!$B$14,Paramètres!$A$1:$I$88,3,0)*0.475*44/12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projet'!$B$15,Paramètres!$A$1:$I$88,3,0)*VLOOKUP('Données projet'!$B$15,Paramètres!$A$1:$I$88,5,0)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projet'!$B$15,Paramètres!$A$1:$I$88,7,0))</f>
        <v>0</v>
      </c>
      <c r="ET91" s="17">
        <f>IF(ISNA(VLOOKUP(A91,'Données projet'!$A$191:$I$211,6,0)),0%,VLOOKUP(A91,'Données projet'!$A$191:$I$211,6,0)*VLOOKUP('Données projet'!$B$15,Paramètres!$A$1:$I$88,7,0))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projet'!$B$15,Paramètres!$A$1:$I$88,3,0)*0.475*44/12</f>
        <v>#N/A</v>
      </c>
      <c r="EW91" s="23" t="e">
        <f>EXP(-LN(2)/25)*EW90+(1-EXP(-LN(2)/25))/(LN(2)/25)*Calculateur!ER91*Calculateur!ET91*VLOOKUP('Données projet'!$B$15,Paramètres!$A$1:$I$88,3,0)*0.475*44/12</f>
        <v>#N/A</v>
      </c>
      <c r="EX91" s="23" t="e">
        <f>EXP(-LN(2)/2)*EX90+(1-EXP(-LN(2)/2))/(LN(2)/2)*ER91*EU91*VLOOKUP('Données projet'!$B$15,Paramètres!$A$1:$I$88,3,0)*0.475*44/12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projet'!$B$16,Paramètres!$A$1:$I$88,3,0)*VLOOKUP('Données projet'!$B$16,Paramètres!$A$1:$I$88,5,0)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projet'!$B$16,Paramètres!$A$1:$I$88,7,0))</f>
        <v>0</v>
      </c>
      <c r="FO91" s="17">
        <f>IF(ISNA(VLOOKUP(A91,'Données projet'!$A$217:$I$237,6,0)),0%,VLOOKUP(A91,'Données projet'!$A$217:$I$237,6,0)*VLOOKUP('Données projet'!$B$16,Paramètres!$A$1:$I$88,7,0))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projet'!$B$16,Paramètres!$A$1:$I$88,3,0)*0.475*44/12</f>
        <v>#N/A</v>
      </c>
      <c r="FR91" s="23" t="e">
        <f>EXP(-LN(2)/25)*FR90+(1-EXP(-LN(2)/25))/(LN(2)/25)*Calculateur!FM91*Calculateur!FO91*VLOOKUP('Données projet'!$B$16,Paramètres!$A$1:$I$88,3,0)*0.475*44/12</f>
        <v>#N/A</v>
      </c>
      <c r="FS91" s="23" t="e">
        <f>EXP(-LN(2)/2)*FS90+(1-EXP(-LN(2)/2))/(LN(2)/2)*FM91*FP91*VLOOKUP('Données projet'!$B$16,Paramètres!$A$1:$I$88,3,0)*0.475*44/12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projet'!$B$17,Paramètres!$A$1:$I$88,3,0)*VLOOKUP('Données projet'!$B$17,Paramètres!$A$1:$I$88,5,0)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projet'!$B$17,Paramètres!$A$1:$I$88,7,0))</f>
        <v>0</v>
      </c>
      <c r="GJ91" s="17">
        <f>IF(ISNA(VLOOKUP(A91,'Données projet'!$A$243:$I$263,6,0)),0%,VLOOKUP(A91,'Données projet'!$A$243:$I$263,6,0)*VLOOKUP('Données projet'!$B$17,Paramètres!$A$1:$I$88,7,0))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projet'!$B$17,Paramètres!$A$1:$I$88,3,0)*0.475*44/12</f>
        <v>#N/A</v>
      </c>
      <c r="GM91" s="23" t="e">
        <f>EXP(-LN(2)/25)*GM90+(1-EXP(-LN(2)/25))/(LN(2)/25)*Calculateur!GH91*Calculateur!GJ91*VLOOKUP('Données projet'!$B$17,Paramètres!$A$1:$I$88,3,0)*0.475*44/12</f>
        <v>#N/A</v>
      </c>
      <c r="GN91" s="23" t="e">
        <f>EXP(-LN(2)/2)*GN90+(1-EXP(-LN(2)/2))/(LN(2)/2)*GH91*GK91*VLOOKUP('Données projet'!$B$17,Paramètres!$A$1:$I$88,3,0)*0.475*44/12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projet'!$B$18,Paramètres!$A$1:$I$88,3,0)*VLOOKUP('Données projet'!$B$18,Paramètres!$A$1:$I$88,5,0)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projet'!$B$18,Paramètres!$A$1:$I$88,7,0))</f>
        <v>0</v>
      </c>
      <c r="HE91" s="17">
        <f>IF(ISNA(VLOOKUP(A91,'Données projet'!$A$269:$I$289,6,0)),0%,VLOOKUP(A91,'Données projet'!$A$269:$I$289,6,0)*VLOOKUP('Données projet'!$B$18,Paramètres!$A$1:$I$88,7,0))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projet'!$B$18,Paramètres!$A$1:$I$88,3,0)*0.475*44/12</f>
        <v>#N/A</v>
      </c>
      <c r="HH91" s="23" t="e">
        <f>EXP(-LN(2)/25)*HH90+(1-EXP(-LN(2)/25))/(LN(2)/25)*Calculateur!HC91*Calculateur!HE91*VLOOKUP('Données projet'!$B$18,Paramètres!$A$1:$I$88,3,0)*0.475*44/12</f>
        <v>#N/A</v>
      </c>
      <c r="HI91" s="23" t="e">
        <f>EXP(-LN(2)/2)*HI90+(1-EXP(-LN(2)/2))/(LN(2)/2)*HC91*HF91*VLOOKUP('Données projet'!$B$18,Paramètres!$A$1:$I$88,3,0)*0.475*44/12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projet'!$B$9,Paramètres!$A$1:$I$88,3,0)*VLOOKUP('Données projet'!$B$9,Paramètres!$A$1:$I$88,5,0)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175.05987582828078</v>
      </c>
      <c r="T92" s="62">
        <f t="shared" si="88"/>
        <v>268.54782308462387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projet'!$B$9,Paramètres!$A$1:$I$88,7,0))</f>
        <v>0</v>
      </c>
      <c r="X92" s="17">
        <f>IF(ISNA(VLOOKUP(A92,'Données projet'!$A$35:$I$55,6,0)),0%,VLOOKUP(A92,'Données projet'!$A$35:$I$55,6,0)*VLOOKUP('Données projet'!$B$9,Paramètres!$A$1:$I$88,7,0))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projet'!$B$9,Paramètres!$A$1:$I$88,3,0)*0.475*44/12</f>
        <v>0</v>
      </c>
      <c r="AA92" s="23">
        <f>EXP(-LN(2)/25)*AA91+(1-EXP(-LN(2)/25))/(LN(2)/25)*Calculateur!V92*Calculateur!X92*VLOOKUP('Données projet'!$B$9,Paramètres!$A$1:$I$88,3,0)*0.475*44/12</f>
        <v>2.0054671877082426</v>
      </c>
      <c r="AB92" s="23">
        <f>EXP(-LN(2)/2)*AB91+(1-EXP(-LN(2)/2))/(LN(2)/2)*V92*Y92*VLOOKUP('Données projet'!$B$9,Paramètres!$A$1:$I$88,3,0)*0.475*44/12</f>
        <v>2.1756756221985567E-8</v>
      </c>
      <c r="AC92" s="24">
        <f t="shared" si="57"/>
        <v>2.005467209464999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15.533333333333333</v>
      </c>
      <c r="AI92" s="14">
        <f>IF('Données projet'!$A$62&gt;35,AI91+AH92-AQ91,IF(A92&lt;'Données projet'!$A$62,$AF$205^A92,IF(A92='Données projet'!$A$62,'Données projet'!$B$62,AI91+AH92-AQ91)))</f>
        <v>899.46666666666556</v>
      </c>
      <c r="AJ92" s="14">
        <f>AI92*VLOOKUP('Données projet'!$B$10,Paramètres!$A$1:$I$88,3,0)*VLOOKUP('Données projet'!$B$10,Paramètres!$A$1:$I$88,5,0)</f>
        <v>432.64346666666614</v>
      </c>
      <c r="AK92" s="14">
        <f t="shared" si="89"/>
        <v>98.364109651333663</v>
      </c>
      <c r="AL92" s="22">
        <f t="shared" si="58"/>
        <v>924.8381954205164</v>
      </c>
      <c r="AM92" s="62">
        <f t="shared" si="59"/>
        <v>1218.1715287538498</v>
      </c>
      <c r="AN92" s="62">
        <f ca="1">AVERAGE(OFFSET($AM$3,0,0,'Données projet'!$E$10+1,1))-AVERAGE(OFFSET($H$3,0,0,'Données projet'!$E$10+1,1))</f>
        <v>576.61210817354549</v>
      </c>
      <c r="AO92" s="62">
        <f t="shared" si="90"/>
        <v>343.9428747444544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projet'!$B$10,Paramètres!$A$1:$I$88,7,0))</f>
        <v>0</v>
      </c>
      <c r="AS92" s="17">
        <f>IF(ISNA(VLOOKUP(A92,'Données projet'!$A$61:$I$81,6,0)),0%,VLOOKUP(A92,'Données projet'!$A$61:$I$81,6,0)*VLOOKUP('Données projet'!$B$10,Paramètres!$A$1:$I$88,7,0))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projet'!$B$10,Paramètres!$A$1:$I$88,3,0)*0.475*44/12</f>
        <v>0</v>
      </c>
      <c r="AV92" s="23">
        <f>EXP(-LN(2)/25)*AV91+(1-EXP(-LN(2)/25))/(LN(2)/25)*Calculateur!AQ92*Calculateur!AS92*VLOOKUP('Données projet'!$B$10,Paramètres!$A$1:$I$88,3,0)*0.475*44/12</f>
        <v>1.103079945373675</v>
      </c>
      <c r="AW92" s="23">
        <f>EXP(-LN(2)/2)*AW91+(1-EXP(-LN(2)/2))/(LN(2)/2)*AQ92*AT92*VLOOKUP('Données projet'!$B$10,Paramètres!$A$1:$I$88,3,0)*0.475*44/12</f>
        <v>1.5493498507456607E-8</v>
      </c>
      <c r="AX92" s="23">
        <f t="shared" si="60"/>
        <v>1.1030799608671735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-5.6843418860808015E-14</v>
      </c>
      <c r="BE92" s="14">
        <f>BD92*VLOOKUP('Données projet'!$B$11,Paramètres!$A$1:$I$88,3,0)*VLOOKUP('Données projet'!$B$11,Paramètres!$A$1:$I$88,5,0)</f>
        <v>-4.5224624045658861E-14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298.38448036212861</v>
      </c>
      <c r="BJ92" s="62">
        <f t="shared" si="92"/>
        <v>270.4445531106897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projet'!$B$11,Paramètres!$A$1:$I$88,7,0))</f>
        <v>0</v>
      </c>
      <c r="BN92" s="17">
        <f>IF(ISNA(VLOOKUP(A92,'Données projet'!$A$87:$I$107,6,0)),0%,VLOOKUP(A92,'Données projet'!$A$87:$I$107,6,0)*VLOOKUP('Données projet'!$B$11,Paramètres!$A$1:$I$88,7,0))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projet'!$B$11,Paramètres!$A$1:$I$88,3,0)*0.475*44/12</f>
        <v>0</v>
      </c>
      <c r="BQ92" s="23">
        <f>EXP(-LN(2)/25)*BQ91+(1-EXP(-LN(2)/25))/(LN(2)/25)*Calculateur!BL92*Calculateur!BN92*VLOOKUP('Données projet'!$B$11,Paramètres!$A$1:$I$88,3,0)*0.475*44/12</f>
        <v>0</v>
      </c>
      <c r="BR92" s="23">
        <f>EXP(-LN(2)/2)*BR91+(1-EXP(-LN(2)/2))/(LN(2)/2)*BL92*BO92*VLOOKUP('Données projet'!$B$11,Paramètres!$A$1:$I$88,3,0)*0.475*44/12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5.6843418860808015E-14</v>
      </c>
      <c r="BZ92" s="14">
        <f>BY92*VLOOKUP('Données projet'!$B$12,Paramètres!$A$1:$I$88,3,0)*VLOOKUP('Données projet'!$B$12,Paramètres!$A$1:$I$88,5,0)</f>
        <v>4.4337866711430253E-14</v>
      </c>
      <c r="CA92" s="14">
        <f t="shared" si="93"/>
        <v>7.3222115536967035E-13</v>
      </c>
      <c r="CB92" s="22">
        <f t="shared" si="64"/>
        <v>1.3525069634579169E-12</v>
      </c>
      <c r="CC92" s="62">
        <f t="shared" si="65"/>
        <v>293.33333333333468</v>
      </c>
      <c r="CD92" s="62">
        <f ca="1">AVERAGE(OFFSET($CC$3,0,0,'Données projet'!$E$12+1,1))-AVERAGE(OFFSET($H$3,0,0,'Données projet'!$E$12+1,1))</f>
        <v>217.32600829266818</v>
      </c>
      <c r="CE92" s="62">
        <f t="shared" si="94"/>
        <v>208.79744153433245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projet'!$B$12,Paramètres!$A$1:$I$88,7,0))</f>
        <v>0</v>
      </c>
      <c r="CI92" s="17">
        <f>IF(ISNA(VLOOKUP(A92,'Données projet'!$A$113:$I$133,6,0)),0%,VLOOKUP(A92,'Données projet'!$A$113:$I$133,6,0)*VLOOKUP('Données projet'!$B$12,Paramètres!$A$1:$I$88,7,0))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projet'!$B$12,Paramètres!$A$1:$I$88,3,0)*0.475*44/12</f>
        <v>0</v>
      </c>
      <c r="CL92" s="23">
        <f>EXP(-LN(2)/25)*CL91+(1-EXP(-LN(2)/25))/(LN(2)/25)*Calculateur!CG92*Calculateur!CI92*VLOOKUP('Données projet'!$B$12,Paramètres!$A$1:$I$88,3,0)*0.475*44/12</f>
        <v>0</v>
      </c>
      <c r="CM92" s="23">
        <f>EXP(-LN(2)/2)*CM91+(1-EXP(-LN(2)/2))/(LN(2)/2)*CG92*CJ92*VLOOKUP('Données projet'!$B$12,Paramètres!$A$1:$I$88,3,0)*0.475*44/12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-3.4106051316484809E-13</v>
      </c>
      <c r="CU92" s="18">
        <f>CT92*VLOOKUP('Données projet'!$B$13,Paramètres!$A$1:$I$88,3,0)*VLOOKUP('Données projet'!$B$13,Paramètres!$A$1:$I$88,5,0)</f>
        <v>-1.9065282685915009E-13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302.20483575440988</v>
      </c>
      <c r="CZ92" s="62">
        <f t="shared" si="96"/>
        <v>275.32862097158687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projet'!$B$13,Paramètres!$A$1:$I$88,7,0))</f>
        <v>0</v>
      </c>
      <c r="DD92" s="17">
        <f>IF(ISNA(VLOOKUP(A92,'Données projet'!$A$139:$I$159,6,0)),0%,VLOOKUP(A92,'Données projet'!$A$139:$I$159,6,0)*VLOOKUP('Données projet'!$B$13,Paramètres!$A$1:$I$88,7,0))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projet'!$B$13,Paramètres!$A$1:$I$88,3,0)*0.475*44/12</f>
        <v>0</v>
      </c>
      <c r="DG92" s="23">
        <f>EXP(-LN(2)/25)*DG91+(1-EXP(-LN(2)/25))/(LN(2)/25)*Calculateur!DB92*Calculateur!DD92*VLOOKUP('Données projet'!$B$13,Paramètres!$A$1:$I$88,3,0)*0.475*44/12</f>
        <v>2.6934209377946017</v>
      </c>
      <c r="DH92" s="23">
        <f>EXP(-LN(2)/2)*DH91+(1-EXP(-LN(2)/2))/(LN(2)/2)*DB92*DE92*VLOOKUP('Données projet'!$B$13,Paramètres!$A$1:$I$88,3,0)*0.475*44/12</f>
        <v>8.9310327075498921E-9</v>
      </c>
      <c r="DI92" s="24">
        <f t="shared" si="69"/>
        <v>2.6934209467256345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projet'!$B$14,Paramètres!$A$1:$I$88,3,0)*VLOOKUP('Données projet'!$B$14,Paramètres!$A$1:$I$88,5,0)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projet'!$B$14,Paramètres!$A$1:$I$88,7,0))</f>
        <v>0</v>
      </c>
      <c r="DY92" s="17">
        <f>IF(ISNA(VLOOKUP(A92,'Données projet'!$A$165:$I$185,6,0)),0%,VLOOKUP(A92,'Données projet'!$A$165:$I$185,6,0)*VLOOKUP('Données projet'!$B$14,Paramètres!$A$1:$I$88,7,0))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projet'!$B$14,Paramètres!$A$1:$I$88,3,0)*0.475*44/12</f>
        <v>#N/A</v>
      </c>
      <c r="EB92" s="23" t="e">
        <f>EXP(-LN(2)/25)*EB91+(1-EXP(-LN(2)/25))/(LN(2)/25)*Calculateur!DW92*Calculateur!DY92*VLOOKUP('Données projet'!$B$14,Paramètres!$A$1:$I$88,3,0)*0.475*44/12</f>
        <v>#N/A</v>
      </c>
      <c r="EC92" s="23" t="e">
        <f>EXP(-LN(2)/2)*EC91+(1-EXP(-LN(2)/2))/(LN(2)/2)*DW92*DZ92*VLOOKUP('Données projet'!$B$14,Paramètres!$A$1:$I$88,3,0)*0.475*44/12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projet'!$B$15,Paramètres!$A$1:$I$88,3,0)*VLOOKUP('Données projet'!$B$15,Paramètres!$A$1:$I$88,5,0)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projet'!$B$15,Paramètres!$A$1:$I$88,7,0))</f>
        <v>0</v>
      </c>
      <c r="ET92" s="17">
        <f>IF(ISNA(VLOOKUP(A92,'Données projet'!$A$191:$I$211,6,0)),0%,VLOOKUP(A92,'Données projet'!$A$191:$I$211,6,0)*VLOOKUP('Données projet'!$B$15,Paramètres!$A$1:$I$88,7,0))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projet'!$B$15,Paramètres!$A$1:$I$88,3,0)*0.475*44/12</f>
        <v>#N/A</v>
      </c>
      <c r="EW92" s="23" t="e">
        <f>EXP(-LN(2)/25)*EW91+(1-EXP(-LN(2)/25))/(LN(2)/25)*Calculateur!ER92*Calculateur!ET92*VLOOKUP('Données projet'!$B$15,Paramètres!$A$1:$I$88,3,0)*0.475*44/12</f>
        <v>#N/A</v>
      </c>
      <c r="EX92" s="23" t="e">
        <f>EXP(-LN(2)/2)*EX91+(1-EXP(-LN(2)/2))/(LN(2)/2)*ER92*EU92*VLOOKUP('Données projet'!$B$15,Paramètres!$A$1:$I$88,3,0)*0.475*44/12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projet'!$B$16,Paramètres!$A$1:$I$88,3,0)*VLOOKUP('Données projet'!$B$16,Paramètres!$A$1:$I$88,5,0)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projet'!$B$16,Paramètres!$A$1:$I$88,7,0))</f>
        <v>0</v>
      </c>
      <c r="FO92" s="17">
        <f>IF(ISNA(VLOOKUP(A92,'Données projet'!$A$217:$I$237,6,0)),0%,VLOOKUP(A92,'Données projet'!$A$217:$I$237,6,0)*VLOOKUP('Données projet'!$B$16,Paramètres!$A$1:$I$88,7,0))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projet'!$B$16,Paramètres!$A$1:$I$88,3,0)*0.475*44/12</f>
        <v>#N/A</v>
      </c>
      <c r="FR92" s="23" t="e">
        <f>EXP(-LN(2)/25)*FR91+(1-EXP(-LN(2)/25))/(LN(2)/25)*Calculateur!FM92*Calculateur!FO92*VLOOKUP('Données projet'!$B$16,Paramètres!$A$1:$I$88,3,0)*0.475*44/12</f>
        <v>#N/A</v>
      </c>
      <c r="FS92" s="23" t="e">
        <f>EXP(-LN(2)/2)*FS91+(1-EXP(-LN(2)/2))/(LN(2)/2)*FM92*FP92*VLOOKUP('Données projet'!$B$16,Paramètres!$A$1:$I$88,3,0)*0.475*44/12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projet'!$B$17,Paramètres!$A$1:$I$88,3,0)*VLOOKUP('Données projet'!$B$17,Paramètres!$A$1:$I$88,5,0)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projet'!$B$17,Paramètres!$A$1:$I$88,7,0))</f>
        <v>0</v>
      </c>
      <c r="GJ92" s="17">
        <f>IF(ISNA(VLOOKUP(A92,'Données projet'!$A$243:$I$263,6,0)),0%,VLOOKUP(A92,'Données projet'!$A$243:$I$263,6,0)*VLOOKUP('Données projet'!$B$17,Paramètres!$A$1:$I$88,7,0))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projet'!$B$17,Paramètres!$A$1:$I$88,3,0)*0.475*44/12</f>
        <v>#N/A</v>
      </c>
      <c r="GM92" s="23" t="e">
        <f>EXP(-LN(2)/25)*GM91+(1-EXP(-LN(2)/25))/(LN(2)/25)*Calculateur!GH92*Calculateur!GJ92*VLOOKUP('Données projet'!$B$17,Paramètres!$A$1:$I$88,3,0)*0.475*44/12</f>
        <v>#N/A</v>
      </c>
      <c r="GN92" s="23" t="e">
        <f>EXP(-LN(2)/2)*GN91+(1-EXP(-LN(2)/2))/(LN(2)/2)*GH92*GK92*VLOOKUP('Données projet'!$B$17,Paramètres!$A$1:$I$88,3,0)*0.475*44/12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projet'!$B$18,Paramètres!$A$1:$I$88,3,0)*VLOOKUP('Données projet'!$B$18,Paramètres!$A$1:$I$88,5,0)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projet'!$B$18,Paramètres!$A$1:$I$88,7,0))</f>
        <v>0</v>
      </c>
      <c r="HE92" s="17">
        <f>IF(ISNA(VLOOKUP(A92,'Données projet'!$A$269:$I$289,6,0)),0%,VLOOKUP(A92,'Données projet'!$A$269:$I$289,6,0)*VLOOKUP('Données projet'!$B$18,Paramètres!$A$1:$I$88,7,0))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projet'!$B$18,Paramètres!$A$1:$I$88,3,0)*0.475*44/12</f>
        <v>#N/A</v>
      </c>
      <c r="HH92" s="23" t="e">
        <f>EXP(-LN(2)/25)*HH91+(1-EXP(-LN(2)/25))/(LN(2)/25)*Calculateur!HC92*Calculateur!HE92*VLOOKUP('Données projet'!$B$18,Paramètres!$A$1:$I$88,3,0)*0.475*44/12</f>
        <v>#N/A</v>
      </c>
      <c r="HI92" s="23" t="e">
        <f>EXP(-LN(2)/2)*HI91+(1-EXP(-LN(2)/2))/(LN(2)/2)*HC92*HF92*VLOOKUP('Données projet'!$B$18,Paramètres!$A$1:$I$88,3,0)*0.475*44/12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projet'!$B$9,Paramètres!$A$1:$I$88,3,0)*VLOOKUP('Données projet'!$B$9,Paramètres!$A$1:$I$88,5,0)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175.05987582828078</v>
      </c>
      <c r="T93" s="62">
        <f t="shared" si="88"/>
        <v>268.54782308462387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projet'!$B$9,Paramètres!$A$1:$I$88,7,0))</f>
        <v>0</v>
      </c>
      <c r="X93" s="17">
        <f>IF(ISNA(VLOOKUP(A93,'Données projet'!$A$35:$I$55,6,0)),0%,VLOOKUP(A93,'Données projet'!$A$35:$I$55,6,0)*VLOOKUP('Données projet'!$B$9,Paramètres!$A$1:$I$88,7,0))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projet'!$B$9,Paramètres!$A$1:$I$88,3,0)*0.475*44/12</f>
        <v>0</v>
      </c>
      <c r="AA93" s="23">
        <f>EXP(-LN(2)/25)*AA92+(1-EXP(-LN(2)/25))/(LN(2)/25)*Calculateur!V93*Calculateur!X93*VLOOKUP('Données projet'!$B$9,Paramètres!$A$1:$I$88,3,0)*0.475*44/12</f>
        <v>1.9506275819974248</v>
      </c>
      <c r="AB93" s="23">
        <f>EXP(-LN(2)/2)*AB92+(1-EXP(-LN(2)/2))/(LN(2)/2)*V93*Y93*VLOOKUP('Données projet'!$B$9,Paramètres!$A$1:$I$88,3,0)*0.475*44/12</f>
        <v>1.5384349861188604E-8</v>
      </c>
      <c r="AC93" s="24">
        <f t="shared" si="57"/>
        <v>1.9506275973817746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915</v>
      </c>
      <c r="AG93" s="13">
        <f>VLOOKUP(A93,'Données projet'!$A$61:$I$81,9,0)</f>
        <v>15.533333333333333</v>
      </c>
      <c r="AH93" s="13">
        <f t="array" ref="AH93">INDEX(AG:AG,MIN(IF(ISNUMBER(AG93:AG289),ROW(AG93:AG289),"")))</f>
        <v>15.533333333333333</v>
      </c>
      <c r="AI93" s="14">
        <f>IF('Données projet'!$A$62&gt;35,AI92+AH93-AQ92,IF(A93&lt;'Données projet'!$A$62,$AF$205^A93,IF(A93='Données projet'!$A$62,'Données projet'!$B$62,AI92+AH93-AQ92)))</f>
        <v>914.99999999999886</v>
      </c>
      <c r="AJ93" s="14">
        <f>AI93*VLOOKUP('Données projet'!$B$10,Paramètres!$A$1:$I$88,3,0)*VLOOKUP('Données projet'!$B$10,Paramètres!$A$1:$I$88,5,0)</f>
        <v>440.11499999999944</v>
      </c>
      <c r="AK93" s="14">
        <f t="shared" si="89"/>
        <v>99.863580480759012</v>
      </c>
      <c r="AL93" s="22">
        <f t="shared" si="58"/>
        <v>940.46269433732095</v>
      </c>
      <c r="AM93" s="62">
        <f t="shared" si="59"/>
        <v>1233.7960276706542</v>
      </c>
      <c r="AN93" s="62">
        <f ca="1">AVERAGE(OFFSET($AM$3,0,0,'Données projet'!$E$10+1,1))-AVERAGE(OFFSET($H$3,0,0,'Données projet'!$E$10+1,1))</f>
        <v>576.61210817354549</v>
      </c>
      <c r="AO93" s="62">
        <f t="shared" si="90"/>
        <v>343.9428747444544</v>
      </c>
      <c r="AP93" s="16">
        <f>IF(ISNA(VLOOKUP(A93,'Données projet'!$A$61:$I$81,3,0)),0,VLOOKUP(A93,'Données projet'!$A$61:$I$81,3,0))</f>
        <v>5</v>
      </c>
      <c r="AQ93" s="16">
        <f>IF(ISNA(VLOOKUP(A93,'Données projet'!$A$61:$I$81,4,0)),0,VLOOKUP(A93,'Données projet'!$A$61:$I$81,4,0))</f>
        <v>143</v>
      </c>
      <c r="AR93" s="17">
        <f>IF(ISNA(VLOOKUP(A93,'Données projet'!$A$61:$I$81,5,0)),0%,VLOOKUP(A93,'Données projet'!$A$61:$I$81,5,0)*VLOOKUP('Données projet'!$B$10,Paramètres!$A$1:$I$88,7,0))</f>
        <v>0</v>
      </c>
      <c r="AS93" s="17">
        <f>IF(ISNA(VLOOKUP(A93,'Données projet'!$A$61:$I$81,6,0)),0%,VLOOKUP(A93,'Données projet'!$A$61:$I$81,6,0)*VLOOKUP('Données projet'!$B$10,Paramètres!$A$1:$I$88,7,0))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projet'!$B$10,Paramètres!$A$1:$I$88,3,0)*0.475*44/12</f>
        <v>0</v>
      </c>
      <c r="AV93" s="23">
        <f>EXP(-LN(2)/25)*AV92+(1-EXP(-LN(2)/25))/(LN(2)/25)*Calculateur!AQ93*Calculateur!AS93*VLOOKUP('Données projet'!$B$10,Paramètres!$A$1:$I$88,3,0)*0.475*44/12</f>
        <v>1.0729161662589788</v>
      </c>
      <c r="AW93" s="23">
        <f>EXP(-LN(2)/2)*AW92+(1-EXP(-LN(2)/2))/(LN(2)/2)*AQ93*AT93*VLOOKUP('Données projet'!$B$10,Paramètres!$A$1:$I$88,3,0)*0.475*44/12</f>
        <v>1.095555785892622E-8</v>
      </c>
      <c r="AX93" s="23">
        <f t="shared" si="60"/>
        <v>1.0729161772145366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-5.6843418860808015E-14</v>
      </c>
      <c r="BE93" s="14">
        <f>BD93*VLOOKUP('Données projet'!$B$11,Paramètres!$A$1:$I$88,3,0)*VLOOKUP('Données projet'!$B$11,Paramètres!$A$1:$I$88,5,0)</f>
        <v>-4.5224624045658861E-14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298.38448036212861</v>
      </c>
      <c r="BJ93" s="62">
        <f t="shared" si="92"/>
        <v>270.4445531106897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projet'!$B$11,Paramètres!$A$1:$I$88,7,0))</f>
        <v>0</v>
      </c>
      <c r="BN93" s="17">
        <f>IF(ISNA(VLOOKUP(A93,'Données projet'!$A$87:$I$107,6,0)),0%,VLOOKUP(A93,'Données projet'!$A$87:$I$107,6,0)*VLOOKUP('Données projet'!$B$11,Paramètres!$A$1:$I$88,7,0))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projet'!$B$11,Paramètres!$A$1:$I$88,3,0)*0.475*44/12</f>
        <v>0</v>
      </c>
      <c r="BQ93" s="23">
        <f>EXP(-LN(2)/25)*BQ92+(1-EXP(-LN(2)/25))/(LN(2)/25)*Calculateur!BL93*Calculateur!BN93*VLOOKUP('Données projet'!$B$11,Paramètres!$A$1:$I$88,3,0)*0.475*44/12</f>
        <v>0</v>
      </c>
      <c r="BR93" s="23">
        <f>EXP(-LN(2)/2)*BR92+(1-EXP(-LN(2)/2))/(LN(2)/2)*BL93*BO93*VLOOKUP('Données projet'!$B$11,Paramètres!$A$1:$I$88,3,0)*0.475*44/12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5.6843418860808015E-14</v>
      </c>
      <c r="BZ93" s="14">
        <f>BY93*VLOOKUP('Données projet'!$B$12,Paramètres!$A$1:$I$88,3,0)*VLOOKUP('Données projet'!$B$12,Paramètres!$A$1:$I$88,5,0)</f>
        <v>4.4337866711430253E-14</v>
      </c>
      <c r="CA93" s="14">
        <f t="shared" si="93"/>
        <v>7.3222115536967035E-13</v>
      </c>
      <c r="CB93" s="22">
        <f t="shared" si="64"/>
        <v>1.3525069634579169E-12</v>
      </c>
      <c r="CC93" s="62">
        <f t="shared" si="65"/>
        <v>293.33333333333468</v>
      </c>
      <c r="CD93" s="62">
        <f ca="1">AVERAGE(OFFSET($CC$3,0,0,'Données projet'!$E$12+1,1))-AVERAGE(OFFSET($H$3,0,0,'Données projet'!$E$12+1,1))</f>
        <v>217.32600829266818</v>
      </c>
      <c r="CE93" s="62">
        <f t="shared" si="94"/>
        <v>208.79744153433245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projet'!$B$12,Paramètres!$A$1:$I$88,7,0))</f>
        <v>0</v>
      </c>
      <c r="CI93" s="17">
        <f>IF(ISNA(VLOOKUP(A93,'Données projet'!$A$113:$I$133,6,0)),0%,VLOOKUP(A93,'Données projet'!$A$113:$I$133,6,0)*VLOOKUP('Données projet'!$B$12,Paramètres!$A$1:$I$88,7,0))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projet'!$B$12,Paramètres!$A$1:$I$88,3,0)*0.475*44/12</f>
        <v>0</v>
      </c>
      <c r="CL93" s="23">
        <f>EXP(-LN(2)/25)*CL92+(1-EXP(-LN(2)/25))/(LN(2)/25)*Calculateur!CG93*Calculateur!CI93*VLOOKUP('Données projet'!$B$12,Paramètres!$A$1:$I$88,3,0)*0.475*44/12</f>
        <v>0</v>
      </c>
      <c r="CM93" s="23">
        <f>EXP(-LN(2)/2)*CM92+(1-EXP(-LN(2)/2))/(LN(2)/2)*CG93*CJ93*VLOOKUP('Données projet'!$B$12,Paramètres!$A$1:$I$88,3,0)*0.475*44/12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-3.4106051316484809E-13</v>
      </c>
      <c r="CU93" s="18">
        <f>CT93*VLOOKUP('Données projet'!$B$13,Paramètres!$A$1:$I$88,3,0)*VLOOKUP('Données projet'!$B$13,Paramètres!$A$1:$I$88,5,0)</f>
        <v>-1.9065282685915009E-13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302.20483575440988</v>
      </c>
      <c r="CZ93" s="62">
        <f t="shared" si="96"/>
        <v>275.32862097158687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projet'!$B$13,Paramètres!$A$1:$I$88,7,0))</f>
        <v>0</v>
      </c>
      <c r="DD93" s="17">
        <f>IF(ISNA(VLOOKUP(A93,'Données projet'!$A$139:$I$159,6,0)),0%,VLOOKUP(A93,'Données projet'!$A$139:$I$159,6,0)*VLOOKUP('Données projet'!$B$13,Paramètres!$A$1:$I$88,7,0))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projet'!$B$13,Paramètres!$A$1:$I$88,3,0)*0.475*44/12</f>
        <v>0</v>
      </c>
      <c r="DG93" s="23">
        <f>EXP(-LN(2)/25)*DG92+(1-EXP(-LN(2)/25))/(LN(2)/25)*Calculateur!DB93*Calculateur!DD93*VLOOKUP('Données projet'!$B$13,Paramètres!$A$1:$I$88,3,0)*0.475*44/12</f>
        <v>2.619769200609757</v>
      </c>
      <c r="DH93" s="23">
        <f>EXP(-LN(2)/2)*DH92+(1-EXP(-LN(2)/2))/(LN(2)/2)*DB93*DE93*VLOOKUP('Données projet'!$B$13,Paramètres!$A$1:$I$88,3,0)*0.475*44/12</f>
        <v>6.3151937905073807E-9</v>
      </c>
      <c r="DI93" s="24">
        <f t="shared" si="69"/>
        <v>2.6197692069249507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projet'!$B$14,Paramètres!$A$1:$I$88,3,0)*VLOOKUP('Données projet'!$B$14,Paramètres!$A$1:$I$88,5,0)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projet'!$B$14,Paramètres!$A$1:$I$88,7,0))</f>
        <v>0</v>
      </c>
      <c r="DY93" s="17">
        <f>IF(ISNA(VLOOKUP(A93,'Données projet'!$A$165:$I$185,6,0)),0%,VLOOKUP(A93,'Données projet'!$A$165:$I$185,6,0)*VLOOKUP('Données projet'!$B$14,Paramètres!$A$1:$I$88,7,0))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projet'!$B$14,Paramètres!$A$1:$I$88,3,0)*0.475*44/12</f>
        <v>#N/A</v>
      </c>
      <c r="EB93" s="23" t="e">
        <f>EXP(-LN(2)/25)*EB92+(1-EXP(-LN(2)/25))/(LN(2)/25)*Calculateur!DW93*Calculateur!DY93*VLOOKUP('Données projet'!$B$14,Paramètres!$A$1:$I$88,3,0)*0.475*44/12</f>
        <v>#N/A</v>
      </c>
      <c r="EC93" s="23" t="e">
        <f>EXP(-LN(2)/2)*EC92+(1-EXP(-LN(2)/2))/(LN(2)/2)*DW93*DZ93*VLOOKUP('Données projet'!$B$14,Paramètres!$A$1:$I$88,3,0)*0.475*44/12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projet'!$B$15,Paramètres!$A$1:$I$88,3,0)*VLOOKUP('Données projet'!$B$15,Paramètres!$A$1:$I$88,5,0)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projet'!$B$15,Paramètres!$A$1:$I$88,7,0))</f>
        <v>0</v>
      </c>
      <c r="ET93" s="17">
        <f>IF(ISNA(VLOOKUP(A93,'Données projet'!$A$191:$I$211,6,0)),0%,VLOOKUP(A93,'Données projet'!$A$191:$I$211,6,0)*VLOOKUP('Données projet'!$B$15,Paramètres!$A$1:$I$88,7,0))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projet'!$B$15,Paramètres!$A$1:$I$88,3,0)*0.475*44/12</f>
        <v>#N/A</v>
      </c>
      <c r="EW93" s="23" t="e">
        <f>EXP(-LN(2)/25)*EW92+(1-EXP(-LN(2)/25))/(LN(2)/25)*Calculateur!ER93*Calculateur!ET93*VLOOKUP('Données projet'!$B$15,Paramètres!$A$1:$I$88,3,0)*0.475*44/12</f>
        <v>#N/A</v>
      </c>
      <c r="EX93" s="23" t="e">
        <f>EXP(-LN(2)/2)*EX92+(1-EXP(-LN(2)/2))/(LN(2)/2)*ER93*EU93*VLOOKUP('Données projet'!$B$15,Paramètres!$A$1:$I$88,3,0)*0.475*44/12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projet'!$B$16,Paramètres!$A$1:$I$88,3,0)*VLOOKUP('Données projet'!$B$16,Paramètres!$A$1:$I$88,5,0)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projet'!$B$16,Paramètres!$A$1:$I$88,7,0))</f>
        <v>0</v>
      </c>
      <c r="FO93" s="17">
        <f>IF(ISNA(VLOOKUP(A93,'Données projet'!$A$217:$I$237,6,0)),0%,VLOOKUP(A93,'Données projet'!$A$217:$I$237,6,0)*VLOOKUP('Données projet'!$B$16,Paramètres!$A$1:$I$88,7,0))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projet'!$B$16,Paramètres!$A$1:$I$88,3,0)*0.475*44/12</f>
        <v>#N/A</v>
      </c>
      <c r="FR93" s="23" t="e">
        <f>EXP(-LN(2)/25)*FR92+(1-EXP(-LN(2)/25))/(LN(2)/25)*Calculateur!FM93*Calculateur!FO93*VLOOKUP('Données projet'!$B$16,Paramètres!$A$1:$I$88,3,0)*0.475*44/12</f>
        <v>#N/A</v>
      </c>
      <c r="FS93" s="23" t="e">
        <f>EXP(-LN(2)/2)*FS92+(1-EXP(-LN(2)/2))/(LN(2)/2)*FM93*FP93*VLOOKUP('Données projet'!$B$16,Paramètres!$A$1:$I$88,3,0)*0.475*44/12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projet'!$B$17,Paramètres!$A$1:$I$88,3,0)*VLOOKUP('Données projet'!$B$17,Paramètres!$A$1:$I$88,5,0)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projet'!$B$17,Paramètres!$A$1:$I$88,7,0))</f>
        <v>0</v>
      </c>
      <c r="GJ93" s="17">
        <f>IF(ISNA(VLOOKUP(A93,'Données projet'!$A$243:$I$263,6,0)),0%,VLOOKUP(A93,'Données projet'!$A$243:$I$263,6,0)*VLOOKUP('Données projet'!$B$17,Paramètres!$A$1:$I$88,7,0))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projet'!$B$17,Paramètres!$A$1:$I$88,3,0)*0.475*44/12</f>
        <v>#N/A</v>
      </c>
      <c r="GM93" s="23" t="e">
        <f>EXP(-LN(2)/25)*GM92+(1-EXP(-LN(2)/25))/(LN(2)/25)*Calculateur!GH93*Calculateur!GJ93*VLOOKUP('Données projet'!$B$17,Paramètres!$A$1:$I$88,3,0)*0.475*44/12</f>
        <v>#N/A</v>
      </c>
      <c r="GN93" s="23" t="e">
        <f>EXP(-LN(2)/2)*GN92+(1-EXP(-LN(2)/2))/(LN(2)/2)*GH93*GK93*VLOOKUP('Données projet'!$B$17,Paramètres!$A$1:$I$88,3,0)*0.475*44/12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projet'!$B$18,Paramètres!$A$1:$I$88,3,0)*VLOOKUP('Données projet'!$B$18,Paramètres!$A$1:$I$88,5,0)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projet'!$B$18,Paramètres!$A$1:$I$88,7,0))</f>
        <v>0</v>
      </c>
      <c r="HE93" s="17">
        <f>IF(ISNA(VLOOKUP(A93,'Données projet'!$A$269:$I$289,6,0)),0%,VLOOKUP(A93,'Données projet'!$A$269:$I$289,6,0)*VLOOKUP('Données projet'!$B$18,Paramètres!$A$1:$I$88,7,0))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projet'!$B$18,Paramètres!$A$1:$I$88,3,0)*0.475*44/12</f>
        <v>#N/A</v>
      </c>
      <c r="HH93" s="23" t="e">
        <f>EXP(-LN(2)/25)*HH92+(1-EXP(-LN(2)/25))/(LN(2)/25)*Calculateur!HC93*Calculateur!HE93*VLOOKUP('Données projet'!$B$18,Paramètres!$A$1:$I$88,3,0)*0.475*44/12</f>
        <v>#N/A</v>
      </c>
      <c r="HI93" s="23" t="e">
        <f>EXP(-LN(2)/2)*HI92+(1-EXP(-LN(2)/2))/(LN(2)/2)*HC93*HF93*VLOOKUP('Données projet'!$B$18,Paramètres!$A$1:$I$88,3,0)*0.475*44/12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projet'!$B$9,Paramètres!$A$1:$I$88,3,0)*VLOOKUP('Données projet'!$B$9,Paramètres!$A$1:$I$88,5,0)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175.05987582828078</v>
      </c>
      <c r="T94" s="62">
        <f t="shared" si="88"/>
        <v>268.54782308462387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projet'!$B$9,Paramètres!$A$1:$I$88,7,0))</f>
        <v>0</v>
      </c>
      <c r="X94" s="17">
        <f>IF(ISNA(VLOOKUP(A94,'Données projet'!$A$35:$I$55,6,0)),0%,VLOOKUP(A94,'Données projet'!$A$35:$I$55,6,0)*VLOOKUP('Données projet'!$B$9,Paramètres!$A$1:$I$88,7,0))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projet'!$B$9,Paramètres!$A$1:$I$88,3,0)*0.475*44/12</f>
        <v>0</v>
      </c>
      <c r="AA94" s="23">
        <f>EXP(-LN(2)/25)*AA93+(1-EXP(-LN(2)/25))/(LN(2)/25)*Calculateur!V94*Calculateur!X94*VLOOKUP('Données projet'!$B$9,Paramètres!$A$1:$I$88,3,0)*0.475*44/12</f>
        <v>1.897287568188659</v>
      </c>
      <c r="AB94" s="23">
        <f>EXP(-LN(2)/2)*AB93+(1-EXP(-LN(2)/2))/(LN(2)/2)*V94*Y94*VLOOKUP('Données projet'!$B$9,Paramètres!$A$1:$I$88,3,0)*0.475*44/12</f>
        <v>1.0878378110992783E-8</v>
      </c>
      <c r="AC94" s="24">
        <f t="shared" si="57"/>
        <v>1.8972875790670372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12.466666666666667</v>
      </c>
      <c r="AI94" s="14">
        <f>IF('Données projet'!$A$62&gt;35,AI93+AH94-AQ93,IF(A94&lt;'Données projet'!$A$62,$AF$205^A94,IF(A94='Données projet'!$A$62,'Données projet'!$B$62,AI93+AH94-AQ93)))</f>
        <v>784.46666666666556</v>
      </c>
      <c r="AJ94" s="14">
        <f>AI94*VLOOKUP('Données projet'!$B$10,Paramètres!$A$1:$I$88,3,0)*VLOOKUP('Données projet'!$B$10,Paramètres!$A$1:$I$88,5,0)</f>
        <v>377.32846666666615</v>
      </c>
      <c r="AK94" s="14">
        <f t="shared" si="89"/>
        <v>87.164868158929082</v>
      </c>
      <c r="AL94" s="22">
        <f t="shared" si="58"/>
        <v>808.99255815457821</v>
      </c>
      <c r="AM94" s="62">
        <f t="shared" si="59"/>
        <v>1102.3258914879116</v>
      </c>
      <c r="AN94" s="62">
        <f ca="1">AVERAGE(OFFSET($AM$3,0,0,'Données projet'!$E$10+1,1))-AVERAGE(OFFSET($H$3,0,0,'Données projet'!$E$10+1,1))</f>
        <v>576.61210817354549</v>
      </c>
      <c r="AO94" s="62">
        <f t="shared" si="90"/>
        <v>343.9428747444544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projet'!$B$10,Paramètres!$A$1:$I$88,7,0))</f>
        <v>0</v>
      </c>
      <c r="AS94" s="17">
        <f>IF(ISNA(VLOOKUP(A94,'Données projet'!$A$61:$I$81,6,0)),0%,VLOOKUP(A94,'Données projet'!$A$61:$I$81,6,0)*VLOOKUP('Données projet'!$B$10,Paramètres!$A$1:$I$88,7,0))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projet'!$B$10,Paramètres!$A$1:$I$88,3,0)*0.475*44/12</f>
        <v>0</v>
      </c>
      <c r="AV94" s="23">
        <f>EXP(-LN(2)/25)*AV93+(1-EXP(-LN(2)/25))/(LN(2)/25)*Calculateur!AQ94*Calculateur!AS94*VLOOKUP('Données projet'!$B$10,Paramètres!$A$1:$I$88,3,0)*0.475*44/12</f>
        <v>1.0435772172704181</v>
      </c>
      <c r="AW94" s="23">
        <f>EXP(-LN(2)/2)*AW93+(1-EXP(-LN(2)/2))/(LN(2)/2)*AQ94*AT94*VLOOKUP('Données projet'!$B$10,Paramètres!$A$1:$I$88,3,0)*0.475*44/12</f>
        <v>7.7467492537283033E-9</v>
      </c>
      <c r="AX94" s="23">
        <f t="shared" si="60"/>
        <v>1.0435772250171673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-5.6843418860808015E-14</v>
      </c>
      <c r="BE94" s="14">
        <f>BD94*VLOOKUP('Données projet'!$B$11,Paramètres!$A$1:$I$88,3,0)*VLOOKUP('Données projet'!$B$11,Paramètres!$A$1:$I$88,5,0)</f>
        <v>-4.5224624045658861E-14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298.38448036212861</v>
      </c>
      <c r="BJ94" s="62">
        <f t="shared" si="92"/>
        <v>270.4445531106897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projet'!$B$11,Paramètres!$A$1:$I$88,7,0))</f>
        <v>0</v>
      </c>
      <c r="BN94" s="17">
        <f>IF(ISNA(VLOOKUP(A94,'Données projet'!$A$87:$I$107,6,0)),0%,VLOOKUP(A94,'Données projet'!$A$87:$I$107,6,0)*VLOOKUP('Données projet'!$B$11,Paramètres!$A$1:$I$88,7,0))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projet'!$B$11,Paramètres!$A$1:$I$88,3,0)*0.475*44/12</f>
        <v>0</v>
      </c>
      <c r="BQ94" s="23">
        <f>EXP(-LN(2)/25)*BQ93+(1-EXP(-LN(2)/25))/(LN(2)/25)*Calculateur!BL94*Calculateur!BN94*VLOOKUP('Données projet'!$B$11,Paramètres!$A$1:$I$88,3,0)*0.475*44/12</f>
        <v>0</v>
      </c>
      <c r="BR94" s="23">
        <f>EXP(-LN(2)/2)*BR93+(1-EXP(-LN(2)/2))/(LN(2)/2)*BL94*BO94*VLOOKUP('Données projet'!$B$11,Paramètres!$A$1:$I$88,3,0)*0.475*44/12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5.6843418860808015E-14</v>
      </c>
      <c r="BZ94" s="14">
        <f>BY94*VLOOKUP('Données projet'!$B$12,Paramètres!$A$1:$I$88,3,0)*VLOOKUP('Données projet'!$B$12,Paramètres!$A$1:$I$88,5,0)</f>
        <v>4.4337866711430253E-14</v>
      </c>
      <c r="CA94" s="14">
        <f t="shared" si="93"/>
        <v>7.3222115536967035E-13</v>
      </c>
      <c r="CB94" s="22">
        <f t="shared" si="64"/>
        <v>1.3525069634579169E-12</v>
      </c>
      <c r="CC94" s="62">
        <f t="shared" si="65"/>
        <v>293.33333333333468</v>
      </c>
      <c r="CD94" s="62">
        <f ca="1">AVERAGE(OFFSET($CC$3,0,0,'Données projet'!$E$12+1,1))-AVERAGE(OFFSET($H$3,0,0,'Données projet'!$E$12+1,1))</f>
        <v>217.32600829266818</v>
      </c>
      <c r="CE94" s="62">
        <f t="shared" si="94"/>
        <v>208.79744153433245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projet'!$B$12,Paramètres!$A$1:$I$88,7,0))</f>
        <v>0</v>
      </c>
      <c r="CI94" s="17">
        <f>IF(ISNA(VLOOKUP(A94,'Données projet'!$A$113:$I$133,6,0)),0%,VLOOKUP(A94,'Données projet'!$A$113:$I$133,6,0)*VLOOKUP('Données projet'!$B$12,Paramètres!$A$1:$I$88,7,0))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projet'!$B$12,Paramètres!$A$1:$I$88,3,0)*0.475*44/12</f>
        <v>0</v>
      </c>
      <c r="CL94" s="23">
        <f>EXP(-LN(2)/25)*CL93+(1-EXP(-LN(2)/25))/(LN(2)/25)*Calculateur!CG94*Calculateur!CI94*VLOOKUP('Données projet'!$B$12,Paramètres!$A$1:$I$88,3,0)*0.475*44/12</f>
        <v>0</v>
      </c>
      <c r="CM94" s="23">
        <f>EXP(-LN(2)/2)*CM93+(1-EXP(-LN(2)/2))/(LN(2)/2)*CG94*CJ94*VLOOKUP('Données projet'!$B$12,Paramètres!$A$1:$I$88,3,0)*0.475*44/12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-3.4106051316484809E-13</v>
      </c>
      <c r="CU94" s="18">
        <f>CT94*VLOOKUP('Données projet'!$B$13,Paramètres!$A$1:$I$88,3,0)*VLOOKUP('Données projet'!$B$13,Paramètres!$A$1:$I$88,5,0)</f>
        <v>-1.9065282685915009E-13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302.20483575440988</v>
      </c>
      <c r="CZ94" s="62">
        <f t="shared" si="96"/>
        <v>275.32862097158687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projet'!$B$13,Paramètres!$A$1:$I$88,7,0))</f>
        <v>0</v>
      </c>
      <c r="DD94" s="17">
        <f>IF(ISNA(VLOOKUP(A94,'Données projet'!$A$139:$I$159,6,0)),0%,VLOOKUP(A94,'Données projet'!$A$139:$I$159,6,0)*VLOOKUP('Données projet'!$B$13,Paramètres!$A$1:$I$88,7,0))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projet'!$B$13,Paramètres!$A$1:$I$88,3,0)*0.475*44/12</f>
        <v>0</v>
      </c>
      <c r="DG94" s="23">
        <f>EXP(-LN(2)/25)*DG93+(1-EXP(-LN(2)/25))/(LN(2)/25)*Calculateur!DB94*Calculateur!DD94*VLOOKUP('Données projet'!$B$13,Paramètres!$A$1:$I$88,3,0)*0.475*44/12</f>
        <v>2.5481314740514085</v>
      </c>
      <c r="DH94" s="23">
        <f>EXP(-LN(2)/2)*DH93+(1-EXP(-LN(2)/2))/(LN(2)/2)*DB94*DE94*VLOOKUP('Données projet'!$B$13,Paramètres!$A$1:$I$88,3,0)*0.475*44/12</f>
        <v>4.465516353774946E-9</v>
      </c>
      <c r="DI94" s="24">
        <f t="shared" si="69"/>
        <v>2.5481314785169249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projet'!$B$14,Paramètres!$A$1:$I$88,3,0)*VLOOKUP('Données projet'!$B$14,Paramètres!$A$1:$I$88,5,0)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projet'!$B$14,Paramètres!$A$1:$I$88,7,0))</f>
        <v>0</v>
      </c>
      <c r="DY94" s="17">
        <f>IF(ISNA(VLOOKUP(A94,'Données projet'!$A$165:$I$185,6,0)),0%,VLOOKUP(A94,'Données projet'!$A$165:$I$185,6,0)*VLOOKUP('Données projet'!$B$14,Paramètres!$A$1:$I$88,7,0))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projet'!$B$14,Paramètres!$A$1:$I$88,3,0)*0.475*44/12</f>
        <v>#N/A</v>
      </c>
      <c r="EB94" s="23" t="e">
        <f>EXP(-LN(2)/25)*EB93+(1-EXP(-LN(2)/25))/(LN(2)/25)*Calculateur!DW94*Calculateur!DY94*VLOOKUP('Données projet'!$B$14,Paramètres!$A$1:$I$88,3,0)*0.475*44/12</f>
        <v>#N/A</v>
      </c>
      <c r="EC94" s="23" t="e">
        <f>EXP(-LN(2)/2)*EC93+(1-EXP(-LN(2)/2))/(LN(2)/2)*DW94*DZ94*VLOOKUP('Données projet'!$B$14,Paramètres!$A$1:$I$88,3,0)*0.475*44/12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projet'!$B$15,Paramètres!$A$1:$I$88,3,0)*VLOOKUP('Données projet'!$B$15,Paramètres!$A$1:$I$88,5,0)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projet'!$B$15,Paramètres!$A$1:$I$88,7,0))</f>
        <v>0</v>
      </c>
      <c r="ET94" s="17">
        <f>IF(ISNA(VLOOKUP(A94,'Données projet'!$A$191:$I$211,6,0)),0%,VLOOKUP(A94,'Données projet'!$A$191:$I$211,6,0)*VLOOKUP('Données projet'!$B$15,Paramètres!$A$1:$I$88,7,0))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projet'!$B$15,Paramètres!$A$1:$I$88,3,0)*0.475*44/12</f>
        <v>#N/A</v>
      </c>
      <c r="EW94" s="23" t="e">
        <f>EXP(-LN(2)/25)*EW93+(1-EXP(-LN(2)/25))/(LN(2)/25)*Calculateur!ER94*Calculateur!ET94*VLOOKUP('Données projet'!$B$15,Paramètres!$A$1:$I$88,3,0)*0.475*44/12</f>
        <v>#N/A</v>
      </c>
      <c r="EX94" s="23" t="e">
        <f>EXP(-LN(2)/2)*EX93+(1-EXP(-LN(2)/2))/(LN(2)/2)*ER94*EU94*VLOOKUP('Données projet'!$B$15,Paramètres!$A$1:$I$88,3,0)*0.475*44/12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projet'!$B$16,Paramètres!$A$1:$I$88,3,0)*VLOOKUP('Données projet'!$B$16,Paramètres!$A$1:$I$88,5,0)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projet'!$B$16,Paramètres!$A$1:$I$88,7,0))</f>
        <v>0</v>
      </c>
      <c r="FO94" s="17">
        <f>IF(ISNA(VLOOKUP(A94,'Données projet'!$A$217:$I$237,6,0)),0%,VLOOKUP(A94,'Données projet'!$A$217:$I$237,6,0)*VLOOKUP('Données projet'!$B$16,Paramètres!$A$1:$I$88,7,0))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projet'!$B$16,Paramètres!$A$1:$I$88,3,0)*0.475*44/12</f>
        <v>#N/A</v>
      </c>
      <c r="FR94" s="23" t="e">
        <f>EXP(-LN(2)/25)*FR93+(1-EXP(-LN(2)/25))/(LN(2)/25)*Calculateur!FM94*Calculateur!FO94*VLOOKUP('Données projet'!$B$16,Paramètres!$A$1:$I$88,3,0)*0.475*44/12</f>
        <v>#N/A</v>
      </c>
      <c r="FS94" s="23" t="e">
        <f>EXP(-LN(2)/2)*FS93+(1-EXP(-LN(2)/2))/(LN(2)/2)*FM94*FP94*VLOOKUP('Données projet'!$B$16,Paramètres!$A$1:$I$88,3,0)*0.475*44/12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projet'!$B$17,Paramètres!$A$1:$I$88,3,0)*VLOOKUP('Données projet'!$B$17,Paramètres!$A$1:$I$88,5,0)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projet'!$B$17,Paramètres!$A$1:$I$88,7,0))</f>
        <v>0</v>
      </c>
      <c r="GJ94" s="17">
        <f>IF(ISNA(VLOOKUP(A94,'Données projet'!$A$243:$I$263,6,0)),0%,VLOOKUP(A94,'Données projet'!$A$243:$I$263,6,0)*VLOOKUP('Données projet'!$B$17,Paramètres!$A$1:$I$88,7,0))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projet'!$B$17,Paramètres!$A$1:$I$88,3,0)*0.475*44/12</f>
        <v>#N/A</v>
      </c>
      <c r="GM94" s="23" t="e">
        <f>EXP(-LN(2)/25)*GM93+(1-EXP(-LN(2)/25))/(LN(2)/25)*Calculateur!GH94*Calculateur!GJ94*VLOOKUP('Données projet'!$B$17,Paramètres!$A$1:$I$88,3,0)*0.475*44/12</f>
        <v>#N/A</v>
      </c>
      <c r="GN94" s="23" t="e">
        <f>EXP(-LN(2)/2)*GN93+(1-EXP(-LN(2)/2))/(LN(2)/2)*GH94*GK94*VLOOKUP('Données projet'!$B$17,Paramètres!$A$1:$I$88,3,0)*0.475*44/12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projet'!$B$18,Paramètres!$A$1:$I$88,3,0)*VLOOKUP('Données projet'!$B$18,Paramètres!$A$1:$I$88,5,0)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projet'!$B$18,Paramètres!$A$1:$I$88,7,0))</f>
        <v>0</v>
      </c>
      <c r="HE94" s="17">
        <f>IF(ISNA(VLOOKUP(A94,'Données projet'!$A$269:$I$289,6,0)),0%,VLOOKUP(A94,'Données projet'!$A$269:$I$289,6,0)*VLOOKUP('Données projet'!$B$18,Paramètres!$A$1:$I$88,7,0))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projet'!$B$18,Paramètres!$A$1:$I$88,3,0)*0.475*44/12</f>
        <v>#N/A</v>
      </c>
      <c r="HH94" s="23" t="e">
        <f>EXP(-LN(2)/25)*HH93+(1-EXP(-LN(2)/25))/(LN(2)/25)*Calculateur!HC94*Calculateur!HE94*VLOOKUP('Données projet'!$B$18,Paramètres!$A$1:$I$88,3,0)*0.475*44/12</f>
        <v>#N/A</v>
      </c>
      <c r="HI94" s="23" t="e">
        <f>EXP(-LN(2)/2)*HI93+(1-EXP(-LN(2)/2))/(LN(2)/2)*HC94*HF94*VLOOKUP('Données projet'!$B$18,Paramètres!$A$1:$I$88,3,0)*0.475*44/12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projet'!$B$9,Paramètres!$A$1:$I$88,3,0)*VLOOKUP('Données projet'!$B$9,Paramètres!$A$1:$I$88,5,0)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175.05987582828078</v>
      </c>
      <c r="T95" s="62">
        <f t="shared" si="88"/>
        <v>268.54782308462387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projet'!$B$9,Paramètres!$A$1:$I$88,7,0))</f>
        <v>0</v>
      </c>
      <c r="X95" s="17">
        <f>IF(ISNA(VLOOKUP(A95,'Données projet'!$A$35:$I$55,6,0)),0%,VLOOKUP(A95,'Données projet'!$A$35:$I$55,6,0)*VLOOKUP('Données projet'!$B$9,Paramètres!$A$1:$I$88,7,0))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projet'!$B$9,Paramètres!$A$1:$I$88,3,0)*0.475*44/12</f>
        <v>0</v>
      </c>
      <c r="AA95" s="23">
        <f>EXP(-LN(2)/25)*AA94+(1-EXP(-LN(2)/25))/(LN(2)/25)*Calculateur!V95*Calculateur!X95*VLOOKUP('Données projet'!$B$9,Paramètres!$A$1:$I$88,3,0)*0.475*44/12</f>
        <v>1.8454061398625232</v>
      </c>
      <c r="AB95" s="23">
        <f>EXP(-LN(2)/2)*AB94+(1-EXP(-LN(2)/2))/(LN(2)/2)*V95*Y95*VLOOKUP('Données projet'!$B$9,Paramètres!$A$1:$I$88,3,0)*0.475*44/12</f>
        <v>7.6921749305943021E-9</v>
      </c>
      <c r="AC95" s="24">
        <f t="shared" si="57"/>
        <v>1.8454061475546981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12.466666666666667</v>
      </c>
      <c r="AI95" s="14">
        <f>IF('Données projet'!$A$62&gt;35,AI94+AH95-AQ94,IF(A95&lt;'Données projet'!$A$62,$AF$205^A95,IF(A95='Données projet'!$A$62,'Données projet'!$B$62,AI94+AH95-AQ94)))</f>
        <v>796.93333333333226</v>
      </c>
      <c r="AJ95" s="14">
        <f>AI95*VLOOKUP('Données projet'!$B$10,Paramètres!$A$1:$I$88,3,0)*VLOOKUP('Données projet'!$B$10,Paramètres!$A$1:$I$88,5,0)</f>
        <v>383.32493333333287</v>
      </c>
      <c r="AK95" s="14">
        <f t="shared" si="89"/>
        <v>88.387719114337216</v>
      </c>
      <c r="AL95" s="22">
        <f t="shared" si="58"/>
        <v>821.5662030130253</v>
      </c>
      <c r="AM95" s="62">
        <f t="shared" si="59"/>
        <v>1114.8995363463587</v>
      </c>
      <c r="AN95" s="62">
        <f ca="1">AVERAGE(OFFSET($AM$3,0,0,'Données projet'!$E$10+1,1))-AVERAGE(OFFSET($H$3,0,0,'Données projet'!$E$10+1,1))</f>
        <v>576.61210817354549</v>
      </c>
      <c r="AO95" s="62">
        <f t="shared" si="90"/>
        <v>343.9428747444544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projet'!$B$10,Paramètres!$A$1:$I$88,7,0))</f>
        <v>0</v>
      </c>
      <c r="AS95" s="17">
        <f>IF(ISNA(VLOOKUP(A95,'Données projet'!$A$61:$I$81,6,0)),0%,VLOOKUP(A95,'Données projet'!$A$61:$I$81,6,0)*VLOOKUP('Données projet'!$B$10,Paramètres!$A$1:$I$88,7,0))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projet'!$B$10,Paramètres!$A$1:$I$88,3,0)*0.475*44/12</f>
        <v>0</v>
      </c>
      <c r="AV95" s="23">
        <f>EXP(-LN(2)/25)*AV94+(1-EXP(-LN(2)/25))/(LN(2)/25)*Calculateur!AQ95*Calculateur!AS95*VLOOKUP('Données projet'!$B$10,Paramètres!$A$1:$I$88,3,0)*0.475*44/12</f>
        <v>1.0150405433848178</v>
      </c>
      <c r="AW95" s="23">
        <f>EXP(-LN(2)/2)*AW94+(1-EXP(-LN(2)/2))/(LN(2)/2)*AQ95*AT95*VLOOKUP('Données projet'!$B$10,Paramètres!$A$1:$I$88,3,0)*0.475*44/12</f>
        <v>5.4777789294631098E-9</v>
      </c>
      <c r="AX95" s="23">
        <f t="shared" si="60"/>
        <v>1.0150405488625966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-5.6843418860808015E-14</v>
      </c>
      <c r="BE95" s="14">
        <f>BD95*VLOOKUP('Données projet'!$B$11,Paramètres!$A$1:$I$88,3,0)*VLOOKUP('Données projet'!$B$11,Paramètres!$A$1:$I$88,5,0)</f>
        <v>-4.5224624045658861E-14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298.38448036212861</v>
      </c>
      <c r="BJ95" s="62">
        <f t="shared" si="92"/>
        <v>270.4445531106897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projet'!$B$11,Paramètres!$A$1:$I$88,7,0))</f>
        <v>0</v>
      </c>
      <c r="BN95" s="17">
        <f>IF(ISNA(VLOOKUP(A95,'Données projet'!$A$87:$I$107,6,0)),0%,VLOOKUP(A95,'Données projet'!$A$87:$I$107,6,0)*VLOOKUP('Données projet'!$B$11,Paramètres!$A$1:$I$88,7,0))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projet'!$B$11,Paramètres!$A$1:$I$88,3,0)*0.475*44/12</f>
        <v>0</v>
      </c>
      <c r="BQ95" s="23">
        <f>EXP(-LN(2)/25)*BQ94+(1-EXP(-LN(2)/25))/(LN(2)/25)*Calculateur!BL95*Calculateur!BN95*VLOOKUP('Données projet'!$B$11,Paramètres!$A$1:$I$88,3,0)*0.475*44/12</f>
        <v>0</v>
      </c>
      <c r="BR95" s="23">
        <f>EXP(-LN(2)/2)*BR94+(1-EXP(-LN(2)/2))/(LN(2)/2)*BL95*BO95*VLOOKUP('Données projet'!$B$11,Paramètres!$A$1:$I$88,3,0)*0.475*44/12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5.6843418860808015E-14</v>
      </c>
      <c r="BZ95" s="14">
        <f>BY95*VLOOKUP('Données projet'!$B$12,Paramètres!$A$1:$I$88,3,0)*VLOOKUP('Données projet'!$B$12,Paramètres!$A$1:$I$88,5,0)</f>
        <v>4.4337866711430253E-14</v>
      </c>
      <c r="CA95" s="14">
        <f t="shared" si="93"/>
        <v>7.3222115536967035E-13</v>
      </c>
      <c r="CB95" s="22">
        <f t="shared" si="64"/>
        <v>1.3525069634579169E-12</v>
      </c>
      <c r="CC95" s="62">
        <f t="shared" si="65"/>
        <v>293.33333333333468</v>
      </c>
      <c r="CD95" s="62">
        <f ca="1">AVERAGE(OFFSET($CC$3,0,0,'Données projet'!$E$12+1,1))-AVERAGE(OFFSET($H$3,0,0,'Données projet'!$E$12+1,1))</f>
        <v>217.32600829266818</v>
      </c>
      <c r="CE95" s="62">
        <f t="shared" si="94"/>
        <v>208.79744153433245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projet'!$B$12,Paramètres!$A$1:$I$88,7,0))</f>
        <v>0</v>
      </c>
      <c r="CI95" s="17">
        <f>IF(ISNA(VLOOKUP(A95,'Données projet'!$A$113:$I$133,6,0)),0%,VLOOKUP(A95,'Données projet'!$A$113:$I$133,6,0)*VLOOKUP('Données projet'!$B$12,Paramètres!$A$1:$I$88,7,0))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projet'!$B$12,Paramètres!$A$1:$I$88,3,0)*0.475*44/12</f>
        <v>0</v>
      </c>
      <c r="CL95" s="23">
        <f>EXP(-LN(2)/25)*CL94+(1-EXP(-LN(2)/25))/(LN(2)/25)*Calculateur!CG95*Calculateur!CI95*VLOOKUP('Données projet'!$B$12,Paramètres!$A$1:$I$88,3,0)*0.475*44/12</f>
        <v>0</v>
      </c>
      <c r="CM95" s="23">
        <f>EXP(-LN(2)/2)*CM94+(1-EXP(-LN(2)/2))/(LN(2)/2)*CG95*CJ95*VLOOKUP('Données projet'!$B$12,Paramètres!$A$1:$I$88,3,0)*0.475*44/12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-3.4106051316484809E-13</v>
      </c>
      <c r="CU95" s="18">
        <f>CT95*VLOOKUP('Données projet'!$B$13,Paramètres!$A$1:$I$88,3,0)*VLOOKUP('Données projet'!$B$13,Paramètres!$A$1:$I$88,5,0)</f>
        <v>-1.9065282685915009E-13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302.20483575440988</v>
      </c>
      <c r="CZ95" s="62">
        <f t="shared" si="96"/>
        <v>275.32862097158687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projet'!$B$13,Paramètres!$A$1:$I$88,7,0))</f>
        <v>0</v>
      </c>
      <c r="DD95" s="17">
        <f>IF(ISNA(VLOOKUP(A95,'Données projet'!$A$139:$I$159,6,0)),0%,VLOOKUP(A95,'Données projet'!$A$139:$I$159,6,0)*VLOOKUP('Données projet'!$B$13,Paramètres!$A$1:$I$88,7,0))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projet'!$B$13,Paramètres!$A$1:$I$88,3,0)*0.475*44/12</f>
        <v>0</v>
      </c>
      <c r="DG95" s="23">
        <f>EXP(-LN(2)/25)*DG94+(1-EXP(-LN(2)/25))/(LN(2)/25)*Calculateur!DB95*Calculateur!DD95*VLOOKUP('Données projet'!$B$13,Paramètres!$A$1:$I$88,3,0)*0.475*44/12</f>
        <v>2.4784526848930621</v>
      </c>
      <c r="DH95" s="23">
        <f>EXP(-LN(2)/2)*DH94+(1-EXP(-LN(2)/2))/(LN(2)/2)*DB95*DE95*VLOOKUP('Données projet'!$B$13,Paramètres!$A$1:$I$88,3,0)*0.475*44/12</f>
        <v>3.1575968952536904E-9</v>
      </c>
      <c r="DI95" s="24">
        <f t="shared" si="69"/>
        <v>2.478452688050659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projet'!$B$14,Paramètres!$A$1:$I$88,3,0)*VLOOKUP('Données projet'!$B$14,Paramètres!$A$1:$I$88,5,0)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projet'!$B$14,Paramètres!$A$1:$I$88,7,0))</f>
        <v>0</v>
      </c>
      <c r="DY95" s="17">
        <f>IF(ISNA(VLOOKUP(A95,'Données projet'!$A$165:$I$185,6,0)),0%,VLOOKUP(A95,'Données projet'!$A$165:$I$185,6,0)*VLOOKUP('Données projet'!$B$14,Paramètres!$A$1:$I$88,7,0))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projet'!$B$14,Paramètres!$A$1:$I$88,3,0)*0.475*44/12</f>
        <v>#N/A</v>
      </c>
      <c r="EB95" s="23" t="e">
        <f>EXP(-LN(2)/25)*EB94+(1-EXP(-LN(2)/25))/(LN(2)/25)*Calculateur!DW95*Calculateur!DY95*VLOOKUP('Données projet'!$B$14,Paramètres!$A$1:$I$88,3,0)*0.475*44/12</f>
        <v>#N/A</v>
      </c>
      <c r="EC95" s="23" t="e">
        <f>EXP(-LN(2)/2)*EC94+(1-EXP(-LN(2)/2))/(LN(2)/2)*DW95*DZ95*VLOOKUP('Données projet'!$B$14,Paramètres!$A$1:$I$88,3,0)*0.475*44/12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projet'!$B$15,Paramètres!$A$1:$I$88,3,0)*VLOOKUP('Données projet'!$B$15,Paramètres!$A$1:$I$88,5,0)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projet'!$B$15,Paramètres!$A$1:$I$88,7,0))</f>
        <v>0</v>
      </c>
      <c r="ET95" s="17">
        <f>IF(ISNA(VLOOKUP(A95,'Données projet'!$A$191:$I$211,6,0)),0%,VLOOKUP(A95,'Données projet'!$A$191:$I$211,6,0)*VLOOKUP('Données projet'!$B$15,Paramètres!$A$1:$I$88,7,0))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projet'!$B$15,Paramètres!$A$1:$I$88,3,0)*0.475*44/12</f>
        <v>#N/A</v>
      </c>
      <c r="EW95" s="23" t="e">
        <f>EXP(-LN(2)/25)*EW94+(1-EXP(-LN(2)/25))/(LN(2)/25)*Calculateur!ER95*Calculateur!ET95*VLOOKUP('Données projet'!$B$15,Paramètres!$A$1:$I$88,3,0)*0.475*44/12</f>
        <v>#N/A</v>
      </c>
      <c r="EX95" s="23" t="e">
        <f>EXP(-LN(2)/2)*EX94+(1-EXP(-LN(2)/2))/(LN(2)/2)*ER95*EU95*VLOOKUP('Données projet'!$B$15,Paramètres!$A$1:$I$88,3,0)*0.475*44/12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projet'!$B$16,Paramètres!$A$1:$I$88,3,0)*VLOOKUP('Données projet'!$B$16,Paramètres!$A$1:$I$88,5,0)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projet'!$B$16,Paramètres!$A$1:$I$88,7,0))</f>
        <v>0</v>
      </c>
      <c r="FO95" s="17">
        <f>IF(ISNA(VLOOKUP(A95,'Données projet'!$A$217:$I$237,6,0)),0%,VLOOKUP(A95,'Données projet'!$A$217:$I$237,6,0)*VLOOKUP('Données projet'!$B$16,Paramètres!$A$1:$I$88,7,0))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projet'!$B$16,Paramètres!$A$1:$I$88,3,0)*0.475*44/12</f>
        <v>#N/A</v>
      </c>
      <c r="FR95" s="23" t="e">
        <f>EXP(-LN(2)/25)*FR94+(1-EXP(-LN(2)/25))/(LN(2)/25)*Calculateur!FM95*Calculateur!FO95*VLOOKUP('Données projet'!$B$16,Paramètres!$A$1:$I$88,3,0)*0.475*44/12</f>
        <v>#N/A</v>
      </c>
      <c r="FS95" s="23" t="e">
        <f>EXP(-LN(2)/2)*FS94+(1-EXP(-LN(2)/2))/(LN(2)/2)*FM95*FP95*VLOOKUP('Données projet'!$B$16,Paramètres!$A$1:$I$88,3,0)*0.475*44/12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projet'!$B$17,Paramètres!$A$1:$I$88,3,0)*VLOOKUP('Données projet'!$B$17,Paramètres!$A$1:$I$88,5,0)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projet'!$B$17,Paramètres!$A$1:$I$88,7,0))</f>
        <v>0</v>
      </c>
      <c r="GJ95" s="17">
        <f>IF(ISNA(VLOOKUP(A95,'Données projet'!$A$243:$I$263,6,0)),0%,VLOOKUP(A95,'Données projet'!$A$243:$I$263,6,0)*VLOOKUP('Données projet'!$B$17,Paramètres!$A$1:$I$88,7,0))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projet'!$B$17,Paramètres!$A$1:$I$88,3,0)*0.475*44/12</f>
        <v>#N/A</v>
      </c>
      <c r="GM95" s="23" t="e">
        <f>EXP(-LN(2)/25)*GM94+(1-EXP(-LN(2)/25))/(LN(2)/25)*Calculateur!GH95*Calculateur!GJ95*VLOOKUP('Données projet'!$B$17,Paramètres!$A$1:$I$88,3,0)*0.475*44/12</f>
        <v>#N/A</v>
      </c>
      <c r="GN95" s="23" t="e">
        <f>EXP(-LN(2)/2)*GN94+(1-EXP(-LN(2)/2))/(LN(2)/2)*GH95*GK95*VLOOKUP('Données projet'!$B$17,Paramètres!$A$1:$I$88,3,0)*0.475*44/12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projet'!$B$18,Paramètres!$A$1:$I$88,3,0)*VLOOKUP('Données projet'!$B$18,Paramètres!$A$1:$I$88,5,0)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projet'!$B$18,Paramètres!$A$1:$I$88,7,0))</f>
        <v>0</v>
      </c>
      <c r="HE95" s="17">
        <f>IF(ISNA(VLOOKUP(A95,'Données projet'!$A$269:$I$289,6,0)),0%,VLOOKUP(A95,'Données projet'!$A$269:$I$289,6,0)*VLOOKUP('Données projet'!$B$18,Paramètres!$A$1:$I$88,7,0))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projet'!$B$18,Paramètres!$A$1:$I$88,3,0)*0.475*44/12</f>
        <v>#N/A</v>
      </c>
      <c r="HH95" s="23" t="e">
        <f>EXP(-LN(2)/25)*HH94+(1-EXP(-LN(2)/25))/(LN(2)/25)*Calculateur!HC95*Calculateur!HE95*VLOOKUP('Données projet'!$B$18,Paramètres!$A$1:$I$88,3,0)*0.475*44/12</f>
        <v>#N/A</v>
      </c>
      <c r="HI95" s="23" t="e">
        <f>EXP(-LN(2)/2)*HI94+(1-EXP(-LN(2)/2))/(LN(2)/2)*HC95*HF95*VLOOKUP('Données projet'!$B$18,Paramètres!$A$1:$I$88,3,0)*0.475*44/12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projet'!$B$9,Paramètres!$A$1:$I$88,3,0)*VLOOKUP('Données projet'!$B$9,Paramètres!$A$1:$I$88,5,0)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175.05987582828078</v>
      </c>
      <c r="T96" s="62">
        <f t="shared" si="88"/>
        <v>268.54782308462387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projet'!$B$9,Paramètres!$A$1:$I$88,7,0))</f>
        <v>0</v>
      </c>
      <c r="X96" s="17">
        <f>IF(ISNA(VLOOKUP(A96,'Données projet'!$A$35:$I$55,6,0)),0%,VLOOKUP(A96,'Données projet'!$A$35:$I$55,6,0)*VLOOKUP('Données projet'!$B$9,Paramètres!$A$1:$I$88,7,0))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projet'!$B$9,Paramètres!$A$1:$I$88,3,0)*0.475*44/12</f>
        <v>0</v>
      </c>
      <c r="AA96" s="23">
        <f>EXP(-LN(2)/25)*AA95+(1-EXP(-LN(2)/25))/(LN(2)/25)*Calculateur!V96*Calculateur!X96*VLOOKUP('Données projet'!$B$9,Paramètres!$A$1:$I$88,3,0)*0.475*44/12</f>
        <v>1.7949434119222913</v>
      </c>
      <c r="AB96" s="23">
        <f>EXP(-LN(2)/2)*AB95+(1-EXP(-LN(2)/2))/(LN(2)/2)*V96*Y96*VLOOKUP('Données projet'!$B$9,Paramètres!$A$1:$I$88,3,0)*0.475*44/12</f>
        <v>5.4391890554963916E-9</v>
      </c>
      <c r="AC96" s="24">
        <f t="shared" si="57"/>
        <v>1.7949434173614804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12.466666666666667</v>
      </c>
      <c r="AI96" s="14">
        <f>IF('Données projet'!$A$62&gt;35,AI95+AH96-AQ95,IF(A96&lt;'Données projet'!$A$62,$AF$205^A96,IF(A96='Données projet'!$A$62,'Données projet'!$B$62,AI95+AH96-AQ95)))</f>
        <v>809.39999999999895</v>
      </c>
      <c r="AJ96" s="14">
        <f>AI96*VLOOKUP('Données projet'!$B$10,Paramètres!$A$1:$I$88,3,0)*VLOOKUP('Données projet'!$B$10,Paramètres!$A$1:$I$88,5,0)</f>
        <v>389.32139999999953</v>
      </c>
      <c r="AK96" s="14">
        <f t="shared" si="89"/>
        <v>89.608345334927378</v>
      </c>
      <c r="AL96" s="22">
        <f t="shared" si="58"/>
        <v>834.13597312499769</v>
      </c>
      <c r="AM96" s="62">
        <f t="shared" si="59"/>
        <v>1127.4693064583309</v>
      </c>
      <c r="AN96" s="62">
        <f ca="1">AVERAGE(OFFSET($AM$3,0,0,'Données projet'!$E$10+1,1))-AVERAGE(OFFSET($H$3,0,0,'Données projet'!$E$10+1,1))</f>
        <v>576.61210817354549</v>
      </c>
      <c r="AO96" s="62">
        <f t="shared" si="90"/>
        <v>343.9428747444544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projet'!$B$10,Paramètres!$A$1:$I$88,7,0))</f>
        <v>0</v>
      </c>
      <c r="AS96" s="17">
        <f>IF(ISNA(VLOOKUP(A96,'Données projet'!$A$61:$I$81,6,0)),0%,VLOOKUP(A96,'Données projet'!$A$61:$I$81,6,0)*VLOOKUP('Données projet'!$B$10,Paramètres!$A$1:$I$88,7,0))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projet'!$B$10,Paramètres!$A$1:$I$88,3,0)*0.475*44/12</f>
        <v>0</v>
      </c>
      <c r="AV96" s="23">
        <f>EXP(-LN(2)/25)*AV95+(1-EXP(-LN(2)/25))/(LN(2)/25)*Calculateur!AQ96*Calculateur!AS96*VLOOKUP('Données projet'!$B$10,Paramètres!$A$1:$I$88,3,0)*0.475*44/12</f>
        <v>0.98728420634729763</v>
      </c>
      <c r="AW96" s="23">
        <f>EXP(-LN(2)/2)*AW95+(1-EXP(-LN(2)/2))/(LN(2)/2)*AQ96*AT96*VLOOKUP('Données projet'!$B$10,Paramètres!$A$1:$I$88,3,0)*0.475*44/12</f>
        <v>3.8733746268641517E-9</v>
      </c>
      <c r="AX96" s="23">
        <f t="shared" si="60"/>
        <v>0.98728421022067225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-5.6843418860808015E-14</v>
      </c>
      <c r="BE96" s="14">
        <f>BD96*VLOOKUP('Données projet'!$B$11,Paramètres!$A$1:$I$88,3,0)*VLOOKUP('Données projet'!$B$11,Paramètres!$A$1:$I$88,5,0)</f>
        <v>-4.5224624045658861E-14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298.38448036212861</v>
      </c>
      <c r="BJ96" s="62">
        <f t="shared" si="92"/>
        <v>270.4445531106897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projet'!$B$11,Paramètres!$A$1:$I$88,7,0))</f>
        <v>0</v>
      </c>
      <c r="BN96" s="17">
        <f>IF(ISNA(VLOOKUP(A96,'Données projet'!$A$87:$I$107,6,0)),0%,VLOOKUP(A96,'Données projet'!$A$87:$I$107,6,0)*VLOOKUP('Données projet'!$B$11,Paramètres!$A$1:$I$88,7,0))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projet'!$B$11,Paramètres!$A$1:$I$88,3,0)*0.475*44/12</f>
        <v>0</v>
      </c>
      <c r="BQ96" s="23">
        <f>EXP(-LN(2)/25)*BQ95+(1-EXP(-LN(2)/25))/(LN(2)/25)*Calculateur!BL96*Calculateur!BN96*VLOOKUP('Données projet'!$B$11,Paramètres!$A$1:$I$88,3,0)*0.475*44/12</f>
        <v>0</v>
      </c>
      <c r="BR96" s="23">
        <f>EXP(-LN(2)/2)*BR95+(1-EXP(-LN(2)/2))/(LN(2)/2)*BL96*BO96*VLOOKUP('Données projet'!$B$11,Paramètres!$A$1:$I$88,3,0)*0.475*44/12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5.6843418860808015E-14</v>
      </c>
      <c r="BZ96" s="14">
        <f>BY96*VLOOKUP('Données projet'!$B$12,Paramètres!$A$1:$I$88,3,0)*VLOOKUP('Données projet'!$B$12,Paramètres!$A$1:$I$88,5,0)</f>
        <v>4.4337866711430253E-14</v>
      </c>
      <c r="CA96" s="14">
        <f t="shared" si="93"/>
        <v>7.3222115536967035E-13</v>
      </c>
      <c r="CB96" s="22">
        <f t="shared" si="64"/>
        <v>1.3525069634579169E-12</v>
      </c>
      <c r="CC96" s="62">
        <f t="shared" si="65"/>
        <v>293.33333333333468</v>
      </c>
      <c r="CD96" s="62">
        <f ca="1">AVERAGE(OFFSET($CC$3,0,0,'Données projet'!$E$12+1,1))-AVERAGE(OFFSET($H$3,0,0,'Données projet'!$E$12+1,1))</f>
        <v>217.32600829266818</v>
      </c>
      <c r="CE96" s="62">
        <f t="shared" si="94"/>
        <v>208.79744153433245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projet'!$B$12,Paramètres!$A$1:$I$88,7,0))</f>
        <v>0</v>
      </c>
      <c r="CI96" s="17">
        <f>IF(ISNA(VLOOKUP(A96,'Données projet'!$A$113:$I$133,6,0)),0%,VLOOKUP(A96,'Données projet'!$A$113:$I$133,6,0)*VLOOKUP('Données projet'!$B$12,Paramètres!$A$1:$I$88,7,0))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projet'!$B$12,Paramètres!$A$1:$I$88,3,0)*0.475*44/12</f>
        <v>0</v>
      </c>
      <c r="CL96" s="23">
        <f>EXP(-LN(2)/25)*CL95+(1-EXP(-LN(2)/25))/(LN(2)/25)*Calculateur!CG96*Calculateur!CI96*VLOOKUP('Données projet'!$B$12,Paramètres!$A$1:$I$88,3,0)*0.475*44/12</f>
        <v>0</v>
      </c>
      <c r="CM96" s="23">
        <f>EXP(-LN(2)/2)*CM95+(1-EXP(-LN(2)/2))/(LN(2)/2)*CG96*CJ96*VLOOKUP('Données projet'!$B$12,Paramètres!$A$1:$I$88,3,0)*0.475*44/12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-3.4106051316484809E-13</v>
      </c>
      <c r="CU96" s="18">
        <f>CT96*VLOOKUP('Données projet'!$B$13,Paramètres!$A$1:$I$88,3,0)*VLOOKUP('Données projet'!$B$13,Paramètres!$A$1:$I$88,5,0)</f>
        <v>-1.9065282685915009E-13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302.20483575440988</v>
      </c>
      <c r="CZ96" s="62">
        <f t="shared" si="96"/>
        <v>275.32862097158687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projet'!$B$13,Paramètres!$A$1:$I$88,7,0))</f>
        <v>0</v>
      </c>
      <c r="DD96" s="17">
        <f>IF(ISNA(VLOOKUP(A96,'Données projet'!$A$139:$I$159,6,0)),0%,VLOOKUP(A96,'Données projet'!$A$139:$I$159,6,0)*VLOOKUP('Données projet'!$B$13,Paramètres!$A$1:$I$88,7,0))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projet'!$B$13,Paramètres!$A$1:$I$88,3,0)*0.475*44/12</f>
        <v>0</v>
      </c>
      <c r="DG96" s="23">
        <f>EXP(-LN(2)/25)*DG95+(1-EXP(-LN(2)/25))/(LN(2)/25)*Calculateur!DB96*Calculateur!DD96*VLOOKUP('Données projet'!$B$13,Paramètres!$A$1:$I$88,3,0)*0.475*44/12</f>
        <v>2.4106792658884992</v>
      </c>
      <c r="DH96" s="23">
        <f>EXP(-LN(2)/2)*DH95+(1-EXP(-LN(2)/2))/(LN(2)/2)*DB96*DE96*VLOOKUP('Données projet'!$B$13,Paramètres!$A$1:$I$88,3,0)*0.475*44/12</f>
        <v>2.232758176887473E-9</v>
      </c>
      <c r="DI96" s="24">
        <f t="shared" si="69"/>
        <v>2.4106792681212572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projet'!$B$14,Paramètres!$A$1:$I$88,3,0)*VLOOKUP('Données projet'!$B$14,Paramètres!$A$1:$I$88,5,0)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projet'!$B$14,Paramètres!$A$1:$I$88,7,0))</f>
        <v>0</v>
      </c>
      <c r="DY96" s="17">
        <f>IF(ISNA(VLOOKUP(A96,'Données projet'!$A$165:$I$185,6,0)),0%,VLOOKUP(A96,'Données projet'!$A$165:$I$185,6,0)*VLOOKUP('Données projet'!$B$14,Paramètres!$A$1:$I$88,7,0))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projet'!$B$14,Paramètres!$A$1:$I$88,3,0)*0.475*44/12</f>
        <v>#N/A</v>
      </c>
      <c r="EB96" s="23" t="e">
        <f>EXP(-LN(2)/25)*EB95+(1-EXP(-LN(2)/25))/(LN(2)/25)*Calculateur!DW96*Calculateur!DY96*VLOOKUP('Données projet'!$B$14,Paramètres!$A$1:$I$88,3,0)*0.475*44/12</f>
        <v>#N/A</v>
      </c>
      <c r="EC96" s="23" t="e">
        <f>EXP(-LN(2)/2)*EC95+(1-EXP(-LN(2)/2))/(LN(2)/2)*DW96*DZ96*VLOOKUP('Données projet'!$B$14,Paramètres!$A$1:$I$88,3,0)*0.475*44/12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projet'!$B$15,Paramètres!$A$1:$I$88,3,0)*VLOOKUP('Données projet'!$B$15,Paramètres!$A$1:$I$88,5,0)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projet'!$B$15,Paramètres!$A$1:$I$88,7,0))</f>
        <v>0</v>
      </c>
      <c r="ET96" s="17">
        <f>IF(ISNA(VLOOKUP(A96,'Données projet'!$A$191:$I$211,6,0)),0%,VLOOKUP(A96,'Données projet'!$A$191:$I$211,6,0)*VLOOKUP('Données projet'!$B$15,Paramètres!$A$1:$I$88,7,0))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projet'!$B$15,Paramètres!$A$1:$I$88,3,0)*0.475*44/12</f>
        <v>#N/A</v>
      </c>
      <c r="EW96" s="23" t="e">
        <f>EXP(-LN(2)/25)*EW95+(1-EXP(-LN(2)/25))/(LN(2)/25)*Calculateur!ER96*Calculateur!ET96*VLOOKUP('Données projet'!$B$15,Paramètres!$A$1:$I$88,3,0)*0.475*44/12</f>
        <v>#N/A</v>
      </c>
      <c r="EX96" s="23" t="e">
        <f>EXP(-LN(2)/2)*EX95+(1-EXP(-LN(2)/2))/(LN(2)/2)*ER96*EU96*VLOOKUP('Données projet'!$B$15,Paramètres!$A$1:$I$88,3,0)*0.475*44/12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projet'!$B$16,Paramètres!$A$1:$I$88,3,0)*VLOOKUP('Données projet'!$B$16,Paramètres!$A$1:$I$88,5,0)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projet'!$B$16,Paramètres!$A$1:$I$88,7,0))</f>
        <v>0</v>
      </c>
      <c r="FO96" s="17">
        <f>IF(ISNA(VLOOKUP(A96,'Données projet'!$A$217:$I$237,6,0)),0%,VLOOKUP(A96,'Données projet'!$A$217:$I$237,6,0)*VLOOKUP('Données projet'!$B$16,Paramètres!$A$1:$I$88,7,0))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projet'!$B$16,Paramètres!$A$1:$I$88,3,0)*0.475*44/12</f>
        <v>#N/A</v>
      </c>
      <c r="FR96" s="23" t="e">
        <f>EXP(-LN(2)/25)*FR95+(1-EXP(-LN(2)/25))/(LN(2)/25)*Calculateur!FM96*Calculateur!FO96*VLOOKUP('Données projet'!$B$16,Paramètres!$A$1:$I$88,3,0)*0.475*44/12</f>
        <v>#N/A</v>
      </c>
      <c r="FS96" s="23" t="e">
        <f>EXP(-LN(2)/2)*FS95+(1-EXP(-LN(2)/2))/(LN(2)/2)*FM96*FP96*VLOOKUP('Données projet'!$B$16,Paramètres!$A$1:$I$88,3,0)*0.475*44/12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projet'!$B$17,Paramètres!$A$1:$I$88,3,0)*VLOOKUP('Données projet'!$B$17,Paramètres!$A$1:$I$88,5,0)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projet'!$B$17,Paramètres!$A$1:$I$88,7,0))</f>
        <v>0</v>
      </c>
      <c r="GJ96" s="17">
        <f>IF(ISNA(VLOOKUP(A96,'Données projet'!$A$243:$I$263,6,0)),0%,VLOOKUP(A96,'Données projet'!$A$243:$I$263,6,0)*VLOOKUP('Données projet'!$B$17,Paramètres!$A$1:$I$88,7,0))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projet'!$B$17,Paramètres!$A$1:$I$88,3,0)*0.475*44/12</f>
        <v>#N/A</v>
      </c>
      <c r="GM96" s="23" t="e">
        <f>EXP(-LN(2)/25)*GM95+(1-EXP(-LN(2)/25))/(LN(2)/25)*Calculateur!GH96*Calculateur!GJ96*VLOOKUP('Données projet'!$B$17,Paramètres!$A$1:$I$88,3,0)*0.475*44/12</f>
        <v>#N/A</v>
      </c>
      <c r="GN96" s="23" t="e">
        <f>EXP(-LN(2)/2)*GN95+(1-EXP(-LN(2)/2))/(LN(2)/2)*GH96*GK96*VLOOKUP('Données projet'!$B$17,Paramètres!$A$1:$I$88,3,0)*0.475*44/12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projet'!$B$18,Paramètres!$A$1:$I$88,3,0)*VLOOKUP('Données projet'!$B$18,Paramètres!$A$1:$I$88,5,0)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projet'!$B$18,Paramètres!$A$1:$I$88,7,0))</f>
        <v>0</v>
      </c>
      <c r="HE96" s="17">
        <f>IF(ISNA(VLOOKUP(A96,'Données projet'!$A$269:$I$289,6,0)),0%,VLOOKUP(A96,'Données projet'!$A$269:$I$289,6,0)*VLOOKUP('Données projet'!$B$18,Paramètres!$A$1:$I$88,7,0))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projet'!$B$18,Paramètres!$A$1:$I$88,3,0)*0.475*44/12</f>
        <v>#N/A</v>
      </c>
      <c r="HH96" s="23" t="e">
        <f>EXP(-LN(2)/25)*HH95+(1-EXP(-LN(2)/25))/(LN(2)/25)*Calculateur!HC96*Calculateur!HE96*VLOOKUP('Données projet'!$B$18,Paramètres!$A$1:$I$88,3,0)*0.475*44/12</f>
        <v>#N/A</v>
      </c>
      <c r="HI96" s="23" t="e">
        <f>EXP(-LN(2)/2)*HI95+(1-EXP(-LN(2)/2))/(LN(2)/2)*HC96*HF96*VLOOKUP('Données projet'!$B$18,Paramètres!$A$1:$I$88,3,0)*0.475*44/12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projet'!$B$9,Paramètres!$A$1:$I$88,3,0)*VLOOKUP('Données projet'!$B$9,Paramètres!$A$1:$I$88,5,0)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175.05987582828078</v>
      </c>
      <c r="T97" s="62">
        <f t="shared" si="88"/>
        <v>268.54782308462387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projet'!$B$9,Paramètres!$A$1:$I$88,7,0))</f>
        <v>0</v>
      </c>
      <c r="X97" s="17">
        <f>IF(ISNA(VLOOKUP(A97,'Données projet'!$A$35:$I$55,6,0)),0%,VLOOKUP(A97,'Données projet'!$A$35:$I$55,6,0)*VLOOKUP('Données projet'!$B$9,Paramètres!$A$1:$I$88,7,0))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projet'!$B$9,Paramètres!$A$1:$I$88,3,0)*0.475*44/12</f>
        <v>0</v>
      </c>
      <c r="AA97" s="23">
        <f>EXP(-LN(2)/25)*AA96+(1-EXP(-LN(2)/25))/(LN(2)/25)*Calculateur!V97*Calculateur!X97*VLOOKUP('Données projet'!$B$9,Paramètres!$A$1:$I$88,3,0)*0.475*44/12</f>
        <v>1.7458605899313047</v>
      </c>
      <c r="AB97" s="23">
        <f>EXP(-LN(2)/2)*AB96+(1-EXP(-LN(2)/2))/(LN(2)/2)*V97*Y97*VLOOKUP('Données projet'!$B$9,Paramètres!$A$1:$I$88,3,0)*0.475*44/12</f>
        <v>3.8460874652971511E-9</v>
      </c>
      <c r="AC97" s="24">
        <f t="shared" si="57"/>
        <v>1.7458605937773921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12.466666666666667</v>
      </c>
      <c r="AI97" s="14">
        <f>IF('Données projet'!$A$62&gt;35,AI96+AH97-AQ96,IF(A97&lt;'Données projet'!$A$62,$AF$205^A97,IF(A97='Données projet'!$A$62,'Données projet'!$B$62,AI96+AH97-AQ96)))</f>
        <v>821.86666666666565</v>
      </c>
      <c r="AJ97" s="14">
        <f>AI97*VLOOKUP('Données projet'!$B$10,Paramètres!$A$1:$I$88,3,0)*VLOOKUP('Données projet'!$B$10,Paramètres!$A$1:$I$88,5,0)</f>
        <v>395.31786666666613</v>
      </c>
      <c r="AK97" s="14">
        <f t="shared" si="89"/>
        <v>90.826785044209274</v>
      </c>
      <c r="AL97" s="22">
        <f t="shared" si="58"/>
        <v>846.70193506310795</v>
      </c>
      <c r="AM97" s="62">
        <f t="shared" si="59"/>
        <v>1140.0352683964413</v>
      </c>
      <c r="AN97" s="62">
        <f ca="1">AVERAGE(OFFSET($AM$3,0,0,'Données projet'!$E$10+1,1))-AVERAGE(OFFSET($H$3,0,0,'Données projet'!$E$10+1,1))</f>
        <v>576.61210817354549</v>
      </c>
      <c r="AO97" s="62">
        <f t="shared" si="90"/>
        <v>343.9428747444544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projet'!$B$10,Paramètres!$A$1:$I$88,7,0))</f>
        <v>0</v>
      </c>
      <c r="AS97" s="17">
        <f>IF(ISNA(VLOOKUP(A97,'Données projet'!$A$61:$I$81,6,0)),0%,VLOOKUP(A97,'Données projet'!$A$61:$I$81,6,0)*VLOOKUP('Données projet'!$B$10,Paramètres!$A$1:$I$88,7,0))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projet'!$B$10,Paramètres!$A$1:$I$88,3,0)*0.475*44/12</f>
        <v>0</v>
      </c>
      <c r="AV97" s="23">
        <f>EXP(-LN(2)/25)*AV96+(1-EXP(-LN(2)/25))/(LN(2)/25)*Calculateur!AQ97*Calculateur!AS97*VLOOKUP('Données projet'!$B$10,Paramètres!$A$1:$I$88,3,0)*0.475*44/12</f>
        <v>0.96028686780571082</v>
      </c>
      <c r="AW97" s="23">
        <f>EXP(-LN(2)/2)*AW96+(1-EXP(-LN(2)/2))/(LN(2)/2)*AQ97*AT97*VLOOKUP('Données projet'!$B$10,Paramètres!$A$1:$I$88,3,0)*0.475*44/12</f>
        <v>2.7388894647315549E-9</v>
      </c>
      <c r="AX97" s="23">
        <f t="shared" si="60"/>
        <v>0.96028687054460027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-5.6843418860808015E-14</v>
      </c>
      <c r="BE97" s="14">
        <f>BD97*VLOOKUP('Données projet'!$B$11,Paramètres!$A$1:$I$88,3,0)*VLOOKUP('Données projet'!$B$11,Paramètres!$A$1:$I$88,5,0)</f>
        <v>-4.5224624045658861E-14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298.38448036212861</v>
      </c>
      <c r="BJ97" s="62">
        <f t="shared" si="92"/>
        <v>270.4445531106897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projet'!$B$11,Paramètres!$A$1:$I$88,7,0))</f>
        <v>0</v>
      </c>
      <c r="BN97" s="17">
        <f>IF(ISNA(VLOOKUP(A97,'Données projet'!$A$87:$I$107,6,0)),0%,VLOOKUP(A97,'Données projet'!$A$87:$I$107,6,0)*VLOOKUP('Données projet'!$B$11,Paramètres!$A$1:$I$88,7,0))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projet'!$B$11,Paramètres!$A$1:$I$88,3,0)*0.475*44/12</f>
        <v>0</v>
      </c>
      <c r="BQ97" s="23">
        <f>EXP(-LN(2)/25)*BQ96+(1-EXP(-LN(2)/25))/(LN(2)/25)*Calculateur!BL97*Calculateur!BN97*VLOOKUP('Données projet'!$B$11,Paramètres!$A$1:$I$88,3,0)*0.475*44/12</f>
        <v>0</v>
      </c>
      <c r="BR97" s="23">
        <f>EXP(-LN(2)/2)*BR96+(1-EXP(-LN(2)/2))/(LN(2)/2)*BL97*BO97*VLOOKUP('Données projet'!$B$11,Paramètres!$A$1:$I$88,3,0)*0.475*44/12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5.6843418860808015E-14</v>
      </c>
      <c r="BZ97" s="14">
        <f>BY97*VLOOKUP('Données projet'!$B$12,Paramètres!$A$1:$I$88,3,0)*VLOOKUP('Données projet'!$B$12,Paramètres!$A$1:$I$88,5,0)</f>
        <v>4.4337866711430253E-14</v>
      </c>
      <c r="CA97" s="14">
        <f t="shared" si="93"/>
        <v>7.3222115536967035E-13</v>
      </c>
      <c r="CB97" s="22">
        <f t="shared" si="64"/>
        <v>1.3525069634579169E-12</v>
      </c>
      <c r="CC97" s="62">
        <f t="shared" si="65"/>
        <v>293.33333333333468</v>
      </c>
      <c r="CD97" s="62">
        <f ca="1">AVERAGE(OFFSET($CC$3,0,0,'Données projet'!$E$12+1,1))-AVERAGE(OFFSET($H$3,0,0,'Données projet'!$E$12+1,1))</f>
        <v>217.32600829266818</v>
      </c>
      <c r="CE97" s="62">
        <f t="shared" si="94"/>
        <v>208.79744153433245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projet'!$B$12,Paramètres!$A$1:$I$88,7,0))</f>
        <v>0</v>
      </c>
      <c r="CI97" s="17">
        <f>IF(ISNA(VLOOKUP(A97,'Données projet'!$A$113:$I$133,6,0)),0%,VLOOKUP(A97,'Données projet'!$A$113:$I$133,6,0)*VLOOKUP('Données projet'!$B$12,Paramètres!$A$1:$I$88,7,0))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projet'!$B$12,Paramètres!$A$1:$I$88,3,0)*0.475*44/12</f>
        <v>0</v>
      </c>
      <c r="CL97" s="23">
        <f>EXP(-LN(2)/25)*CL96+(1-EXP(-LN(2)/25))/(LN(2)/25)*Calculateur!CG97*Calculateur!CI97*VLOOKUP('Données projet'!$B$12,Paramètres!$A$1:$I$88,3,0)*0.475*44/12</f>
        <v>0</v>
      </c>
      <c r="CM97" s="23">
        <f>EXP(-LN(2)/2)*CM96+(1-EXP(-LN(2)/2))/(LN(2)/2)*CG97*CJ97*VLOOKUP('Données projet'!$B$12,Paramètres!$A$1:$I$88,3,0)*0.475*44/12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-3.4106051316484809E-13</v>
      </c>
      <c r="CU97" s="18">
        <f>CT97*VLOOKUP('Données projet'!$B$13,Paramètres!$A$1:$I$88,3,0)*VLOOKUP('Données projet'!$B$13,Paramètres!$A$1:$I$88,5,0)</f>
        <v>-1.9065282685915009E-13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302.20483575440988</v>
      </c>
      <c r="CZ97" s="62">
        <f t="shared" si="96"/>
        <v>275.32862097158687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projet'!$B$13,Paramètres!$A$1:$I$88,7,0))</f>
        <v>0</v>
      </c>
      <c r="DD97" s="17">
        <f>IF(ISNA(VLOOKUP(A97,'Données projet'!$A$139:$I$159,6,0)),0%,VLOOKUP(A97,'Données projet'!$A$139:$I$159,6,0)*VLOOKUP('Données projet'!$B$13,Paramètres!$A$1:$I$88,7,0))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projet'!$B$13,Paramètres!$A$1:$I$88,3,0)*0.475*44/12</f>
        <v>0</v>
      </c>
      <c r="DG97" s="23">
        <f>EXP(-LN(2)/25)*DG96+(1-EXP(-LN(2)/25))/(LN(2)/25)*Calculateur!DB97*Calculateur!DD97*VLOOKUP('Données projet'!$B$13,Paramètres!$A$1:$I$88,3,0)*0.475*44/12</f>
        <v>2.3447591145906652</v>
      </c>
      <c r="DH97" s="23">
        <f>EXP(-LN(2)/2)*DH96+(1-EXP(-LN(2)/2))/(LN(2)/2)*DB97*DE97*VLOOKUP('Données projet'!$B$13,Paramètres!$A$1:$I$88,3,0)*0.475*44/12</f>
        <v>1.5787984476268452E-9</v>
      </c>
      <c r="DI97" s="24">
        <f t="shared" si="69"/>
        <v>2.3447591161694636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projet'!$B$14,Paramètres!$A$1:$I$88,3,0)*VLOOKUP('Données projet'!$B$14,Paramètres!$A$1:$I$88,5,0)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projet'!$B$14,Paramètres!$A$1:$I$88,7,0))</f>
        <v>0</v>
      </c>
      <c r="DY97" s="17">
        <f>IF(ISNA(VLOOKUP(A97,'Données projet'!$A$165:$I$185,6,0)),0%,VLOOKUP(A97,'Données projet'!$A$165:$I$185,6,0)*VLOOKUP('Données projet'!$B$14,Paramètres!$A$1:$I$88,7,0))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projet'!$B$14,Paramètres!$A$1:$I$88,3,0)*0.475*44/12</f>
        <v>#N/A</v>
      </c>
      <c r="EB97" s="23" t="e">
        <f>EXP(-LN(2)/25)*EB96+(1-EXP(-LN(2)/25))/(LN(2)/25)*Calculateur!DW97*Calculateur!DY97*VLOOKUP('Données projet'!$B$14,Paramètres!$A$1:$I$88,3,0)*0.475*44/12</f>
        <v>#N/A</v>
      </c>
      <c r="EC97" s="23" t="e">
        <f>EXP(-LN(2)/2)*EC96+(1-EXP(-LN(2)/2))/(LN(2)/2)*DW97*DZ97*VLOOKUP('Données projet'!$B$14,Paramètres!$A$1:$I$88,3,0)*0.475*44/12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projet'!$B$15,Paramètres!$A$1:$I$88,3,0)*VLOOKUP('Données projet'!$B$15,Paramètres!$A$1:$I$88,5,0)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projet'!$B$15,Paramètres!$A$1:$I$88,7,0))</f>
        <v>0</v>
      </c>
      <c r="ET97" s="17">
        <f>IF(ISNA(VLOOKUP(A97,'Données projet'!$A$191:$I$211,6,0)),0%,VLOOKUP(A97,'Données projet'!$A$191:$I$211,6,0)*VLOOKUP('Données projet'!$B$15,Paramètres!$A$1:$I$88,7,0))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projet'!$B$15,Paramètres!$A$1:$I$88,3,0)*0.475*44/12</f>
        <v>#N/A</v>
      </c>
      <c r="EW97" s="23" t="e">
        <f>EXP(-LN(2)/25)*EW96+(1-EXP(-LN(2)/25))/(LN(2)/25)*Calculateur!ER97*Calculateur!ET97*VLOOKUP('Données projet'!$B$15,Paramètres!$A$1:$I$88,3,0)*0.475*44/12</f>
        <v>#N/A</v>
      </c>
      <c r="EX97" s="23" t="e">
        <f>EXP(-LN(2)/2)*EX96+(1-EXP(-LN(2)/2))/(LN(2)/2)*ER97*EU97*VLOOKUP('Données projet'!$B$15,Paramètres!$A$1:$I$88,3,0)*0.475*44/12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projet'!$B$16,Paramètres!$A$1:$I$88,3,0)*VLOOKUP('Données projet'!$B$16,Paramètres!$A$1:$I$88,5,0)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projet'!$B$16,Paramètres!$A$1:$I$88,7,0))</f>
        <v>0</v>
      </c>
      <c r="FO97" s="17">
        <f>IF(ISNA(VLOOKUP(A97,'Données projet'!$A$217:$I$237,6,0)),0%,VLOOKUP(A97,'Données projet'!$A$217:$I$237,6,0)*VLOOKUP('Données projet'!$B$16,Paramètres!$A$1:$I$88,7,0))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projet'!$B$16,Paramètres!$A$1:$I$88,3,0)*0.475*44/12</f>
        <v>#N/A</v>
      </c>
      <c r="FR97" s="23" t="e">
        <f>EXP(-LN(2)/25)*FR96+(1-EXP(-LN(2)/25))/(LN(2)/25)*Calculateur!FM97*Calculateur!FO97*VLOOKUP('Données projet'!$B$16,Paramètres!$A$1:$I$88,3,0)*0.475*44/12</f>
        <v>#N/A</v>
      </c>
      <c r="FS97" s="23" t="e">
        <f>EXP(-LN(2)/2)*FS96+(1-EXP(-LN(2)/2))/(LN(2)/2)*FM97*FP97*VLOOKUP('Données projet'!$B$16,Paramètres!$A$1:$I$88,3,0)*0.475*44/12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projet'!$B$17,Paramètres!$A$1:$I$88,3,0)*VLOOKUP('Données projet'!$B$17,Paramètres!$A$1:$I$88,5,0)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projet'!$B$17,Paramètres!$A$1:$I$88,7,0))</f>
        <v>0</v>
      </c>
      <c r="GJ97" s="17">
        <f>IF(ISNA(VLOOKUP(A97,'Données projet'!$A$243:$I$263,6,0)),0%,VLOOKUP(A97,'Données projet'!$A$243:$I$263,6,0)*VLOOKUP('Données projet'!$B$17,Paramètres!$A$1:$I$88,7,0))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projet'!$B$17,Paramètres!$A$1:$I$88,3,0)*0.475*44/12</f>
        <v>#N/A</v>
      </c>
      <c r="GM97" s="23" t="e">
        <f>EXP(-LN(2)/25)*GM96+(1-EXP(-LN(2)/25))/(LN(2)/25)*Calculateur!GH97*Calculateur!GJ97*VLOOKUP('Données projet'!$B$17,Paramètres!$A$1:$I$88,3,0)*0.475*44/12</f>
        <v>#N/A</v>
      </c>
      <c r="GN97" s="23" t="e">
        <f>EXP(-LN(2)/2)*GN96+(1-EXP(-LN(2)/2))/(LN(2)/2)*GH97*GK97*VLOOKUP('Données projet'!$B$17,Paramètres!$A$1:$I$88,3,0)*0.475*44/12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projet'!$B$18,Paramètres!$A$1:$I$88,3,0)*VLOOKUP('Données projet'!$B$18,Paramètres!$A$1:$I$88,5,0)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projet'!$B$18,Paramètres!$A$1:$I$88,7,0))</f>
        <v>0</v>
      </c>
      <c r="HE97" s="17">
        <f>IF(ISNA(VLOOKUP(A97,'Données projet'!$A$269:$I$289,6,0)),0%,VLOOKUP(A97,'Données projet'!$A$269:$I$289,6,0)*VLOOKUP('Données projet'!$B$18,Paramètres!$A$1:$I$88,7,0))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projet'!$B$18,Paramètres!$A$1:$I$88,3,0)*0.475*44/12</f>
        <v>#N/A</v>
      </c>
      <c r="HH97" s="23" t="e">
        <f>EXP(-LN(2)/25)*HH96+(1-EXP(-LN(2)/25))/(LN(2)/25)*Calculateur!HC97*Calculateur!HE97*VLOOKUP('Données projet'!$B$18,Paramètres!$A$1:$I$88,3,0)*0.475*44/12</f>
        <v>#N/A</v>
      </c>
      <c r="HI97" s="23" t="e">
        <f>EXP(-LN(2)/2)*HI96+(1-EXP(-LN(2)/2))/(LN(2)/2)*HC97*HF97*VLOOKUP('Données projet'!$B$18,Paramètres!$A$1:$I$88,3,0)*0.475*44/12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projet'!$B$9,Paramètres!$A$1:$I$88,3,0)*VLOOKUP('Données projet'!$B$9,Paramètres!$A$1:$I$88,5,0)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175.05987582828078</v>
      </c>
      <c r="T98" s="62">
        <f t="shared" si="88"/>
        <v>268.54782308462387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projet'!$B$9,Paramètres!$A$1:$I$88,7,0))</f>
        <v>0</v>
      </c>
      <c r="X98" s="17">
        <f>IF(ISNA(VLOOKUP(A98,'Données projet'!$A$35:$I$55,6,0)),0%,VLOOKUP(A98,'Données projet'!$A$35:$I$55,6,0)*VLOOKUP('Données projet'!$B$9,Paramètres!$A$1:$I$88,7,0))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projet'!$B$9,Paramètres!$A$1:$I$88,3,0)*0.475*44/12</f>
        <v>0</v>
      </c>
      <c r="AA98" s="23">
        <f>EXP(-LN(2)/25)*AA97+(1-EXP(-LN(2)/25))/(LN(2)/25)*Calculateur!V98*Calculateur!X98*VLOOKUP('Données projet'!$B$9,Paramètres!$A$1:$I$88,3,0)*0.475*44/12</f>
        <v>1.698119940288815</v>
      </c>
      <c r="AB98" s="23">
        <f>EXP(-LN(2)/2)*AB97+(1-EXP(-LN(2)/2))/(LN(2)/2)*V98*Y98*VLOOKUP('Données projet'!$B$9,Paramètres!$A$1:$I$88,3,0)*0.475*44/12</f>
        <v>2.7195945277481958E-9</v>
      </c>
      <c r="AC98" s="24">
        <f t="shared" si="57"/>
        <v>1.6981199430084095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12.466666666666667</v>
      </c>
      <c r="AI98" s="14">
        <f>IF('Données projet'!$A$62&gt;35,AI97+AH98-AQ97,IF(A98&lt;'Données projet'!$A$62,$AF$205^A98,IF(A98='Données projet'!$A$62,'Données projet'!$B$62,AI97+AH98-AQ97)))</f>
        <v>834.33333333333235</v>
      </c>
      <c r="AJ98" s="14">
        <f>AI98*VLOOKUP('Données projet'!$B$10,Paramètres!$A$1:$I$88,3,0)*VLOOKUP('Données projet'!$B$10,Paramètres!$A$1:$I$88,5,0)</f>
        <v>401.31433333333291</v>
      </c>
      <c r="AK98" s="14">
        <f t="shared" si="89"/>
        <v>92.043075239542176</v>
      </c>
      <c r="AL98" s="22">
        <f t="shared" si="58"/>
        <v>859.26415326442418</v>
      </c>
      <c r="AM98" s="62">
        <f t="shared" si="59"/>
        <v>1152.5974865977576</v>
      </c>
      <c r="AN98" s="62">
        <f ca="1">AVERAGE(OFFSET($AM$3,0,0,'Données projet'!$E$10+1,1))-AVERAGE(OFFSET($H$3,0,0,'Données projet'!$E$10+1,1))</f>
        <v>576.61210817354549</v>
      </c>
      <c r="AO98" s="62">
        <f t="shared" si="90"/>
        <v>343.9428747444544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projet'!$B$10,Paramètres!$A$1:$I$88,7,0))</f>
        <v>0</v>
      </c>
      <c r="AS98" s="17">
        <f>IF(ISNA(VLOOKUP(A98,'Données projet'!$A$61:$I$81,6,0)),0%,VLOOKUP(A98,'Données projet'!$A$61:$I$81,6,0)*VLOOKUP('Données projet'!$B$10,Paramètres!$A$1:$I$88,7,0))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projet'!$B$10,Paramètres!$A$1:$I$88,3,0)*0.475*44/12</f>
        <v>0</v>
      </c>
      <c r="AV98" s="23">
        <f>EXP(-LN(2)/25)*AV97+(1-EXP(-LN(2)/25))/(LN(2)/25)*Calculateur!AQ98*Calculateur!AS98*VLOOKUP('Données projet'!$B$10,Paramètres!$A$1:$I$88,3,0)*0.475*44/12</f>
        <v>0.93402777290627204</v>
      </c>
      <c r="AW98" s="23">
        <f>EXP(-LN(2)/2)*AW97+(1-EXP(-LN(2)/2))/(LN(2)/2)*AQ98*AT98*VLOOKUP('Données projet'!$B$10,Paramètres!$A$1:$I$88,3,0)*0.475*44/12</f>
        <v>1.9366873134320758E-9</v>
      </c>
      <c r="AX98" s="23">
        <f t="shared" si="60"/>
        <v>0.9340277748429594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-5.6843418860808015E-14</v>
      </c>
      <c r="BE98" s="14">
        <f>BD98*VLOOKUP('Données projet'!$B$11,Paramètres!$A$1:$I$88,3,0)*VLOOKUP('Données projet'!$B$11,Paramètres!$A$1:$I$88,5,0)</f>
        <v>-4.5224624045658861E-14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298.38448036212861</v>
      </c>
      <c r="BJ98" s="62">
        <f t="shared" si="92"/>
        <v>270.4445531106897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projet'!$B$11,Paramètres!$A$1:$I$88,7,0))</f>
        <v>0</v>
      </c>
      <c r="BN98" s="17">
        <f>IF(ISNA(VLOOKUP(A98,'Données projet'!$A$87:$I$107,6,0)),0%,VLOOKUP(A98,'Données projet'!$A$87:$I$107,6,0)*VLOOKUP('Données projet'!$B$11,Paramètres!$A$1:$I$88,7,0))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projet'!$B$11,Paramètres!$A$1:$I$88,3,0)*0.475*44/12</f>
        <v>0</v>
      </c>
      <c r="BQ98" s="23">
        <f>EXP(-LN(2)/25)*BQ97+(1-EXP(-LN(2)/25))/(LN(2)/25)*Calculateur!BL98*Calculateur!BN98*VLOOKUP('Données projet'!$B$11,Paramètres!$A$1:$I$88,3,0)*0.475*44/12</f>
        <v>0</v>
      </c>
      <c r="BR98" s="23">
        <f>EXP(-LN(2)/2)*BR97+(1-EXP(-LN(2)/2))/(LN(2)/2)*BL98*BO98*VLOOKUP('Données projet'!$B$11,Paramètres!$A$1:$I$88,3,0)*0.475*44/12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5.6843418860808015E-14</v>
      </c>
      <c r="BZ98" s="14">
        <f>BY98*VLOOKUP('Données projet'!$B$12,Paramètres!$A$1:$I$88,3,0)*VLOOKUP('Données projet'!$B$12,Paramètres!$A$1:$I$88,5,0)</f>
        <v>4.4337866711430253E-14</v>
      </c>
      <c r="CA98" s="14">
        <f t="shared" si="93"/>
        <v>7.3222115536967035E-13</v>
      </c>
      <c r="CB98" s="22">
        <f t="shared" si="64"/>
        <v>1.3525069634579169E-12</v>
      </c>
      <c r="CC98" s="62">
        <f t="shared" si="65"/>
        <v>293.33333333333468</v>
      </c>
      <c r="CD98" s="62">
        <f ca="1">AVERAGE(OFFSET($CC$3,0,0,'Données projet'!$E$12+1,1))-AVERAGE(OFFSET($H$3,0,0,'Données projet'!$E$12+1,1))</f>
        <v>217.32600829266818</v>
      </c>
      <c r="CE98" s="62">
        <f t="shared" si="94"/>
        <v>208.79744153433245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projet'!$B$12,Paramètres!$A$1:$I$88,7,0))</f>
        <v>0</v>
      </c>
      <c r="CI98" s="17">
        <f>IF(ISNA(VLOOKUP(A98,'Données projet'!$A$113:$I$133,6,0)),0%,VLOOKUP(A98,'Données projet'!$A$113:$I$133,6,0)*VLOOKUP('Données projet'!$B$12,Paramètres!$A$1:$I$88,7,0))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projet'!$B$12,Paramètres!$A$1:$I$88,3,0)*0.475*44/12</f>
        <v>0</v>
      </c>
      <c r="CL98" s="23">
        <f>EXP(-LN(2)/25)*CL97+(1-EXP(-LN(2)/25))/(LN(2)/25)*Calculateur!CG98*Calculateur!CI98*VLOOKUP('Données projet'!$B$12,Paramètres!$A$1:$I$88,3,0)*0.475*44/12</f>
        <v>0</v>
      </c>
      <c r="CM98" s="23">
        <f>EXP(-LN(2)/2)*CM97+(1-EXP(-LN(2)/2))/(LN(2)/2)*CG98*CJ98*VLOOKUP('Données projet'!$B$12,Paramètres!$A$1:$I$88,3,0)*0.475*44/12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-3.4106051316484809E-13</v>
      </c>
      <c r="CU98" s="18">
        <f>CT98*VLOOKUP('Données projet'!$B$13,Paramètres!$A$1:$I$88,3,0)*VLOOKUP('Données projet'!$B$13,Paramètres!$A$1:$I$88,5,0)</f>
        <v>-1.9065282685915009E-13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302.20483575440988</v>
      </c>
      <c r="CZ98" s="62">
        <f t="shared" si="96"/>
        <v>275.32862097158687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projet'!$B$13,Paramètres!$A$1:$I$88,7,0))</f>
        <v>0</v>
      </c>
      <c r="DD98" s="17">
        <f>IF(ISNA(VLOOKUP(A98,'Données projet'!$A$139:$I$159,6,0)),0%,VLOOKUP(A98,'Données projet'!$A$139:$I$159,6,0)*VLOOKUP('Données projet'!$B$13,Paramètres!$A$1:$I$88,7,0))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projet'!$B$13,Paramètres!$A$1:$I$88,3,0)*0.475*44/12</f>
        <v>0</v>
      </c>
      <c r="DG98" s="23">
        <f>EXP(-LN(2)/25)*DG97+(1-EXP(-LN(2)/25))/(LN(2)/25)*Calculateur!DB98*Calculateur!DD98*VLOOKUP('Données projet'!$B$13,Paramètres!$A$1:$I$88,3,0)*0.475*44/12</f>
        <v>2.2806415532966606</v>
      </c>
      <c r="DH98" s="23">
        <f>EXP(-LN(2)/2)*DH97+(1-EXP(-LN(2)/2))/(LN(2)/2)*DB98*DE98*VLOOKUP('Données projet'!$B$13,Paramètres!$A$1:$I$88,3,0)*0.475*44/12</f>
        <v>1.1163790884437365E-9</v>
      </c>
      <c r="DI98" s="24">
        <f t="shared" si="69"/>
        <v>2.2806415544130396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projet'!$B$14,Paramètres!$A$1:$I$88,3,0)*VLOOKUP('Données projet'!$B$14,Paramètres!$A$1:$I$88,5,0)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projet'!$B$14,Paramètres!$A$1:$I$88,7,0))</f>
        <v>0</v>
      </c>
      <c r="DY98" s="17">
        <f>IF(ISNA(VLOOKUP(A98,'Données projet'!$A$165:$I$185,6,0)),0%,VLOOKUP(A98,'Données projet'!$A$165:$I$185,6,0)*VLOOKUP('Données projet'!$B$14,Paramètres!$A$1:$I$88,7,0))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projet'!$B$14,Paramètres!$A$1:$I$88,3,0)*0.475*44/12</f>
        <v>#N/A</v>
      </c>
      <c r="EB98" s="23" t="e">
        <f>EXP(-LN(2)/25)*EB97+(1-EXP(-LN(2)/25))/(LN(2)/25)*Calculateur!DW98*Calculateur!DY98*VLOOKUP('Données projet'!$B$14,Paramètres!$A$1:$I$88,3,0)*0.475*44/12</f>
        <v>#N/A</v>
      </c>
      <c r="EC98" s="23" t="e">
        <f>EXP(-LN(2)/2)*EC97+(1-EXP(-LN(2)/2))/(LN(2)/2)*DW98*DZ98*VLOOKUP('Données projet'!$B$14,Paramètres!$A$1:$I$88,3,0)*0.475*44/12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projet'!$B$15,Paramètres!$A$1:$I$88,3,0)*VLOOKUP('Données projet'!$B$15,Paramètres!$A$1:$I$88,5,0)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projet'!$B$15,Paramètres!$A$1:$I$88,7,0))</f>
        <v>0</v>
      </c>
      <c r="ET98" s="17">
        <f>IF(ISNA(VLOOKUP(A98,'Données projet'!$A$191:$I$211,6,0)),0%,VLOOKUP(A98,'Données projet'!$A$191:$I$211,6,0)*VLOOKUP('Données projet'!$B$15,Paramètres!$A$1:$I$88,7,0))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projet'!$B$15,Paramètres!$A$1:$I$88,3,0)*0.475*44/12</f>
        <v>#N/A</v>
      </c>
      <c r="EW98" s="23" t="e">
        <f>EXP(-LN(2)/25)*EW97+(1-EXP(-LN(2)/25))/(LN(2)/25)*Calculateur!ER98*Calculateur!ET98*VLOOKUP('Données projet'!$B$15,Paramètres!$A$1:$I$88,3,0)*0.475*44/12</f>
        <v>#N/A</v>
      </c>
      <c r="EX98" s="23" t="e">
        <f>EXP(-LN(2)/2)*EX97+(1-EXP(-LN(2)/2))/(LN(2)/2)*ER98*EU98*VLOOKUP('Données projet'!$B$15,Paramètres!$A$1:$I$88,3,0)*0.475*44/12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projet'!$B$16,Paramètres!$A$1:$I$88,3,0)*VLOOKUP('Données projet'!$B$16,Paramètres!$A$1:$I$88,5,0)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projet'!$B$16,Paramètres!$A$1:$I$88,7,0))</f>
        <v>0</v>
      </c>
      <c r="FO98" s="17">
        <f>IF(ISNA(VLOOKUP(A98,'Données projet'!$A$217:$I$237,6,0)),0%,VLOOKUP(A98,'Données projet'!$A$217:$I$237,6,0)*VLOOKUP('Données projet'!$B$16,Paramètres!$A$1:$I$88,7,0))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projet'!$B$16,Paramètres!$A$1:$I$88,3,0)*0.475*44/12</f>
        <v>#N/A</v>
      </c>
      <c r="FR98" s="23" t="e">
        <f>EXP(-LN(2)/25)*FR97+(1-EXP(-LN(2)/25))/(LN(2)/25)*Calculateur!FM98*Calculateur!FO98*VLOOKUP('Données projet'!$B$16,Paramètres!$A$1:$I$88,3,0)*0.475*44/12</f>
        <v>#N/A</v>
      </c>
      <c r="FS98" s="23" t="e">
        <f>EXP(-LN(2)/2)*FS97+(1-EXP(-LN(2)/2))/(LN(2)/2)*FM98*FP98*VLOOKUP('Données projet'!$B$16,Paramètres!$A$1:$I$88,3,0)*0.475*44/12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projet'!$B$17,Paramètres!$A$1:$I$88,3,0)*VLOOKUP('Données projet'!$B$17,Paramètres!$A$1:$I$88,5,0)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projet'!$B$17,Paramètres!$A$1:$I$88,7,0))</f>
        <v>0</v>
      </c>
      <c r="GJ98" s="17">
        <f>IF(ISNA(VLOOKUP(A98,'Données projet'!$A$243:$I$263,6,0)),0%,VLOOKUP(A98,'Données projet'!$A$243:$I$263,6,0)*VLOOKUP('Données projet'!$B$17,Paramètres!$A$1:$I$88,7,0))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projet'!$B$17,Paramètres!$A$1:$I$88,3,0)*0.475*44/12</f>
        <v>#N/A</v>
      </c>
      <c r="GM98" s="23" t="e">
        <f>EXP(-LN(2)/25)*GM97+(1-EXP(-LN(2)/25))/(LN(2)/25)*Calculateur!GH98*Calculateur!GJ98*VLOOKUP('Données projet'!$B$17,Paramètres!$A$1:$I$88,3,0)*0.475*44/12</f>
        <v>#N/A</v>
      </c>
      <c r="GN98" s="23" t="e">
        <f>EXP(-LN(2)/2)*GN97+(1-EXP(-LN(2)/2))/(LN(2)/2)*GH98*GK98*VLOOKUP('Données projet'!$B$17,Paramètres!$A$1:$I$88,3,0)*0.475*44/12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projet'!$B$18,Paramètres!$A$1:$I$88,3,0)*VLOOKUP('Données projet'!$B$18,Paramètres!$A$1:$I$88,5,0)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projet'!$B$18,Paramètres!$A$1:$I$88,7,0))</f>
        <v>0</v>
      </c>
      <c r="HE98" s="17">
        <f>IF(ISNA(VLOOKUP(A98,'Données projet'!$A$269:$I$289,6,0)),0%,VLOOKUP(A98,'Données projet'!$A$269:$I$289,6,0)*VLOOKUP('Données projet'!$B$18,Paramètres!$A$1:$I$88,7,0))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projet'!$B$18,Paramètres!$A$1:$I$88,3,0)*0.475*44/12</f>
        <v>#N/A</v>
      </c>
      <c r="HH98" s="23" t="e">
        <f>EXP(-LN(2)/25)*HH97+(1-EXP(-LN(2)/25))/(LN(2)/25)*Calculateur!HC98*Calculateur!HE98*VLOOKUP('Données projet'!$B$18,Paramètres!$A$1:$I$88,3,0)*0.475*44/12</f>
        <v>#N/A</v>
      </c>
      <c r="HI98" s="23" t="e">
        <f>EXP(-LN(2)/2)*HI97+(1-EXP(-LN(2)/2))/(LN(2)/2)*HC98*HF98*VLOOKUP('Données projet'!$B$18,Paramètres!$A$1:$I$88,3,0)*0.475*44/12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projet'!$B$9,Paramètres!$A$1:$I$88,3,0)*VLOOKUP('Données projet'!$B$9,Paramètres!$A$1:$I$88,5,0)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175.05987582828078</v>
      </c>
      <c r="T99" s="62">
        <f t="shared" si="88"/>
        <v>268.54782308462387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projet'!$B$9,Paramètres!$A$1:$I$88,7,0))</f>
        <v>0</v>
      </c>
      <c r="X99" s="17">
        <f>IF(ISNA(VLOOKUP(A99,'Données projet'!$A$35:$I$55,6,0)),0%,VLOOKUP(A99,'Données projet'!$A$35:$I$55,6,0)*VLOOKUP('Données projet'!$B$9,Paramètres!$A$1:$I$88,7,0))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projet'!$B$9,Paramètres!$A$1:$I$88,3,0)*0.475*44/12</f>
        <v>0</v>
      </c>
      <c r="AA99" s="23">
        <f>EXP(-LN(2)/25)*AA98+(1-EXP(-LN(2)/25))/(LN(2)/25)*Calculateur!V99*Calculateur!X99*VLOOKUP('Données projet'!$B$9,Paramètres!$A$1:$I$88,3,0)*0.475*44/12</f>
        <v>1.6516847612213708</v>
      </c>
      <c r="AB99" s="23">
        <f>EXP(-LN(2)/2)*AB98+(1-EXP(-LN(2)/2))/(LN(2)/2)*V99*Y99*VLOOKUP('Données projet'!$B$9,Paramètres!$A$1:$I$88,3,0)*0.475*44/12</f>
        <v>1.9230437326485755E-9</v>
      </c>
      <c r="AC99" s="24">
        <f t="shared" si="57"/>
        <v>1.6516847631444145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12.466666666666667</v>
      </c>
      <c r="AI99" s="14">
        <f>IF('Données projet'!$A$62&gt;35,AI98+AH99-AQ98,IF(A99&lt;'Données projet'!$A$62,$AF$205^A99,IF(A99='Données projet'!$A$62,'Données projet'!$B$62,AI98+AH99-AQ98)))</f>
        <v>846.79999999999905</v>
      </c>
      <c r="AJ99" s="14">
        <f>AI99*VLOOKUP('Données projet'!$B$10,Paramètres!$A$1:$I$88,3,0)*VLOOKUP('Données projet'!$B$10,Paramètres!$A$1:$I$88,5,0)</f>
        <v>407.31079999999952</v>
      </c>
      <c r="AK99" s="14">
        <f t="shared" si="89"/>
        <v>93.257251749190289</v>
      </c>
      <c r="AL99" s="22">
        <f t="shared" si="58"/>
        <v>871.82269012983886</v>
      </c>
      <c r="AM99" s="62">
        <f t="shared" si="59"/>
        <v>1165.1560234631722</v>
      </c>
      <c r="AN99" s="62">
        <f ca="1">AVERAGE(OFFSET($AM$3,0,0,'Données projet'!$E$10+1,1))-AVERAGE(OFFSET($H$3,0,0,'Données projet'!$E$10+1,1))</f>
        <v>576.61210817354549</v>
      </c>
      <c r="AO99" s="62">
        <f t="shared" si="90"/>
        <v>343.9428747444544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projet'!$B$10,Paramètres!$A$1:$I$88,7,0))</f>
        <v>0</v>
      </c>
      <c r="AS99" s="17">
        <f>IF(ISNA(VLOOKUP(A99,'Données projet'!$A$61:$I$81,6,0)),0%,VLOOKUP(A99,'Données projet'!$A$61:$I$81,6,0)*VLOOKUP('Données projet'!$B$10,Paramètres!$A$1:$I$88,7,0))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projet'!$B$10,Paramètres!$A$1:$I$88,3,0)*0.475*44/12</f>
        <v>0</v>
      </c>
      <c r="AV99" s="23">
        <f>EXP(-LN(2)/25)*AV98+(1-EXP(-LN(2)/25))/(LN(2)/25)*Calculateur!AQ99*Calculateur!AS99*VLOOKUP('Données projet'!$B$10,Paramètres!$A$1:$I$88,3,0)*0.475*44/12</f>
        <v>0.90848673433776417</v>
      </c>
      <c r="AW99" s="23">
        <f>EXP(-LN(2)/2)*AW98+(1-EXP(-LN(2)/2))/(LN(2)/2)*AQ99*AT99*VLOOKUP('Données projet'!$B$10,Paramètres!$A$1:$I$88,3,0)*0.475*44/12</f>
        <v>1.3694447323657775E-9</v>
      </c>
      <c r="AX99" s="23">
        <f t="shared" si="60"/>
        <v>0.90848673570720895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-5.6843418860808015E-14</v>
      </c>
      <c r="BE99" s="14">
        <f>BD99*VLOOKUP('Données projet'!$B$11,Paramètres!$A$1:$I$88,3,0)*VLOOKUP('Données projet'!$B$11,Paramètres!$A$1:$I$88,5,0)</f>
        <v>-4.5224624045658861E-14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298.38448036212861</v>
      </c>
      <c r="BJ99" s="62">
        <f t="shared" si="92"/>
        <v>270.4445531106897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projet'!$B$11,Paramètres!$A$1:$I$88,7,0))</f>
        <v>0</v>
      </c>
      <c r="BN99" s="17">
        <f>IF(ISNA(VLOOKUP(A99,'Données projet'!$A$87:$I$107,6,0)),0%,VLOOKUP(A99,'Données projet'!$A$87:$I$107,6,0)*VLOOKUP('Données projet'!$B$11,Paramètres!$A$1:$I$88,7,0))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projet'!$B$11,Paramètres!$A$1:$I$88,3,0)*0.475*44/12</f>
        <v>0</v>
      </c>
      <c r="BQ99" s="23">
        <f>EXP(-LN(2)/25)*BQ98+(1-EXP(-LN(2)/25))/(LN(2)/25)*Calculateur!BL99*Calculateur!BN99*VLOOKUP('Données projet'!$B$11,Paramètres!$A$1:$I$88,3,0)*0.475*44/12</f>
        <v>0</v>
      </c>
      <c r="BR99" s="23">
        <f>EXP(-LN(2)/2)*BR98+(1-EXP(-LN(2)/2))/(LN(2)/2)*BL99*BO99*VLOOKUP('Données projet'!$B$11,Paramètres!$A$1:$I$88,3,0)*0.475*44/12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5.6843418860808015E-14</v>
      </c>
      <c r="BZ99" s="14">
        <f>BY99*VLOOKUP('Données projet'!$B$12,Paramètres!$A$1:$I$88,3,0)*VLOOKUP('Données projet'!$B$12,Paramètres!$A$1:$I$88,5,0)</f>
        <v>4.4337866711430253E-14</v>
      </c>
      <c r="CA99" s="14">
        <f t="shared" si="93"/>
        <v>7.3222115536967035E-13</v>
      </c>
      <c r="CB99" s="22">
        <f t="shared" si="64"/>
        <v>1.3525069634579169E-12</v>
      </c>
      <c r="CC99" s="62">
        <f t="shared" si="65"/>
        <v>293.33333333333468</v>
      </c>
      <c r="CD99" s="62">
        <f ca="1">AVERAGE(OFFSET($CC$3,0,0,'Données projet'!$E$12+1,1))-AVERAGE(OFFSET($H$3,0,0,'Données projet'!$E$12+1,1))</f>
        <v>217.32600829266818</v>
      </c>
      <c r="CE99" s="62">
        <f t="shared" si="94"/>
        <v>208.79744153433245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projet'!$B$12,Paramètres!$A$1:$I$88,7,0))</f>
        <v>0</v>
      </c>
      <c r="CI99" s="17">
        <f>IF(ISNA(VLOOKUP(A99,'Données projet'!$A$113:$I$133,6,0)),0%,VLOOKUP(A99,'Données projet'!$A$113:$I$133,6,0)*VLOOKUP('Données projet'!$B$12,Paramètres!$A$1:$I$88,7,0))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projet'!$B$12,Paramètres!$A$1:$I$88,3,0)*0.475*44/12</f>
        <v>0</v>
      </c>
      <c r="CL99" s="23">
        <f>EXP(-LN(2)/25)*CL98+(1-EXP(-LN(2)/25))/(LN(2)/25)*Calculateur!CG99*Calculateur!CI99*VLOOKUP('Données projet'!$B$12,Paramètres!$A$1:$I$88,3,0)*0.475*44/12</f>
        <v>0</v>
      </c>
      <c r="CM99" s="23">
        <f>EXP(-LN(2)/2)*CM98+(1-EXP(-LN(2)/2))/(LN(2)/2)*CG99*CJ99*VLOOKUP('Données projet'!$B$12,Paramètres!$A$1:$I$88,3,0)*0.475*44/12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-3.4106051316484809E-13</v>
      </c>
      <c r="CU99" s="18">
        <f>CT99*VLOOKUP('Données projet'!$B$13,Paramètres!$A$1:$I$88,3,0)*VLOOKUP('Données projet'!$B$13,Paramètres!$A$1:$I$88,5,0)</f>
        <v>-1.9065282685915009E-13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302.20483575440988</v>
      </c>
      <c r="CZ99" s="62">
        <f t="shared" si="96"/>
        <v>275.32862097158687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projet'!$B$13,Paramètres!$A$1:$I$88,7,0))</f>
        <v>0</v>
      </c>
      <c r="DD99" s="17">
        <f>IF(ISNA(VLOOKUP(A99,'Données projet'!$A$139:$I$159,6,0)),0%,VLOOKUP(A99,'Données projet'!$A$139:$I$159,6,0)*VLOOKUP('Données projet'!$B$13,Paramètres!$A$1:$I$88,7,0))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projet'!$B$13,Paramètres!$A$1:$I$88,3,0)*0.475*44/12</f>
        <v>0</v>
      </c>
      <c r="DG99" s="23">
        <f>EXP(-LN(2)/25)*DG98+(1-EXP(-LN(2)/25))/(LN(2)/25)*Calculateur!DB99*Calculateur!DD99*VLOOKUP('Données projet'!$B$13,Paramètres!$A$1:$I$88,3,0)*0.475*44/12</f>
        <v>2.2182772900880368</v>
      </c>
      <c r="DH99" s="23">
        <f>EXP(-LN(2)/2)*DH98+(1-EXP(-LN(2)/2))/(LN(2)/2)*DB99*DE99*VLOOKUP('Données projet'!$B$13,Paramètres!$A$1:$I$88,3,0)*0.475*44/12</f>
        <v>7.8939922381342259E-10</v>
      </c>
      <c r="DI99" s="24">
        <f t="shared" si="69"/>
        <v>2.218277290877436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projet'!$B$14,Paramètres!$A$1:$I$88,3,0)*VLOOKUP('Données projet'!$B$14,Paramètres!$A$1:$I$88,5,0)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projet'!$B$14,Paramètres!$A$1:$I$88,7,0))</f>
        <v>0</v>
      </c>
      <c r="DY99" s="17">
        <f>IF(ISNA(VLOOKUP(A99,'Données projet'!$A$165:$I$185,6,0)),0%,VLOOKUP(A99,'Données projet'!$A$165:$I$185,6,0)*VLOOKUP('Données projet'!$B$14,Paramètres!$A$1:$I$88,7,0))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projet'!$B$14,Paramètres!$A$1:$I$88,3,0)*0.475*44/12</f>
        <v>#N/A</v>
      </c>
      <c r="EB99" s="23" t="e">
        <f>EXP(-LN(2)/25)*EB98+(1-EXP(-LN(2)/25))/(LN(2)/25)*Calculateur!DW99*Calculateur!DY99*VLOOKUP('Données projet'!$B$14,Paramètres!$A$1:$I$88,3,0)*0.475*44/12</f>
        <v>#N/A</v>
      </c>
      <c r="EC99" s="23" t="e">
        <f>EXP(-LN(2)/2)*EC98+(1-EXP(-LN(2)/2))/(LN(2)/2)*DW99*DZ99*VLOOKUP('Données projet'!$B$14,Paramètres!$A$1:$I$88,3,0)*0.475*44/12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projet'!$B$15,Paramètres!$A$1:$I$88,3,0)*VLOOKUP('Données projet'!$B$15,Paramètres!$A$1:$I$88,5,0)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projet'!$B$15,Paramètres!$A$1:$I$88,7,0))</f>
        <v>0</v>
      </c>
      <c r="ET99" s="17">
        <f>IF(ISNA(VLOOKUP(A99,'Données projet'!$A$191:$I$211,6,0)),0%,VLOOKUP(A99,'Données projet'!$A$191:$I$211,6,0)*VLOOKUP('Données projet'!$B$15,Paramètres!$A$1:$I$88,7,0))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projet'!$B$15,Paramètres!$A$1:$I$88,3,0)*0.475*44/12</f>
        <v>#N/A</v>
      </c>
      <c r="EW99" s="23" t="e">
        <f>EXP(-LN(2)/25)*EW98+(1-EXP(-LN(2)/25))/(LN(2)/25)*Calculateur!ER99*Calculateur!ET99*VLOOKUP('Données projet'!$B$15,Paramètres!$A$1:$I$88,3,0)*0.475*44/12</f>
        <v>#N/A</v>
      </c>
      <c r="EX99" s="23" t="e">
        <f>EXP(-LN(2)/2)*EX98+(1-EXP(-LN(2)/2))/(LN(2)/2)*ER99*EU99*VLOOKUP('Données projet'!$B$15,Paramètres!$A$1:$I$88,3,0)*0.475*44/12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projet'!$B$16,Paramètres!$A$1:$I$88,3,0)*VLOOKUP('Données projet'!$B$16,Paramètres!$A$1:$I$88,5,0)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projet'!$B$16,Paramètres!$A$1:$I$88,7,0))</f>
        <v>0</v>
      </c>
      <c r="FO99" s="17">
        <f>IF(ISNA(VLOOKUP(A99,'Données projet'!$A$217:$I$237,6,0)),0%,VLOOKUP(A99,'Données projet'!$A$217:$I$237,6,0)*VLOOKUP('Données projet'!$B$16,Paramètres!$A$1:$I$88,7,0))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projet'!$B$16,Paramètres!$A$1:$I$88,3,0)*0.475*44/12</f>
        <v>#N/A</v>
      </c>
      <c r="FR99" s="23" t="e">
        <f>EXP(-LN(2)/25)*FR98+(1-EXP(-LN(2)/25))/(LN(2)/25)*Calculateur!FM99*Calculateur!FO99*VLOOKUP('Données projet'!$B$16,Paramètres!$A$1:$I$88,3,0)*0.475*44/12</f>
        <v>#N/A</v>
      </c>
      <c r="FS99" s="23" t="e">
        <f>EXP(-LN(2)/2)*FS98+(1-EXP(-LN(2)/2))/(LN(2)/2)*FM99*FP99*VLOOKUP('Données projet'!$B$16,Paramètres!$A$1:$I$88,3,0)*0.475*44/12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projet'!$B$17,Paramètres!$A$1:$I$88,3,0)*VLOOKUP('Données projet'!$B$17,Paramètres!$A$1:$I$88,5,0)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projet'!$B$17,Paramètres!$A$1:$I$88,7,0))</f>
        <v>0</v>
      </c>
      <c r="GJ99" s="17">
        <f>IF(ISNA(VLOOKUP(A99,'Données projet'!$A$243:$I$263,6,0)),0%,VLOOKUP(A99,'Données projet'!$A$243:$I$263,6,0)*VLOOKUP('Données projet'!$B$17,Paramètres!$A$1:$I$88,7,0))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projet'!$B$17,Paramètres!$A$1:$I$88,3,0)*0.475*44/12</f>
        <v>#N/A</v>
      </c>
      <c r="GM99" s="23" t="e">
        <f>EXP(-LN(2)/25)*GM98+(1-EXP(-LN(2)/25))/(LN(2)/25)*Calculateur!GH99*Calculateur!GJ99*VLOOKUP('Données projet'!$B$17,Paramètres!$A$1:$I$88,3,0)*0.475*44/12</f>
        <v>#N/A</v>
      </c>
      <c r="GN99" s="23" t="e">
        <f>EXP(-LN(2)/2)*GN98+(1-EXP(-LN(2)/2))/(LN(2)/2)*GH99*GK99*VLOOKUP('Données projet'!$B$17,Paramètres!$A$1:$I$88,3,0)*0.475*44/12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projet'!$B$18,Paramètres!$A$1:$I$88,3,0)*VLOOKUP('Données projet'!$B$18,Paramètres!$A$1:$I$88,5,0)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projet'!$B$18,Paramètres!$A$1:$I$88,7,0))</f>
        <v>0</v>
      </c>
      <c r="HE99" s="17">
        <f>IF(ISNA(VLOOKUP(A99,'Données projet'!$A$269:$I$289,6,0)),0%,VLOOKUP(A99,'Données projet'!$A$269:$I$289,6,0)*VLOOKUP('Données projet'!$B$18,Paramètres!$A$1:$I$88,7,0))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projet'!$B$18,Paramètres!$A$1:$I$88,3,0)*0.475*44/12</f>
        <v>#N/A</v>
      </c>
      <c r="HH99" s="23" t="e">
        <f>EXP(-LN(2)/25)*HH98+(1-EXP(-LN(2)/25))/(LN(2)/25)*Calculateur!HC99*Calculateur!HE99*VLOOKUP('Données projet'!$B$18,Paramètres!$A$1:$I$88,3,0)*0.475*44/12</f>
        <v>#N/A</v>
      </c>
      <c r="HI99" s="23" t="e">
        <f>EXP(-LN(2)/2)*HI98+(1-EXP(-LN(2)/2))/(LN(2)/2)*HC99*HF99*VLOOKUP('Données projet'!$B$18,Paramètres!$A$1:$I$88,3,0)*0.475*44/12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projet'!$B$9,Paramètres!$A$1:$I$88,3,0)*VLOOKUP('Données projet'!$B$9,Paramètres!$A$1:$I$88,5,0)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175.05987582828078</v>
      </c>
      <c r="T100" s="62">
        <f t="shared" si="88"/>
        <v>268.54782308462387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projet'!$B$9,Paramètres!$A$1:$I$88,7,0))</f>
        <v>0</v>
      </c>
      <c r="X100" s="17">
        <f>IF(ISNA(VLOOKUP(A100,'Données projet'!$A$35:$I$55,6,0)),0%,VLOOKUP(A100,'Données projet'!$A$35:$I$55,6,0)*VLOOKUP('Données projet'!$B$9,Paramètres!$A$1:$I$88,7,0))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projet'!$B$9,Paramètres!$A$1:$I$88,3,0)*0.475*44/12</f>
        <v>0</v>
      </c>
      <c r="AA100" s="23">
        <f>EXP(-LN(2)/25)*AA99+(1-EXP(-LN(2)/25))/(LN(2)/25)*Calculateur!V100*Calculateur!X100*VLOOKUP('Données projet'!$B$9,Paramètres!$A$1:$I$88,3,0)*0.475*44/12</f>
        <v>1.6065193545674457</v>
      </c>
      <c r="AB100" s="23">
        <f>EXP(-LN(2)/2)*AB99+(1-EXP(-LN(2)/2))/(LN(2)/2)*V100*Y100*VLOOKUP('Données projet'!$B$9,Paramètres!$A$1:$I$88,3,0)*0.475*44/12</f>
        <v>1.3597972638740979E-9</v>
      </c>
      <c r="AC100" s="24">
        <f t="shared" si="57"/>
        <v>1.6065193559272428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12.466666666666667</v>
      </c>
      <c r="AI100" s="14">
        <f>IF('Données projet'!$A$62&gt;35,AI99+AH100-AQ99,IF(A100&lt;'Données projet'!$A$62,$AF$205^A100,IF(A100='Données projet'!$A$62,'Données projet'!$B$62,AI99+AH100-AQ99)))</f>
        <v>859.26666666666574</v>
      </c>
      <c r="AJ100" s="14">
        <f>AI100*VLOOKUP('Données projet'!$B$10,Paramètres!$A$1:$I$88,3,0)*VLOOKUP('Données projet'!$B$10,Paramètres!$A$1:$I$88,5,0)</f>
        <v>413.30726666666624</v>
      </c>
      <c r="AK100" s="14">
        <f t="shared" si="89"/>
        <v>94.469349285922547</v>
      </c>
      <c r="AL100" s="22">
        <f t="shared" si="58"/>
        <v>884.37760611742544</v>
      </c>
      <c r="AM100" s="62">
        <f t="shared" si="59"/>
        <v>1177.7109394507588</v>
      </c>
      <c r="AN100" s="62">
        <f ca="1">AVERAGE(OFFSET($AM$3,0,0,'Données projet'!$E$10+1,1))-AVERAGE(OFFSET($H$3,0,0,'Données projet'!$E$10+1,1))</f>
        <v>576.61210817354549</v>
      </c>
      <c r="AO100" s="62">
        <f t="shared" si="90"/>
        <v>343.9428747444544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projet'!$B$10,Paramètres!$A$1:$I$88,7,0))</f>
        <v>0</v>
      </c>
      <c r="AS100" s="17">
        <f>IF(ISNA(VLOOKUP(A100,'Données projet'!$A$61:$I$81,6,0)),0%,VLOOKUP(A100,'Données projet'!$A$61:$I$81,6,0)*VLOOKUP('Données projet'!$B$10,Paramètres!$A$1:$I$88,7,0))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projet'!$B$10,Paramètres!$A$1:$I$88,3,0)*0.475*44/12</f>
        <v>0</v>
      </c>
      <c r="AV100" s="23">
        <f>EXP(-LN(2)/25)*AV99+(1-EXP(-LN(2)/25))/(LN(2)/25)*Calculateur!AQ100*Calculateur!AS100*VLOOKUP('Données projet'!$B$10,Paramètres!$A$1:$I$88,3,0)*0.475*44/12</f>
        <v>0.88364411681205701</v>
      </c>
      <c r="AW100" s="23">
        <f>EXP(-LN(2)/2)*AW99+(1-EXP(-LN(2)/2))/(LN(2)/2)*AQ100*AT100*VLOOKUP('Données projet'!$B$10,Paramètres!$A$1:$I$88,3,0)*0.475*44/12</f>
        <v>9.6834365671603792E-10</v>
      </c>
      <c r="AX100" s="23">
        <f t="shared" si="60"/>
        <v>0.88364411778040064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-5.6843418860808015E-14</v>
      </c>
      <c r="BE100" s="14">
        <f>BD100*VLOOKUP('Données projet'!$B$11,Paramètres!$A$1:$I$88,3,0)*VLOOKUP('Données projet'!$B$11,Paramètres!$A$1:$I$88,5,0)</f>
        <v>-4.5224624045658861E-14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298.38448036212861</v>
      </c>
      <c r="BJ100" s="62">
        <f t="shared" si="92"/>
        <v>270.4445531106897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projet'!$B$11,Paramètres!$A$1:$I$88,7,0))</f>
        <v>0</v>
      </c>
      <c r="BN100" s="17">
        <f>IF(ISNA(VLOOKUP(A100,'Données projet'!$A$87:$I$107,6,0)),0%,VLOOKUP(A100,'Données projet'!$A$87:$I$107,6,0)*VLOOKUP('Données projet'!$B$11,Paramètres!$A$1:$I$88,7,0))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projet'!$B$11,Paramètres!$A$1:$I$88,3,0)*0.475*44/12</f>
        <v>0</v>
      </c>
      <c r="BQ100" s="23">
        <f>EXP(-LN(2)/25)*BQ99+(1-EXP(-LN(2)/25))/(LN(2)/25)*Calculateur!BL100*Calculateur!BN100*VLOOKUP('Données projet'!$B$11,Paramètres!$A$1:$I$88,3,0)*0.475*44/12</f>
        <v>0</v>
      </c>
      <c r="BR100" s="23">
        <f>EXP(-LN(2)/2)*BR99+(1-EXP(-LN(2)/2))/(LN(2)/2)*BL100*BO100*VLOOKUP('Données projet'!$B$11,Paramètres!$A$1:$I$88,3,0)*0.475*44/12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5.6843418860808015E-14</v>
      </c>
      <c r="BZ100" s="14">
        <f>BY100*VLOOKUP('Données projet'!$B$12,Paramètres!$A$1:$I$88,3,0)*VLOOKUP('Données projet'!$B$12,Paramètres!$A$1:$I$88,5,0)</f>
        <v>4.4337866711430253E-14</v>
      </c>
      <c r="CA100" s="14">
        <f t="shared" si="93"/>
        <v>7.3222115536967035E-13</v>
      </c>
      <c r="CB100" s="22">
        <f t="shared" si="64"/>
        <v>1.3525069634579169E-12</v>
      </c>
      <c r="CC100" s="62">
        <f t="shared" si="65"/>
        <v>293.33333333333468</v>
      </c>
      <c r="CD100" s="62">
        <f ca="1">AVERAGE(OFFSET($CC$3,0,0,'Données projet'!$E$12+1,1))-AVERAGE(OFFSET($H$3,0,0,'Données projet'!$E$12+1,1))</f>
        <v>217.32600829266818</v>
      </c>
      <c r="CE100" s="62">
        <f t="shared" si="94"/>
        <v>208.79744153433245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projet'!$B$12,Paramètres!$A$1:$I$88,7,0))</f>
        <v>0</v>
      </c>
      <c r="CI100" s="17">
        <f>IF(ISNA(VLOOKUP(A100,'Données projet'!$A$113:$I$133,6,0)),0%,VLOOKUP(A100,'Données projet'!$A$113:$I$133,6,0)*VLOOKUP('Données projet'!$B$12,Paramètres!$A$1:$I$88,7,0))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projet'!$B$12,Paramètres!$A$1:$I$88,3,0)*0.475*44/12</f>
        <v>0</v>
      </c>
      <c r="CL100" s="23">
        <f>EXP(-LN(2)/25)*CL99+(1-EXP(-LN(2)/25))/(LN(2)/25)*Calculateur!CG100*Calculateur!CI100*VLOOKUP('Données projet'!$B$12,Paramètres!$A$1:$I$88,3,0)*0.475*44/12</f>
        <v>0</v>
      </c>
      <c r="CM100" s="23">
        <f>EXP(-LN(2)/2)*CM99+(1-EXP(-LN(2)/2))/(LN(2)/2)*CG100*CJ100*VLOOKUP('Données projet'!$B$12,Paramètres!$A$1:$I$88,3,0)*0.475*44/12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-3.4106051316484809E-13</v>
      </c>
      <c r="CU100" s="18">
        <f>CT100*VLOOKUP('Données projet'!$B$13,Paramètres!$A$1:$I$88,3,0)*VLOOKUP('Données projet'!$B$13,Paramètres!$A$1:$I$88,5,0)</f>
        <v>-1.9065282685915009E-13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302.20483575440988</v>
      </c>
      <c r="CZ100" s="62">
        <f t="shared" si="96"/>
        <v>275.32862097158687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projet'!$B$13,Paramètres!$A$1:$I$88,7,0))</f>
        <v>0</v>
      </c>
      <c r="DD100" s="17">
        <f>IF(ISNA(VLOOKUP(A100,'Données projet'!$A$139:$I$159,6,0)),0%,VLOOKUP(A100,'Données projet'!$A$139:$I$159,6,0)*VLOOKUP('Données projet'!$B$13,Paramètres!$A$1:$I$88,7,0))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projet'!$B$13,Paramètres!$A$1:$I$88,3,0)*0.475*44/12</f>
        <v>0</v>
      </c>
      <c r="DG100" s="23">
        <f>EXP(-LN(2)/25)*DG99+(1-EXP(-LN(2)/25))/(LN(2)/25)*Calculateur!DB100*Calculateur!DD100*VLOOKUP('Données projet'!$B$13,Paramètres!$A$1:$I$88,3,0)*0.475*44/12</f>
        <v>2.1576183809364466</v>
      </c>
      <c r="DH100" s="23">
        <f>EXP(-LN(2)/2)*DH99+(1-EXP(-LN(2)/2))/(LN(2)/2)*DB100*DE100*VLOOKUP('Données projet'!$B$13,Paramètres!$A$1:$I$88,3,0)*0.475*44/12</f>
        <v>5.5818954422186825E-10</v>
      </c>
      <c r="DI100" s="24">
        <f t="shared" si="69"/>
        <v>2.1576183814946361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projet'!$B$14,Paramètres!$A$1:$I$88,3,0)*VLOOKUP('Données projet'!$B$14,Paramètres!$A$1:$I$88,5,0)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projet'!$B$14,Paramètres!$A$1:$I$88,7,0))</f>
        <v>0</v>
      </c>
      <c r="DY100" s="17">
        <f>IF(ISNA(VLOOKUP(A100,'Données projet'!$A$165:$I$185,6,0)),0%,VLOOKUP(A100,'Données projet'!$A$165:$I$185,6,0)*VLOOKUP('Données projet'!$B$14,Paramètres!$A$1:$I$88,7,0))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projet'!$B$14,Paramètres!$A$1:$I$88,3,0)*0.475*44/12</f>
        <v>#N/A</v>
      </c>
      <c r="EB100" s="23" t="e">
        <f>EXP(-LN(2)/25)*EB99+(1-EXP(-LN(2)/25))/(LN(2)/25)*Calculateur!DW100*Calculateur!DY100*VLOOKUP('Données projet'!$B$14,Paramètres!$A$1:$I$88,3,0)*0.475*44/12</f>
        <v>#N/A</v>
      </c>
      <c r="EC100" s="23" t="e">
        <f>EXP(-LN(2)/2)*EC99+(1-EXP(-LN(2)/2))/(LN(2)/2)*DW100*DZ100*VLOOKUP('Données projet'!$B$14,Paramètres!$A$1:$I$88,3,0)*0.475*44/12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projet'!$B$15,Paramètres!$A$1:$I$88,3,0)*VLOOKUP('Données projet'!$B$15,Paramètres!$A$1:$I$88,5,0)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projet'!$B$15,Paramètres!$A$1:$I$88,7,0))</f>
        <v>0</v>
      </c>
      <c r="ET100" s="17">
        <f>IF(ISNA(VLOOKUP(A100,'Données projet'!$A$191:$I$211,6,0)),0%,VLOOKUP(A100,'Données projet'!$A$191:$I$211,6,0)*VLOOKUP('Données projet'!$B$15,Paramètres!$A$1:$I$88,7,0))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projet'!$B$15,Paramètres!$A$1:$I$88,3,0)*0.475*44/12</f>
        <v>#N/A</v>
      </c>
      <c r="EW100" s="23" t="e">
        <f>EXP(-LN(2)/25)*EW99+(1-EXP(-LN(2)/25))/(LN(2)/25)*Calculateur!ER100*Calculateur!ET100*VLOOKUP('Données projet'!$B$15,Paramètres!$A$1:$I$88,3,0)*0.475*44/12</f>
        <v>#N/A</v>
      </c>
      <c r="EX100" s="23" t="e">
        <f>EXP(-LN(2)/2)*EX99+(1-EXP(-LN(2)/2))/(LN(2)/2)*ER100*EU100*VLOOKUP('Données projet'!$B$15,Paramètres!$A$1:$I$88,3,0)*0.475*44/12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projet'!$B$16,Paramètres!$A$1:$I$88,3,0)*VLOOKUP('Données projet'!$B$16,Paramètres!$A$1:$I$88,5,0)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projet'!$B$16,Paramètres!$A$1:$I$88,7,0))</f>
        <v>0</v>
      </c>
      <c r="FO100" s="17">
        <f>IF(ISNA(VLOOKUP(A100,'Données projet'!$A$217:$I$237,6,0)),0%,VLOOKUP(A100,'Données projet'!$A$217:$I$237,6,0)*VLOOKUP('Données projet'!$B$16,Paramètres!$A$1:$I$88,7,0))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projet'!$B$16,Paramètres!$A$1:$I$88,3,0)*0.475*44/12</f>
        <v>#N/A</v>
      </c>
      <c r="FR100" s="23" t="e">
        <f>EXP(-LN(2)/25)*FR99+(1-EXP(-LN(2)/25))/(LN(2)/25)*Calculateur!FM100*Calculateur!FO100*VLOOKUP('Données projet'!$B$16,Paramètres!$A$1:$I$88,3,0)*0.475*44/12</f>
        <v>#N/A</v>
      </c>
      <c r="FS100" s="23" t="e">
        <f>EXP(-LN(2)/2)*FS99+(1-EXP(-LN(2)/2))/(LN(2)/2)*FM100*FP100*VLOOKUP('Données projet'!$B$16,Paramètres!$A$1:$I$88,3,0)*0.475*44/12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projet'!$B$17,Paramètres!$A$1:$I$88,3,0)*VLOOKUP('Données projet'!$B$17,Paramètres!$A$1:$I$88,5,0)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projet'!$B$17,Paramètres!$A$1:$I$88,7,0))</f>
        <v>0</v>
      </c>
      <c r="GJ100" s="17">
        <f>IF(ISNA(VLOOKUP(A100,'Données projet'!$A$243:$I$263,6,0)),0%,VLOOKUP(A100,'Données projet'!$A$243:$I$263,6,0)*VLOOKUP('Données projet'!$B$17,Paramètres!$A$1:$I$88,7,0))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projet'!$B$17,Paramètres!$A$1:$I$88,3,0)*0.475*44/12</f>
        <v>#N/A</v>
      </c>
      <c r="GM100" s="23" t="e">
        <f>EXP(-LN(2)/25)*GM99+(1-EXP(-LN(2)/25))/(LN(2)/25)*Calculateur!GH100*Calculateur!GJ100*VLOOKUP('Données projet'!$B$17,Paramètres!$A$1:$I$88,3,0)*0.475*44/12</f>
        <v>#N/A</v>
      </c>
      <c r="GN100" s="23" t="e">
        <f>EXP(-LN(2)/2)*GN99+(1-EXP(-LN(2)/2))/(LN(2)/2)*GH100*GK100*VLOOKUP('Données projet'!$B$17,Paramètres!$A$1:$I$88,3,0)*0.475*44/12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projet'!$B$18,Paramètres!$A$1:$I$88,3,0)*VLOOKUP('Données projet'!$B$18,Paramètres!$A$1:$I$88,5,0)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projet'!$B$18,Paramètres!$A$1:$I$88,7,0))</f>
        <v>0</v>
      </c>
      <c r="HE100" s="17">
        <f>IF(ISNA(VLOOKUP(A100,'Données projet'!$A$269:$I$289,6,0)),0%,VLOOKUP(A100,'Données projet'!$A$269:$I$289,6,0)*VLOOKUP('Données projet'!$B$18,Paramètres!$A$1:$I$88,7,0))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projet'!$B$18,Paramètres!$A$1:$I$88,3,0)*0.475*44/12</f>
        <v>#N/A</v>
      </c>
      <c r="HH100" s="23" t="e">
        <f>EXP(-LN(2)/25)*HH99+(1-EXP(-LN(2)/25))/(LN(2)/25)*Calculateur!HC100*Calculateur!HE100*VLOOKUP('Données projet'!$B$18,Paramètres!$A$1:$I$88,3,0)*0.475*44/12</f>
        <v>#N/A</v>
      </c>
      <c r="HI100" s="23" t="e">
        <f>EXP(-LN(2)/2)*HI99+(1-EXP(-LN(2)/2))/(LN(2)/2)*HC100*HF100*VLOOKUP('Données projet'!$B$18,Paramètres!$A$1:$I$88,3,0)*0.475*44/12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projet'!$B$9,Paramètres!$A$1:$I$88,3,0)*VLOOKUP('Données projet'!$B$9,Paramètres!$A$1:$I$88,5,0)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175.05987582828078</v>
      </c>
      <c r="T101" s="62">
        <f t="shared" si="88"/>
        <v>268.54782308462387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projet'!$B$9,Paramètres!$A$1:$I$88,7,0))</f>
        <v>0</v>
      </c>
      <c r="X101" s="17">
        <f>IF(ISNA(VLOOKUP(A101,'Données projet'!$A$35:$I$55,6,0)),0%,VLOOKUP(A101,'Données projet'!$A$35:$I$55,6,0)*VLOOKUP('Données projet'!$B$9,Paramètres!$A$1:$I$88,7,0))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projet'!$B$9,Paramètres!$A$1:$I$88,3,0)*0.475*44/12</f>
        <v>0</v>
      </c>
      <c r="AA101" s="23">
        <f>EXP(-LN(2)/25)*AA100+(1-EXP(-LN(2)/25))/(LN(2)/25)*Calculateur!V101*Calculateur!X101*VLOOKUP('Données projet'!$B$9,Paramètres!$A$1:$I$88,3,0)*0.475*44/12</f>
        <v>1.5625889983336176</v>
      </c>
      <c r="AB101" s="23">
        <f>EXP(-LN(2)/2)*AB100+(1-EXP(-LN(2)/2))/(LN(2)/2)*V101*Y101*VLOOKUP('Données projet'!$B$9,Paramètres!$A$1:$I$88,3,0)*0.475*44/12</f>
        <v>9.6152186632428777E-10</v>
      </c>
      <c r="AC101" s="24">
        <f t="shared" si="57"/>
        <v>1.5625889992951396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12.466666666666667</v>
      </c>
      <c r="AI101" s="14">
        <f>IF('Données projet'!$A$62&gt;35,AI100+AH101-AQ100,IF(A101&lt;'Données projet'!$A$62,$AF$205^A101,IF(A101='Données projet'!$A$62,'Données projet'!$B$62,AI100+AH101-AQ100)))</f>
        <v>871.73333333333244</v>
      </c>
      <c r="AJ101" s="14">
        <f>AI101*VLOOKUP('Données projet'!$B$10,Paramètres!$A$1:$I$88,3,0)*VLOOKUP('Données projet'!$B$10,Paramètres!$A$1:$I$88,5,0)</f>
        <v>419.3037333333329</v>
      </c>
      <c r="AK101" s="14">
        <f t="shared" si="89"/>
        <v>95.679401497413167</v>
      </c>
      <c r="AL101" s="22">
        <f t="shared" si="58"/>
        <v>896.92895983021606</v>
      </c>
      <c r="AM101" s="62">
        <f t="shared" si="59"/>
        <v>1190.2622931635494</v>
      </c>
      <c r="AN101" s="62">
        <f ca="1">AVERAGE(OFFSET($AM$3,0,0,'Données projet'!$E$10+1,1))-AVERAGE(OFFSET($H$3,0,0,'Données projet'!$E$10+1,1))</f>
        <v>576.61210817354549</v>
      </c>
      <c r="AO101" s="62">
        <f t="shared" si="90"/>
        <v>343.9428747444544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projet'!$B$10,Paramètres!$A$1:$I$88,7,0))</f>
        <v>0</v>
      </c>
      <c r="AS101" s="17">
        <f>IF(ISNA(VLOOKUP(A101,'Données projet'!$A$61:$I$81,6,0)),0%,VLOOKUP(A101,'Données projet'!$A$61:$I$81,6,0)*VLOOKUP('Données projet'!$B$10,Paramètres!$A$1:$I$88,7,0))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projet'!$B$10,Paramètres!$A$1:$I$88,3,0)*0.475*44/12</f>
        <v>0</v>
      </c>
      <c r="AV101" s="23">
        <f>EXP(-LN(2)/25)*AV100+(1-EXP(-LN(2)/25))/(LN(2)/25)*Calculateur!AQ101*Calculateur!AS101*VLOOKUP('Données projet'!$B$10,Paramètres!$A$1:$I$88,3,0)*0.475*44/12</f>
        <v>0.85948082196900677</v>
      </c>
      <c r="AW101" s="23">
        <f>EXP(-LN(2)/2)*AW100+(1-EXP(-LN(2)/2))/(LN(2)/2)*AQ101*AT101*VLOOKUP('Données projet'!$B$10,Paramètres!$A$1:$I$88,3,0)*0.475*44/12</f>
        <v>6.8472236618288873E-10</v>
      </c>
      <c r="AX101" s="23">
        <f t="shared" si="60"/>
        <v>0.85948082265372916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-5.6843418860808015E-14</v>
      </c>
      <c r="BE101" s="14">
        <f>BD101*VLOOKUP('Données projet'!$B$11,Paramètres!$A$1:$I$88,3,0)*VLOOKUP('Données projet'!$B$11,Paramètres!$A$1:$I$88,5,0)</f>
        <v>-4.5224624045658861E-14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298.38448036212861</v>
      </c>
      <c r="BJ101" s="62">
        <f t="shared" si="92"/>
        <v>270.4445531106897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projet'!$B$11,Paramètres!$A$1:$I$88,7,0))</f>
        <v>0</v>
      </c>
      <c r="BN101" s="17">
        <f>IF(ISNA(VLOOKUP(A101,'Données projet'!$A$87:$I$107,6,0)),0%,VLOOKUP(A101,'Données projet'!$A$87:$I$107,6,0)*VLOOKUP('Données projet'!$B$11,Paramètres!$A$1:$I$88,7,0))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projet'!$B$11,Paramètres!$A$1:$I$88,3,0)*0.475*44/12</f>
        <v>0</v>
      </c>
      <c r="BQ101" s="23">
        <f>EXP(-LN(2)/25)*BQ100+(1-EXP(-LN(2)/25))/(LN(2)/25)*Calculateur!BL101*Calculateur!BN101*VLOOKUP('Données projet'!$B$11,Paramètres!$A$1:$I$88,3,0)*0.475*44/12</f>
        <v>0</v>
      </c>
      <c r="BR101" s="23">
        <f>EXP(-LN(2)/2)*BR100+(1-EXP(-LN(2)/2))/(LN(2)/2)*BL101*BO101*VLOOKUP('Données projet'!$B$11,Paramètres!$A$1:$I$88,3,0)*0.475*44/12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5.6843418860808015E-14</v>
      </c>
      <c r="BZ101" s="14">
        <f>BY101*VLOOKUP('Données projet'!$B$12,Paramètres!$A$1:$I$88,3,0)*VLOOKUP('Données projet'!$B$12,Paramètres!$A$1:$I$88,5,0)</f>
        <v>4.4337866711430253E-14</v>
      </c>
      <c r="CA101" s="14">
        <f t="shared" si="93"/>
        <v>7.3222115536967035E-13</v>
      </c>
      <c r="CB101" s="22">
        <f t="shared" si="64"/>
        <v>1.3525069634579169E-12</v>
      </c>
      <c r="CC101" s="62">
        <f t="shared" si="65"/>
        <v>293.33333333333468</v>
      </c>
      <c r="CD101" s="62">
        <f ca="1">AVERAGE(OFFSET($CC$3,0,0,'Données projet'!$E$12+1,1))-AVERAGE(OFFSET($H$3,0,0,'Données projet'!$E$12+1,1))</f>
        <v>217.32600829266818</v>
      </c>
      <c r="CE101" s="62">
        <f t="shared" si="94"/>
        <v>208.79744153433245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projet'!$B$12,Paramètres!$A$1:$I$88,7,0))</f>
        <v>0</v>
      </c>
      <c r="CI101" s="17">
        <f>IF(ISNA(VLOOKUP(A101,'Données projet'!$A$113:$I$133,6,0)),0%,VLOOKUP(A101,'Données projet'!$A$113:$I$133,6,0)*VLOOKUP('Données projet'!$B$12,Paramètres!$A$1:$I$88,7,0))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projet'!$B$12,Paramètres!$A$1:$I$88,3,0)*0.475*44/12</f>
        <v>0</v>
      </c>
      <c r="CL101" s="23">
        <f>EXP(-LN(2)/25)*CL100+(1-EXP(-LN(2)/25))/(LN(2)/25)*Calculateur!CG101*Calculateur!CI101*VLOOKUP('Données projet'!$B$12,Paramètres!$A$1:$I$88,3,0)*0.475*44/12</f>
        <v>0</v>
      </c>
      <c r="CM101" s="23">
        <f>EXP(-LN(2)/2)*CM100+(1-EXP(-LN(2)/2))/(LN(2)/2)*CG101*CJ101*VLOOKUP('Données projet'!$B$12,Paramètres!$A$1:$I$88,3,0)*0.475*44/12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-3.4106051316484809E-13</v>
      </c>
      <c r="CU101" s="18">
        <f>CT101*VLOOKUP('Données projet'!$B$13,Paramètres!$A$1:$I$88,3,0)*VLOOKUP('Données projet'!$B$13,Paramètres!$A$1:$I$88,5,0)</f>
        <v>-1.9065282685915009E-13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302.20483575440988</v>
      </c>
      <c r="CZ101" s="62">
        <f t="shared" si="96"/>
        <v>275.32862097158687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projet'!$B$13,Paramètres!$A$1:$I$88,7,0))</f>
        <v>0</v>
      </c>
      <c r="DD101" s="17">
        <f>IF(ISNA(VLOOKUP(A101,'Données projet'!$A$139:$I$159,6,0)),0%,VLOOKUP(A101,'Données projet'!$A$139:$I$159,6,0)*VLOOKUP('Données projet'!$B$13,Paramètres!$A$1:$I$88,7,0))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projet'!$B$13,Paramètres!$A$1:$I$88,3,0)*0.475*44/12</f>
        <v>0</v>
      </c>
      <c r="DG101" s="23">
        <f>EXP(-LN(2)/25)*DG100+(1-EXP(-LN(2)/25))/(LN(2)/25)*Calculateur!DB101*Calculateur!DD101*VLOOKUP('Données projet'!$B$13,Paramètres!$A$1:$I$88,3,0)*0.475*44/12</f>
        <v>2.0986181928455201</v>
      </c>
      <c r="DH101" s="23">
        <f>EXP(-LN(2)/2)*DH100+(1-EXP(-LN(2)/2))/(LN(2)/2)*DB101*DE101*VLOOKUP('Données projet'!$B$13,Paramètres!$A$1:$I$88,3,0)*0.475*44/12</f>
        <v>3.9469961190671129E-10</v>
      </c>
      <c r="DI101" s="24">
        <f t="shared" si="69"/>
        <v>2.0986181932402199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projet'!$B$14,Paramètres!$A$1:$I$88,3,0)*VLOOKUP('Données projet'!$B$14,Paramètres!$A$1:$I$88,5,0)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projet'!$B$14,Paramètres!$A$1:$I$88,7,0))</f>
        <v>0</v>
      </c>
      <c r="DY101" s="17">
        <f>IF(ISNA(VLOOKUP(A101,'Données projet'!$A$165:$I$185,6,0)),0%,VLOOKUP(A101,'Données projet'!$A$165:$I$185,6,0)*VLOOKUP('Données projet'!$B$14,Paramètres!$A$1:$I$88,7,0))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projet'!$B$14,Paramètres!$A$1:$I$88,3,0)*0.475*44/12</f>
        <v>#N/A</v>
      </c>
      <c r="EB101" s="23" t="e">
        <f>EXP(-LN(2)/25)*EB100+(1-EXP(-LN(2)/25))/(LN(2)/25)*Calculateur!DW101*Calculateur!DY101*VLOOKUP('Données projet'!$B$14,Paramètres!$A$1:$I$88,3,0)*0.475*44/12</f>
        <v>#N/A</v>
      </c>
      <c r="EC101" s="23" t="e">
        <f>EXP(-LN(2)/2)*EC100+(1-EXP(-LN(2)/2))/(LN(2)/2)*DW101*DZ101*VLOOKUP('Données projet'!$B$14,Paramètres!$A$1:$I$88,3,0)*0.475*44/12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projet'!$B$15,Paramètres!$A$1:$I$88,3,0)*VLOOKUP('Données projet'!$B$15,Paramètres!$A$1:$I$88,5,0)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projet'!$B$15,Paramètres!$A$1:$I$88,7,0))</f>
        <v>0</v>
      </c>
      <c r="ET101" s="17">
        <f>IF(ISNA(VLOOKUP(A101,'Données projet'!$A$191:$I$211,6,0)),0%,VLOOKUP(A101,'Données projet'!$A$191:$I$211,6,0)*VLOOKUP('Données projet'!$B$15,Paramètres!$A$1:$I$88,7,0))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projet'!$B$15,Paramètres!$A$1:$I$88,3,0)*0.475*44/12</f>
        <v>#N/A</v>
      </c>
      <c r="EW101" s="23" t="e">
        <f>EXP(-LN(2)/25)*EW100+(1-EXP(-LN(2)/25))/(LN(2)/25)*Calculateur!ER101*Calculateur!ET101*VLOOKUP('Données projet'!$B$15,Paramètres!$A$1:$I$88,3,0)*0.475*44/12</f>
        <v>#N/A</v>
      </c>
      <c r="EX101" s="23" t="e">
        <f>EXP(-LN(2)/2)*EX100+(1-EXP(-LN(2)/2))/(LN(2)/2)*ER101*EU101*VLOOKUP('Données projet'!$B$15,Paramètres!$A$1:$I$88,3,0)*0.475*44/12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projet'!$B$16,Paramètres!$A$1:$I$88,3,0)*VLOOKUP('Données projet'!$B$16,Paramètres!$A$1:$I$88,5,0)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projet'!$B$16,Paramètres!$A$1:$I$88,7,0))</f>
        <v>0</v>
      </c>
      <c r="FO101" s="17">
        <f>IF(ISNA(VLOOKUP(A101,'Données projet'!$A$217:$I$237,6,0)),0%,VLOOKUP(A101,'Données projet'!$A$217:$I$237,6,0)*VLOOKUP('Données projet'!$B$16,Paramètres!$A$1:$I$88,7,0))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projet'!$B$16,Paramètres!$A$1:$I$88,3,0)*0.475*44/12</f>
        <v>#N/A</v>
      </c>
      <c r="FR101" s="23" t="e">
        <f>EXP(-LN(2)/25)*FR100+(1-EXP(-LN(2)/25))/(LN(2)/25)*Calculateur!FM101*Calculateur!FO101*VLOOKUP('Données projet'!$B$16,Paramètres!$A$1:$I$88,3,0)*0.475*44/12</f>
        <v>#N/A</v>
      </c>
      <c r="FS101" s="23" t="e">
        <f>EXP(-LN(2)/2)*FS100+(1-EXP(-LN(2)/2))/(LN(2)/2)*FM101*FP101*VLOOKUP('Données projet'!$B$16,Paramètres!$A$1:$I$88,3,0)*0.475*44/12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projet'!$B$17,Paramètres!$A$1:$I$88,3,0)*VLOOKUP('Données projet'!$B$17,Paramètres!$A$1:$I$88,5,0)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projet'!$B$17,Paramètres!$A$1:$I$88,7,0))</f>
        <v>0</v>
      </c>
      <c r="GJ101" s="17">
        <f>IF(ISNA(VLOOKUP(A101,'Données projet'!$A$243:$I$263,6,0)),0%,VLOOKUP(A101,'Données projet'!$A$243:$I$263,6,0)*VLOOKUP('Données projet'!$B$17,Paramètres!$A$1:$I$88,7,0))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projet'!$B$17,Paramètres!$A$1:$I$88,3,0)*0.475*44/12</f>
        <v>#N/A</v>
      </c>
      <c r="GM101" s="23" t="e">
        <f>EXP(-LN(2)/25)*GM100+(1-EXP(-LN(2)/25))/(LN(2)/25)*Calculateur!GH101*Calculateur!GJ101*VLOOKUP('Données projet'!$B$17,Paramètres!$A$1:$I$88,3,0)*0.475*44/12</f>
        <v>#N/A</v>
      </c>
      <c r="GN101" s="23" t="e">
        <f>EXP(-LN(2)/2)*GN100+(1-EXP(-LN(2)/2))/(LN(2)/2)*GH101*GK101*VLOOKUP('Données projet'!$B$17,Paramètres!$A$1:$I$88,3,0)*0.475*44/12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projet'!$B$18,Paramètres!$A$1:$I$88,3,0)*VLOOKUP('Données projet'!$B$18,Paramètres!$A$1:$I$88,5,0)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projet'!$B$18,Paramètres!$A$1:$I$88,7,0))</f>
        <v>0</v>
      </c>
      <c r="HE101" s="17">
        <f>IF(ISNA(VLOOKUP(A101,'Données projet'!$A$269:$I$289,6,0)),0%,VLOOKUP(A101,'Données projet'!$A$269:$I$289,6,0)*VLOOKUP('Données projet'!$B$18,Paramètres!$A$1:$I$88,7,0))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projet'!$B$18,Paramètres!$A$1:$I$88,3,0)*0.475*44/12</f>
        <v>#N/A</v>
      </c>
      <c r="HH101" s="23" t="e">
        <f>EXP(-LN(2)/25)*HH100+(1-EXP(-LN(2)/25))/(LN(2)/25)*Calculateur!HC101*Calculateur!HE101*VLOOKUP('Données projet'!$B$18,Paramètres!$A$1:$I$88,3,0)*0.475*44/12</f>
        <v>#N/A</v>
      </c>
      <c r="HI101" s="23" t="e">
        <f>EXP(-LN(2)/2)*HI100+(1-EXP(-LN(2)/2))/(LN(2)/2)*HC101*HF101*VLOOKUP('Données projet'!$B$18,Paramètres!$A$1:$I$88,3,0)*0.475*44/12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projet'!$B$9,Paramètres!$A$1:$I$88,3,0)*VLOOKUP('Données projet'!$B$9,Paramètres!$A$1:$I$88,5,0)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175.05987582828078</v>
      </c>
      <c r="T102" s="62">
        <f t="shared" si="88"/>
        <v>268.54782308462387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projet'!$B$9,Paramètres!$A$1:$I$88,7,0))</f>
        <v>0</v>
      </c>
      <c r="X102" s="17">
        <f>IF(ISNA(VLOOKUP(A102,'Données projet'!$A$35:$I$55,6,0)),0%,VLOOKUP(A102,'Données projet'!$A$35:$I$55,6,0)*VLOOKUP('Données projet'!$B$9,Paramètres!$A$1:$I$88,7,0))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projet'!$B$9,Paramètres!$A$1:$I$88,3,0)*0.475*44/12</f>
        <v>0</v>
      </c>
      <c r="AA102" s="23">
        <f>EXP(-LN(2)/25)*AA101+(1-EXP(-LN(2)/25))/(LN(2)/25)*Calculateur!V102*Calculateur!X102*VLOOKUP('Données projet'!$B$9,Paramètres!$A$1:$I$88,3,0)*0.475*44/12</f>
        <v>1.5198599200012008</v>
      </c>
      <c r="AB102" s="23">
        <f>EXP(-LN(2)/2)*AB101+(1-EXP(-LN(2)/2))/(LN(2)/2)*V102*Y102*VLOOKUP('Données projet'!$B$9,Paramètres!$A$1:$I$88,3,0)*0.475*44/12</f>
        <v>6.7989863193704896E-10</v>
      </c>
      <c r="AC102" s="24">
        <f t="shared" si="57"/>
        <v>1.5198599206810994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12.466666666666667</v>
      </c>
      <c r="AI102" s="14">
        <f>IF('Données projet'!$A$62&gt;35,AI101+AH102-AQ101,IF(A102&lt;'Données projet'!$A$62,$AF$205^A102,IF(A102='Données projet'!$A$62,'Données projet'!$B$62,AI101+AH102-AQ101)))</f>
        <v>884.19999999999914</v>
      </c>
      <c r="AJ102" s="14">
        <f>AI102*VLOOKUP('Données projet'!$B$10,Paramètres!$A$1:$I$88,3,0)*VLOOKUP('Données projet'!$B$10,Paramètres!$A$1:$I$88,5,0)</f>
        <v>425.30019999999956</v>
      </c>
      <c r="AK102" s="14">
        <f t="shared" si="89"/>
        <v>96.887441013677616</v>
      </c>
      <c r="AL102" s="22">
        <f t="shared" si="58"/>
        <v>909.47680809882104</v>
      </c>
      <c r="AM102" s="62">
        <f t="shared" si="59"/>
        <v>1202.8101414321543</v>
      </c>
      <c r="AN102" s="62">
        <f ca="1">AVERAGE(OFFSET($AM$3,0,0,'Données projet'!$E$10+1,1))-AVERAGE(OFFSET($H$3,0,0,'Données projet'!$E$10+1,1))</f>
        <v>576.61210817354549</v>
      </c>
      <c r="AO102" s="62">
        <f t="shared" si="90"/>
        <v>343.9428747444544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projet'!$B$10,Paramètres!$A$1:$I$88,7,0))</f>
        <v>0</v>
      </c>
      <c r="AS102" s="17">
        <f>IF(ISNA(VLOOKUP(A102,'Données projet'!$A$61:$I$81,6,0)),0%,VLOOKUP(A102,'Données projet'!$A$61:$I$81,6,0)*VLOOKUP('Données projet'!$B$10,Paramètres!$A$1:$I$88,7,0))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projet'!$B$10,Paramètres!$A$1:$I$88,3,0)*0.475*44/12</f>
        <v>0</v>
      </c>
      <c r="AV102" s="23">
        <f>EXP(-LN(2)/25)*AV101+(1-EXP(-LN(2)/25))/(LN(2)/25)*Calculateur!AQ102*Calculateur!AS102*VLOOKUP('Données projet'!$B$10,Paramètres!$A$1:$I$88,3,0)*0.475*44/12</f>
        <v>0.83597827369413225</v>
      </c>
      <c r="AW102" s="23">
        <f>EXP(-LN(2)/2)*AW101+(1-EXP(-LN(2)/2))/(LN(2)/2)*AQ102*AT102*VLOOKUP('Données projet'!$B$10,Paramètres!$A$1:$I$88,3,0)*0.475*44/12</f>
        <v>4.8417182835801896E-10</v>
      </c>
      <c r="AX102" s="23">
        <f t="shared" si="60"/>
        <v>0.83597827417830406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-5.6843418860808015E-14</v>
      </c>
      <c r="BE102" s="14">
        <f>BD102*VLOOKUP('Données projet'!$B$11,Paramètres!$A$1:$I$88,3,0)*VLOOKUP('Données projet'!$B$11,Paramètres!$A$1:$I$88,5,0)</f>
        <v>-4.5224624045658861E-14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298.38448036212861</v>
      </c>
      <c r="BJ102" s="62">
        <f t="shared" si="92"/>
        <v>270.4445531106897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projet'!$B$11,Paramètres!$A$1:$I$88,7,0))</f>
        <v>0</v>
      </c>
      <c r="BN102" s="17">
        <f>IF(ISNA(VLOOKUP(A102,'Données projet'!$A$87:$I$107,6,0)),0%,VLOOKUP(A102,'Données projet'!$A$87:$I$107,6,0)*VLOOKUP('Données projet'!$B$11,Paramètres!$A$1:$I$88,7,0))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projet'!$B$11,Paramètres!$A$1:$I$88,3,0)*0.475*44/12</f>
        <v>0</v>
      </c>
      <c r="BQ102" s="23">
        <f>EXP(-LN(2)/25)*BQ101+(1-EXP(-LN(2)/25))/(LN(2)/25)*Calculateur!BL102*Calculateur!BN102*VLOOKUP('Données projet'!$B$11,Paramètres!$A$1:$I$88,3,0)*0.475*44/12</f>
        <v>0</v>
      </c>
      <c r="BR102" s="23">
        <f>EXP(-LN(2)/2)*BR101+(1-EXP(-LN(2)/2))/(LN(2)/2)*BL102*BO102*VLOOKUP('Données projet'!$B$11,Paramètres!$A$1:$I$88,3,0)*0.475*44/12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5.6843418860808015E-14</v>
      </c>
      <c r="BZ102" s="14">
        <f>BY102*VLOOKUP('Données projet'!$B$12,Paramètres!$A$1:$I$88,3,0)*VLOOKUP('Données projet'!$B$12,Paramètres!$A$1:$I$88,5,0)</f>
        <v>4.4337866711430253E-14</v>
      </c>
      <c r="CA102" s="14">
        <f t="shared" si="93"/>
        <v>7.3222115536967035E-13</v>
      </c>
      <c r="CB102" s="22">
        <f t="shared" si="64"/>
        <v>1.3525069634579169E-12</v>
      </c>
      <c r="CC102" s="62">
        <f t="shared" si="65"/>
        <v>293.33333333333468</v>
      </c>
      <c r="CD102" s="62">
        <f ca="1">AVERAGE(OFFSET($CC$3,0,0,'Données projet'!$E$12+1,1))-AVERAGE(OFFSET($H$3,0,0,'Données projet'!$E$12+1,1))</f>
        <v>217.32600829266818</v>
      </c>
      <c r="CE102" s="62">
        <f t="shared" si="94"/>
        <v>208.79744153433245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projet'!$B$12,Paramètres!$A$1:$I$88,7,0))</f>
        <v>0</v>
      </c>
      <c r="CI102" s="17">
        <f>IF(ISNA(VLOOKUP(A102,'Données projet'!$A$113:$I$133,6,0)),0%,VLOOKUP(A102,'Données projet'!$A$113:$I$133,6,0)*VLOOKUP('Données projet'!$B$12,Paramètres!$A$1:$I$88,7,0))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projet'!$B$12,Paramètres!$A$1:$I$88,3,0)*0.475*44/12</f>
        <v>0</v>
      </c>
      <c r="CL102" s="23">
        <f>EXP(-LN(2)/25)*CL101+(1-EXP(-LN(2)/25))/(LN(2)/25)*Calculateur!CG102*Calculateur!CI102*VLOOKUP('Données projet'!$B$12,Paramètres!$A$1:$I$88,3,0)*0.475*44/12</f>
        <v>0</v>
      </c>
      <c r="CM102" s="23">
        <f>EXP(-LN(2)/2)*CM101+(1-EXP(-LN(2)/2))/(LN(2)/2)*CG102*CJ102*VLOOKUP('Données projet'!$B$12,Paramètres!$A$1:$I$88,3,0)*0.475*44/12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-3.4106051316484809E-13</v>
      </c>
      <c r="CU102" s="18">
        <f>CT102*VLOOKUP('Données projet'!$B$13,Paramètres!$A$1:$I$88,3,0)*VLOOKUP('Données projet'!$B$13,Paramètres!$A$1:$I$88,5,0)</f>
        <v>-1.9065282685915009E-13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302.20483575440988</v>
      </c>
      <c r="CZ102" s="62">
        <f t="shared" si="96"/>
        <v>275.32862097158687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projet'!$B$13,Paramètres!$A$1:$I$88,7,0))</f>
        <v>0</v>
      </c>
      <c r="DD102" s="17">
        <f>IF(ISNA(VLOOKUP(A102,'Données projet'!$A$139:$I$159,6,0)),0%,VLOOKUP(A102,'Données projet'!$A$139:$I$159,6,0)*VLOOKUP('Données projet'!$B$13,Paramètres!$A$1:$I$88,7,0))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projet'!$B$13,Paramètres!$A$1:$I$88,3,0)*0.475*44/12</f>
        <v>0</v>
      </c>
      <c r="DG102" s="23">
        <f>EXP(-LN(2)/25)*DG101+(1-EXP(-LN(2)/25))/(LN(2)/25)*Calculateur!DB102*Calculateur!DD102*VLOOKUP('Données projet'!$B$13,Paramètres!$A$1:$I$88,3,0)*0.475*44/12</f>
        <v>2.0412313680006249</v>
      </c>
      <c r="DH102" s="23">
        <f>EXP(-LN(2)/2)*DH101+(1-EXP(-LN(2)/2))/(LN(2)/2)*DB102*DE102*VLOOKUP('Données projet'!$B$13,Paramètres!$A$1:$I$88,3,0)*0.475*44/12</f>
        <v>2.7909477211093413E-10</v>
      </c>
      <c r="DI102" s="24">
        <f t="shared" si="69"/>
        <v>2.0412313682797198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projet'!$B$14,Paramètres!$A$1:$I$88,3,0)*VLOOKUP('Données projet'!$B$14,Paramètres!$A$1:$I$88,5,0)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projet'!$B$14,Paramètres!$A$1:$I$88,7,0))</f>
        <v>0</v>
      </c>
      <c r="DY102" s="17">
        <f>IF(ISNA(VLOOKUP(A102,'Données projet'!$A$165:$I$185,6,0)),0%,VLOOKUP(A102,'Données projet'!$A$165:$I$185,6,0)*VLOOKUP('Données projet'!$B$14,Paramètres!$A$1:$I$88,7,0))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projet'!$B$14,Paramètres!$A$1:$I$88,3,0)*0.475*44/12</f>
        <v>#N/A</v>
      </c>
      <c r="EB102" s="23" t="e">
        <f>EXP(-LN(2)/25)*EB101+(1-EXP(-LN(2)/25))/(LN(2)/25)*Calculateur!DW102*Calculateur!DY102*VLOOKUP('Données projet'!$B$14,Paramètres!$A$1:$I$88,3,0)*0.475*44/12</f>
        <v>#N/A</v>
      </c>
      <c r="EC102" s="23" t="e">
        <f>EXP(-LN(2)/2)*EC101+(1-EXP(-LN(2)/2))/(LN(2)/2)*DW102*DZ102*VLOOKUP('Données projet'!$B$14,Paramètres!$A$1:$I$88,3,0)*0.475*44/12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projet'!$B$15,Paramètres!$A$1:$I$88,3,0)*VLOOKUP('Données projet'!$B$15,Paramètres!$A$1:$I$88,5,0)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projet'!$B$15,Paramètres!$A$1:$I$88,7,0))</f>
        <v>0</v>
      </c>
      <c r="ET102" s="17">
        <f>IF(ISNA(VLOOKUP(A102,'Données projet'!$A$191:$I$211,6,0)),0%,VLOOKUP(A102,'Données projet'!$A$191:$I$211,6,0)*VLOOKUP('Données projet'!$B$15,Paramètres!$A$1:$I$88,7,0))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projet'!$B$15,Paramètres!$A$1:$I$88,3,0)*0.475*44/12</f>
        <v>#N/A</v>
      </c>
      <c r="EW102" s="23" t="e">
        <f>EXP(-LN(2)/25)*EW101+(1-EXP(-LN(2)/25))/(LN(2)/25)*Calculateur!ER102*Calculateur!ET102*VLOOKUP('Données projet'!$B$15,Paramètres!$A$1:$I$88,3,0)*0.475*44/12</f>
        <v>#N/A</v>
      </c>
      <c r="EX102" s="23" t="e">
        <f>EXP(-LN(2)/2)*EX101+(1-EXP(-LN(2)/2))/(LN(2)/2)*ER102*EU102*VLOOKUP('Données projet'!$B$15,Paramètres!$A$1:$I$88,3,0)*0.475*44/12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projet'!$B$16,Paramètres!$A$1:$I$88,3,0)*VLOOKUP('Données projet'!$B$16,Paramètres!$A$1:$I$88,5,0)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projet'!$B$16,Paramètres!$A$1:$I$88,7,0))</f>
        <v>0</v>
      </c>
      <c r="FO102" s="17">
        <f>IF(ISNA(VLOOKUP(A102,'Données projet'!$A$217:$I$237,6,0)),0%,VLOOKUP(A102,'Données projet'!$A$217:$I$237,6,0)*VLOOKUP('Données projet'!$B$16,Paramètres!$A$1:$I$88,7,0))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projet'!$B$16,Paramètres!$A$1:$I$88,3,0)*0.475*44/12</f>
        <v>#N/A</v>
      </c>
      <c r="FR102" s="23" t="e">
        <f>EXP(-LN(2)/25)*FR101+(1-EXP(-LN(2)/25))/(LN(2)/25)*Calculateur!FM102*Calculateur!FO102*VLOOKUP('Données projet'!$B$16,Paramètres!$A$1:$I$88,3,0)*0.475*44/12</f>
        <v>#N/A</v>
      </c>
      <c r="FS102" s="23" t="e">
        <f>EXP(-LN(2)/2)*FS101+(1-EXP(-LN(2)/2))/(LN(2)/2)*FM102*FP102*VLOOKUP('Données projet'!$B$16,Paramètres!$A$1:$I$88,3,0)*0.475*44/12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projet'!$B$17,Paramètres!$A$1:$I$88,3,0)*VLOOKUP('Données projet'!$B$17,Paramètres!$A$1:$I$88,5,0)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projet'!$B$17,Paramètres!$A$1:$I$88,7,0))</f>
        <v>0</v>
      </c>
      <c r="GJ102" s="17">
        <f>IF(ISNA(VLOOKUP(A102,'Données projet'!$A$243:$I$263,6,0)),0%,VLOOKUP(A102,'Données projet'!$A$243:$I$263,6,0)*VLOOKUP('Données projet'!$B$17,Paramètres!$A$1:$I$88,7,0))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projet'!$B$17,Paramètres!$A$1:$I$88,3,0)*0.475*44/12</f>
        <v>#N/A</v>
      </c>
      <c r="GM102" s="23" t="e">
        <f>EXP(-LN(2)/25)*GM101+(1-EXP(-LN(2)/25))/(LN(2)/25)*Calculateur!GH102*Calculateur!GJ102*VLOOKUP('Données projet'!$B$17,Paramètres!$A$1:$I$88,3,0)*0.475*44/12</f>
        <v>#N/A</v>
      </c>
      <c r="GN102" s="23" t="e">
        <f>EXP(-LN(2)/2)*GN101+(1-EXP(-LN(2)/2))/(LN(2)/2)*GH102*GK102*VLOOKUP('Données projet'!$B$17,Paramètres!$A$1:$I$88,3,0)*0.475*44/12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projet'!$B$18,Paramètres!$A$1:$I$88,3,0)*VLOOKUP('Données projet'!$B$18,Paramètres!$A$1:$I$88,5,0)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projet'!$B$18,Paramètres!$A$1:$I$88,7,0))</f>
        <v>0</v>
      </c>
      <c r="HE102" s="17">
        <f>IF(ISNA(VLOOKUP(A102,'Données projet'!$A$269:$I$289,6,0)),0%,VLOOKUP(A102,'Données projet'!$A$269:$I$289,6,0)*VLOOKUP('Données projet'!$B$18,Paramètres!$A$1:$I$88,7,0))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projet'!$B$18,Paramètres!$A$1:$I$88,3,0)*0.475*44/12</f>
        <v>#N/A</v>
      </c>
      <c r="HH102" s="23" t="e">
        <f>EXP(-LN(2)/25)*HH101+(1-EXP(-LN(2)/25))/(LN(2)/25)*Calculateur!HC102*Calculateur!HE102*VLOOKUP('Données projet'!$B$18,Paramètres!$A$1:$I$88,3,0)*0.475*44/12</f>
        <v>#N/A</v>
      </c>
      <c r="HI102" s="23" t="e">
        <f>EXP(-LN(2)/2)*HI101+(1-EXP(-LN(2)/2))/(LN(2)/2)*HC102*HF102*VLOOKUP('Données projet'!$B$18,Paramètres!$A$1:$I$88,3,0)*0.475*44/12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projet'!$B$9,Paramètres!$A$1:$I$88,3,0)*VLOOKUP('Données projet'!$B$9,Paramètres!$A$1:$I$88,5,0)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175.05987582828078</v>
      </c>
      <c r="T103" s="62">
        <f t="shared" si="88"/>
        <v>268.54782308462387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projet'!$B$9,Paramètres!$A$1:$I$88,7,0))</f>
        <v>0</v>
      </c>
      <c r="X103" s="17">
        <f>IF(ISNA(VLOOKUP(A103,'Données projet'!$A$35:$I$55,6,0)),0%,VLOOKUP(A103,'Données projet'!$A$35:$I$55,6,0)*VLOOKUP('Données projet'!$B$9,Paramètres!$A$1:$I$88,7,0))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projet'!$B$9,Paramètres!$A$1:$I$88,3,0)*0.475*44/12</f>
        <v>0</v>
      </c>
      <c r="AA103" s="23">
        <f>EXP(-LN(2)/25)*AA102+(1-EXP(-LN(2)/25))/(LN(2)/25)*Calculateur!V103*Calculateur!X103*VLOOKUP('Données projet'!$B$9,Paramètres!$A$1:$I$88,3,0)*0.475*44/12</f>
        <v>1.4782992705628084</v>
      </c>
      <c r="AB103" s="23">
        <f>EXP(-LN(2)/2)*AB102+(1-EXP(-LN(2)/2))/(LN(2)/2)*V103*Y103*VLOOKUP('Données projet'!$B$9,Paramètres!$A$1:$I$88,3,0)*0.475*44/12</f>
        <v>4.8076093316214388E-10</v>
      </c>
      <c r="AC103" s="24">
        <f t="shared" si="57"/>
        <v>1.4782992710435694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12.466666666666667</v>
      </c>
      <c r="AI103" s="14">
        <f>IF('Données projet'!$A$62&gt;35,AI102+AH103-AQ102,IF(A103&lt;'Données projet'!$A$62,$AF$205^A103,IF(A103='Données projet'!$A$62,'Données projet'!$B$62,AI102+AH103-AQ102)))</f>
        <v>896.66666666666583</v>
      </c>
      <c r="AJ103" s="14">
        <f>AI103*VLOOKUP('Données projet'!$B$10,Paramètres!$A$1:$I$88,3,0)*VLOOKUP('Données projet'!$B$10,Paramètres!$A$1:$I$88,5,0)</f>
        <v>431.29666666666628</v>
      </c>
      <c r="AK103" s="14">
        <f t="shared" si="89"/>
        <v>98.093499491756702</v>
      </c>
      <c r="AL103" s="22">
        <f t="shared" si="58"/>
        <v>922.02120605925336</v>
      </c>
      <c r="AM103" s="62">
        <f t="shared" si="59"/>
        <v>1215.3545393925867</v>
      </c>
      <c r="AN103" s="62">
        <f ca="1">AVERAGE(OFFSET($AM$3,0,0,'Données projet'!$E$10+1,1))-AVERAGE(OFFSET($H$3,0,0,'Données projet'!$E$10+1,1))</f>
        <v>576.61210817354549</v>
      </c>
      <c r="AO103" s="62">
        <f t="shared" si="90"/>
        <v>343.9428747444544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projet'!$B$10,Paramètres!$A$1:$I$88,7,0))</f>
        <v>0</v>
      </c>
      <c r="AS103" s="17">
        <f>IF(ISNA(VLOOKUP(A103,'Données projet'!$A$61:$I$81,6,0)),0%,VLOOKUP(A103,'Données projet'!$A$61:$I$81,6,0)*VLOOKUP('Données projet'!$B$10,Paramètres!$A$1:$I$88,7,0))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projet'!$B$10,Paramètres!$A$1:$I$88,3,0)*0.475*44/12</f>
        <v>0</v>
      </c>
      <c r="AV103" s="23">
        <f>EXP(-LN(2)/25)*AV102+(1-EXP(-LN(2)/25))/(LN(2)/25)*Calculateur!AQ103*Calculateur!AS103*VLOOKUP('Données projet'!$B$10,Paramètres!$A$1:$I$88,3,0)*0.475*44/12</f>
        <v>0.81311840383777945</v>
      </c>
      <c r="AW103" s="23">
        <f>EXP(-LN(2)/2)*AW102+(1-EXP(-LN(2)/2))/(LN(2)/2)*AQ103*AT103*VLOOKUP('Données projet'!$B$10,Paramètres!$A$1:$I$88,3,0)*0.475*44/12</f>
        <v>3.4236118309144436E-10</v>
      </c>
      <c r="AX103" s="23">
        <f t="shared" si="60"/>
        <v>0.81311840418014059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-5.6843418860808015E-14</v>
      </c>
      <c r="BE103" s="14">
        <f>BD103*VLOOKUP('Données projet'!$B$11,Paramètres!$A$1:$I$88,3,0)*VLOOKUP('Données projet'!$B$11,Paramètres!$A$1:$I$88,5,0)</f>
        <v>-4.5224624045658861E-14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298.38448036212861</v>
      </c>
      <c r="BJ103" s="62">
        <f t="shared" si="92"/>
        <v>270.4445531106897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projet'!$B$11,Paramètres!$A$1:$I$88,7,0))</f>
        <v>0</v>
      </c>
      <c r="BN103" s="17">
        <f>IF(ISNA(VLOOKUP(A103,'Données projet'!$A$87:$I$107,6,0)),0%,VLOOKUP(A103,'Données projet'!$A$87:$I$107,6,0)*VLOOKUP('Données projet'!$B$11,Paramètres!$A$1:$I$88,7,0))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projet'!$B$11,Paramètres!$A$1:$I$88,3,0)*0.475*44/12</f>
        <v>0</v>
      </c>
      <c r="BQ103" s="23">
        <f>EXP(-LN(2)/25)*BQ102+(1-EXP(-LN(2)/25))/(LN(2)/25)*Calculateur!BL103*Calculateur!BN103*VLOOKUP('Données projet'!$B$11,Paramètres!$A$1:$I$88,3,0)*0.475*44/12</f>
        <v>0</v>
      </c>
      <c r="BR103" s="23">
        <f>EXP(-LN(2)/2)*BR102+(1-EXP(-LN(2)/2))/(LN(2)/2)*BL103*BO103*VLOOKUP('Données projet'!$B$11,Paramètres!$A$1:$I$88,3,0)*0.475*44/12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5.6843418860808015E-14</v>
      </c>
      <c r="BZ103" s="14">
        <f>BY103*VLOOKUP('Données projet'!$B$12,Paramètres!$A$1:$I$88,3,0)*VLOOKUP('Données projet'!$B$12,Paramètres!$A$1:$I$88,5,0)</f>
        <v>4.4337866711430253E-14</v>
      </c>
      <c r="CA103" s="14">
        <f t="shared" si="93"/>
        <v>7.3222115536967035E-13</v>
      </c>
      <c r="CB103" s="22">
        <f t="shared" si="64"/>
        <v>1.3525069634579169E-12</v>
      </c>
      <c r="CC103" s="62">
        <f t="shared" si="65"/>
        <v>293.33333333333468</v>
      </c>
      <c r="CD103" s="62">
        <f ca="1">AVERAGE(OFFSET($CC$3,0,0,'Données projet'!$E$12+1,1))-AVERAGE(OFFSET($H$3,0,0,'Données projet'!$E$12+1,1))</f>
        <v>217.32600829266818</v>
      </c>
      <c r="CE103" s="62">
        <f t="shared" si="94"/>
        <v>208.79744153433245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projet'!$B$12,Paramètres!$A$1:$I$88,7,0))</f>
        <v>0</v>
      </c>
      <c r="CI103" s="17">
        <f>IF(ISNA(VLOOKUP(A103,'Données projet'!$A$113:$I$133,6,0)),0%,VLOOKUP(A103,'Données projet'!$A$113:$I$133,6,0)*VLOOKUP('Données projet'!$B$12,Paramètres!$A$1:$I$88,7,0))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projet'!$B$12,Paramètres!$A$1:$I$88,3,0)*0.475*44/12</f>
        <v>0</v>
      </c>
      <c r="CL103" s="23">
        <f>EXP(-LN(2)/25)*CL102+(1-EXP(-LN(2)/25))/(LN(2)/25)*Calculateur!CG103*Calculateur!CI103*VLOOKUP('Données projet'!$B$12,Paramètres!$A$1:$I$88,3,0)*0.475*44/12</f>
        <v>0</v>
      </c>
      <c r="CM103" s="23">
        <f>EXP(-LN(2)/2)*CM102+(1-EXP(-LN(2)/2))/(LN(2)/2)*CG103*CJ103*VLOOKUP('Données projet'!$B$12,Paramètres!$A$1:$I$88,3,0)*0.475*44/12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-3.4106051316484809E-13</v>
      </c>
      <c r="CU103" s="18">
        <f>CT103*VLOOKUP('Données projet'!$B$13,Paramètres!$A$1:$I$88,3,0)*VLOOKUP('Données projet'!$B$13,Paramètres!$A$1:$I$88,5,0)</f>
        <v>-1.9065282685915009E-13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302.20483575440988</v>
      </c>
      <c r="CZ103" s="62">
        <f t="shared" si="96"/>
        <v>275.32862097158687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projet'!$B$13,Paramètres!$A$1:$I$88,7,0))</f>
        <v>0</v>
      </c>
      <c r="DD103" s="17">
        <f>IF(ISNA(VLOOKUP(A103,'Données projet'!$A$139:$I$159,6,0)),0%,VLOOKUP(A103,'Données projet'!$A$139:$I$159,6,0)*VLOOKUP('Données projet'!$B$13,Paramètres!$A$1:$I$88,7,0))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projet'!$B$13,Paramètres!$A$1:$I$88,3,0)*0.475*44/12</f>
        <v>0</v>
      </c>
      <c r="DG103" s="23">
        <f>EXP(-LN(2)/25)*DG102+(1-EXP(-LN(2)/25))/(LN(2)/25)*Calculateur!DB103*Calculateur!DD103*VLOOKUP('Données projet'!$B$13,Paramètres!$A$1:$I$88,3,0)*0.475*44/12</f>
        <v>1.9854137888989554</v>
      </c>
      <c r="DH103" s="23">
        <f>EXP(-LN(2)/2)*DH102+(1-EXP(-LN(2)/2))/(LN(2)/2)*DB103*DE103*VLOOKUP('Données projet'!$B$13,Paramètres!$A$1:$I$88,3,0)*0.475*44/12</f>
        <v>1.9734980595335565E-10</v>
      </c>
      <c r="DI103" s="24">
        <f t="shared" si="69"/>
        <v>1.9854137890963053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projet'!$B$14,Paramètres!$A$1:$I$88,3,0)*VLOOKUP('Données projet'!$B$14,Paramètres!$A$1:$I$88,5,0)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projet'!$B$14,Paramètres!$A$1:$I$88,7,0))</f>
        <v>0</v>
      </c>
      <c r="DY103" s="17">
        <f>IF(ISNA(VLOOKUP(A103,'Données projet'!$A$165:$I$185,6,0)),0%,VLOOKUP(A103,'Données projet'!$A$165:$I$185,6,0)*VLOOKUP('Données projet'!$B$14,Paramètres!$A$1:$I$88,7,0))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projet'!$B$14,Paramètres!$A$1:$I$88,3,0)*0.475*44/12</f>
        <v>#N/A</v>
      </c>
      <c r="EB103" s="23" t="e">
        <f>EXP(-LN(2)/25)*EB102+(1-EXP(-LN(2)/25))/(LN(2)/25)*Calculateur!DW103*Calculateur!DY103*VLOOKUP('Données projet'!$B$14,Paramètres!$A$1:$I$88,3,0)*0.475*44/12</f>
        <v>#N/A</v>
      </c>
      <c r="EC103" s="23" t="e">
        <f>EXP(-LN(2)/2)*EC102+(1-EXP(-LN(2)/2))/(LN(2)/2)*DW103*DZ103*VLOOKUP('Données projet'!$B$14,Paramètres!$A$1:$I$88,3,0)*0.475*44/12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projet'!$B$15,Paramètres!$A$1:$I$88,3,0)*VLOOKUP('Données projet'!$B$15,Paramètres!$A$1:$I$88,5,0)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projet'!$B$15,Paramètres!$A$1:$I$88,7,0))</f>
        <v>0</v>
      </c>
      <c r="ET103" s="17">
        <f>IF(ISNA(VLOOKUP(A103,'Données projet'!$A$191:$I$211,6,0)),0%,VLOOKUP(A103,'Données projet'!$A$191:$I$211,6,0)*VLOOKUP('Données projet'!$B$15,Paramètres!$A$1:$I$88,7,0))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projet'!$B$15,Paramètres!$A$1:$I$88,3,0)*0.475*44/12</f>
        <v>#N/A</v>
      </c>
      <c r="EW103" s="23" t="e">
        <f>EXP(-LN(2)/25)*EW102+(1-EXP(-LN(2)/25))/(LN(2)/25)*Calculateur!ER103*Calculateur!ET103*VLOOKUP('Données projet'!$B$15,Paramètres!$A$1:$I$88,3,0)*0.475*44/12</f>
        <v>#N/A</v>
      </c>
      <c r="EX103" s="23" t="e">
        <f>EXP(-LN(2)/2)*EX102+(1-EXP(-LN(2)/2))/(LN(2)/2)*ER103*EU103*VLOOKUP('Données projet'!$B$15,Paramètres!$A$1:$I$88,3,0)*0.475*44/12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projet'!$B$16,Paramètres!$A$1:$I$88,3,0)*VLOOKUP('Données projet'!$B$16,Paramètres!$A$1:$I$88,5,0)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projet'!$B$16,Paramètres!$A$1:$I$88,7,0))</f>
        <v>0</v>
      </c>
      <c r="FO103" s="17">
        <f>IF(ISNA(VLOOKUP(A103,'Données projet'!$A$217:$I$237,6,0)),0%,VLOOKUP(A103,'Données projet'!$A$217:$I$237,6,0)*VLOOKUP('Données projet'!$B$16,Paramètres!$A$1:$I$88,7,0))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projet'!$B$16,Paramètres!$A$1:$I$88,3,0)*0.475*44/12</f>
        <v>#N/A</v>
      </c>
      <c r="FR103" s="23" t="e">
        <f>EXP(-LN(2)/25)*FR102+(1-EXP(-LN(2)/25))/(LN(2)/25)*Calculateur!FM103*Calculateur!FO103*VLOOKUP('Données projet'!$B$16,Paramètres!$A$1:$I$88,3,0)*0.475*44/12</f>
        <v>#N/A</v>
      </c>
      <c r="FS103" s="23" t="e">
        <f>EXP(-LN(2)/2)*FS102+(1-EXP(-LN(2)/2))/(LN(2)/2)*FM103*FP103*VLOOKUP('Données projet'!$B$16,Paramètres!$A$1:$I$88,3,0)*0.475*44/12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projet'!$B$17,Paramètres!$A$1:$I$88,3,0)*VLOOKUP('Données projet'!$B$17,Paramètres!$A$1:$I$88,5,0)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projet'!$B$17,Paramètres!$A$1:$I$88,7,0))</f>
        <v>0</v>
      </c>
      <c r="GJ103" s="17">
        <f>IF(ISNA(VLOOKUP(A103,'Données projet'!$A$243:$I$263,6,0)),0%,VLOOKUP(A103,'Données projet'!$A$243:$I$263,6,0)*VLOOKUP('Données projet'!$B$17,Paramètres!$A$1:$I$88,7,0))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projet'!$B$17,Paramètres!$A$1:$I$88,3,0)*0.475*44/12</f>
        <v>#N/A</v>
      </c>
      <c r="GM103" s="23" t="e">
        <f>EXP(-LN(2)/25)*GM102+(1-EXP(-LN(2)/25))/(LN(2)/25)*Calculateur!GH103*Calculateur!GJ103*VLOOKUP('Données projet'!$B$17,Paramètres!$A$1:$I$88,3,0)*0.475*44/12</f>
        <v>#N/A</v>
      </c>
      <c r="GN103" s="23" t="e">
        <f>EXP(-LN(2)/2)*GN102+(1-EXP(-LN(2)/2))/(LN(2)/2)*GH103*GK103*VLOOKUP('Données projet'!$B$17,Paramètres!$A$1:$I$88,3,0)*0.475*44/12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projet'!$B$18,Paramètres!$A$1:$I$88,3,0)*VLOOKUP('Données projet'!$B$18,Paramètres!$A$1:$I$88,5,0)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projet'!$B$18,Paramètres!$A$1:$I$88,7,0))</f>
        <v>0</v>
      </c>
      <c r="HE103" s="17">
        <f>IF(ISNA(VLOOKUP(A103,'Données projet'!$A$269:$I$289,6,0)),0%,VLOOKUP(A103,'Données projet'!$A$269:$I$289,6,0)*VLOOKUP('Données projet'!$B$18,Paramètres!$A$1:$I$88,7,0))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projet'!$B$18,Paramètres!$A$1:$I$88,3,0)*0.475*44/12</f>
        <v>#N/A</v>
      </c>
      <c r="HH103" s="23" t="e">
        <f>EXP(-LN(2)/25)*HH102+(1-EXP(-LN(2)/25))/(LN(2)/25)*Calculateur!HC103*Calculateur!HE103*VLOOKUP('Données projet'!$B$18,Paramètres!$A$1:$I$88,3,0)*0.475*44/12</f>
        <v>#N/A</v>
      </c>
      <c r="HI103" s="23" t="e">
        <f>EXP(-LN(2)/2)*HI102+(1-EXP(-LN(2)/2))/(LN(2)/2)*HC103*HF103*VLOOKUP('Données projet'!$B$18,Paramètres!$A$1:$I$88,3,0)*0.475*44/12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projet'!$B$9,Paramètres!$A$1:$I$88,3,0)*VLOOKUP('Données projet'!$B$9,Paramètres!$A$1:$I$88,5,0)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175.05987582828078</v>
      </c>
      <c r="T104" s="62">
        <f t="shared" si="88"/>
        <v>268.54782308462387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projet'!$B$9,Paramètres!$A$1:$I$88,7,0))</f>
        <v>0</v>
      </c>
      <c r="X104" s="17">
        <f>IF(ISNA(VLOOKUP(A104,'Données projet'!$A$35:$I$55,6,0)),0%,VLOOKUP(A104,'Données projet'!$A$35:$I$55,6,0)*VLOOKUP('Données projet'!$B$9,Paramètres!$A$1:$I$88,7,0))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projet'!$B$9,Paramètres!$A$1:$I$88,3,0)*0.475*44/12</f>
        <v>0</v>
      </c>
      <c r="AA104" s="23">
        <f>EXP(-LN(2)/25)*AA103+(1-EXP(-LN(2)/25))/(LN(2)/25)*Calculateur!V104*Calculateur!X104*VLOOKUP('Données projet'!$B$9,Paramètres!$A$1:$I$88,3,0)*0.475*44/12</f>
        <v>1.4378750992688885</v>
      </c>
      <c r="AB104" s="23">
        <f>EXP(-LN(2)/2)*AB103+(1-EXP(-LN(2)/2))/(LN(2)/2)*V104*Y104*VLOOKUP('Données projet'!$B$9,Paramètres!$A$1:$I$88,3,0)*0.475*44/12</f>
        <v>3.3994931596852448E-10</v>
      </c>
      <c r="AC104" s="24">
        <f t="shared" si="57"/>
        <v>1.4378750996088379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12.466666666666667</v>
      </c>
      <c r="AI104" s="14">
        <f>IF('Données projet'!$A$62&gt;35,AI103+AH104-AQ103,IF(A104&lt;'Données projet'!$A$62,$AF$205^A104,IF(A104='Données projet'!$A$62,'Données projet'!$B$62,AI103+AH104-AQ103)))</f>
        <v>909.13333333333253</v>
      </c>
      <c r="AJ104" s="14">
        <f>AI104*VLOOKUP('Données projet'!$B$10,Paramètres!$A$1:$I$88,3,0)*VLOOKUP('Données projet'!$B$10,Paramètres!$A$1:$I$88,5,0)</f>
        <v>437.29313333333295</v>
      </c>
      <c r="AK104" s="14">
        <f t="shared" si="89"/>
        <v>99.297607657845674</v>
      </c>
      <c r="AL104" s="22">
        <f t="shared" si="58"/>
        <v>934.56220722630269</v>
      </c>
      <c r="AM104" s="62">
        <f t="shared" si="59"/>
        <v>1227.8955405596359</v>
      </c>
      <c r="AN104" s="62">
        <f ca="1">AVERAGE(OFFSET($AM$3,0,0,'Données projet'!$E$10+1,1))-AVERAGE(OFFSET($H$3,0,0,'Données projet'!$E$10+1,1))</f>
        <v>576.61210817354549</v>
      </c>
      <c r="AO104" s="62">
        <f t="shared" si="90"/>
        <v>343.9428747444544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projet'!$B$10,Paramètres!$A$1:$I$88,7,0))</f>
        <v>0</v>
      </c>
      <c r="AS104" s="17">
        <f>IF(ISNA(VLOOKUP(A104,'Données projet'!$A$61:$I$81,6,0)),0%,VLOOKUP(A104,'Données projet'!$A$61:$I$81,6,0)*VLOOKUP('Données projet'!$B$10,Paramètres!$A$1:$I$88,7,0))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projet'!$B$10,Paramètres!$A$1:$I$88,3,0)*0.475*44/12</f>
        <v>0</v>
      </c>
      <c r="AV104" s="23">
        <f>EXP(-LN(2)/25)*AV103+(1-EXP(-LN(2)/25))/(LN(2)/25)*Calculateur!AQ104*Calculateur!AS104*VLOOKUP('Données projet'!$B$10,Paramètres!$A$1:$I$88,3,0)*0.475*44/12</f>
        <v>0.79088363832479691</v>
      </c>
      <c r="AW104" s="23">
        <f>EXP(-LN(2)/2)*AW103+(1-EXP(-LN(2)/2))/(LN(2)/2)*AQ104*AT104*VLOOKUP('Données projet'!$B$10,Paramètres!$A$1:$I$88,3,0)*0.475*44/12</f>
        <v>2.4208591417900948E-10</v>
      </c>
      <c r="AX104" s="23">
        <f t="shared" si="60"/>
        <v>0.79088363856688282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-5.6843418860808015E-14</v>
      </c>
      <c r="BE104" s="14">
        <f>BD104*VLOOKUP('Données projet'!$B$11,Paramètres!$A$1:$I$88,3,0)*VLOOKUP('Données projet'!$B$11,Paramètres!$A$1:$I$88,5,0)</f>
        <v>-4.5224624045658861E-14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298.38448036212861</v>
      </c>
      <c r="BJ104" s="62">
        <f t="shared" si="92"/>
        <v>270.4445531106897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projet'!$B$11,Paramètres!$A$1:$I$88,7,0))</f>
        <v>0</v>
      </c>
      <c r="BN104" s="17">
        <f>IF(ISNA(VLOOKUP(A104,'Données projet'!$A$87:$I$107,6,0)),0%,VLOOKUP(A104,'Données projet'!$A$87:$I$107,6,0)*VLOOKUP('Données projet'!$B$11,Paramètres!$A$1:$I$88,7,0))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projet'!$B$11,Paramètres!$A$1:$I$88,3,0)*0.475*44/12</f>
        <v>0</v>
      </c>
      <c r="BQ104" s="23">
        <f>EXP(-LN(2)/25)*BQ103+(1-EXP(-LN(2)/25))/(LN(2)/25)*Calculateur!BL104*Calculateur!BN104*VLOOKUP('Données projet'!$B$11,Paramètres!$A$1:$I$88,3,0)*0.475*44/12</f>
        <v>0</v>
      </c>
      <c r="BR104" s="23">
        <f>EXP(-LN(2)/2)*BR103+(1-EXP(-LN(2)/2))/(LN(2)/2)*BL104*BO104*VLOOKUP('Données projet'!$B$11,Paramètres!$A$1:$I$88,3,0)*0.475*44/12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5.6843418860808015E-14</v>
      </c>
      <c r="BZ104" s="14">
        <f>BY104*VLOOKUP('Données projet'!$B$12,Paramètres!$A$1:$I$88,3,0)*VLOOKUP('Données projet'!$B$12,Paramètres!$A$1:$I$88,5,0)</f>
        <v>4.4337866711430253E-14</v>
      </c>
      <c r="CA104" s="14">
        <f t="shared" si="93"/>
        <v>7.3222115536967035E-13</v>
      </c>
      <c r="CB104" s="22">
        <f t="shared" si="64"/>
        <v>1.3525069634579169E-12</v>
      </c>
      <c r="CC104" s="62">
        <f t="shared" si="65"/>
        <v>293.33333333333468</v>
      </c>
      <c r="CD104" s="62">
        <f ca="1">AVERAGE(OFFSET($CC$3,0,0,'Données projet'!$E$12+1,1))-AVERAGE(OFFSET($H$3,0,0,'Données projet'!$E$12+1,1))</f>
        <v>217.32600829266818</v>
      </c>
      <c r="CE104" s="62">
        <f t="shared" si="94"/>
        <v>208.79744153433245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projet'!$B$12,Paramètres!$A$1:$I$88,7,0))</f>
        <v>0</v>
      </c>
      <c r="CI104" s="17">
        <f>IF(ISNA(VLOOKUP(A104,'Données projet'!$A$113:$I$133,6,0)),0%,VLOOKUP(A104,'Données projet'!$A$113:$I$133,6,0)*VLOOKUP('Données projet'!$B$12,Paramètres!$A$1:$I$88,7,0))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projet'!$B$12,Paramètres!$A$1:$I$88,3,0)*0.475*44/12</f>
        <v>0</v>
      </c>
      <c r="CL104" s="23">
        <f>EXP(-LN(2)/25)*CL103+(1-EXP(-LN(2)/25))/(LN(2)/25)*Calculateur!CG104*Calculateur!CI104*VLOOKUP('Données projet'!$B$12,Paramètres!$A$1:$I$88,3,0)*0.475*44/12</f>
        <v>0</v>
      </c>
      <c r="CM104" s="23">
        <f>EXP(-LN(2)/2)*CM103+(1-EXP(-LN(2)/2))/(LN(2)/2)*CG104*CJ104*VLOOKUP('Données projet'!$B$12,Paramètres!$A$1:$I$88,3,0)*0.475*44/12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-3.4106051316484809E-13</v>
      </c>
      <c r="CU104" s="18">
        <f>CT104*VLOOKUP('Données projet'!$B$13,Paramètres!$A$1:$I$88,3,0)*VLOOKUP('Données projet'!$B$13,Paramètres!$A$1:$I$88,5,0)</f>
        <v>-1.9065282685915009E-13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302.20483575440988</v>
      </c>
      <c r="CZ104" s="62">
        <f t="shared" si="96"/>
        <v>275.32862097158687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projet'!$B$13,Paramètres!$A$1:$I$88,7,0))</f>
        <v>0</v>
      </c>
      <c r="DD104" s="17">
        <f>IF(ISNA(VLOOKUP(A104,'Données projet'!$A$139:$I$159,6,0)),0%,VLOOKUP(A104,'Données projet'!$A$139:$I$159,6,0)*VLOOKUP('Données projet'!$B$13,Paramètres!$A$1:$I$88,7,0))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projet'!$B$13,Paramètres!$A$1:$I$88,3,0)*0.475*44/12</f>
        <v>0</v>
      </c>
      <c r="DG104" s="23">
        <f>EXP(-LN(2)/25)*DG103+(1-EXP(-LN(2)/25))/(LN(2)/25)*Calculateur!DB104*Calculateur!DD104*VLOOKUP('Données projet'!$B$13,Paramètres!$A$1:$I$88,3,0)*0.475*44/12</f>
        <v>1.9311225444331399</v>
      </c>
      <c r="DH104" s="23">
        <f>EXP(-LN(2)/2)*DH103+(1-EXP(-LN(2)/2))/(LN(2)/2)*DB104*DE104*VLOOKUP('Données projet'!$B$13,Paramètres!$A$1:$I$88,3,0)*0.475*44/12</f>
        <v>1.3954738605546706E-10</v>
      </c>
      <c r="DI104" s="24">
        <f t="shared" si="69"/>
        <v>1.9311225445726874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projet'!$B$14,Paramètres!$A$1:$I$88,3,0)*VLOOKUP('Données projet'!$B$14,Paramètres!$A$1:$I$88,5,0)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projet'!$B$14,Paramètres!$A$1:$I$88,7,0))</f>
        <v>0</v>
      </c>
      <c r="DY104" s="17">
        <f>IF(ISNA(VLOOKUP(A104,'Données projet'!$A$165:$I$185,6,0)),0%,VLOOKUP(A104,'Données projet'!$A$165:$I$185,6,0)*VLOOKUP('Données projet'!$B$14,Paramètres!$A$1:$I$88,7,0))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projet'!$B$14,Paramètres!$A$1:$I$88,3,0)*0.475*44/12</f>
        <v>#N/A</v>
      </c>
      <c r="EB104" s="23" t="e">
        <f>EXP(-LN(2)/25)*EB103+(1-EXP(-LN(2)/25))/(LN(2)/25)*Calculateur!DW104*Calculateur!DY104*VLOOKUP('Données projet'!$B$14,Paramètres!$A$1:$I$88,3,0)*0.475*44/12</f>
        <v>#N/A</v>
      </c>
      <c r="EC104" s="23" t="e">
        <f>EXP(-LN(2)/2)*EC103+(1-EXP(-LN(2)/2))/(LN(2)/2)*DW104*DZ104*VLOOKUP('Données projet'!$B$14,Paramètres!$A$1:$I$88,3,0)*0.475*44/12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projet'!$B$15,Paramètres!$A$1:$I$88,3,0)*VLOOKUP('Données projet'!$B$15,Paramètres!$A$1:$I$88,5,0)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projet'!$B$15,Paramètres!$A$1:$I$88,7,0))</f>
        <v>0</v>
      </c>
      <c r="ET104" s="17">
        <f>IF(ISNA(VLOOKUP(A104,'Données projet'!$A$191:$I$211,6,0)),0%,VLOOKUP(A104,'Données projet'!$A$191:$I$211,6,0)*VLOOKUP('Données projet'!$B$15,Paramètres!$A$1:$I$88,7,0))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projet'!$B$15,Paramètres!$A$1:$I$88,3,0)*0.475*44/12</f>
        <v>#N/A</v>
      </c>
      <c r="EW104" s="23" t="e">
        <f>EXP(-LN(2)/25)*EW103+(1-EXP(-LN(2)/25))/(LN(2)/25)*Calculateur!ER104*Calculateur!ET104*VLOOKUP('Données projet'!$B$15,Paramètres!$A$1:$I$88,3,0)*0.475*44/12</f>
        <v>#N/A</v>
      </c>
      <c r="EX104" s="23" t="e">
        <f>EXP(-LN(2)/2)*EX103+(1-EXP(-LN(2)/2))/(LN(2)/2)*ER104*EU104*VLOOKUP('Données projet'!$B$15,Paramètres!$A$1:$I$88,3,0)*0.475*44/12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projet'!$B$16,Paramètres!$A$1:$I$88,3,0)*VLOOKUP('Données projet'!$B$16,Paramètres!$A$1:$I$88,5,0)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projet'!$B$16,Paramètres!$A$1:$I$88,7,0))</f>
        <v>0</v>
      </c>
      <c r="FO104" s="17">
        <f>IF(ISNA(VLOOKUP(A104,'Données projet'!$A$217:$I$237,6,0)),0%,VLOOKUP(A104,'Données projet'!$A$217:$I$237,6,0)*VLOOKUP('Données projet'!$B$16,Paramètres!$A$1:$I$88,7,0))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projet'!$B$16,Paramètres!$A$1:$I$88,3,0)*0.475*44/12</f>
        <v>#N/A</v>
      </c>
      <c r="FR104" s="23" t="e">
        <f>EXP(-LN(2)/25)*FR103+(1-EXP(-LN(2)/25))/(LN(2)/25)*Calculateur!FM104*Calculateur!FO104*VLOOKUP('Données projet'!$B$16,Paramètres!$A$1:$I$88,3,0)*0.475*44/12</f>
        <v>#N/A</v>
      </c>
      <c r="FS104" s="23" t="e">
        <f>EXP(-LN(2)/2)*FS103+(1-EXP(-LN(2)/2))/(LN(2)/2)*FM104*FP104*VLOOKUP('Données projet'!$B$16,Paramètres!$A$1:$I$88,3,0)*0.475*44/12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projet'!$B$17,Paramètres!$A$1:$I$88,3,0)*VLOOKUP('Données projet'!$B$17,Paramètres!$A$1:$I$88,5,0)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projet'!$B$17,Paramètres!$A$1:$I$88,7,0))</f>
        <v>0</v>
      </c>
      <c r="GJ104" s="17">
        <f>IF(ISNA(VLOOKUP(A104,'Données projet'!$A$243:$I$263,6,0)),0%,VLOOKUP(A104,'Données projet'!$A$243:$I$263,6,0)*VLOOKUP('Données projet'!$B$17,Paramètres!$A$1:$I$88,7,0))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projet'!$B$17,Paramètres!$A$1:$I$88,3,0)*0.475*44/12</f>
        <v>#N/A</v>
      </c>
      <c r="GM104" s="23" t="e">
        <f>EXP(-LN(2)/25)*GM103+(1-EXP(-LN(2)/25))/(LN(2)/25)*Calculateur!GH104*Calculateur!GJ104*VLOOKUP('Données projet'!$B$17,Paramètres!$A$1:$I$88,3,0)*0.475*44/12</f>
        <v>#N/A</v>
      </c>
      <c r="GN104" s="23" t="e">
        <f>EXP(-LN(2)/2)*GN103+(1-EXP(-LN(2)/2))/(LN(2)/2)*GH104*GK104*VLOOKUP('Données projet'!$B$17,Paramètres!$A$1:$I$88,3,0)*0.475*44/12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projet'!$B$18,Paramètres!$A$1:$I$88,3,0)*VLOOKUP('Données projet'!$B$18,Paramètres!$A$1:$I$88,5,0)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projet'!$B$18,Paramètres!$A$1:$I$88,7,0))</f>
        <v>0</v>
      </c>
      <c r="HE104" s="17">
        <f>IF(ISNA(VLOOKUP(A104,'Données projet'!$A$269:$I$289,6,0)),0%,VLOOKUP(A104,'Données projet'!$A$269:$I$289,6,0)*VLOOKUP('Données projet'!$B$18,Paramètres!$A$1:$I$88,7,0))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projet'!$B$18,Paramètres!$A$1:$I$88,3,0)*0.475*44/12</f>
        <v>#N/A</v>
      </c>
      <c r="HH104" s="23" t="e">
        <f>EXP(-LN(2)/25)*HH103+(1-EXP(-LN(2)/25))/(LN(2)/25)*Calculateur!HC104*Calculateur!HE104*VLOOKUP('Données projet'!$B$18,Paramètres!$A$1:$I$88,3,0)*0.475*44/12</f>
        <v>#N/A</v>
      </c>
      <c r="HI104" s="23" t="e">
        <f>EXP(-LN(2)/2)*HI103+(1-EXP(-LN(2)/2))/(LN(2)/2)*HC104*HF104*VLOOKUP('Données projet'!$B$18,Paramètres!$A$1:$I$88,3,0)*0.475*44/12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projet'!$B$9,Paramètres!$A$1:$I$88,3,0)*VLOOKUP('Données projet'!$B$9,Paramètres!$A$1:$I$88,5,0)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175.05987582828078</v>
      </c>
      <c r="T105" s="62">
        <f t="shared" si="88"/>
        <v>268.54782308462387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projet'!$B$9,Paramètres!$A$1:$I$88,7,0))</f>
        <v>0</v>
      </c>
      <c r="X105" s="17">
        <f>IF(ISNA(VLOOKUP(A105,'Données projet'!$A$35:$I$55,6,0)),0%,VLOOKUP(A105,'Données projet'!$A$35:$I$55,6,0)*VLOOKUP('Données projet'!$B$9,Paramètres!$A$1:$I$88,7,0))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projet'!$B$9,Paramètres!$A$1:$I$88,3,0)*0.475*44/12</f>
        <v>0</v>
      </c>
      <c r="AA105" s="23">
        <f>EXP(-LN(2)/25)*AA104+(1-EXP(-LN(2)/25))/(LN(2)/25)*Calculateur!V105*Calculateur!X105*VLOOKUP('Données projet'!$B$9,Paramètres!$A$1:$I$88,3,0)*0.475*44/12</f>
        <v>1.3985563290648155</v>
      </c>
      <c r="AB105" s="23">
        <f>EXP(-LN(2)/2)*AB104+(1-EXP(-LN(2)/2))/(LN(2)/2)*V105*Y105*VLOOKUP('Données projet'!$B$9,Paramètres!$A$1:$I$88,3,0)*0.475*44/12</f>
        <v>2.4038046658107194E-10</v>
      </c>
      <c r="AC105" s="24">
        <f t="shared" si="57"/>
        <v>1.3985563293051959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12.466666666666667</v>
      </c>
      <c r="AI105" s="14">
        <f>IF('Données projet'!$A$62&gt;35,AI104+AH105-AQ104,IF(A105&lt;'Données projet'!$A$62,$AF$205^A105,IF(A105='Données projet'!$A$62,'Données projet'!$B$62,AI104+AH105-AQ104)))</f>
        <v>921.59999999999923</v>
      </c>
      <c r="AJ105" s="14">
        <f>AI105*VLOOKUP('Données projet'!$B$10,Paramètres!$A$1:$I$88,3,0)*VLOOKUP('Données projet'!$B$10,Paramètres!$A$1:$I$88,5,0)</f>
        <v>443.28959999999967</v>
      </c>
      <c r="AK105" s="14">
        <f t="shared" si="89"/>
        <v>100.49979534704597</v>
      </c>
      <c r="AL105" s="22">
        <f t="shared" si="58"/>
        <v>947.09986356277113</v>
      </c>
      <c r="AM105" s="62">
        <f t="shared" si="59"/>
        <v>1240.4331968961044</v>
      </c>
      <c r="AN105" s="62">
        <f ca="1">AVERAGE(OFFSET($AM$3,0,0,'Données projet'!$E$10+1,1))-AVERAGE(OFFSET($H$3,0,0,'Données projet'!$E$10+1,1))</f>
        <v>576.61210817354549</v>
      </c>
      <c r="AO105" s="62">
        <f t="shared" si="90"/>
        <v>343.9428747444544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projet'!$B$10,Paramètres!$A$1:$I$88,7,0))</f>
        <v>0</v>
      </c>
      <c r="AS105" s="17">
        <f>IF(ISNA(VLOOKUP(A105,'Données projet'!$A$61:$I$81,6,0)),0%,VLOOKUP(A105,'Données projet'!$A$61:$I$81,6,0)*VLOOKUP('Données projet'!$B$10,Paramètres!$A$1:$I$88,7,0))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projet'!$B$10,Paramètres!$A$1:$I$88,3,0)*0.475*44/12</f>
        <v>0</v>
      </c>
      <c r="AV105" s="23">
        <f>EXP(-LN(2)/25)*AV104+(1-EXP(-LN(2)/25))/(LN(2)/25)*Calculateur!AQ105*Calculateur!AS105*VLOOKUP('Données projet'!$B$10,Paramètres!$A$1:$I$88,3,0)*0.475*44/12</f>
        <v>0.76925688364404243</v>
      </c>
      <c r="AW105" s="23">
        <f>EXP(-LN(2)/2)*AW104+(1-EXP(-LN(2)/2))/(LN(2)/2)*AQ105*AT105*VLOOKUP('Données projet'!$B$10,Paramètres!$A$1:$I$88,3,0)*0.475*44/12</f>
        <v>1.7118059154572218E-10</v>
      </c>
      <c r="AX105" s="23">
        <f t="shared" si="60"/>
        <v>0.76925688381522306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-5.6843418860808015E-14</v>
      </c>
      <c r="BE105" s="14">
        <f>BD105*VLOOKUP('Données projet'!$B$11,Paramètres!$A$1:$I$88,3,0)*VLOOKUP('Données projet'!$B$11,Paramètres!$A$1:$I$88,5,0)</f>
        <v>-4.5224624045658861E-14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298.38448036212861</v>
      </c>
      <c r="BJ105" s="62">
        <f t="shared" si="92"/>
        <v>270.4445531106897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projet'!$B$11,Paramètres!$A$1:$I$88,7,0))</f>
        <v>0</v>
      </c>
      <c r="BN105" s="17">
        <f>IF(ISNA(VLOOKUP(A105,'Données projet'!$A$87:$I$107,6,0)),0%,VLOOKUP(A105,'Données projet'!$A$87:$I$107,6,0)*VLOOKUP('Données projet'!$B$11,Paramètres!$A$1:$I$88,7,0))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projet'!$B$11,Paramètres!$A$1:$I$88,3,0)*0.475*44/12</f>
        <v>0</v>
      </c>
      <c r="BQ105" s="23">
        <f>EXP(-LN(2)/25)*BQ104+(1-EXP(-LN(2)/25))/(LN(2)/25)*Calculateur!BL105*Calculateur!BN105*VLOOKUP('Données projet'!$B$11,Paramètres!$A$1:$I$88,3,0)*0.475*44/12</f>
        <v>0</v>
      </c>
      <c r="BR105" s="23">
        <f>EXP(-LN(2)/2)*BR104+(1-EXP(-LN(2)/2))/(LN(2)/2)*BL105*BO105*VLOOKUP('Données projet'!$B$11,Paramètres!$A$1:$I$88,3,0)*0.475*44/12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5.6843418860808015E-14</v>
      </c>
      <c r="BZ105" s="14">
        <f>BY105*VLOOKUP('Données projet'!$B$12,Paramètres!$A$1:$I$88,3,0)*VLOOKUP('Données projet'!$B$12,Paramètres!$A$1:$I$88,5,0)</f>
        <v>4.4337866711430253E-14</v>
      </c>
      <c r="CA105" s="14">
        <f t="shared" si="93"/>
        <v>7.3222115536967035E-13</v>
      </c>
      <c r="CB105" s="22">
        <f t="shared" si="64"/>
        <v>1.3525069634579169E-12</v>
      </c>
      <c r="CC105" s="62">
        <f t="shared" si="65"/>
        <v>293.33333333333468</v>
      </c>
      <c r="CD105" s="62">
        <f ca="1">AVERAGE(OFFSET($CC$3,0,0,'Données projet'!$E$12+1,1))-AVERAGE(OFFSET($H$3,0,0,'Données projet'!$E$12+1,1))</f>
        <v>217.32600829266818</v>
      </c>
      <c r="CE105" s="62">
        <f t="shared" si="94"/>
        <v>208.79744153433245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projet'!$B$12,Paramètres!$A$1:$I$88,7,0))</f>
        <v>0</v>
      </c>
      <c r="CI105" s="17">
        <f>IF(ISNA(VLOOKUP(A105,'Données projet'!$A$113:$I$133,6,0)),0%,VLOOKUP(A105,'Données projet'!$A$113:$I$133,6,0)*VLOOKUP('Données projet'!$B$12,Paramètres!$A$1:$I$88,7,0))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projet'!$B$12,Paramètres!$A$1:$I$88,3,0)*0.475*44/12</f>
        <v>0</v>
      </c>
      <c r="CL105" s="23">
        <f>EXP(-LN(2)/25)*CL104+(1-EXP(-LN(2)/25))/(LN(2)/25)*Calculateur!CG105*Calculateur!CI105*VLOOKUP('Données projet'!$B$12,Paramètres!$A$1:$I$88,3,0)*0.475*44/12</f>
        <v>0</v>
      </c>
      <c r="CM105" s="23">
        <f>EXP(-LN(2)/2)*CM104+(1-EXP(-LN(2)/2))/(LN(2)/2)*CG105*CJ105*VLOOKUP('Données projet'!$B$12,Paramètres!$A$1:$I$88,3,0)*0.475*44/12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-3.4106051316484809E-13</v>
      </c>
      <c r="CU105" s="18">
        <f>CT105*VLOOKUP('Données projet'!$B$13,Paramètres!$A$1:$I$88,3,0)*VLOOKUP('Données projet'!$B$13,Paramètres!$A$1:$I$88,5,0)</f>
        <v>-1.9065282685915009E-13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302.20483575440988</v>
      </c>
      <c r="CZ105" s="62">
        <f t="shared" si="96"/>
        <v>275.32862097158687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projet'!$B$13,Paramètres!$A$1:$I$88,7,0))</f>
        <v>0</v>
      </c>
      <c r="DD105" s="17">
        <f>IF(ISNA(VLOOKUP(A105,'Données projet'!$A$139:$I$159,6,0)),0%,VLOOKUP(A105,'Données projet'!$A$139:$I$159,6,0)*VLOOKUP('Données projet'!$B$13,Paramètres!$A$1:$I$88,7,0))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projet'!$B$13,Paramètres!$A$1:$I$88,3,0)*0.475*44/12</f>
        <v>0</v>
      </c>
      <c r="DG105" s="23">
        <f>EXP(-LN(2)/25)*DG104+(1-EXP(-LN(2)/25))/(LN(2)/25)*Calculateur!DB105*Calculateur!DD105*VLOOKUP('Données projet'!$B$13,Paramètres!$A$1:$I$88,3,0)*0.475*44/12</f>
        <v>1.8783158969022948</v>
      </c>
      <c r="DH105" s="23">
        <f>EXP(-LN(2)/2)*DH104+(1-EXP(-LN(2)/2))/(LN(2)/2)*DB105*DE105*VLOOKUP('Données projet'!$B$13,Paramètres!$A$1:$I$88,3,0)*0.475*44/12</f>
        <v>9.8674902976677824E-11</v>
      </c>
      <c r="DI105" s="24">
        <f t="shared" si="69"/>
        <v>1.8783158970009697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projet'!$B$14,Paramètres!$A$1:$I$88,3,0)*VLOOKUP('Données projet'!$B$14,Paramètres!$A$1:$I$88,5,0)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projet'!$B$14,Paramètres!$A$1:$I$88,7,0))</f>
        <v>0</v>
      </c>
      <c r="DY105" s="17">
        <f>IF(ISNA(VLOOKUP(A105,'Données projet'!$A$165:$I$185,6,0)),0%,VLOOKUP(A105,'Données projet'!$A$165:$I$185,6,0)*VLOOKUP('Données projet'!$B$14,Paramètres!$A$1:$I$88,7,0))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projet'!$B$14,Paramètres!$A$1:$I$88,3,0)*0.475*44/12</f>
        <v>#N/A</v>
      </c>
      <c r="EB105" s="23" t="e">
        <f>EXP(-LN(2)/25)*EB104+(1-EXP(-LN(2)/25))/(LN(2)/25)*Calculateur!DW105*Calculateur!DY105*VLOOKUP('Données projet'!$B$14,Paramètres!$A$1:$I$88,3,0)*0.475*44/12</f>
        <v>#N/A</v>
      </c>
      <c r="EC105" s="23" t="e">
        <f>EXP(-LN(2)/2)*EC104+(1-EXP(-LN(2)/2))/(LN(2)/2)*DW105*DZ105*VLOOKUP('Données projet'!$B$14,Paramètres!$A$1:$I$88,3,0)*0.475*44/12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projet'!$B$15,Paramètres!$A$1:$I$88,3,0)*VLOOKUP('Données projet'!$B$15,Paramètres!$A$1:$I$88,5,0)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projet'!$B$15,Paramètres!$A$1:$I$88,7,0))</f>
        <v>0</v>
      </c>
      <c r="ET105" s="17">
        <f>IF(ISNA(VLOOKUP(A105,'Données projet'!$A$191:$I$211,6,0)),0%,VLOOKUP(A105,'Données projet'!$A$191:$I$211,6,0)*VLOOKUP('Données projet'!$B$15,Paramètres!$A$1:$I$88,7,0))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projet'!$B$15,Paramètres!$A$1:$I$88,3,0)*0.475*44/12</f>
        <v>#N/A</v>
      </c>
      <c r="EW105" s="23" t="e">
        <f>EXP(-LN(2)/25)*EW104+(1-EXP(-LN(2)/25))/(LN(2)/25)*Calculateur!ER105*Calculateur!ET105*VLOOKUP('Données projet'!$B$15,Paramètres!$A$1:$I$88,3,0)*0.475*44/12</f>
        <v>#N/A</v>
      </c>
      <c r="EX105" s="23" t="e">
        <f>EXP(-LN(2)/2)*EX104+(1-EXP(-LN(2)/2))/(LN(2)/2)*ER105*EU105*VLOOKUP('Données projet'!$B$15,Paramètres!$A$1:$I$88,3,0)*0.475*44/12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projet'!$B$16,Paramètres!$A$1:$I$88,3,0)*VLOOKUP('Données projet'!$B$16,Paramètres!$A$1:$I$88,5,0)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projet'!$B$16,Paramètres!$A$1:$I$88,7,0))</f>
        <v>0</v>
      </c>
      <c r="FO105" s="17">
        <f>IF(ISNA(VLOOKUP(A105,'Données projet'!$A$217:$I$237,6,0)),0%,VLOOKUP(A105,'Données projet'!$A$217:$I$237,6,0)*VLOOKUP('Données projet'!$B$16,Paramètres!$A$1:$I$88,7,0))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projet'!$B$16,Paramètres!$A$1:$I$88,3,0)*0.475*44/12</f>
        <v>#N/A</v>
      </c>
      <c r="FR105" s="23" t="e">
        <f>EXP(-LN(2)/25)*FR104+(1-EXP(-LN(2)/25))/(LN(2)/25)*Calculateur!FM105*Calculateur!FO105*VLOOKUP('Données projet'!$B$16,Paramètres!$A$1:$I$88,3,0)*0.475*44/12</f>
        <v>#N/A</v>
      </c>
      <c r="FS105" s="23" t="e">
        <f>EXP(-LN(2)/2)*FS104+(1-EXP(-LN(2)/2))/(LN(2)/2)*FM105*FP105*VLOOKUP('Données projet'!$B$16,Paramètres!$A$1:$I$88,3,0)*0.475*44/12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projet'!$B$17,Paramètres!$A$1:$I$88,3,0)*VLOOKUP('Données projet'!$B$17,Paramètres!$A$1:$I$88,5,0)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projet'!$B$17,Paramètres!$A$1:$I$88,7,0))</f>
        <v>0</v>
      </c>
      <c r="GJ105" s="17">
        <f>IF(ISNA(VLOOKUP(A105,'Données projet'!$A$243:$I$263,6,0)),0%,VLOOKUP(A105,'Données projet'!$A$243:$I$263,6,0)*VLOOKUP('Données projet'!$B$17,Paramètres!$A$1:$I$88,7,0))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projet'!$B$17,Paramètres!$A$1:$I$88,3,0)*0.475*44/12</f>
        <v>#N/A</v>
      </c>
      <c r="GM105" s="23" t="e">
        <f>EXP(-LN(2)/25)*GM104+(1-EXP(-LN(2)/25))/(LN(2)/25)*Calculateur!GH105*Calculateur!GJ105*VLOOKUP('Données projet'!$B$17,Paramètres!$A$1:$I$88,3,0)*0.475*44/12</f>
        <v>#N/A</v>
      </c>
      <c r="GN105" s="23" t="e">
        <f>EXP(-LN(2)/2)*GN104+(1-EXP(-LN(2)/2))/(LN(2)/2)*GH105*GK105*VLOOKUP('Données projet'!$B$17,Paramètres!$A$1:$I$88,3,0)*0.475*44/12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projet'!$B$18,Paramètres!$A$1:$I$88,3,0)*VLOOKUP('Données projet'!$B$18,Paramètres!$A$1:$I$88,5,0)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projet'!$B$18,Paramètres!$A$1:$I$88,7,0))</f>
        <v>0</v>
      </c>
      <c r="HE105" s="17">
        <f>IF(ISNA(VLOOKUP(A105,'Données projet'!$A$269:$I$289,6,0)),0%,VLOOKUP(A105,'Données projet'!$A$269:$I$289,6,0)*VLOOKUP('Données projet'!$B$18,Paramètres!$A$1:$I$88,7,0))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projet'!$B$18,Paramètres!$A$1:$I$88,3,0)*0.475*44/12</f>
        <v>#N/A</v>
      </c>
      <c r="HH105" s="23" t="e">
        <f>EXP(-LN(2)/25)*HH104+(1-EXP(-LN(2)/25))/(LN(2)/25)*Calculateur!HC105*Calculateur!HE105*VLOOKUP('Données projet'!$B$18,Paramètres!$A$1:$I$88,3,0)*0.475*44/12</f>
        <v>#N/A</v>
      </c>
      <c r="HI105" s="23" t="e">
        <f>EXP(-LN(2)/2)*HI104+(1-EXP(-LN(2)/2))/(LN(2)/2)*HC105*HF105*VLOOKUP('Données projet'!$B$18,Paramètres!$A$1:$I$88,3,0)*0.475*44/12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projet'!$B$9,Paramètres!$A$1:$I$88,3,0)*VLOOKUP('Données projet'!$B$9,Paramètres!$A$1:$I$88,5,0)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175.05987582828078</v>
      </c>
      <c r="T106" s="62">
        <f t="shared" si="88"/>
        <v>268.54782308462387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projet'!$B$9,Paramètres!$A$1:$I$88,7,0))</f>
        <v>0</v>
      </c>
      <c r="X106" s="17">
        <f>IF(ISNA(VLOOKUP(A106,'Données projet'!$A$35:$I$55,6,0)),0%,VLOOKUP(A106,'Données projet'!$A$35:$I$55,6,0)*VLOOKUP('Données projet'!$B$9,Paramètres!$A$1:$I$88,7,0))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projet'!$B$9,Paramètres!$A$1:$I$88,3,0)*0.475*44/12</f>
        <v>0</v>
      </c>
      <c r="AA106" s="23">
        <f>EXP(-LN(2)/25)*AA105+(1-EXP(-LN(2)/25))/(LN(2)/25)*Calculateur!V106*Calculateur!X106*VLOOKUP('Données projet'!$B$9,Paramètres!$A$1:$I$88,3,0)*0.475*44/12</f>
        <v>1.3603127326996574</v>
      </c>
      <c r="AB106" s="23">
        <f>EXP(-LN(2)/2)*AB105+(1-EXP(-LN(2)/2))/(LN(2)/2)*V106*Y106*VLOOKUP('Données projet'!$B$9,Paramètres!$A$1:$I$88,3,0)*0.475*44/12</f>
        <v>1.6997465798426224E-10</v>
      </c>
      <c r="AC106" s="24">
        <f t="shared" si="57"/>
        <v>1.3603127328696321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12.466666666666667</v>
      </c>
      <c r="AI106" s="14">
        <f>IF('Données projet'!$A$62&gt;35,AI105+AH106-AQ105,IF(A106&lt;'Données projet'!$A$62,$AF$205^A106,IF(A106='Données projet'!$A$62,'Données projet'!$B$62,AI105+AH106-AQ105)))</f>
        <v>934.06666666666592</v>
      </c>
      <c r="AJ106" s="14">
        <f>AI106*VLOOKUP('Données projet'!$B$10,Paramètres!$A$1:$I$88,3,0)*VLOOKUP('Données projet'!$B$10,Paramètres!$A$1:$I$88,5,0)</f>
        <v>449.28606666666633</v>
      </c>
      <c r="AK106" s="14">
        <f t="shared" si="89"/>
        <v>101.7000915409055</v>
      </c>
      <c r="AL106" s="22">
        <f t="shared" si="58"/>
        <v>959.6342255448543</v>
      </c>
      <c r="AM106" s="62">
        <f t="shared" si="59"/>
        <v>1252.9675588781877</v>
      </c>
      <c r="AN106" s="62">
        <f ca="1">AVERAGE(OFFSET($AM$3,0,0,'Données projet'!$E$10+1,1))-AVERAGE(OFFSET($H$3,0,0,'Données projet'!$E$10+1,1))</f>
        <v>576.61210817354549</v>
      </c>
      <c r="AO106" s="62">
        <f t="shared" si="90"/>
        <v>343.9428747444544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projet'!$B$10,Paramètres!$A$1:$I$88,7,0))</f>
        <v>0</v>
      </c>
      <c r="AS106" s="17">
        <f>IF(ISNA(VLOOKUP(A106,'Données projet'!$A$61:$I$81,6,0)),0%,VLOOKUP(A106,'Données projet'!$A$61:$I$81,6,0)*VLOOKUP('Données projet'!$B$10,Paramètres!$A$1:$I$88,7,0))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projet'!$B$10,Paramètres!$A$1:$I$88,3,0)*0.475*44/12</f>
        <v>0</v>
      </c>
      <c r="AV106" s="23">
        <f>EXP(-LN(2)/25)*AV105+(1-EXP(-LN(2)/25))/(LN(2)/25)*Calculateur!AQ106*Calculateur!AS106*VLOOKUP('Données projet'!$B$10,Paramètres!$A$1:$I$88,3,0)*0.475*44/12</f>
        <v>0.7482215137073347</v>
      </c>
      <c r="AW106" s="23">
        <f>EXP(-LN(2)/2)*AW105+(1-EXP(-LN(2)/2))/(LN(2)/2)*AQ106*AT106*VLOOKUP('Données projet'!$B$10,Paramètres!$A$1:$I$88,3,0)*0.475*44/12</f>
        <v>1.2104295708950474E-10</v>
      </c>
      <c r="AX106" s="23">
        <f t="shared" si="60"/>
        <v>0.74822151382837765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-5.6843418860808015E-14</v>
      </c>
      <c r="BE106" s="14">
        <f>BD106*VLOOKUP('Données projet'!$B$11,Paramètres!$A$1:$I$88,3,0)*VLOOKUP('Données projet'!$B$11,Paramètres!$A$1:$I$88,5,0)</f>
        <v>-4.5224624045658861E-14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298.38448036212861</v>
      </c>
      <c r="BJ106" s="62">
        <f t="shared" si="92"/>
        <v>270.4445531106897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projet'!$B$11,Paramètres!$A$1:$I$88,7,0))</f>
        <v>0</v>
      </c>
      <c r="BN106" s="17">
        <f>IF(ISNA(VLOOKUP(A106,'Données projet'!$A$87:$I$107,6,0)),0%,VLOOKUP(A106,'Données projet'!$A$87:$I$107,6,0)*VLOOKUP('Données projet'!$B$11,Paramètres!$A$1:$I$88,7,0))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projet'!$B$11,Paramètres!$A$1:$I$88,3,0)*0.475*44/12</f>
        <v>0</v>
      </c>
      <c r="BQ106" s="23">
        <f>EXP(-LN(2)/25)*BQ105+(1-EXP(-LN(2)/25))/(LN(2)/25)*Calculateur!BL106*Calculateur!BN106*VLOOKUP('Données projet'!$B$11,Paramètres!$A$1:$I$88,3,0)*0.475*44/12</f>
        <v>0</v>
      </c>
      <c r="BR106" s="23">
        <f>EXP(-LN(2)/2)*BR105+(1-EXP(-LN(2)/2))/(LN(2)/2)*BL106*BO106*VLOOKUP('Données projet'!$B$11,Paramètres!$A$1:$I$88,3,0)*0.475*44/12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5.6843418860808015E-14</v>
      </c>
      <c r="BZ106" s="14">
        <f>BY106*VLOOKUP('Données projet'!$B$12,Paramètres!$A$1:$I$88,3,0)*VLOOKUP('Données projet'!$B$12,Paramètres!$A$1:$I$88,5,0)</f>
        <v>4.4337866711430253E-14</v>
      </c>
      <c r="CA106" s="14">
        <f t="shared" si="93"/>
        <v>7.3222115536967035E-13</v>
      </c>
      <c r="CB106" s="22">
        <f t="shared" si="64"/>
        <v>1.3525069634579169E-12</v>
      </c>
      <c r="CC106" s="62">
        <f t="shared" si="65"/>
        <v>293.33333333333468</v>
      </c>
      <c r="CD106" s="62">
        <f ca="1">AVERAGE(OFFSET($CC$3,0,0,'Données projet'!$E$12+1,1))-AVERAGE(OFFSET($H$3,0,0,'Données projet'!$E$12+1,1))</f>
        <v>217.32600829266818</v>
      </c>
      <c r="CE106" s="62">
        <f t="shared" si="94"/>
        <v>208.79744153433245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projet'!$B$12,Paramètres!$A$1:$I$88,7,0))</f>
        <v>0</v>
      </c>
      <c r="CI106" s="17">
        <f>IF(ISNA(VLOOKUP(A106,'Données projet'!$A$113:$I$133,6,0)),0%,VLOOKUP(A106,'Données projet'!$A$113:$I$133,6,0)*VLOOKUP('Données projet'!$B$12,Paramètres!$A$1:$I$88,7,0))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projet'!$B$12,Paramètres!$A$1:$I$88,3,0)*0.475*44/12</f>
        <v>0</v>
      </c>
      <c r="CL106" s="23">
        <f>EXP(-LN(2)/25)*CL105+(1-EXP(-LN(2)/25))/(LN(2)/25)*Calculateur!CG106*Calculateur!CI106*VLOOKUP('Données projet'!$B$12,Paramètres!$A$1:$I$88,3,0)*0.475*44/12</f>
        <v>0</v>
      </c>
      <c r="CM106" s="23">
        <f>EXP(-LN(2)/2)*CM105+(1-EXP(-LN(2)/2))/(LN(2)/2)*CG106*CJ106*VLOOKUP('Données projet'!$B$12,Paramètres!$A$1:$I$88,3,0)*0.475*44/12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-3.4106051316484809E-13</v>
      </c>
      <c r="CU106" s="18">
        <f>CT106*VLOOKUP('Données projet'!$B$13,Paramètres!$A$1:$I$88,3,0)*VLOOKUP('Données projet'!$B$13,Paramètres!$A$1:$I$88,5,0)</f>
        <v>-1.9065282685915009E-13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302.20483575440988</v>
      </c>
      <c r="CZ106" s="62">
        <f t="shared" si="96"/>
        <v>275.32862097158687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projet'!$B$13,Paramètres!$A$1:$I$88,7,0))</f>
        <v>0</v>
      </c>
      <c r="DD106" s="17">
        <f>IF(ISNA(VLOOKUP(A106,'Données projet'!$A$139:$I$159,6,0)),0%,VLOOKUP(A106,'Données projet'!$A$139:$I$159,6,0)*VLOOKUP('Données projet'!$B$13,Paramètres!$A$1:$I$88,7,0))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projet'!$B$13,Paramètres!$A$1:$I$88,3,0)*0.475*44/12</f>
        <v>0</v>
      </c>
      <c r="DG106" s="23">
        <f>EXP(-LN(2)/25)*DG105+(1-EXP(-LN(2)/25))/(LN(2)/25)*Calculateur!DB106*Calculateur!DD106*VLOOKUP('Données projet'!$B$13,Paramètres!$A$1:$I$88,3,0)*0.475*44/12</f>
        <v>1.8269532499251615</v>
      </c>
      <c r="DH106" s="23">
        <f>EXP(-LN(2)/2)*DH105+(1-EXP(-LN(2)/2))/(LN(2)/2)*DB106*DE106*VLOOKUP('Données projet'!$B$13,Paramètres!$A$1:$I$88,3,0)*0.475*44/12</f>
        <v>6.9773693027733532E-11</v>
      </c>
      <c r="DI106" s="24">
        <f t="shared" si="69"/>
        <v>1.8269532499949352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projet'!$B$14,Paramètres!$A$1:$I$88,3,0)*VLOOKUP('Données projet'!$B$14,Paramètres!$A$1:$I$88,5,0)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projet'!$B$14,Paramètres!$A$1:$I$88,7,0))</f>
        <v>0</v>
      </c>
      <c r="DY106" s="17">
        <f>IF(ISNA(VLOOKUP(A106,'Données projet'!$A$165:$I$185,6,0)),0%,VLOOKUP(A106,'Données projet'!$A$165:$I$185,6,0)*VLOOKUP('Données projet'!$B$14,Paramètres!$A$1:$I$88,7,0))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projet'!$B$14,Paramètres!$A$1:$I$88,3,0)*0.475*44/12</f>
        <v>#N/A</v>
      </c>
      <c r="EB106" s="23" t="e">
        <f>EXP(-LN(2)/25)*EB105+(1-EXP(-LN(2)/25))/(LN(2)/25)*Calculateur!DW106*Calculateur!DY106*VLOOKUP('Données projet'!$B$14,Paramètres!$A$1:$I$88,3,0)*0.475*44/12</f>
        <v>#N/A</v>
      </c>
      <c r="EC106" s="23" t="e">
        <f>EXP(-LN(2)/2)*EC105+(1-EXP(-LN(2)/2))/(LN(2)/2)*DW106*DZ106*VLOOKUP('Données projet'!$B$14,Paramètres!$A$1:$I$88,3,0)*0.475*44/12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projet'!$B$15,Paramètres!$A$1:$I$88,3,0)*VLOOKUP('Données projet'!$B$15,Paramètres!$A$1:$I$88,5,0)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projet'!$B$15,Paramètres!$A$1:$I$88,7,0))</f>
        <v>0</v>
      </c>
      <c r="ET106" s="17">
        <f>IF(ISNA(VLOOKUP(A106,'Données projet'!$A$191:$I$211,6,0)),0%,VLOOKUP(A106,'Données projet'!$A$191:$I$211,6,0)*VLOOKUP('Données projet'!$B$15,Paramètres!$A$1:$I$88,7,0))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projet'!$B$15,Paramètres!$A$1:$I$88,3,0)*0.475*44/12</f>
        <v>#N/A</v>
      </c>
      <c r="EW106" s="23" t="e">
        <f>EXP(-LN(2)/25)*EW105+(1-EXP(-LN(2)/25))/(LN(2)/25)*Calculateur!ER106*Calculateur!ET106*VLOOKUP('Données projet'!$B$15,Paramètres!$A$1:$I$88,3,0)*0.475*44/12</f>
        <v>#N/A</v>
      </c>
      <c r="EX106" s="23" t="e">
        <f>EXP(-LN(2)/2)*EX105+(1-EXP(-LN(2)/2))/(LN(2)/2)*ER106*EU106*VLOOKUP('Données projet'!$B$15,Paramètres!$A$1:$I$88,3,0)*0.475*44/12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projet'!$B$16,Paramètres!$A$1:$I$88,3,0)*VLOOKUP('Données projet'!$B$16,Paramètres!$A$1:$I$88,5,0)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projet'!$B$16,Paramètres!$A$1:$I$88,7,0))</f>
        <v>0</v>
      </c>
      <c r="FO106" s="17">
        <f>IF(ISNA(VLOOKUP(A106,'Données projet'!$A$217:$I$237,6,0)),0%,VLOOKUP(A106,'Données projet'!$A$217:$I$237,6,0)*VLOOKUP('Données projet'!$B$16,Paramètres!$A$1:$I$88,7,0))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projet'!$B$16,Paramètres!$A$1:$I$88,3,0)*0.475*44/12</f>
        <v>#N/A</v>
      </c>
      <c r="FR106" s="23" t="e">
        <f>EXP(-LN(2)/25)*FR105+(1-EXP(-LN(2)/25))/(LN(2)/25)*Calculateur!FM106*Calculateur!FO106*VLOOKUP('Données projet'!$B$16,Paramètres!$A$1:$I$88,3,0)*0.475*44/12</f>
        <v>#N/A</v>
      </c>
      <c r="FS106" s="23" t="e">
        <f>EXP(-LN(2)/2)*FS105+(1-EXP(-LN(2)/2))/(LN(2)/2)*FM106*FP106*VLOOKUP('Données projet'!$B$16,Paramètres!$A$1:$I$88,3,0)*0.475*44/12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projet'!$B$17,Paramètres!$A$1:$I$88,3,0)*VLOOKUP('Données projet'!$B$17,Paramètres!$A$1:$I$88,5,0)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projet'!$B$17,Paramètres!$A$1:$I$88,7,0))</f>
        <v>0</v>
      </c>
      <c r="GJ106" s="17">
        <f>IF(ISNA(VLOOKUP(A106,'Données projet'!$A$243:$I$263,6,0)),0%,VLOOKUP(A106,'Données projet'!$A$243:$I$263,6,0)*VLOOKUP('Données projet'!$B$17,Paramètres!$A$1:$I$88,7,0))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projet'!$B$17,Paramètres!$A$1:$I$88,3,0)*0.475*44/12</f>
        <v>#N/A</v>
      </c>
      <c r="GM106" s="23" t="e">
        <f>EXP(-LN(2)/25)*GM105+(1-EXP(-LN(2)/25))/(LN(2)/25)*Calculateur!GH106*Calculateur!GJ106*VLOOKUP('Données projet'!$B$17,Paramètres!$A$1:$I$88,3,0)*0.475*44/12</f>
        <v>#N/A</v>
      </c>
      <c r="GN106" s="23" t="e">
        <f>EXP(-LN(2)/2)*GN105+(1-EXP(-LN(2)/2))/(LN(2)/2)*GH106*GK106*VLOOKUP('Données projet'!$B$17,Paramètres!$A$1:$I$88,3,0)*0.475*44/12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projet'!$B$18,Paramètres!$A$1:$I$88,3,0)*VLOOKUP('Données projet'!$B$18,Paramètres!$A$1:$I$88,5,0)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projet'!$B$18,Paramètres!$A$1:$I$88,7,0))</f>
        <v>0</v>
      </c>
      <c r="HE106" s="17">
        <f>IF(ISNA(VLOOKUP(A106,'Données projet'!$A$269:$I$289,6,0)),0%,VLOOKUP(A106,'Données projet'!$A$269:$I$289,6,0)*VLOOKUP('Données projet'!$B$18,Paramètres!$A$1:$I$88,7,0))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projet'!$B$18,Paramètres!$A$1:$I$88,3,0)*0.475*44/12</f>
        <v>#N/A</v>
      </c>
      <c r="HH106" s="23" t="e">
        <f>EXP(-LN(2)/25)*HH105+(1-EXP(-LN(2)/25))/(LN(2)/25)*Calculateur!HC106*Calculateur!HE106*VLOOKUP('Données projet'!$B$18,Paramètres!$A$1:$I$88,3,0)*0.475*44/12</f>
        <v>#N/A</v>
      </c>
      <c r="HI106" s="23" t="e">
        <f>EXP(-LN(2)/2)*HI105+(1-EXP(-LN(2)/2))/(LN(2)/2)*HC106*HF106*VLOOKUP('Données projet'!$B$18,Paramètres!$A$1:$I$88,3,0)*0.475*44/12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projet'!$B$9,Paramètres!$A$1:$I$88,3,0)*VLOOKUP('Données projet'!$B$9,Paramètres!$A$1:$I$88,5,0)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175.05987582828078</v>
      </c>
      <c r="T107" s="62">
        <f t="shared" si="88"/>
        <v>268.54782308462387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projet'!$B$9,Paramètres!$A$1:$I$88,7,0))</f>
        <v>0</v>
      </c>
      <c r="X107" s="17">
        <f>IF(ISNA(VLOOKUP(A107,'Données projet'!$A$35:$I$55,6,0)),0%,VLOOKUP(A107,'Données projet'!$A$35:$I$55,6,0)*VLOOKUP('Données projet'!$B$9,Paramètres!$A$1:$I$88,7,0))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projet'!$B$9,Paramètres!$A$1:$I$88,3,0)*0.475*44/12</f>
        <v>0</v>
      </c>
      <c r="AA107" s="23">
        <f>EXP(-LN(2)/25)*AA106+(1-EXP(-LN(2)/25))/(LN(2)/25)*Calculateur!V107*Calculateur!X107*VLOOKUP('Données projet'!$B$9,Paramètres!$A$1:$I$88,3,0)*0.475*44/12</f>
        <v>1.3231149094882477</v>
      </c>
      <c r="AB107" s="23">
        <f>EXP(-LN(2)/2)*AB106+(1-EXP(-LN(2)/2))/(LN(2)/2)*V107*Y107*VLOOKUP('Données projet'!$B$9,Paramètres!$A$1:$I$88,3,0)*0.475*44/12</f>
        <v>1.2019023329053597E-10</v>
      </c>
      <c r="AC107" s="24">
        <f t="shared" si="57"/>
        <v>1.323114909608438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12.466666666666667</v>
      </c>
      <c r="AI107" s="14">
        <f>IF('Données projet'!$A$62&gt;35,AI106+AH107-AQ106,IF(A107&lt;'Données projet'!$A$62,$AF$205^A107,IF(A107='Données projet'!$A$62,'Données projet'!$B$62,AI106+AH107-AQ106)))</f>
        <v>946.53333333333262</v>
      </c>
      <c r="AJ107" s="14">
        <f>AI107*VLOOKUP('Données projet'!$B$10,Paramètres!$A$1:$I$88,3,0)*VLOOKUP('Données projet'!$B$10,Paramètres!$A$1:$I$88,5,0)</f>
        <v>455.28253333333299</v>
      </c>
      <c r="AK107" s="14">
        <f t="shared" si="89"/>
        <v>102.89852440289771</v>
      </c>
      <c r="AL107" s="22">
        <f t="shared" si="58"/>
        <v>972.16534222393523</v>
      </c>
      <c r="AM107" s="62">
        <f t="shared" si="59"/>
        <v>1265.4986755572686</v>
      </c>
      <c r="AN107" s="62">
        <f ca="1">AVERAGE(OFFSET($AM$3,0,0,'Données projet'!$E$10+1,1))-AVERAGE(OFFSET($H$3,0,0,'Données projet'!$E$10+1,1))</f>
        <v>576.61210817354549</v>
      </c>
      <c r="AO107" s="62">
        <f t="shared" si="90"/>
        <v>343.9428747444544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projet'!$B$10,Paramètres!$A$1:$I$88,7,0))</f>
        <v>0</v>
      </c>
      <c r="AS107" s="17">
        <f>IF(ISNA(VLOOKUP(A107,'Données projet'!$A$61:$I$81,6,0)),0%,VLOOKUP(A107,'Données projet'!$A$61:$I$81,6,0)*VLOOKUP('Données projet'!$B$10,Paramètres!$A$1:$I$88,7,0))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projet'!$B$10,Paramètres!$A$1:$I$88,3,0)*0.475*44/12</f>
        <v>0</v>
      </c>
      <c r="AV107" s="23">
        <f>EXP(-LN(2)/25)*AV106+(1-EXP(-LN(2)/25))/(LN(2)/25)*Calculateur!AQ107*Calculateur!AS107*VLOOKUP('Données projet'!$B$10,Paramètres!$A$1:$I$88,3,0)*0.475*44/12</f>
        <v>0.72776135706774836</v>
      </c>
      <c r="AW107" s="23">
        <f>EXP(-LN(2)/2)*AW106+(1-EXP(-LN(2)/2))/(LN(2)/2)*AQ107*AT107*VLOOKUP('Données projet'!$B$10,Paramètres!$A$1:$I$88,3,0)*0.475*44/12</f>
        <v>8.5590295772861091E-11</v>
      </c>
      <c r="AX107" s="23">
        <f t="shared" si="60"/>
        <v>0.72776135715333867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-5.6843418860808015E-14</v>
      </c>
      <c r="BE107" s="14">
        <f>BD107*VLOOKUP('Données projet'!$B$11,Paramètres!$A$1:$I$88,3,0)*VLOOKUP('Données projet'!$B$11,Paramètres!$A$1:$I$88,5,0)</f>
        <v>-4.5224624045658861E-14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298.38448036212861</v>
      </c>
      <c r="BJ107" s="62">
        <f t="shared" si="92"/>
        <v>270.4445531106897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projet'!$B$11,Paramètres!$A$1:$I$88,7,0))</f>
        <v>0</v>
      </c>
      <c r="BN107" s="17">
        <f>IF(ISNA(VLOOKUP(A107,'Données projet'!$A$87:$I$107,6,0)),0%,VLOOKUP(A107,'Données projet'!$A$87:$I$107,6,0)*VLOOKUP('Données projet'!$B$11,Paramètres!$A$1:$I$88,7,0))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projet'!$B$11,Paramètres!$A$1:$I$88,3,0)*0.475*44/12</f>
        <v>0</v>
      </c>
      <c r="BQ107" s="23">
        <f>EXP(-LN(2)/25)*BQ106+(1-EXP(-LN(2)/25))/(LN(2)/25)*Calculateur!BL107*Calculateur!BN107*VLOOKUP('Données projet'!$B$11,Paramètres!$A$1:$I$88,3,0)*0.475*44/12</f>
        <v>0</v>
      </c>
      <c r="BR107" s="23">
        <f>EXP(-LN(2)/2)*BR106+(1-EXP(-LN(2)/2))/(LN(2)/2)*BL107*BO107*VLOOKUP('Données projet'!$B$11,Paramètres!$A$1:$I$88,3,0)*0.475*44/12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5.6843418860808015E-14</v>
      </c>
      <c r="BZ107" s="14">
        <f>BY107*VLOOKUP('Données projet'!$B$12,Paramètres!$A$1:$I$88,3,0)*VLOOKUP('Données projet'!$B$12,Paramètres!$A$1:$I$88,5,0)</f>
        <v>4.4337866711430253E-14</v>
      </c>
      <c r="CA107" s="14">
        <f t="shared" si="93"/>
        <v>7.3222115536967035E-13</v>
      </c>
      <c r="CB107" s="22">
        <f t="shared" si="64"/>
        <v>1.3525069634579169E-12</v>
      </c>
      <c r="CC107" s="62">
        <f t="shared" si="65"/>
        <v>293.33333333333468</v>
      </c>
      <c r="CD107" s="62">
        <f ca="1">AVERAGE(OFFSET($CC$3,0,0,'Données projet'!$E$12+1,1))-AVERAGE(OFFSET($H$3,0,0,'Données projet'!$E$12+1,1))</f>
        <v>217.32600829266818</v>
      </c>
      <c r="CE107" s="62">
        <f t="shared" si="94"/>
        <v>208.79744153433245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projet'!$B$12,Paramètres!$A$1:$I$88,7,0))</f>
        <v>0</v>
      </c>
      <c r="CI107" s="17">
        <f>IF(ISNA(VLOOKUP(A107,'Données projet'!$A$113:$I$133,6,0)),0%,VLOOKUP(A107,'Données projet'!$A$113:$I$133,6,0)*VLOOKUP('Données projet'!$B$12,Paramètres!$A$1:$I$88,7,0))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projet'!$B$12,Paramètres!$A$1:$I$88,3,0)*0.475*44/12</f>
        <v>0</v>
      </c>
      <c r="CL107" s="23">
        <f>EXP(-LN(2)/25)*CL106+(1-EXP(-LN(2)/25))/(LN(2)/25)*Calculateur!CG107*Calculateur!CI107*VLOOKUP('Données projet'!$B$12,Paramètres!$A$1:$I$88,3,0)*0.475*44/12</f>
        <v>0</v>
      </c>
      <c r="CM107" s="23">
        <f>EXP(-LN(2)/2)*CM106+(1-EXP(-LN(2)/2))/(LN(2)/2)*CG107*CJ107*VLOOKUP('Données projet'!$B$12,Paramètres!$A$1:$I$88,3,0)*0.475*44/12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-3.4106051316484809E-13</v>
      </c>
      <c r="CU107" s="18">
        <f>CT107*VLOOKUP('Données projet'!$B$13,Paramètres!$A$1:$I$88,3,0)*VLOOKUP('Données projet'!$B$13,Paramètres!$A$1:$I$88,5,0)</f>
        <v>-1.9065282685915009E-13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302.20483575440988</v>
      </c>
      <c r="CZ107" s="62">
        <f t="shared" si="96"/>
        <v>275.32862097158687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projet'!$B$13,Paramètres!$A$1:$I$88,7,0))</f>
        <v>0</v>
      </c>
      <c r="DD107" s="17">
        <f>IF(ISNA(VLOOKUP(A107,'Données projet'!$A$139:$I$159,6,0)),0%,VLOOKUP(A107,'Données projet'!$A$139:$I$159,6,0)*VLOOKUP('Données projet'!$B$13,Paramètres!$A$1:$I$88,7,0))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projet'!$B$13,Paramètres!$A$1:$I$88,3,0)*0.475*44/12</f>
        <v>0</v>
      </c>
      <c r="DG107" s="23">
        <f>EXP(-LN(2)/25)*DG106+(1-EXP(-LN(2)/25))/(LN(2)/25)*Calculateur!DB107*Calculateur!DD107*VLOOKUP('Données projet'!$B$13,Paramètres!$A$1:$I$88,3,0)*0.475*44/12</f>
        <v>1.7769951172306622</v>
      </c>
      <c r="DH107" s="23">
        <f>EXP(-LN(2)/2)*DH106+(1-EXP(-LN(2)/2))/(LN(2)/2)*DB107*DE107*VLOOKUP('Données projet'!$B$13,Paramètres!$A$1:$I$88,3,0)*0.475*44/12</f>
        <v>4.9337451488338912E-11</v>
      </c>
      <c r="DI107" s="24">
        <f t="shared" si="69"/>
        <v>1.7769951172799996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projet'!$B$14,Paramètres!$A$1:$I$88,3,0)*VLOOKUP('Données projet'!$B$14,Paramètres!$A$1:$I$88,5,0)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projet'!$B$14,Paramètres!$A$1:$I$88,7,0))</f>
        <v>0</v>
      </c>
      <c r="DY107" s="17">
        <f>IF(ISNA(VLOOKUP(A107,'Données projet'!$A$165:$I$185,6,0)),0%,VLOOKUP(A107,'Données projet'!$A$165:$I$185,6,0)*VLOOKUP('Données projet'!$B$14,Paramètres!$A$1:$I$88,7,0))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projet'!$B$14,Paramètres!$A$1:$I$88,3,0)*0.475*44/12</f>
        <v>#N/A</v>
      </c>
      <c r="EB107" s="23" t="e">
        <f>EXP(-LN(2)/25)*EB106+(1-EXP(-LN(2)/25))/(LN(2)/25)*Calculateur!DW107*Calculateur!DY107*VLOOKUP('Données projet'!$B$14,Paramètres!$A$1:$I$88,3,0)*0.475*44/12</f>
        <v>#N/A</v>
      </c>
      <c r="EC107" s="23" t="e">
        <f>EXP(-LN(2)/2)*EC106+(1-EXP(-LN(2)/2))/(LN(2)/2)*DW107*DZ107*VLOOKUP('Données projet'!$B$14,Paramètres!$A$1:$I$88,3,0)*0.475*44/12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projet'!$B$15,Paramètres!$A$1:$I$88,3,0)*VLOOKUP('Données projet'!$B$15,Paramètres!$A$1:$I$88,5,0)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projet'!$B$15,Paramètres!$A$1:$I$88,7,0))</f>
        <v>0</v>
      </c>
      <c r="ET107" s="17">
        <f>IF(ISNA(VLOOKUP(A107,'Données projet'!$A$191:$I$211,6,0)),0%,VLOOKUP(A107,'Données projet'!$A$191:$I$211,6,0)*VLOOKUP('Données projet'!$B$15,Paramètres!$A$1:$I$88,7,0))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projet'!$B$15,Paramètres!$A$1:$I$88,3,0)*0.475*44/12</f>
        <v>#N/A</v>
      </c>
      <c r="EW107" s="23" t="e">
        <f>EXP(-LN(2)/25)*EW106+(1-EXP(-LN(2)/25))/(LN(2)/25)*Calculateur!ER107*Calculateur!ET107*VLOOKUP('Données projet'!$B$15,Paramètres!$A$1:$I$88,3,0)*0.475*44/12</f>
        <v>#N/A</v>
      </c>
      <c r="EX107" s="23" t="e">
        <f>EXP(-LN(2)/2)*EX106+(1-EXP(-LN(2)/2))/(LN(2)/2)*ER107*EU107*VLOOKUP('Données projet'!$B$15,Paramètres!$A$1:$I$88,3,0)*0.475*44/12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projet'!$B$16,Paramètres!$A$1:$I$88,3,0)*VLOOKUP('Données projet'!$B$16,Paramètres!$A$1:$I$88,5,0)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projet'!$B$16,Paramètres!$A$1:$I$88,7,0))</f>
        <v>0</v>
      </c>
      <c r="FO107" s="17">
        <f>IF(ISNA(VLOOKUP(A107,'Données projet'!$A$217:$I$237,6,0)),0%,VLOOKUP(A107,'Données projet'!$A$217:$I$237,6,0)*VLOOKUP('Données projet'!$B$16,Paramètres!$A$1:$I$88,7,0))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projet'!$B$16,Paramètres!$A$1:$I$88,3,0)*0.475*44/12</f>
        <v>#N/A</v>
      </c>
      <c r="FR107" s="23" t="e">
        <f>EXP(-LN(2)/25)*FR106+(1-EXP(-LN(2)/25))/(LN(2)/25)*Calculateur!FM107*Calculateur!FO107*VLOOKUP('Données projet'!$B$16,Paramètres!$A$1:$I$88,3,0)*0.475*44/12</f>
        <v>#N/A</v>
      </c>
      <c r="FS107" s="23" t="e">
        <f>EXP(-LN(2)/2)*FS106+(1-EXP(-LN(2)/2))/(LN(2)/2)*FM107*FP107*VLOOKUP('Données projet'!$B$16,Paramètres!$A$1:$I$88,3,0)*0.475*44/12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projet'!$B$17,Paramètres!$A$1:$I$88,3,0)*VLOOKUP('Données projet'!$B$17,Paramètres!$A$1:$I$88,5,0)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projet'!$B$17,Paramètres!$A$1:$I$88,7,0))</f>
        <v>0</v>
      </c>
      <c r="GJ107" s="17">
        <f>IF(ISNA(VLOOKUP(A107,'Données projet'!$A$243:$I$263,6,0)),0%,VLOOKUP(A107,'Données projet'!$A$243:$I$263,6,0)*VLOOKUP('Données projet'!$B$17,Paramètres!$A$1:$I$88,7,0))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projet'!$B$17,Paramètres!$A$1:$I$88,3,0)*0.475*44/12</f>
        <v>#N/A</v>
      </c>
      <c r="GM107" s="23" t="e">
        <f>EXP(-LN(2)/25)*GM106+(1-EXP(-LN(2)/25))/(LN(2)/25)*Calculateur!GH107*Calculateur!GJ107*VLOOKUP('Données projet'!$B$17,Paramètres!$A$1:$I$88,3,0)*0.475*44/12</f>
        <v>#N/A</v>
      </c>
      <c r="GN107" s="23" t="e">
        <f>EXP(-LN(2)/2)*GN106+(1-EXP(-LN(2)/2))/(LN(2)/2)*GH107*GK107*VLOOKUP('Données projet'!$B$17,Paramètres!$A$1:$I$88,3,0)*0.475*44/12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projet'!$B$18,Paramètres!$A$1:$I$88,3,0)*VLOOKUP('Données projet'!$B$18,Paramètres!$A$1:$I$88,5,0)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projet'!$B$18,Paramètres!$A$1:$I$88,7,0))</f>
        <v>0</v>
      </c>
      <c r="HE107" s="17">
        <f>IF(ISNA(VLOOKUP(A107,'Données projet'!$A$269:$I$289,6,0)),0%,VLOOKUP(A107,'Données projet'!$A$269:$I$289,6,0)*VLOOKUP('Données projet'!$B$18,Paramètres!$A$1:$I$88,7,0))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projet'!$B$18,Paramètres!$A$1:$I$88,3,0)*0.475*44/12</f>
        <v>#N/A</v>
      </c>
      <c r="HH107" s="23" t="e">
        <f>EXP(-LN(2)/25)*HH106+(1-EXP(-LN(2)/25))/(LN(2)/25)*Calculateur!HC107*Calculateur!HE107*VLOOKUP('Données projet'!$B$18,Paramètres!$A$1:$I$88,3,0)*0.475*44/12</f>
        <v>#N/A</v>
      </c>
      <c r="HI107" s="23" t="e">
        <f>EXP(-LN(2)/2)*HI106+(1-EXP(-LN(2)/2))/(LN(2)/2)*HC107*HF107*VLOOKUP('Données projet'!$B$18,Paramètres!$A$1:$I$88,3,0)*0.475*44/12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projet'!$B$9,Paramètres!$A$1:$I$88,3,0)*VLOOKUP('Données projet'!$B$9,Paramètres!$A$1:$I$88,5,0)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175.05987582828078</v>
      </c>
      <c r="T108" s="62">
        <f t="shared" si="88"/>
        <v>268.54782308462387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projet'!$B$9,Paramètres!$A$1:$I$88,7,0))</f>
        <v>0</v>
      </c>
      <c r="X108" s="17">
        <f>IF(ISNA(VLOOKUP(A108,'Données projet'!$A$35:$I$55,6,0)),0%,VLOOKUP(A108,'Données projet'!$A$35:$I$55,6,0)*VLOOKUP('Données projet'!$B$9,Paramètres!$A$1:$I$88,7,0))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projet'!$B$9,Paramètres!$A$1:$I$88,3,0)*0.475*44/12</f>
        <v>0</v>
      </c>
      <c r="AA108" s="23">
        <f>EXP(-LN(2)/25)*AA107+(1-EXP(-LN(2)/25))/(LN(2)/25)*Calculateur!V108*Calculateur!X108*VLOOKUP('Données projet'!$B$9,Paramètres!$A$1:$I$88,3,0)*0.475*44/12</f>
        <v>1.2869342627087026</v>
      </c>
      <c r="AB108" s="23">
        <f>EXP(-LN(2)/2)*AB107+(1-EXP(-LN(2)/2))/(LN(2)/2)*V108*Y108*VLOOKUP('Données projet'!$B$9,Paramètres!$A$1:$I$88,3,0)*0.475*44/12</f>
        <v>8.4987328992131119E-11</v>
      </c>
      <c r="AC108" s="24">
        <f t="shared" si="57"/>
        <v>1.2869342627936899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959</v>
      </c>
      <c r="AG108" s="13">
        <f>VLOOKUP(A108,'Données projet'!$A$61:$I$81,9,0)</f>
        <v>12.466666666666667</v>
      </c>
      <c r="AH108" s="13">
        <f t="array" ref="AH108">INDEX(AG:AG,MIN(IF(ISNUMBER(AG108:AG304),ROW(AG108:AG304),"")))</f>
        <v>12.466666666666667</v>
      </c>
      <c r="AI108" s="14">
        <f>IF('Données projet'!$A$62&gt;35,AI107+AH108-AQ107,IF(A108&lt;'Données projet'!$A$62,$AF$205^A108,IF(A108='Données projet'!$A$62,'Données projet'!$B$62,AI107+AH108-AQ107)))</f>
        <v>958.99999999999932</v>
      </c>
      <c r="AJ108" s="14">
        <f>AI108*VLOOKUP('Données projet'!$B$10,Paramètres!$A$1:$I$88,3,0)*VLOOKUP('Données projet'!$B$10,Paramètres!$A$1:$I$88,5,0)</f>
        <v>461.27899999999971</v>
      </c>
      <c r="AK108" s="14">
        <f t="shared" si="89"/>
        <v>104.09512131197806</v>
      </c>
      <c r="AL108" s="22">
        <f t="shared" si="58"/>
        <v>984.6932612850278</v>
      </c>
      <c r="AM108" s="62">
        <f t="shared" si="59"/>
        <v>1278.0265946183611</v>
      </c>
      <c r="AN108" s="62">
        <f ca="1">AVERAGE(OFFSET($AM$3,0,0,'Données projet'!$E$10+1,1))-AVERAGE(OFFSET($H$3,0,0,'Données projet'!$E$10+1,1))</f>
        <v>576.61210817354549</v>
      </c>
      <c r="AO108" s="62">
        <f t="shared" si="90"/>
        <v>343.9428747444544</v>
      </c>
      <c r="AP108" s="16">
        <f>IF(ISNA(VLOOKUP(A108,'Données projet'!$A$61:$I$81,3,0)),0,VLOOKUP(A108,'Données projet'!$A$61:$I$81,3,0))</f>
        <v>6</v>
      </c>
      <c r="AQ108" s="16">
        <f>IF(ISNA(VLOOKUP(A108,'Données projet'!$A$61:$I$81,4,0)),0,VLOOKUP(A108,'Données projet'!$A$61:$I$81,4,0))</f>
        <v>123</v>
      </c>
      <c r="AR108" s="17">
        <f>IF(ISNA(VLOOKUP(A108,'Données projet'!$A$61:$I$81,5,0)),0%,VLOOKUP(A108,'Données projet'!$A$61:$I$81,5,0)*VLOOKUP('Données projet'!$B$10,Paramètres!$A$1:$I$88,7,0))</f>
        <v>0</v>
      </c>
      <c r="AS108" s="17">
        <f>IF(ISNA(VLOOKUP(A108,'Données projet'!$A$61:$I$81,6,0)),0%,VLOOKUP(A108,'Données projet'!$A$61:$I$81,6,0)*VLOOKUP('Données projet'!$B$10,Paramètres!$A$1:$I$88,7,0))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projet'!$B$10,Paramètres!$A$1:$I$88,3,0)*0.475*44/12</f>
        <v>0</v>
      </c>
      <c r="AV108" s="23">
        <f>EXP(-LN(2)/25)*AV107+(1-EXP(-LN(2)/25))/(LN(2)/25)*Calculateur!AQ108*Calculateur!AS108*VLOOKUP('Données projet'!$B$10,Paramètres!$A$1:$I$88,3,0)*0.475*44/12</f>
        <v>0.70786068448742434</v>
      </c>
      <c r="AW108" s="23">
        <f>EXP(-LN(2)/2)*AW107+(1-EXP(-LN(2)/2))/(LN(2)/2)*AQ108*AT108*VLOOKUP('Données projet'!$B$10,Paramètres!$A$1:$I$88,3,0)*0.475*44/12</f>
        <v>6.052147854475237E-11</v>
      </c>
      <c r="AX108" s="23">
        <f t="shared" si="60"/>
        <v>0.70786068454794582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-5.6843418860808015E-14</v>
      </c>
      <c r="BE108" s="14">
        <f>BD108*VLOOKUP('Données projet'!$B$11,Paramètres!$A$1:$I$88,3,0)*VLOOKUP('Données projet'!$B$11,Paramètres!$A$1:$I$88,5,0)</f>
        <v>-4.5224624045658861E-14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298.38448036212861</v>
      </c>
      <c r="BJ108" s="62">
        <f t="shared" si="92"/>
        <v>270.4445531106897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projet'!$B$11,Paramètres!$A$1:$I$88,7,0))</f>
        <v>0</v>
      </c>
      <c r="BN108" s="17">
        <f>IF(ISNA(VLOOKUP(A108,'Données projet'!$A$87:$I$107,6,0)),0%,VLOOKUP(A108,'Données projet'!$A$87:$I$107,6,0)*VLOOKUP('Données projet'!$B$11,Paramètres!$A$1:$I$88,7,0))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projet'!$B$11,Paramètres!$A$1:$I$88,3,0)*0.475*44/12</f>
        <v>0</v>
      </c>
      <c r="BQ108" s="23">
        <f>EXP(-LN(2)/25)*BQ107+(1-EXP(-LN(2)/25))/(LN(2)/25)*Calculateur!BL108*Calculateur!BN108*VLOOKUP('Données projet'!$B$11,Paramètres!$A$1:$I$88,3,0)*0.475*44/12</f>
        <v>0</v>
      </c>
      <c r="BR108" s="23">
        <f>EXP(-LN(2)/2)*BR107+(1-EXP(-LN(2)/2))/(LN(2)/2)*BL108*BO108*VLOOKUP('Données projet'!$B$11,Paramètres!$A$1:$I$88,3,0)*0.475*44/12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5.6843418860808015E-14</v>
      </c>
      <c r="BZ108" s="14">
        <f>BY108*VLOOKUP('Données projet'!$B$12,Paramètres!$A$1:$I$88,3,0)*VLOOKUP('Données projet'!$B$12,Paramètres!$A$1:$I$88,5,0)</f>
        <v>4.4337866711430253E-14</v>
      </c>
      <c r="CA108" s="14">
        <f t="shared" si="93"/>
        <v>7.3222115536967035E-13</v>
      </c>
      <c r="CB108" s="22">
        <f t="shared" si="64"/>
        <v>1.3525069634579169E-12</v>
      </c>
      <c r="CC108" s="62">
        <f t="shared" si="65"/>
        <v>293.33333333333468</v>
      </c>
      <c r="CD108" s="62">
        <f ca="1">AVERAGE(OFFSET($CC$3,0,0,'Données projet'!$E$12+1,1))-AVERAGE(OFFSET($H$3,0,0,'Données projet'!$E$12+1,1))</f>
        <v>217.32600829266818</v>
      </c>
      <c r="CE108" s="62">
        <f t="shared" si="94"/>
        <v>208.79744153433245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projet'!$B$12,Paramètres!$A$1:$I$88,7,0))</f>
        <v>0</v>
      </c>
      <c r="CI108" s="17">
        <f>IF(ISNA(VLOOKUP(A108,'Données projet'!$A$113:$I$133,6,0)),0%,VLOOKUP(A108,'Données projet'!$A$113:$I$133,6,0)*VLOOKUP('Données projet'!$B$12,Paramètres!$A$1:$I$88,7,0))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projet'!$B$12,Paramètres!$A$1:$I$88,3,0)*0.475*44/12</f>
        <v>0</v>
      </c>
      <c r="CL108" s="23">
        <f>EXP(-LN(2)/25)*CL107+(1-EXP(-LN(2)/25))/(LN(2)/25)*Calculateur!CG108*Calculateur!CI108*VLOOKUP('Données projet'!$B$12,Paramètres!$A$1:$I$88,3,0)*0.475*44/12</f>
        <v>0</v>
      </c>
      <c r="CM108" s="23">
        <f>EXP(-LN(2)/2)*CM107+(1-EXP(-LN(2)/2))/(LN(2)/2)*CG108*CJ108*VLOOKUP('Données projet'!$B$12,Paramètres!$A$1:$I$88,3,0)*0.475*44/12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-3.4106051316484809E-13</v>
      </c>
      <c r="CU108" s="18">
        <f>CT108*VLOOKUP('Données projet'!$B$13,Paramètres!$A$1:$I$88,3,0)*VLOOKUP('Données projet'!$B$13,Paramètres!$A$1:$I$88,5,0)</f>
        <v>-1.9065282685915009E-13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302.20483575440988</v>
      </c>
      <c r="CZ108" s="62">
        <f t="shared" si="96"/>
        <v>275.32862097158687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projet'!$B$13,Paramètres!$A$1:$I$88,7,0))</f>
        <v>0</v>
      </c>
      <c r="DD108" s="17">
        <f>IF(ISNA(VLOOKUP(A108,'Données projet'!$A$139:$I$159,6,0)),0%,VLOOKUP(A108,'Données projet'!$A$139:$I$159,6,0)*VLOOKUP('Données projet'!$B$13,Paramètres!$A$1:$I$88,7,0))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projet'!$B$13,Paramètres!$A$1:$I$88,3,0)*0.475*44/12</f>
        <v>0</v>
      </c>
      <c r="DG108" s="23">
        <f>EXP(-LN(2)/25)*DG107+(1-EXP(-LN(2)/25))/(LN(2)/25)*Calculateur!DB108*Calculateur!DD108*VLOOKUP('Données projet'!$B$13,Paramètres!$A$1:$I$88,3,0)*0.475*44/12</f>
        <v>1.7284030923018778</v>
      </c>
      <c r="DH108" s="23">
        <f>EXP(-LN(2)/2)*DH107+(1-EXP(-LN(2)/2))/(LN(2)/2)*DB108*DE108*VLOOKUP('Données projet'!$B$13,Paramètres!$A$1:$I$88,3,0)*0.475*44/12</f>
        <v>3.4886846513866766E-11</v>
      </c>
      <c r="DI108" s="24">
        <f t="shared" si="69"/>
        <v>1.7284030923367646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projet'!$B$14,Paramètres!$A$1:$I$88,3,0)*VLOOKUP('Données projet'!$B$14,Paramètres!$A$1:$I$88,5,0)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projet'!$B$14,Paramètres!$A$1:$I$88,7,0))</f>
        <v>0</v>
      </c>
      <c r="DY108" s="17">
        <f>IF(ISNA(VLOOKUP(A108,'Données projet'!$A$165:$I$185,6,0)),0%,VLOOKUP(A108,'Données projet'!$A$165:$I$185,6,0)*VLOOKUP('Données projet'!$B$14,Paramètres!$A$1:$I$88,7,0))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projet'!$B$14,Paramètres!$A$1:$I$88,3,0)*0.475*44/12</f>
        <v>#N/A</v>
      </c>
      <c r="EB108" s="23" t="e">
        <f>EXP(-LN(2)/25)*EB107+(1-EXP(-LN(2)/25))/(LN(2)/25)*Calculateur!DW108*Calculateur!DY108*VLOOKUP('Données projet'!$B$14,Paramètres!$A$1:$I$88,3,0)*0.475*44/12</f>
        <v>#N/A</v>
      </c>
      <c r="EC108" s="23" t="e">
        <f>EXP(-LN(2)/2)*EC107+(1-EXP(-LN(2)/2))/(LN(2)/2)*DW108*DZ108*VLOOKUP('Données projet'!$B$14,Paramètres!$A$1:$I$88,3,0)*0.475*44/12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projet'!$B$15,Paramètres!$A$1:$I$88,3,0)*VLOOKUP('Données projet'!$B$15,Paramètres!$A$1:$I$88,5,0)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projet'!$B$15,Paramètres!$A$1:$I$88,7,0))</f>
        <v>0</v>
      </c>
      <c r="ET108" s="17">
        <f>IF(ISNA(VLOOKUP(A108,'Données projet'!$A$191:$I$211,6,0)),0%,VLOOKUP(A108,'Données projet'!$A$191:$I$211,6,0)*VLOOKUP('Données projet'!$B$15,Paramètres!$A$1:$I$88,7,0))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projet'!$B$15,Paramètres!$A$1:$I$88,3,0)*0.475*44/12</f>
        <v>#N/A</v>
      </c>
      <c r="EW108" s="23" t="e">
        <f>EXP(-LN(2)/25)*EW107+(1-EXP(-LN(2)/25))/(LN(2)/25)*Calculateur!ER108*Calculateur!ET108*VLOOKUP('Données projet'!$B$15,Paramètres!$A$1:$I$88,3,0)*0.475*44/12</f>
        <v>#N/A</v>
      </c>
      <c r="EX108" s="23" t="e">
        <f>EXP(-LN(2)/2)*EX107+(1-EXP(-LN(2)/2))/(LN(2)/2)*ER108*EU108*VLOOKUP('Données projet'!$B$15,Paramètres!$A$1:$I$88,3,0)*0.475*44/12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projet'!$B$16,Paramètres!$A$1:$I$88,3,0)*VLOOKUP('Données projet'!$B$16,Paramètres!$A$1:$I$88,5,0)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projet'!$B$16,Paramètres!$A$1:$I$88,7,0))</f>
        <v>0</v>
      </c>
      <c r="FO108" s="17">
        <f>IF(ISNA(VLOOKUP(A108,'Données projet'!$A$217:$I$237,6,0)),0%,VLOOKUP(A108,'Données projet'!$A$217:$I$237,6,0)*VLOOKUP('Données projet'!$B$16,Paramètres!$A$1:$I$88,7,0))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projet'!$B$16,Paramètres!$A$1:$I$88,3,0)*0.475*44/12</f>
        <v>#N/A</v>
      </c>
      <c r="FR108" s="23" t="e">
        <f>EXP(-LN(2)/25)*FR107+(1-EXP(-LN(2)/25))/(LN(2)/25)*Calculateur!FM108*Calculateur!FO108*VLOOKUP('Données projet'!$B$16,Paramètres!$A$1:$I$88,3,0)*0.475*44/12</f>
        <v>#N/A</v>
      </c>
      <c r="FS108" s="23" t="e">
        <f>EXP(-LN(2)/2)*FS107+(1-EXP(-LN(2)/2))/(LN(2)/2)*FM108*FP108*VLOOKUP('Données projet'!$B$16,Paramètres!$A$1:$I$88,3,0)*0.475*44/12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projet'!$B$17,Paramètres!$A$1:$I$88,3,0)*VLOOKUP('Données projet'!$B$17,Paramètres!$A$1:$I$88,5,0)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projet'!$B$17,Paramètres!$A$1:$I$88,7,0))</f>
        <v>0</v>
      </c>
      <c r="GJ108" s="17">
        <f>IF(ISNA(VLOOKUP(A108,'Données projet'!$A$243:$I$263,6,0)),0%,VLOOKUP(A108,'Données projet'!$A$243:$I$263,6,0)*VLOOKUP('Données projet'!$B$17,Paramètres!$A$1:$I$88,7,0))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projet'!$B$17,Paramètres!$A$1:$I$88,3,0)*0.475*44/12</f>
        <v>#N/A</v>
      </c>
      <c r="GM108" s="23" t="e">
        <f>EXP(-LN(2)/25)*GM107+(1-EXP(-LN(2)/25))/(LN(2)/25)*Calculateur!GH108*Calculateur!GJ108*VLOOKUP('Données projet'!$B$17,Paramètres!$A$1:$I$88,3,0)*0.475*44/12</f>
        <v>#N/A</v>
      </c>
      <c r="GN108" s="23" t="e">
        <f>EXP(-LN(2)/2)*GN107+(1-EXP(-LN(2)/2))/(LN(2)/2)*GH108*GK108*VLOOKUP('Données projet'!$B$17,Paramètres!$A$1:$I$88,3,0)*0.475*44/12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projet'!$B$18,Paramètres!$A$1:$I$88,3,0)*VLOOKUP('Données projet'!$B$18,Paramètres!$A$1:$I$88,5,0)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projet'!$B$18,Paramètres!$A$1:$I$88,7,0))</f>
        <v>0</v>
      </c>
      <c r="HE108" s="17">
        <f>IF(ISNA(VLOOKUP(A108,'Données projet'!$A$269:$I$289,6,0)),0%,VLOOKUP(A108,'Données projet'!$A$269:$I$289,6,0)*VLOOKUP('Données projet'!$B$18,Paramètres!$A$1:$I$88,7,0))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projet'!$B$18,Paramètres!$A$1:$I$88,3,0)*0.475*44/12</f>
        <v>#N/A</v>
      </c>
      <c r="HH108" s="23" t="e">
        <f>EXP(-LN(2)/25)*HH107+(1-EXP(-LN(2)/25))/(LN(2)/25)*Calculateur!HC108*Calculateur!HE108*VLOOKUP('Données projet'!$B$18,Paramètres!$A$1:$I$88,3,0)*0.475*44/12</f>
        <v>#N/A</v>
      </c>
      <c r="HI108" s="23" t="e">
        <f>EXP(-LN(2)/2)*HI107+(1-EXP(-LN(2)/2))/(LN(2)/2)*HC108*HF108*VLOOKUP('Données projet'!$B$18,Paramètres!$A$1:$I$88,3,0)*0.475*44/12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projet'!$B$9,Paramètres!$A$1:$I$88,3,0)*VLOOKUP('Données projet'!$B$9,Paramètres!$A$1:$I$88,5,0)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175.05987582828078</v>
      </c>
      <c r="T109" s="62">
        <f t="shared" si="88"/>
        <v>268.54782308462387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projet'!$B$9,Paramètres!$A$1:$I$88,7,0))</f>
        <v>0</v>
      </c>
      <c r="X109" s="17">
        <f>IF(ISNA(VLOOKUP(A109,'Données projet'!$A$35:$I$55,6,0)),0%,VLOOKUP(A109,'Données projet'!$A$35:$I$55,6,0)*VLOOKUP('Données projet'!$B$9,Paramètres!$A$1:$I$88,7,0))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projet'!$B$9,Paramètres!$A$1:$I$88,3,0)*0.475*44/12</f>
        <v>0</v>
      </c>
      <c r="AA109" s="23">
        <f>EXP(-LN(2)/25)*AA108+(1-EXP(-LN(2)/25))/(LN(2)/25)*Calculateur!V109*Calculateur!X109*VLOOKUP('Données projet'!$B$9,Paramètres!$A$1:$I$88,3,0)*0.475*44/12</f>
        <v>1.2517429776180016</v>
      </c>
      <c r="AB109" s="23">
        <f>EXP(-LN(2)/2)*AB108+(1-EXP(-LN(2)/2))/(LN(2)/2)*V109*Y109*VLOOKUP('Données projet'!$B$9,Paramètres!$A$1:$I$88,3,0)*0.475*44/12</f>
        <v>6.0095116645267985E-11</v>
      </c>
      <c r="AC109" s="24">
        <f t="shared" si="57"/>
        <v>1.2517429776780966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10.4</v>
      </c>
      <c r="AI109" s="14">
        <f>IF('Données projet'!$A$62&gt;35,AI108+AH109-AQ108,IF(A109&lt;'Données projet'!$A$62,$AF$205^A109,IF(A109='Données projet'!$A$62,'Données projet'!$B$62,AI108+AH109-AQ108)))</f>
        <v>846.3999999999993</v>
      </c>
      <c r="AJ109" s="14">
        <f>AI109*VLOOKUP('Données projet'!$B$10,Paramètres!$A$1:$I$88,3,0)*VLOOKUP('Données projet'!$B$10,Paramètres!$A$1:$I$88,5,0)</f>
        <v>407.11839999999967</v>
      </c>
      <c r="AK109" s="14">
        <f t="shared" si="89"/>
        <v>93.218326679081301</v>
      </c>
      <c r="AL109" s="22">
        <f t="shared" si="58"/>
        <v>871.41979896606597</v>
      </c>
      <c r="AM109" s="62">
        <f t="shared" si="59"/>
        <v>1164.7531322993993</v>
      </c>
      <c r="AN109" s="62">
        <f ca="1">AVERAGE(OFFSET($AM$3,0,0,'Données projet'!$E$10+1,1))-AVERAGE(OFFSET($H$3,0,0,'Données projet'!$E$10+1,1))</f>
        <v>576.61210817354549</v>
      </c>
      <c r="AO109" s="62">
        <f t="shared" si="90"/>
        <v>343.9428747444544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projet'!$B$10,Paramètres!$A$1:$I$88,7,0))</f>
        <v>0</v>
      </c>
      <c r="AS109" s="17">
        <f>IF(ISNA(VLOOKUP(A109,'Données projet'!$A$61:$I$81,6,0)),0%,VLOOKUP(A109,'Données projet'!$A$61:$I$81,6,0)*VLOOKUP('Données projet'!$B$10,Paramètres!$A$1:$I$88,7,0))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projet'!$B$10,Paramètres!$A$1:$I$88,3,0)*0.475*44/12</f>
        <v>0</v>
      </c>
      <c r="AV109" s="23">
        <f>EXP(-LN(2)/25)*AV108+(1-EXP(-LN(2)/25))/(LN(2)/25)*Calculateur!AQ109*Calculateur!AS109*VLOOKUP('Données projet'!$B$10,Paramètres!$A$1:$I$88,3,0)*0.475*44/12</f>
        <v>0.68850419684534014</v>
      </c>
      <c r="AW109" s="23">
        <f>EXP(-LN(2)/2)*AW108+(1-EXP(-LN(2)/2))/(LN(2)/2)*AQ109*AT109*VLOOKUP('Données projet'!$B$10,Paramètres!$A$1:$I$88,3,0)*0.475*44/12</f>
        <v>4.2795147886430545E-11</v>
      </c>
      <c r="AX109" s="23">
        <f t="shared" si="60"/>
        <v>0.68850419688813524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-5.6843418860808015E-14</v>
      </c>
      <c r="BE109" s="14">
        <f>BD109*VLOOKUP('Données projet'!$B$11,Paramètres!$A$1:$I$88,3,0)*VLOOKUP('Données projet'!$B$11,Paramètres!$A$1:$I$88,5,0)</f>
        <v>-4.5224624045658861E-14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298.38448036212861</v>
      </c>
      <c r="BJ109" s="62">
        <f t="shared" si="92"/>
        <v>270.4445531106897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projet'!$B$11,Paramètres!$A$1:$I$88,7,0))</f>
        <v>0</v>
      </c>
      <c r="BN109" s="17">
        <f>IF(ISNA(VLOOKUP(A109,'Données projet'!$A$87:$I$107,6,0)),0%,VLOOKUP(A109,'Données projet'!$A$87:$I$107,6,0)*VLOOKUP('Données projet'!$B$11,Paramètres!$A$1:$I$88,7,0))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projet'!$B$11,Paramètres!$A$1:$I$88,3,0)*0.475*44/12</f>
        <v>0</v>
      </c>
      <c r="BQ109" s="23">
        <f>EXP(-LN(2)/25)*BQ108+(1-EXP(-LN(2)/25))/(LN(2)/25)*Calculateur!BL109*Calculateur!BN109*VLOOKUP('Données projet'!$B$11,Paramètres!$A$1:$I$88,3,0)*0.475*44/12</f>
        <v>0</v>
      </c>
      <c r="BR109" s="23">
        <f>EXP(-LN(2)/2)*BR108+(1-EXP(-LN(2)/2))/(LN(2)/2)*BL109*BO109*VLOOKUP('Données projet'!$B$11,Paramètres!$A$1:$I$88,3,0)*0.475*44/12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5.6843418860808015E-14</v>
      </c>
      <c r="BZ109" s="14">
        <f>BY109*VLOOKUP('Données projet'!$B$12,Paramètres!$A$1:$I$88,3,0)*VLOOKUP('Données projet'!$B$12,Paramètres!$A$1:$I$88,5,0)</f>
        <v>4.4337866711430253E-14</v>
      </c>
      <c r="CA109" s="14">
        <f t="shared" si="93"/>
        <v>7.3222115536967035E-13</v>
      </c>
      <c r="CB109" s="22">
        <f t="shared" si="64"/>
        <v>1.3525069634579169E-12</v>
      </c>
      <c r="CC109" s="62">
        <f t="shared" si="65"/>
        <v>293.33333333333468</v>
      </c>
      <c r="CD109" s="62">
        <f ca="1">AVERAGE(OFFSET($CC$3,0,0,'Données projet'!$E$12+1,1))-AVERAGE(OFFSET($H$3,0,0,'Données projet'!$E$12+1,1))</f>
        <v>217.32600829266818</v>
      </c>
      <c r="CE109" s="62">
        <f t="shared" si="94"/>
        <v>208.79744153433245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projet'!$B$12,Paramètres!$A$1:$I$88,7,0))</f>
        <v>0</v>
      </c>
      <c r="CI109" s="17">
        <f>IF(ISNA(VLOOKUP(A109,'Données projet'!$A$113:$I$133,6,0)),0%,VLOOKUP(A109,'Données projet'!$A$113:$I$133,6,0)*VLOOKUP('Données projet'!$B$12,Paramètres!$A$1:$I$88,7,0))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projet'!$B$12,Paramètres!$A$1:$I$88,3,0)*0.475*44/12</f>
        <v>0</v>
      </c>
      <c r="CL109" s="23">
        <f>EXP(-LN(2)/25)*CL108+(1-EXP(-LN(2)/25))/(LN(2)/25)*Calculateur!CG109*Calculateur!CI109*VLOOKUP('Données projet'!$B$12,Paramètres!$A$1:$I$88,3,0)*0.475*44/12</f>
        <v>0</v>
      </c>
      <c r="CM109" s="23">
        <f>EXP(-LN(2)/2)*CM108+(1-EXP(-LN(2)/2))/(LN(2)/2)*CG109*CJ109*VLOOKUP('Données projet'!$B$12,Paramètres!$A$1:$I$88,3,0)*0.475*44/12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-3.4106051316484809E-13</v>
      </c>
      <c r="CU109" s="18">
        <f>CT109*VLOOKUP('Données projet'!$B$13,Paramètres!$A$1:$I$88,3,0)*VLOOKUP('Données projet'!$B$13,Paramètres!$A$1:$I$88,5,0)</f>
        <v>-1.9065282685915009E-13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302.20483575440988</v>
      </c>
      <c r="CZ109" s="62">
        <f t="shared" si="96"/>
        <v>275.32862097158687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projet'!$B$13,Paramètres!$A$1:$I$88,7,0))</f>
        <v>0</v>
      </c>
      <c r="DD109" s="17">
        <f>IF(ISNA(VLOOKUP(A109,'Données projet'!$A$139:$I$159,6,0)),0%,VLOOKUP(A109,'Données projet'!$A$139:$I$159,6,0)*VLOOKUP('Données projet'!$B$13,Paramètres!$A$1:$I$88,7,0))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projet'!$B$13,Paramètres!$A$1:$I$88,3,0)*0.475*44/12</f>
        <v>0</v>
      </c>
      <c r="DG109" s="23">
        <f>EXP(-LN(2)/25)*DG108+(1-EXP(-LN(2)/25))/(LN(2)/25)*Calculateur!DB109*Calculateur!DD109*VLOOKUP('Données projet'!$B$13,Paramètres!$A$1:$I$88,3,0)*0.475*44/12</f>
        <v>1.6811398188501148</v>
      </c>
      <c r="DH109" s="23">
        <f>EXP(-LN(2)/2)*DH108+(1-EXP(-LN(2)/2))/(LN(2)/2)*DB109*DE109*VLOOKUP('Données projet'!$B$13,Paramètres!$A$1:$I$88,3,0)*0.475*44/12</f>
        <v>2.4668725744169456E-11</v>
      </c>
      <c r="DI109" s="24">
        <f t="shared" si="69"/>
        <v>1.6811398188747835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projet'!$B$14,Paramètres!$A$1:$I$88,3,0)*VLOOKUP('Données projet'!$B$14,Paramètres!$A$1:$I$88,5,0)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projet'!$B$14,Paramètres!$A$1:$I$88,7,0))</f>
        <v>0</v>
      </c>
      <c r="DY109" s="17">
        <f>IF(ISNA(VLOOKUP(A109,'Données projet'!$A$165:$I$185,6,0)),0%,VLOOKUP(A109,'Données projet'!$A$165:$I$185,6,0)*VLOOKUP('Données projet'!$B$14,Paramètres!$A$1:$I$88,7,0))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projet'!$B$14,Paramètres!$A$1:$I$88,3,0)*0.475*44/12</f>
        <v>#N/A</v>
      </c>
      <c r="EB109" s="23" t="e">
        <f>EXP(-LN(2)/25)*EB108+(1-EXP(-LN(2)/25))/(LN(2)/25)*Calculateur!DW109*Calculateur!DY109*VLOOKUP('Données projet'!$B$14,Paramètres!$A$1:$I$88,3,0)*0.475*44/12</f>
        <v>#N/A</v>
      </c>
      <c r="EC109" s="23" t="e">
        <f>EXP(-LN(2)/2)*EC108+(1-EXP(-LN(2)/2))/(LN(2)/2)*DW109*DZ109*VLOOKUP('Données projet'!$B$14,Paramètres!$A$1:$I$88,3,0)*0.475*44/12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projet'!$B$15,Paramètres!$A$1:$I$88,3,0)*VLOOKUP('Données projet'!$B$15,Paramètres!$A$1:$I$88,5,0)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projet'!$B$15,Paramètres!$A$1:$I$88,7,0))</f>
        <v>0</v>
      </c>
      <c r="ET109" s="17">
        <f>IF(ISNA(VLOOKUP(A109,'Données projet'!$A$191:$I$211,6,0)),0%,VLOOKUP(A109,'Données projet'!$A$191:$I$211,6,0)*VLOOKUP('Données projet'!$B$15,Paramètres!$A$1:$I$88,7,0))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projet'!$B$15,Paramètres!$A$1:$I$88,3,0)*0.475*44/12</f>
        <v>#N/A</v>
      </c>
      <c r="EW109" s="23" t="e">
        <f>EXP(-LN(2)/25)*EW108+(1-EXP(-LN(2)/25))/(LN(2)/25)*Calculateur!ER109*Calculateur!ET109*VLOOKUP('Données projet'!$B$15,Paramètres!$A$1:$I$88,3,0)*0.475*44/12</f>
        <v>#N/A</v>
      </c>
      <c r="EX109" s="23" t="e">
        <f>EXP(-LN(2)/2)*EX108+(1-EXP(-LN(2)/2))/(LN(2)/2)*ER109*EU109*VLOOKUP('Données projet'!$B$15,Paramètres!$A$1:$I$88,3,0)*0.475*44/12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projet'!$B$16,Paramètres!$A$1:$I$88,3,0)*VLOOKUP('Données projet'!$B$16,Paramètres!$A$1:$I$88,5,0)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projet'!$B$16,Paramètres!$A$1:$I$88,7,0))</f>
        <v>0</v>
      </c>
      <c r="FO109" s="17">
        <f>IF(ISNA(VLOOKUP(A109,'Données projet'!$A$217:$I$237,6,0)),0%,VLOOKUP(A109,'Données projet'!$A$217:$I$237,6,0)*VLOOKUP('Données projet'!$B$16,Paramètres!$A$1:$I$88,7,0))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projet'!$B$16,Paramètres!$A$1:$I$88,3,0)*0.475*44/12</f>
        <v>#N/A</v>
      </c>
      <c r="FR109" s="23" t="e">
        <f>EXP(-LN(2)/25)*FR108+(1-EXP(-LN(2)/25))/(LN(2)/25)*Calculateur!FM109*Calculateur!FO109*VLOOKUP('Données projet'!$B$16,Paramètres!$A$1:$I$88,3,0)*0.475*44/12</f>
        <v>#N/A</v>
      </c>
      <c r="FS109" s="23" t="e">
        <f>EXP(-LN(2)/2)*FS108+(1-EXP(-LN(2)/2))/(LN(2)/2)*FM109*FP109*VLOOKUP('Données projet'!$B$16,Paramètres!$A$1:$I$88,3,0)*0.475*44/12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projet'!$B$17,Paramètres!$A$1:$I$88,3,0)*VLOOKUP('Données projet'!$B$17,Paramètres!$A$1:$I$88,5,0)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projet'!$B$17,Paramètres!$A$1:$I$88,7,0))</f>
        <v>0</v>
      </c>
      <c r="GJ109" s="17">
        <f>IF(ISNA(VLOOKUP(A109,'Données projet'!$A$243:$I$263,6,0)),0%,VLOOKUP(A109,'Données projet'!$A$243:$I$263,6,0)*VLOOKUP('Données projet'!$B$17,Paramètres!$A$1:$I$88,7,0))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projet'!$B$17,Paramètres!$A$1:$I$88,3,0)*0.475*44/12</f>
        <v>#N/A</v>
      </c>
      <c r="GM109" s="23" t="e">
        <f>EXP(-LN(2)/25)*GM108+(1-EXP(-LN(2)/25))/(LN(2)/25)*Calculateur!GH109*Calculateur!GJ109*VLOOKUP('Données projet'!$B$17,Paramètres!$A$1:$I$88,3,0)*0.475*44/12</f>
        <v>#N/A</v>
      </c>
      <c r="GN109" s="23" t="e">
        <f>EXP(-LN(2)/2)*GN108+(1-EXP(-LN(2)/2))/(LN(2)/2)*GH109*GK109*VLOOKUP('Données projet'!$B$17,Paramètres!$A$1:$I$88,3,0)*0.475*44/12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projet'!$B$18,Paramètres!$A$1:$I$88,3,0)*VLOOKUP('Données projet'!$B$18,Paramètres!$A$1:$I$88,5,0)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projet'!$B$18,Paramètres!$A$1:$I$88,7,0))</f>
        <v>0</v>
      </c>
      <c r="HE109" s="17">
        <f>IF(ISNA(VLOOKUP(A109,'Données projet'!$A$269:$I$289,6,0)),0%,VLOOKUP(A109,'Données projet'!$A$269:$I$289,6,0)*VLOOKUP('Données projet'!$B$18,Paramètres!$A$1:$I$88,7,0))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projet'!$B$18,Paramètres!$A$1:$I$88,3,0)*0.475*44/12</f>
        <v>#N/A</v>
      </c>
      <c r="HH109" s="23" t="e">
        <f>EXP(-LN(2)/25)*HH108+(1-EXP(-LN(2)/25))/(LN(2)/25)*Calculateur!HC109*Calculateur!HE109*VLOOKUP('Données projet'!$B$18,Paramètres!$A$1:$I$88,3,0)*0.475*44/12</f>
        <v>#N/A</v>
      </c>
      <c r="HI109" s="23" t="e">
        <f>EXP(-LN(2)/2)*HI108+(1-EXP(-LN(2)/2))/(LN(2)/2)*HC109*HF109*VLOOKUP('Données projet'!$B$18,Paramètres!$A$1:$I$88,3,0)*0.475*44/12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projet'!$B$9,Paramètres!$A$1:$I$88,3,0)*VLOOKUP('Données projet'!$B$9,Paramètres!$A$1:$I$88,5,0)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175.05987582828078</v>
      </c>
      <c r="T110" s="62">
        <f t="shared" si="88"/>
        <v>268.54782308462387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projet'!$B$9,Paramètres!$A$1:$I$88,7,0))</f>
        <v>0</v>
      </c>
      <c r="X110" s="17">
        <f>IF(ISNA(VLOOKUP(A110,'Données projet'!$A$35:$I$55,6,0)),0%,VLOOKUP(A110,'Données projet'!$A$35:$I$55,6,0)*VLOOKUP('Données projet'!$B$9,Paramètres!$A$1:$I$88,7,0))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projet'!$B$9,Paramètres!$A$1:$I$88,3,0)*0.475*44/12</f>
        <v>0</v>
      </c>
      <c r="AA110" s="23">
        <f>EXP(-LN(2)/25)*AA109+(1-EXP(-LN(2)/25))/(LN(2)/25)*Calculateur!V110*Calculateur!X110*VLOOKUP('Données projet'!$B$9,Paramètres!$A$1:$I$88,3,0)*0.475*44/12</f>
        <v>1.217514000068735</v>
      </c>
      <c r="AB110" s="23">
        <f>EXP(-LN(2)/2)*AB109+(1-EXP(-LN(2)/2))/(LN(2)/2)*V110*Y110*VLOOKUP('Données projet'!$B$9,Paramètres!$A$1:$I$88,3,0)*0.475*44/12</f>
        <v>4.249366449606556E-11</v>
      </c>
      <c r="AC110" s="24">
        <f t="shared" si="57"/>
        <v>1.2175140001112286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10.4</v>
      </c>
      <c r="AI110" s="14">
        <f>IF('Données projet'!$A$62&gt;35,AI109+AH110-AQ109,IF(A110&lt;'Données projet'!$A$62,$AF$205^A110,IF(A110='Données projet'!$A$62,'Données projet'!$B$62,AI109+AH110-AQ109)))</f>
        <v>856.79999999999927</v>
      </c>
      <c r="AJ110" s="14">
        <f>AI110*VLOOKUP('Données projet'!$B$10,Paramètres!$A$1:$I$88,3,0)*VLOOKUP('Données projet'!$B$10,Paramètres!$A$1:$I$88,5,0)</f>
        <v>412.12079999999969</v>
      </c>
      <c r="AK110" s="14">
        <f t="shared" si="89"/>
        <v>94.229685860748916</v>
      </c>
      <c r="AL110" s="22">
        <f t="shared" si="58"/>
        <v>881.893762874137</v>
      </c>
      <c r="AM110" s="62">
        <f t="shared" si="59"/>
        <v>1175.2270962074704</v>
      </c>
      <c r="AN110" s="62">
        <f ca="1">AVERAGE(OFFSET($AM$3,0,0,'Données projet'!$E$10+1,1))-AVERAGE(OFFSET($H$3,0,0,'Données projet'!$E$10+1,1))</f>
        <v>576.61210817354549</v>
      </c>
      <c r="AO110" s="62">
        <f t="shared" si="90"/>
        <v>343.9428747444544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projet'!$B$10,Paramètres!$A$1:$I$88,7,0))</f>
        <v>0</v>
      </c>
      <c r="AS110" s="17">
        <f>IF(ISNA(VLOOKUP(A110,'Données projet'!$A$61:$I$81,6,0)),0%,VLOOKUP(A110,'Données projet'!$A$61:$I$81,6,0)*VLOOKUP('Données projet'!$B$10,Paramètres!$A$1:$I$88,7,0))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projet'!$B$10,Paramètres!$A$1:$I$88,3,0)*0.475*44/12</f>
        <v>0</v>
      </c>
      <c r="AV110" s="23">
        <f>EXP(-LN(2)/25)*AV109+(1-EXP(-LN(2)/25))/(LN(2)/25)*Calculateur!AQ110*Calculateur!AS110*VLOOKUP('Données projet'!$B$10,Paramètres!$A$1:$I$88,3,0)*0.475*44/12</f>
        <v>0.66967701337574226</v>
      </c>
      <c r="AW110" s="23">
        <f>EXP(-LN(2)/2)*AW109+(1-EXP(-LN(2)/2))/(LN(2)/2)*AQ110*AT110*VLOOKUP('Données projet'!$B$10,Paramètres!$A$1:$I$88,3,0)*0.475*44/12</f>
        <v>3.0260739272376185E-11</v>
      </c>
      <c r="AX110" s="23">
        <f t="shared" si="60"/>
        <v>0.66967701340600305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-5.6843418860808015E-14</v>
      </c>
      <c r="BE110" s="14">
        <f>BD110*VLOOKUP('Données projet'!$B$11,Paramètres!$A$1:$I$88,3,0)*VLOOKUP('Données projet'!$B$11,Paramètres!$A$1:$I$88,5,0)</f>
        <v>-4.5224624045658861E-14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298.38448036212861</v>
      </c>
      <c r="BJ110" s="62">
        <f t="shared" si="92"/>
        <v>270.4445531106897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projet'!$B$11,Paramètres!$A$1:$I$88,7,0))</f>
        <v>0</v>
      </c>
      <c r="BN110" s="17">
        <f>IF(ISNA(VLOOKUP(A110,'Données projet'!$A$87:$I$107,6,0)),0%,VLOOKUP(A110,'Données projet'!$A$87:$I$107,6,0)*VLOOKUP('Données projet'!$B$11,Paramètres!$A$1:$I$88,7,0))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projet'!$B$11,Paramètres!$A$1:$I$88,3,0)*0.475*44/12</f>
        <v>0</v>
      </c>
      <c r="BQ110" s="23">
        <f>EXP(-LN(2)/25)*BQ109+(1-EXP(-LN(2)/25))/(LN(2)/25)*Calculateur!BL110*Calculateur!BN110*VLOOKUP('Données projet'!$B$11,Paramètres!$A$1:$I$88,3,0)*0.475*44/12</f>
        <v>0</v>
      </c>
      <c r="BR110" s="23">
        <f>EXP(-LN(2)/2)*BR109+(1-EXP(-LN(2)/2))/(LN(2)/2)*BL110*BO110*VLOOKUP('Données projet'!$B$11,Paramètres!$A$1:$I$88,3,0)*0.475*44/12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5.6843418860808015E-14</v>
      </c>
      <c r="BZ110" s="14">
        <f>BY110*VLOOKUP('Données projet'!$B$12,Paramètres!$A$1:$I$88,3,0)*VLOOKUP('Données projet'!$B$12,Paramètres!$A$1:$I$88,5,0)</f>
        <v>4.4337866711430253E-14</v>
      </c>
      <c r="CA110" s="14">
        <f t="shared" si="93"/>
        <v>7.3222115536967035E-13</v>
      </c>
      <c r="CB110" s="22">
        <f t="shared" si="64"/>
        <v>1.3525069634579169E-12</v>
      </c>
      <c r="CC110" s="62">
        <f t="shared" si="65"/>
        <v>293.33333333333468</v>
      </c>
      <c r="CD110" s="62">
        <f ca="1">AVERAGE(OFFSET($CC$3,0,0,'Données projet'!$E$12+1,1))-AVERAGE(OFFSET($H$3,0,0,'Données projet'!$E$12+1,1))</f>
        <v>217.32600829266818</v>
      </c>
      <c r="CE110" s="62">
        <f t="shared" si="94"/>
        <v>208.79744153433245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projet'!$B$12,Paramètres!$A$1:$I$88,7,0))</f>
        <v>0</v>
      </c>
      <c r="CI110" s="17">
        <f>IF(ISNA(VLOOKUP(A110,'Données projet'!$A$113:$I$133,6,0)),0%,VLOOKUP(A110,'Données projet'!$A$113:$I$133,6,0)*VLOOKUP('Données projet'!$B$12,Paramètres!$A$1:$I$88,7,0))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projet'!$B$12,Paramètres!$A$1:$I$88,3,0)*0.475*44/12</f>
        <v>0</v>
      </c>
      <c r="CL110" s="23">
        <f>EXP(-LN(2)/25)*CL109+(1-EXP(-LN(2)/25))/(LN(2)/25)*Calculateur!CG110*Calculateur!CI110*VLOOKUP('Données projet'!$B$12,Paramètres!$A$1:$I$88,3,0)*0.475*44/12</f>
        <v>0</v>
      </c>
      <c r="CM110" s="23">
        <f>EXP(-LN(2)/2)*CM109+(1-EXP(-LN(2)/2))/(LN(2)/2)*CG110*CJ110*VLOOKUP('Données projet'!$B$12,Paramètres!$A$1:$I$88,3,0)*0.475*44/12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-3.4106051316484809E-13</v>
      </c>
      <c r="CU110" s="18">
        <f>CT110*VLOOKUP('Données projet'!$B$13,Paramètres!$A$1:$I$88,3,0)*VLOOKUP('Données projet'!$B$13,Paramètres!$A$1:$I$88,5,0)</f>
        <v>-1.9065282685915009E-13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302.20483575440988</v>
      </c>
      <c r="CZ110" s="62">
        <f t="shared" si="96"/>
        <v>275.32862097158687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projet'!$B$13,Paramètres!$A$1:$I$88,7,0))</f>
        <v>0</v>
      </c>
      <c r="DD110" s="17">
        <f>IF(ISNA(VLOOKUP(A110,'Données projet'!$A$139:$I$159,6,0)),0%,VLOOKUP(A110,'Données projet'!$A$139:$I$159,6,0)*VLOOKUP('Données projet'!$B$13,Paramètres!$A$1:$I$88,7,0))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projet'!$B$13,Paramètres!$A$1:$I$88,3,0)*0.475*44/12</f>
        <v>0</v>
      </c>
      <c r="DG110" s="23">
        <f>EXP(-LN(2)/25)*DG109+(1-EXP(-LN(2)/25))/(LN(2)/25)*Calculateur!DB110*Calculateur!DD110*VLOOKUP('Données projet'!$B$13,Paramètres!$A$1:$I$88,3,0)*0.475*44/12</f>
        <v>1.6351689620963576</v>
      </c>
      <c r="DH110" s="23">
        <f>EXP(-LN(2)/2)*DH109+(1-EXP(-LN(2)/2))/(LN(2)/2)*DB110*DE110*VLOOKUP('Données projet'!$B$13,Paramètres!$A$1:$I$88,3,0)*0.475*44/12</f>
        <v>1.7443423256933383E-11</v>
      </c>
      <c r="DI110" s="24">
        <f t="shared" si="69"/>
        <v>1.635168962113801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projet'!$B$14,Paramètres!$A$1:$I$88,3,0)*VLOOKUP('Données projet'!$B$14,Paramètres!$A$1:$I$88,5,0)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projet'!$B$14,Paramètres!$A$1:$I$88,7,0))</f>
        <v>0</v>
      </c>
      <c r="DY110" s="17">
        <f>IF(ISNA(VLOOKUP(A110,'Données projet'!$A$165:$I$185,6,0)),0%,VLOOKUP(A110,'Données projet'!$A$165:$I$185,6,0)*VLOOKUP('Données projet'!$B$14,Paramètres!$A$1:$I$88,7,0))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projet'!$B$14,Paramètres!$A$1:$I$88,3,0)*0.475*44/12</f>
        <v>#N/A</v>
      </c>
      <c r="EB110" s="23" t="e">
        <f>EXP(-LN(2)/25)*EB109+(1-EXP(-LN(2)/25))/(LN(2)/25)*Calculateur!DW110*Calculateur!DY110*VLOOKUP('Données projet'!$B$14,Paramètres!$A$1:$I$88,3,0)*0.475*44/12</f>
        <v>#N/A</v>
      </c>
      <c r="EC110" s="23" t="e">
        <f>EXP(-LN(2)/2)*EC109+(1-EXP(-LN(2)/2))/(LN(2)/2)*DW110*DZ110*VLOOKUP('Données projet'!$B$14,Paramètres!$A$1:$I$88,3,0)*0.475*44/12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projet'!$B$15,Paramètres!$A$1:$I$88,3,0)*VLOOKUP('Données projet'!$B$15,Paramètres!$A$1:$I$88,5,0)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projet'!$B$15,Paramètres!$A$1:$I$88,7,0))</f>
        <v>0</v>
      </c>
      <c r="ET110" s="17">
        <f>IF(ISNA(VLOOKUP(A110,'Données projet'!$A$191:$I$211,6,0)),0%,VLOOKUP(A110,'Données projet'!$A$191:$I$211,6,0)*VLOOKUP('Données projet'!$B$15,Paramètres!$A$1:$I$88,7,0))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projet'!$B$15,Paramètres!$A$1:$I$88,3,0)*0.475*44/12</f>
        <v>#N/A</v>
      </c>
      <c r="EW110" s="23" t="e">
        <f>EXP(-LN(2)/25)*EW109+(1-EXP(-LN(2)/25))/(LN(2)/25)*Calculateur!ER110*Calculateur!ET110*VLOOKUP('Données projet'!$B$15,Paramètres!$A$1:$I$88,3,0)*0.475*44/12</f>
        <v>#N/A</v>
      </c>
      <c r="EX110" s="23" t="e">
        <f>EXP(-LN(2)/2)*EX109+(1-EXP(-LN(2)/2))/(LN(2)/2)*ER110*EU110*VLOOKUP('Données projet'!$B$15,Paramètres!$A$1:$I$88,3,0)*0.475*44/12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projet'!$B$16,Paramètres!$A$1:$I$88,3,0)*VLOOKUP('Données projet'!$B$16,Paramètres!$A$1:$I$88,5,0)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projet'!$B$16,Paramètres!$A$1:$I$88,7,0))</f>
        <v>0</v>
      </c>
      <c r="FO110" s="17">
        <f>IF(ISNA(VLOOKUP(A110,'Données projet'!$A$217:$I$237,6,0)),0%,VLOOKUP(A110,'Données projet'!$A$217:$I$237,6,0)*VLOOKUP('Données projet'!$B$16,Paramètres!$A$1:$I$88,7,0))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projet'!$B$16,Paramètres!$A$1:$I$88,3,0)*0.475*44/12</f>
        <v>#N/A</v>
      </c>
      <c r="FR110" s="23" t="e">
        <f>EXP(-LN(2)/25)*FR109+(1-EXP(-LN(2)/25))/(LN(2)/25)*Calculateur!FM110*Calculateur!FO110*VLOOKUP('Données projet'!$B$16,Paramètres!$A$1:$I$88,3,0)*0.475*44/12</f>
        <v>#N/A</v>
      </c>
      <c r="FS110" s="23" t="e">
        <f>EXP(-LN(2)/2)*FS109+(1-EXP(-LN(2)/2))/(LN(2)/2)*FM110*FP110*VLOOKUP('Données projet'!$B$16,Paramètres!$A$1:$I$88,3,0)*0.475*44/12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projet'!$B$17,Paramètres!$A$1:$I$88,3,0)*VLOOKUP('Données projet'!$B$17,Paramètres!$A$1:$I$88,5,0)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projet'!$B$17,Paramètres!$A$1:$I$88,7,0))</f>
        <v>0</v>
      </c>
      <c r="GJ110" s="17">
        <f>IF(ISNA(VLOOKUP(A110,'Données projet'!$A$243:$I$263,6,0)),0%,VLOOKUP(A110,'Données projet'!$A$243:$I$263,6,0)*VLOOKUP('Données projet'!$B$17,Paramètres!$A$1:$I$88,7,0))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projet'!$B$17,Paramètres!$A$1:$I$88,3,0)*0.475*44/12</f>
        <v>#N/A</v>
      </c>
      <c r="GM110" s="23" t="e">
        <f>EXP(-LN(2)/25)*GM109+(1-EXP(-LN(2)/25))/(LN(2)/25)*Calculateur!GH110*Calculateur!GJ110*VLOOKUP('Données projet'!$B$17,Paramètres!$A$1:$I$88,3,0)*0.475*44/12</f>
        <v>#N/A</v>
      </c>
      <c r="GN110" s="23" t="e">
        <f>EXP(-LN(2)/2)*GN109+(1-EXP(-LN(2)/2))/(LN(2)/2)*GH110*GK110*VLOOKUP('Données projet'!$B$17,Paramètres!$A$1:$I$88,3,0)*0.475*44/12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projet'!$B$18,Paramètres!$A$1:$I$88,3,0)*VLOOKUP('Données projet'!$B$18,Paramètres!$A$1:$I$88,5,0)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projet'!$B$18,Paramètres!$A$1:$I$88,7,0))</f>
        <v>0</v>
      </c>
      <c r="HE110" s="17">
        <f>IF(ISNA(VLOOKUP(A110,'Données projet'!$A$269:$I$289,6,0)),0%,VLOOKUP(A110,'Données projet'!$A$269:$I$289,6,0)*VLOOKUP('Données projet'!$B$18,Paramètres!$A$1:$I$88,7,0))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projet'!$B$18,Paramètres!$A$1:$I$88,3,0)*0.475*44/12</f>
        <v>#N/A</v>
      </c>
      <c r="HH110" s="23" t="e">
        <f>EXP(-LN(2)/25)*HH109+(1-EXP(-LN(2)/25))/(LN(2)/25)*Calculateur!HC110*Calculateur!HE110*VLOOKUP('Données projet'!$B$18,Paramètres!$A$1:$I$88,3,0)*0.475*44/12</f>
        <v>#N/A</v>
      </c>
      <c r="HI110" s="23" t="e">
        <f>EXP(-LN(2)/2)*HI109+(1-EXP(-LN(2)/2))/(LN(2)/2)*HC110*HF110*VLOOKUP('Données projet'!$B$18,Paramètres!$A$1:$I$88,3,0)*0.475*44/12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projet'!$B$9,Paramètres!$A$1:$I$88,3,0)*VLOOKUP('Données projet'!$B$9,Paramètres!$A$1:$I$88,5,0)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175.05987582828078</v>
      </c>
      <c r="T111" s="62">
        <f t="shared" si="88"/>
        <v>268.54782308462387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projet'!$B$9,Paramètres!$A$1:$I$88,7,0))</f>
        <v>0</v>
      </c>
      <c r="X111" s="17">
        <f>IF(ISNA(VLOOKUP(A111,'Données projet'!$A$35:$I$55,6,0)),0%,VLOOKUP(A111,'Données projet'!$A$35:$I$55,6,0)*VLOOKUP('Données projet'!$B$9,Paramètres!$A$1:$I$88,7,0))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projet'!$B$9,Paramètres!$A$1:$I$88,3,0)*0.475*44/12</f>
        <v>0</v>
      </c>
      <c r="AA111" s="23">
        <f>EXP(-LN(2)/25)*AA110+(1-EXP(-LN(2)/25))/(LN(2)/25)*Calculateur!V111*Calculateur!X111*VLOOKUP('Données projet'!$B$9,Paramètres!$A$1:$I$88,3,0)*0.475*44/12</f>
        <v>1.1842210157105768</v>
      </c>
      <c r="AB111" s="23">
        <f>EXP(-LN(2)/2)*AB110+(1-EXP(-LN(2)/2))/(LN(2)/2)*V111*Y111*VLOOKUP('Données projet'!$B$9,Paramètres!$A$1:$I$88,3,0)*0.475*44/12</f>
        <v>3.0047558322633993E-11</v>
      </c>
      <c r="AC111" s="24">
        <f t="shared" si="57"/>
        <v>1.1842210157406243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10.4</v>
      </c>
      <c r="AI111" s="14">
        <f>IF('Données projet'!$A$62&gt;35,AI110+AH111-AQ110,IF(A111&lt;'Données projet'!$A$62,$AF$205^A111,IF(A111='Données projet'!$A$62,'Données projet'!$B$62,AI110+AH111-AQ110)))</f>
        <v>867.19999999999925</v>
      </c>
      <c r="AJ111" s="14">
        <f>AI111*VLOOKUP('Données projet'!$B$10,Paramètres!$A$1:$I$88,3,0)*VLOOKUP('Données projet'!$B$10,Paramètres!$A$1:$I$88,5,0)</f>
        <v>417.1231999999996</v>
      </c>
      <c r="AK111" s="14">
        <f t="shared" si="89"/>
        <v>95.23961707994718</v>
      </c>
      <c r="AL111" s="22">
        <f t="shared" si="58"/>
        <v>892.36523974757392</v>
      </c>
      <c r="AM111" s="62">
        <f t="shared" si="59"/>
        <v>1185.6985730809072</v>
      </c>
      <c r="AN111" s="62">
        <f ca="1">AVERAGE(OFFSET($AM$3,0,0,'Données projet'!$E$10+1,1))-AVERAGE(OFFSET($H$3,0,0,'Données projet'!$E$10+1,1))</f>
        <v>576.61210817354549</v>
      </c>
      <c r="AO111" s="62">
        <f t="shared" si="90"/>
        <v>343.9428747444544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projet'!$B$10,Paramètres!$A$1:$I$88,7,0))</f>
        <v>0</v>
      </c>
      <c r="AS111" s="17">
        <f>IF(ISNA(VLOOKUP(A111,'Données projet'!$A$61:$I$81,6,0)),0%,VLOOKUP(A111,'Données projet'!$A$61:$I$81,6,0)*VLOOKUP('Données projet'!$B$10,Paramètres!$A$1:$I$88,7,0))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projet'!$B$10,Paramètres!$A$1:$I$88,3,0)*0.475*44/12</f>
        <v>0</v>
      </c>
      <c r="AV111" s="23">
        <f>EXP(-LN(2)/25)*AV110+(1-EXP(-LN(2)/25))/(LN(2)/25)*Calculateur!AQ111*Calculateur!AS111*VLOOKUP('Données projet'!$B$10,Paramètres!$A$1:$I$88,3,0)*0.475*44/12</f>
        <v>0.65136466022819905</v>
      </c>
      <c r="AW111" s="23">
        <f>EXP(-LN(2)/2)*AW110+(1-EXP(-LN(2)/2))/(LN(2)/2)*AQ111*AT111*VLOOKUP('Données projet'!$B$10,Paramètres!$A$1:$I$88,3,0)*0.475*44/12</f>
        <v>2.1397573943215273E-11</v>
      </c>
      <c r="AX111" s="23">
        <f t="shared" si="60"/>
        <v>0.65136466024959661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-5.6843418860808015E-14</v>
      </c>
      <c r="BE111" s="14">
        <f>BD111*VLOOKUP('Données projet'!$B$11,Paramètres!$A$1:$I$88,3,0)*VLOOKUP('Données projet'!$B$11,Paramètres!$A$1:$I$88,5,0)</f>
        <v>-4.5224624045658861E-14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298.38448036212861</v>
      </c>
      <c r="BJ111" s="62">
        <f t="shared" si="92"/>
        <v>270.4445531106897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projet'!$B$11,Paramètres!$A$1:$I$88,7,0))</f>
        <v>0</v>
      </c>
      <c r="BN111" s="17">
        <f>IF(ISNA(VLOOKUP(A111,'Données projet'!$A$87:$I$107,6,0)),0%,VLOOKUP(A111,'Données projet'!$A$87:$I$107,6,0)*VLOOKUP('Données projet'!$B$11,Paramètres!$A$1:$I$88,7,0))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projet'!$B$11,Paramètres!$A$1:$I$88,3,0)*0.475*44/12</f>
        <v>0</v>
      </c>
      <c r="BQ111" s="23">
        <f>EXP(-LN(2)/25)*BQ110+(1-EXP(-LN(2)/25))/(LN(2)/25)*Calculateur!BL111*Calculateur!BN111*VLOOKUP('Données projet'!$B$11,Paramètres!$A$1:$I$88,3,0)*0.475*44/12</f>
        <v>0</v>
      </c>
      <c r="BR111" s="23">
        <f>EXP(-LN(2)/2)*BR110+(1-EXP(-LN(2)/2))/(LN(2)/2)*BL111*BO111*VLOOKUP('Données projet'!$B$11,Paramètres!$A$1:$I$88,3,0)*0.475*44/12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5.6843418860808015E-14</v>
      </c>
      <c r="BZ111" s="14">
        <f>BY111*VLOOKUP('Données projet'!$B$12,Paramètres!$A$1:$I$88,3,0)*VLOOKUP('Données projet'!$B$12,Paramètres!$A$1:$I$88,5,0)</f>
        <v>4.4337866711430253E-14</v>
      </c>
      <c r="CA111" s="14">
        <f t="shared" si="93"/>
        <v>7.3222115536967035E-13</v>
      </c>
      <c r="CB111" s="22">
        <f t="shared" si="64"/>
        <v>1.3525069634579169E-12</v>
      </c>
      <c r="CC111" s="62">
        <f t="shared" si="65"/>
        <v>293.33333333333468</v>
      </c>
      <c r="CD111" s="62">
        <f ca="1">AVERAGE(OFFSET($CC$3,0,0,'Données projet'!$E$12+1,1))-AVERAGE(OFFSET($H$3,0,0,'Données projet'!$E$12+1,1))</f>
        <v>217.32600829266818</v>
      </c>
      <c r="CE111" s="62">
        <f t="shared" si="94"/>
        <v>208.79744153433245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projet'!$B$12,Paramètres!$A$1:$I$88,7,0))</f>
        <v>0</v>
      </c>
      <c r="CI111" s="17">
        <f>IF(ISNA(VLOOKUP(A111,'Données projet'!$A$113:$I$133,6,0)),0%,VLOOKUP(A111,'Données projet'!$A$113:$I$133,6,0)*VLOOKUP('Données projet'!$B$12,Paramètres!$A$1:$I$88,7,0))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projet'!$B$12,Paramètres!$A$1:$I$88,3,0)*0.475*44/12</f>
        <v>0</v>
      </c>
      <c r="CL111" s="23">
        <f>EXP(-LN(2)/25)*CL110+(1-EXP(-LN(2)/25))/(LN(2)/25)*Calculateur!CG111*Calculateur!CI111*VLOOKUP('Données projet'!$B$12,Paramètres!$A$1:$I$88,3,0)*0.475*44/12</f>
        <v>0</v>
      </c>
      <c r="CM111" s="23">
        <f>EXP(-LN(2)/2)*CM110+(1-EXP(-LN(2)/2))/(LN(2)/2)*CG111*CJ111*VLOOKUP('Données projet'!$B$12,Paramètres!$A$1:$I$88,3,0)*0.475*44/12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-3.4106051316484809E-13</v>
      </c>
      <c r="CU111" s="18">
        <f>CT111*VLOOKUP('Données projet'!$B$13,Paramètres!$A$1:$I$88,3,0)*VLOOKUP('Données projet'!$B$13,Paramètres!$A$1:$I$88,5,0)</f>
        <v>-1.9065282685915009E-13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302.20483575440988</v>
      </c>
      <c r="CZ111" s="62">
        <f t="shared" si="96"/>
        <v>275.32862097158687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projet'!$B$13,Paramètres!$A$1:$I$88,7,0))</f>
        <v>0</v>
      </c>
      <c r="DD111" s="17">
        <f>IF(ISNA(VLOOKUP(A111,'Données projet'!$A$139:$I$159,6,0)),0%,VLOOKUP(A111,'Données projet'!$A$139:$I$159,6,0)*VLOOKUP('Données projet'!$B$13,Paramètres!$A$1:$I$88,7,0))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projet'!$B$13,Paramètres!$A$1:$I$88,3,0)*0.475*44/12</f>
        <v>0</v>
      </c>
      <c r="DG111" s="23">
        <f>EXP(-LN(2)/25)*DG110+(1-EXP(-LN(2)/25))/(LN(2)/25)*Calculateur!DB111*Calculateur!DD111*VLOOKUP('Données projet'!$B$13,Paramètres!$A$1:$I$88,3,0)*0.475*44/12</f>
        <v>1.5904551808380343</v>
      </c>
      <c r="DH111" s="23">
        <f>EXP(-LN(2)/2)*DH110+(1-EXP(-LN(2)/2))/(LN(2)/2)*DB111*DE111*VLOOKUP('Données projet'!$B$13,Paramètres!$A$1:$I$88,3,0)*0.475*44/12</f>
        <v>1.2334362872084728E-11</v>
      </c>
      <c r="DI111" s="24">
        <f t="shared" si="69"/>
        <v>1.5904551808503686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projet'!$B$14,Paramètres!$A$1:$I$88,3,0)*VLOOKUP('Données projet'!$B$14,Paramètres!$A$1:$I$88,5,0)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projet'!$B$14,Paramètres!$A$1:$I$88,7,0))</f>
        <v>0</v>
      </c>
      <c r="DY111" s="17">
        <f>IF(ISNA(VLOOKUP(A111,'Données projet'!$A$165:$I$185,6,0)),0%,VLOOKUP(A111,'Données projet'!$A$165:$I$185,6,0)*VLOOKUP('Données projet'!$B$14,Paramètres!$A$1:$I$88,7,0))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projet'!$B$14,Paramètres!$A$1:$I$88,3,0)*0.475*44/12</f>
        <v>#N/A</v>
      </c>
      <c r="EB111" s="23" t="e">
        <f>EXP(-LN(2)/25)*EB110+(1-EXP(-LN(2)/25))/(LN(2)/25)*Calculateur!DW111*Calculateur!DY111*VLOOKUP('Données projet'!$B$14,Paramètres!$A$1:$I$88,3,0)*0.475*44/12</f>
        <v>#N/A</v>
      </c>
      <c r="EC111" s="23" t="e">
        <f>EXP(-LN(2)/2)*EC110+(1-EXP(-LN(2)/2))/(LN(2)/2)*DW111*DZ111*VLOOKUP('Données projet'!$B$14,Paramètres!$A$1:$I$88,3,0)*0.475*44/12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projet'!$B$15,Paramètres!$A$1:$I$88,3,0)*VLOOKUP('Données projet'!$B$15,Paramètres!$A$1:$I$88,5,0)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projet'!$B$15,Paramètres!$A$1:$I$88,7,0))</f>
        <v>0</v>
      </c>
      <c r="ET111" s="17">
        <f>IF(ISNA(VLOOKUP(A111,'Données projet'!$A$191:$I$211,6,0)),0%,VLOOKUP(A111,'Données projet'!$A$191:$I$211,6,0)*VLOOKUP('Données projet'!$B$15,Paramètres!$A$1:$I$88,7,0))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projet'!$B$15,Paramètres!$A$1:$I$88,3,0)*0.475*44/12</f>
        <v>#N/A</v>
      </c>
      <c r="EW111" s="23" t="e">
        <f>EXP(-LN(2)/25)*EW110+(1-EXP(-LN(2)/25))/(LN(2)/25)*Calculateur!ER111*Calculateur!ET111*VLOOKUP('Données projet'!$B$15,Paramètres!$A$1:$I$88,3,0)*0.475*44/12</f>
        <v>#N/A</v>
      </c>
      <c r="EX111" s="23" t="e">
        <f>EXP(-LN(2)/2)*EX110+(1-EXP(-LN(2)/2))/(LN(2)/2)*ER111*EU111*VLOOKUP('Données projet'!$B$15,Paramètres!$A$1:$I$88,3,0)*0.475*44/12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projet'!$B$16,Paramètres!$A$1:$I$88,3,0)*VLOOKUP('Données projet'!$B$16,Paramètres!$A$1:$I$88,5,0)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projet'!$B$16,Paramètres!$A$1:$I$88,7,0))</f>
        <v>0</v>
      </c>
      <c r="FO111" s="17">
        <f>IF(ISNA(VLOOKUP(A111,'Données projet'!$A$217:$I$237,6,0)),0%,VLOOKUP(A111,'Données projet'!$A$217:$I$237,6,0)*VLOOKUP('Données projet'!$B$16,Paramètres!$A$1:$I$88,7,0))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projet'!$B$16,Paramètres!$A$1:$I$88,3,0)*0.475*44/12</f>
        <v>#N/A</v>
      </c>
      <c r="FR111" s="23" t="e">
        <f>EXP(-LN(2)/25)*FR110+(1-EXP(-LN(2)/25))/(LN(2)/25)*Calculateur!FM111*Calculateur!FO111*VLOOKUP('Données projet'!$B$16,Paramètres!$A$1:$I$88,3,0)*0.475*44/12</f>
        <v>#N/A</v>
      </c>
      <c r="FS111" s="23" t="e">
        <f>EXP(-LN(2)/2)*FS110+(1-EXP(-LN(2)/2))/(LN(2)/2)*FM111*FP111*VLOOKUP('Données projet'!$B$16,Paramètres!$A$1:$I$88,3,0)*0.475*44/12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projet'!$B$17,Paramètres!$A$1:$I$88,3,0)*VLOOKUP('Données projet'!$B$17,Paramètres!$A$1:$I$88,5,0)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projet'!$B$17,Paramètres!$A$1:$I$88,7,0))</f>
        <v>0</v>
      </c>
      <c r="GJ111" s="17">
        <f>IF(ISNA(VLOOKUP(A111,'Données projet'!$A$243:$I$263,6,0)),0%,VLOOKUP(A111,'Données projet'!$A$243:$I$263,6,0)*VLOOKUP('Données projet'!$B$17,Paramètres!$A$1:$I$88,7,0))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projet'!$B$17,Paramètres!$A$1:$I$88,3,0)*0.475*44/12</f>
        <v>#N/A</v>
      </c>
      <c r="GM111" s="23" t="e">
        <f>EXP(-LN(2)/25)*GM110+(1-EXP(-LN(2)/25))/(LN(2)/25)*Calculateur!GH111*Calculateur!GJ111*VLOOKUP('Données projet'!$B$17,Paramètres!$A$1:$I$88,3,0)*0.475*44/12</f>
        <v>#N/A</v>
      </c>
      <c r="GN111" s="23" t="e">
        <f>EXP(-LN(2)/2)*GN110+(1-EXP(-LN(2)/2))/(LN(2)/2)*GH111*GK111*VLOOKUP('Données projet'!$B$17,Paramètres!$A$1:$I$88,3,0)*0.475*44/12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projet'!$B$18,Paramètres!$A$1:$I$88,3,0)*VLOOKUP('Données projet'!$B$18,Paramètres!$A$1:$I$88,5,0)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projet'!$B$18,Paramètres!$A$1:$I$88,7,0))</f>
        <v>0</v>
      </c>
      <c r="HE111" s="17">
        <f>IF(ISNA(VLOOKUP(A111,'Données projet'!$A$269:$I$289,6,0)),0%,VLOOKUP(A111,'Données projet'!$A$269:$I$289,6,0)*VLOOKUP('Données projet'!$B$18,Paramètres!$A$1:$I$88,7,0))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projet'!$B$18,Paramètres!$A$1:$I$88,3,0)*0.475*44/12</f>
        <v>#N/A</v>
      </c>
      <c r="HH111" s="23" t="e">
        <f>EXP(-LN(2)/25)*HH110+(1-EXP(-LN(2)/25))/(LN(2)/25)*Calculateur!HC111*Calculateur!HE111*VLOOKUP('Données projet'!$B$18,Paramètres!$A$1:$I$88,3,0)*0.475*44/12</f>
        <v>#N/A</v>
      </c>
      <c r="HI111" s="23" t="e">
        <f>EXP(-LN(2)/2)*HI110+(1-EXP(-LN(2)/2))/(LN(2)/2)*HC111*HF111*VLOOKUP('Données projet'!$B$18,Paramètres!$A$1:$I$88,3,0)*0.475*44/12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projet'!$B$9,Paramètres!$A$1:$I$88,3,0)*VLOOKUP('Données projet'!$B$9,Paramètres!$A$1:$I$88,5,0)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175.05987582828078</v>
      </c>
      <c r="T112" s="62">
        <f t="shared" si="88"/>
        <v>268.54782308462387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projet'!$B$9,Paramètres!$A$1:$I$88,7,0))</f>
        <v>0</v>
      </c>
      <c r="X112" s="17">
        <f>IF(ISNA(VLOOKUP(A112,'Données projet'!$A$35:$I$55,6,0)),0%,VLOOKUP(A112,'Données projet'!$A$35:$I$55,6,0)*VLOOKUP('Données projet'!$B$9,Paramètres!$A$1:$I$88,7,0))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projet'!$B$9,Paramètres!$A$1:$I$88,3,0)*0.475*44/12</f>
        <v>0</v>
      </c>
      <c r="AA112" s="23">
        <f>EXP(-LN(2)/25)*AA111+(1-EXP(-LN(2)/25))/(LN(2)/25)*Calculateur!V112*Calculateur!X112*VLOOKUP('Données projet'!$B$9,Paramètres!$A$1:$I$88,3,0)*0.475*44/12</f>
        <v>1.1518384297604944</v>
      </c>
      <c r="AB112" s="23">
        <f>EXP(-LN(2)/2)*AB111+(1-EXP(-LN(2)/2))/(LN(2)/2)*V112*Y112*VLOOKUP('Données projet'!$B$9,Paramètres!$A$1:$I$88,3,0)*0.475*44/12</f>
        <v>2.124683224803278E-11</v>
      </c>
      <c r="AC112" s="24">
        <f t="shared" si="57"/>
        <v>1.1518384297817412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10.4</v>
      </c>
      <c r="AI112" s="14">
        <f>IF('Données projet'!$A$62&gt;35,AI111+AH112-AQ111,IF(A112&lt;'Données projet'!$A$62,$AF$205^A112,IF(A112='Données projet'!$A$62,'Données projet'!$B$62,AI111+AH112-AQ111)))</f>
        <v>877.59999999999923</v>
      </c>
      <c r="AJ112" s="14">
        <f>AI112*VLOOKUP('Données projet'!$B$10,Paramètres!$A$1:$I$88,3,0)*VLOOKUP('Données projet'!$B$10,Paramètres!$A$1:$I$88,5,0)</f>
        <v>422.12559999999962</v>
      </c>
      <c r="AK112" s="14">
        <f t="shared" si="89"/>
        <v>96.248139442621891</v>
      </c>
      <c r="AL112" s="22">
        <f t="shared" si="58"/>
        <v>902.83426286256565</v>
      </c>
      <c r="AM112" s="62">
        <f t="shared" si="59"/>
        <v>1196.167596195899</v>
      </c>
      <c r="AN112" s="62">
        <f ca="1">AVERAGE(OFFSET($AM$3,0,0,'Données projet'!$E$10+1,1))-AVERAGE(OFFSET($H$3,0,0,'Données projet'!$E$10+1,1))</f>
        <v>576.61210817354549</v>
      </c>
      <c r="AO112" s="62">
        <f t="shared" si="90"/>
        <v>343.9428747444544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projet'!$B$10,Paramètres!$A$1:$I$88,7,0))</f>
        <v>0</v>
      </c>
      <c r="AS112" s="17">
        <f>IF(ISNA(VLOOKUP(A112,'Données projet'!$A$61:$I$81,6,0)),0%,VLOOKUP(A112,'Données projet'!$A$61:$I$81,6,0)*VLOOKUP('Données projet'!$B$10,Paramètres!$A$1:$I$88,7,0))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projet'!$B$10,Paramètres!$A$1:$I$88,3,0)*0.475*44/12</f>
        <v>0</v>
      </c>
      <c r="AV112" s="23">
        <f>EXP(-LN(2)/25)*AV111+(1-EXP(-LN(2)/25))/(LN(2)/25)*Calculateur!AQ112*Calculateur!AS112*VLOOKUP('Données projet'!$B$10,Paramètres!$A$1:$I$88,3,0)*0.475*44/12</f>
        <v>0.63355305934048023</v>
      </c>
      <c r="AW112" s="23">
        <f>EXP(-LN(2)/2)*AW111+(1-EXP(-LN(2)/2))/(LN(2)/2)*AQ112*AT112*VLOOKUP('Données projet'!$B$10,Paramètres!$A$1:$I$88,3,0)*0.475*44/12</f>
        <v>1.5130369636188092E-11</v>
      </c>
      <c r="AX112" s="23">
        <f t="shared" si="60"/>
        <v>0.63355305935561057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-5.6843418860808015E-14</v>
      </c>
      <c r="BE112" s="14">
        <f>BD112*VLOOKUP('Données projet'!$B$11,Paramètres!$A$1:$I$88,3,0)*VLOOKUP('Données projet'!$B$11,Paramètres!$A$1:$I$88,5,0)</f>
        <v>-4.5224624045658861E-14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298.38448036212861</v>
      </c>
      <c r="BJ112" s="62">
        <f t="shared" si="92"/>
        <v>270.4445531106897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projet'!$B$11,Paramètres!$A$1:$I$88,7,0))</f>
        <v>0</v>
      </c>
      <c r="BN112" s="17">
        <f>IF(ISNA(VLOOKUP(A112,'Données projet'!$A$87:$I$107,6,0)),0%,VLOOKUP(A112,'Données projet'!$A$87:$I$107,6,0)*VLOOKUP('Données projet'!$B$11,Paramètres!$A$1:$I$88,7,0))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projet'!$B$11,Paramètres!$A$1:$I$88,3,0)*0.475*44/12</f>
        <v>0</v>
      </c>
      <c r="BQ112" s="23">
        <f>EXP(-LN(2)/25)*BQ111+(1-EXP(-LN(2)/25))/(LN(2)/25)*Calculateur!BL112*Calculateur!BN112*VLOOKUP('Données projet'!$B$11,Paramètres!$A$1:$I$88,3,0)*0.475*44/12</f>
        <v>0</v>
      </c>
      <c r="BR112" s="23">
        <f>EXP(-LN(2)/2)*BR111+(1-EXP(-LN(2)/2))/(LN(2)/2)*BL112*BO112*VLOOKUP('Données projet'!$B$11,Paramètres!$A$1:$I$88,3,0)*0.475*44/12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5.6843418860808015E-14</v>
      </c>
      <c r="BZ112" s="14">
        <f>BY112*VLOOKUP('Données projet'!$B$12,Paramètres!$A$1:$I$88,3,0)*VLOOKUP('Données projet'!$B$12,Paramètres!$A$1:$I$88,5,0)</f>
        <v>4.4337866711430253E-14</v>
      </c>
      <c r="CA112" s="14">
        <f t="shared" si="93"/>
        <v>7.3222115536967035E-13</v>
      </c>
      <c r="CB112" s="22">
        <f t="shared" si="64"/>
        <v>1.3525069634579169E-12</v>
      </c>
      <c r="CC112" s="62">
        <f t="shared" si="65"/>
        <v>293.33333333333468</v>
      </c>
      <c r="CD112" s="62">
        <f ca="1">AVERAGE(OFFSET($CC$3,0,0,'Données projet'!$E$12+1,1))-AVERAGE(OFFSET($H$3,0,0,'Données projet'!$E$12+1,1))</f>
        <v>217.32600829266818</v>
      </c>
      <c r="CE112" s="62">
        <f t="shared" si="94"/>
        <v>208.79744153433245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projet'!$B$12,Paramètres!$A$1:$I$88,7,0))</f>
        <v>0</v>
      </c>
      <c r="CI112" s="17">
        <f>IF(ISNA(VLOOKUP(A112,'Données projet'!$A$113:$I$133,6,0)),0%,VLOOKUP(A112,'Données projet'!$A$113:$I$133,6,0)*VLOOKUP('Données projet'!$B$12,Paramètres!$A$1:$I$88,7,0))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projet'!$B$12,Paramètres!$A$1:$I$88,3,0)*0.475*44/12</f>
        <v>0</v>
      </c>
      <c r="CL112" s="23">
        <f>EXP(-LN(2)/25)*CL111+(1-EXP(-LN(2)/25))/(LN(2)/25)*Calculateur!CG112*Calculateur!CI112*VLOOKUP('Données projet'!$B$12,Paramètres!$A$1:$I$88,3,0)*0.475*44/12</f>
        <v>0</v>
      </c>
      <c r="CM112" s="23">
        <f>EXP(-LN(2)/2)*CM111+(1-EXP(-LN(2)/2))/(LN(2)/2)*CG112*CJ112*VLOOKUP('Données projet'!$B$12,Paramètres!$A$1:$I$88,3,0)*0.475*44/12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-3.4106051316484809E-13</v>
      </c>
      <c r="CU112" s="18">
        <f>CT112*VLOOKUP('Données projet'!$B$13,Paramètres!$A$1:$I$88,3,0)*VLOOKUP('Données projet'!$B$13,Paramètres!$A$1:$I$88,5,0)</f>
        <v>-1.9065282685915009E-13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302.20483575440988</v>
      </c>
      <c r="CZ112" s="62">
        <f t="shared" si="96"/>
        <v>275.32862097158687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projet'!$B$13,Paramètres!$A$1:$I$88,7,0))</f>
        <v>0</v>
      </c>
      <c r="DD112" s="17">
        <f>IF(ISNA(VLOOKUP(A112,'Données projet'!$A$139:$I$159,6,0)),0%,VLOOKUP(A112,'Données projet'!$A$139:$I$159,6,0)*VLOOKUP('Données projet'!$B$13,Paramètres!$A$1:$I$88,7,0))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projet'!$B$13,Paramètres!$A$1:$I$88,3,0)*0.475*44/12</f>
        <v>0</v>
      </c>
      <c r="DG112" s="23">
        <f>EXP(-LN(2)/25)*DG111+(1-EXP(-LN(2)/25))/(LN(2)/25)*Calculateur!DB112*Calculateur!DD112*VLOOKUP('Données projet'!$B$13,Paramètres!$A$1:$I$88,3,0)*0.475*44/12</f>
        <v>1.5469641002796153</v>
      </c>
      <c r="DH112" s="23">
        <f>EXP(-LN(2)/2)*DH111+(1-EXP(-LN(2)/2))/(LN(2)/2)*DB112*DE112*VLOOKUP('Données projet'!$B$13,Paramètres!$A$1:$I$88,3,0)*0.475*44/12</f>
        <v>8.7217116284666915E-12</v>
      </c>
      <c r="DI112" s="24">
        <f t="shared" si="69"/>
        <v>1.546964100288337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projet'!$B$14,Paramètres!$A$1:$I$88,3,0)*VLOOKUP('Données projet'!$B$14,Paramètres!$A$1:$I$88,5,0)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projet'!$B$14,Paramètres!$A$1:$I$88,7,0))</f>
        <v>0</v>
      </c>
      <c r="DY112" s="17">
        <f>IF(ISNA(VLOOKUP(A112,'Données projet'!$A$165:$I$185,6,0)),0%,VLOOKUP(A112,'Données projet'!$A$165:$I$185,6,0)*VLOOKUP('Données projet'!$B$14,Paramètres!$A$1:$I$88,7,0))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projet'!$B$14,Paramètres!$A$1:$I$88,3,0)*0.475*44/12</f>
        <v>#N/A</v>
      </c>
      <c r="EB112" s="23" t="e">
        <f>EXP(-LN(2)/25)*EB111+(1-EXP(-LN(2)/25))/(LN(2)/25)*Calculateur!DW112*Calculateur!DY112*VLOOKUP('Données projet'!$B$14,Paramètres!$A$1:$I$88,3,0)*0.475*44/12</f>
        <v>#N/A</v>
      </c>
      <c r="EC112" s="23" t="e">
        <f>EXP(-LN(2)/2)*EC111+(1-EXP(-LN(2)/2))/(LN(2)/2)*DW112*DZ112*VLOOKUP('Données projet'!$B$14,Paramètres!$A$1:$I$88,3,0)*0.475*44/12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projet'!$B$15,Paramètres!$A$1:$I$88,3,0)*VLOOKUP('Données projet'!$B$15,Paramètres!$A$1:$I$88,5,0)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projet'!$B$15,Paramètres!$A$1:$I$88,7,0))</f>
        <v>0</v>
      </c>
      <c r="ET112" s="17">
        <f>IF(ISNA(VLOOKUP(A112,'Données projet'!$A$191:$I$211,6,0)),0%,VLOOKUP(A112,'Données projet'!$A$191:$I$211,6,0)*VLOOKUP('Données projet'!$B$15,Paramètres!$A$1:$I$88,7,0))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projet'!$B$15,Paramètres!$A$1:$I$88,3,0)*0.475*44/12</f>
        <v>#N/A</v>
      </c>
      <c r="EW112" s="23" t="e">
        <f>EXP(-LN(2)/25)*EW111+(1-EXP(-LN(2)/25))/(LN(2)/25)*Calculateur!ER112*Calculateur!ET112*VLOOKUP('Données projet'!$B$15,Paramètres!$A$1:$I$88,3,0)*0.475*44/12</f>
        <v>#N/A</v>
      </c>
      <c r="EX112" s="23" t="e">
        <f>EXP(-LN(2)/2)*EX111+(1-EXP(-LN(2)/2))/(LN(2)/2)*ER112*EU112*VLOOKUP('Données projet'!$B$15,Paramètres!$A$1:$I$88,3,0)*0.475*44/12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projet'!$B$16,Paramètres!$A$1:$I$88,3,0)*VLOOKUP('Données projet'!$B$16,Paramètres!$A$1:$I$88,5,0)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projet'!$B$16,Paramètres!$A$1:$I$88,7,0))</f>
        <v>0</v>
      </c>
      <c r="FO112" s="17">
        <f>IF(ISNA(VLOOKUP(A112,'Données projet'!$A$217:$I$237,6,0)),0%,VLOOKUP(A112,'Données projet'!$A$217:$I$237,6,0)*VLOOKUP('Données projet'!$B$16,Paramètres!$A$1:$I$88,7,0))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projet'!$B$16,Paramètres!$A$1:$I$88,3,0)*0.475*44/12</f>
        <v>#N/A</v>
      </c>
      <c r="FR112" s="23" t="e">
        <f>EXP(-LN(2)/25)*FR111+(1-EXP(-LN(2)/25))/(LN(2)/25)*Calculateur!FM112*Calculateur!FO112*VLOOKUP('Données projet'!$B$16,Paramètres!$A$1:$I$88,3,0)*0.475*44/12</f>
        <v>#N/A</v>
      </c>
      <c r="FS112" s="23" t="e">
        <f>EXP(-LN(2)/2)*FS111+(1-EXP(-LN(2)/2))/(LN(2)/2)*FM112*FP112*VLOOKUP('Données projet'!$B$16,Paramètres!$A$1:$I$88,3,0)*0.475*44/12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projet'!$B$17,Paramètres!$A$1:$I$88,3,0)*VLOOKUP('Données projet'!$B$17,Paramètres!$A$1:$I$88,5,0)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projet'!$B$17,Paramètres!$A$1:$I$88,7,0))</f>
        <v>0</v>
      </c>
      <c r="GJ112" s="17">
        <f>IF(ISNA(VLOOKUP(A112,'Données projet'!$A$243:$I$263,6,0)),0%,VLOOKUP(A112,'Données projet'!$A$243:$I$263,6,0)*VLOOKUP('Données projet'!$B$17,Paramètres!$A$1:$I$88,7,0))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projet'!$B$17,Paramètres!$A$1:$I$88,3,0)*0.475*44/12</f>
        <v>#N/A</v>
      </c>
      <c r="GM112" s="23" t="e">
        <f>EXP(-LN(2)/25)*GM111+(1-EXP(-LN(2)/25))/(LN(2)/25)*Calculateur!GH112*Calculateur!GJ112*VLOOKUP('Données projet'!$B$17,Paramètres!$A$1:$I$88,3,0)*0.475*44/12</f>
        <v>#N/A</v>
      </c>
      <c r="GN112" s="23" t="e">
        <f>EXP(-LN(2)/2)*GN111+(1-EXP(-LN(2)/2))/(LN(2)/2)*GH112*GK112*VLOOKUP('Données projet'!$B$17,Paramètres!$A$1:$I$88,3,0)*0.475*44/12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projet'!$B$18,Paramètres!$A$1:$I$88,3,0)*VLOOKUP('Données projet'!$B$18,Paramètres!$A$1:$I$88,5,0)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projet'!$B$18,Paramètres!$A$1:$I$88,7,0))</f>
        <v>0</v>
      </c>
      <c r="HE112" s="17">
        <f>IF(ISNA(VLOOKUP(A112,'Données projet'!$A$269:$I$289,6,0)),0%,VLOOKUP(A112,'Données projet'!$A$269:$I$289,6,0)*VLOOKUP('Données projet'!$B$18,Paramètres!$A$1:$I$88,7,0))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projet'!$B$18,Paramètres!$A$1:$I$88,3,0)*0.475*44/12</f>
        <v>#N/A</v>
      </c>
      <c r="HH112" s="23" t="e">
        <f>EXP(-LN(2)/25)*HH111+(1-EXP(-LN(2)/25))/(LN(2)/25)*Calculateur!HC112*Calculateur!HE112*VLOOKUP('Données projet'!$B$18,Paramètres!$A$1:$I$88,3,0)*0.475*44/12</f>
        <v>#N/A</v>
      </c>
      <c r="HI112" s="23" t="e">
        <f>EXP(-LN(2)/2)*HI111+(1-EXP(-LN(2)/2))/(LN(2)/2)*HC112*HF112*VLOOKUP('Données projet'!$B$18,Paramètres!$A$1:$I$88,3,0)*0.475*44/12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projet'!$B$9,Paramètres!$A$1:$I$88,3,0)*VLOOKUP('Données projet'!$B$9,Paramètres!$A$1:$I$88,5,0)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175.05987582828078</v>
      </c>
      <c r="T113" s="62">
        <f t="shared" si="88"/>
        <v>268.54782308462387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projet'!$B$9,Paramètres!$A$1:$I$88,7,0))</f>
        <v>0</v>
      </c>
      <c r="X113" s="17">
        <f>IF(ISNA(VLOOKUP(A113,'Données projet'!$A$35:$I$55,6,0)),0%,VLOOKUP(A113,'Données projet'!$A$35:$I$55,6,0)*VLOOKUP('Données projet'!$B$9,Paramètres!$A$1:$I$88,7,0))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projet'!$B$9,Paramètres!$A$1:$I$88,3,0)*0.475*44/12</f>
        <v>0</v>
      </c>
      <c r="AA113" s="23">
        <f>EXP(-LN(2)/25)*AA112+(1-EXP(-LN(2)/25))/(LN(2)/25)*Calculateur!V113*Calculateur!X113*VLOOKUP('Données projet'!$B$9,Paramètres!$A$1:$I$88,3,0)*0.475*44/12</f>
        <v>1.1203413473261432</v>
      </c>
      <c r="AB113" s="23">
        <f>EXP(-LN(2)/2)*AB112+(1-EXP(-LN(2)/2))/(LN(2)/2)*V113*Y113*VLOOKUP('Données projet'!$B$9,Paramètres!$A$1:$I$88,3,0)*0.475*44/12</f>
        <v>1.5023779161316996E-11</v>
      </c>
      <c r="AC113" s="24">
        <f t="shared" si="57"/>
        <v>1.120341347341167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10.4</v>
      </c>
      <c r="AI113" s="14">
        <f>IF('Données projet'!$A$62&gt;35,AI112+AH113-AQ112,IF(A113&lt;'Données projet'!$A$62,$AF$205^A113,IF(A113='Données projet'!$A$62,'Données projet'!$B$62,AI112+AH113-AQ112)))</f>
        <v>887.9999999999992</v>
      </c>
      <c r="AJ113" s="14">
        <f>AI113*VLOOKUP('Données projet'!$B$10,Paramètres!$A$1:$I$88,3,0)*VLOOKUP('Données projet'!$B$10,Paramètres!$A$1:$I$88,5,0)</f>
        <v>427.12799999999964</v>
      </c>
      <c r="AK113" s="14">
        <f t="shared" si="89"/>
        <v>97.255271575830506</v>
      </c>
      <c r="AL113" s="22">
        <f t="shared" si="58"/>
        <v>913.30086466123737</v>
      </c>
      <c r="AM113" s="62">
        <f t="shared" si="59"/>
        <v>1206.6341979945707</v>
      </c>
      <c r="AN113" s="62">
        <f ca="1">AVERAGE(OFFSET($AM$3,0,0,'Données projet'!$E$10+1,1))-AVERAGE(OFFSET($H$3,0,0,'Données projet'!$E$10+1,1))</f>
        <v>576.61210817354549</v>
      </c>
      <c r="AO113" s="62">
        <f t="shared" si="90"/>
        <v>343.9428747444544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projet'!$B$10,Paramètres!$A$1:$I$88,7,0))</f>
        <v>0</v>
      </c>
      <c r="AS113" s="17">
        <f>IF(ISNA(VLOOKUP(A113,'Données projet'!$A$61:$I$81,6,0)),0%,VLOOKUP(A113,'Données projet'!$A$61:$I$81,6,0)*VLOOKUP('Données projet'!$B$10,Paramètres!$A$1:$I$88,7,0))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projet'!$B$10,Paramètres!$A$1:$I$88,3,0)*0.475*44/12</f>
        <v>0</v>
      </c>
      <c r="AV113" s="23">
        <f>EXP(-LN(2)/25)*AV112+(1-EXP(-LN(2)/25))/(LN(2)/25)*Calculateur!AQ113*Calculateur!AS113*VLOOKUP('Données projet'!$B$10,Paramètres!$A$1:$I$88,3,0)*0.475*44/12</f>
        <v>0.61622851761570741</v>
      </c>
      <c r="AW113" s="23">
        <f>EXP(-LN(2)/2)*AW112+(1-EXP(-LN(2)/2))/(LN(2)/2)*AQ113*AT113*VLOOKUP('Données projet'!$B$10,Paramètres!$A$1:$I$88,3,0)*0.475*44/12</f>
        <v>1.0698786971607636E-11</v>
      </c>
      <c r="AX113" s="23">
        <f t="shared" si="60"/>
        <v>0.61622851762640618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-5.6843418860808015E-14</v>
      </c>
      <c r="BE113" s="14">
        <f>BD113*VLOOKUP('Données projet'!$B$11,Paramètres!$A$1:$I$88,3,0)*VLOOKUP('Données projet'!$B$11,Paramètres!$A$1:$I$88,5,0)</f>
        <v>-4.5224624045658861E-14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298.38448036212861</v>
      </c>
      <c r="BJ113" s="62">
        <f t="shared" si="92"/>
        <v>270.4445531106897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projet'!$B$11,Paramètres!$A$1:$I$88,7,0))</f>
        <v>0</v>
      </c>
      <c r="BN113" s="17">
        <f>IF(ISNA(VLOOKUP(A113,'Données projet'!$A$87:$I$107,6,0)),0%,VLOOKUP(A113,'Données projet'!$A$87:$I$107,6,0)*VLOOKUP('Données projet'!$B$11,Paramètres!$A$1:$I$88,7,0))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projet'!$B$11,Paramètres!$A$1:$I$88,3,0)*0.475*44/12</f>
        <v>0</v>
      </c>
      <c r="BQ113" s="23">
        <f>EXP(-LN(2)/25)*BQ112+(1-EXP(-LN(2)/25))/(LN(2)/25)*Calculateur!BL113*Calculateur!BN113*VLOOKUP('Données projet'!$B$11,Paramètres!$A$1:$I$88,3,0)*0.475*44/12</f>
        <v>0</v>
      </c>
      <c r="BR113" s="23">
        <f>EXP(-LN(2)/2)*BR112+(1-EXP(-LN(2)/2))/(LN(2)/2)*BL113*BO113*VLOOKUP('Données projet'!$B$11,Paramètres!$A$1:$I$88,3,0)*0.475*44/12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5.6843418860808015E-14</v>
      </c>
      <c r="BZ113" s="14">
        <f>BY113*VLOOKUP('Données projet'!$B$12,Paramètres!$A$1:$I$88,3,0)*VLOOKUP('Données projet'!$B$12,Paramètres!$A$1:$I$88,5,0)</f>
        <v>4.4337866711430253E-14</v>
      </c>
      <c r="CA113" s="14">
        <f t="shared" si="93"/>
        <v>7.3222115536967035E-13</v>
      </c>
      <c r="CB113" s="22">
        <f t="shared" si="64"/>
        <v>1.3525069634579169E-12</v>
      </c>
      <c r="CC113" s="62">
        <f t="shared" si="65"/>
        <v>293.33333333333468</v>
      </c>
      <c r="CD113" s="62">
        <f ca="1">AVERAGE(OFFSET($CC$3,0,0,'Données projet'!$E$12+1,1))-AVERAGE(OFFSET($H$3,0,0,'Données projet'!$E$12+1,1))</f>
        <v>217.32600829266818</v>
      </c>
      <c r="CE113" s="62">
        <f t="shared" si="94"/>
        <v>208.79744153433245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projet'!$B$12,Paramètres!$A$1:$I$88,7,0))</f>
        <v>0</v>
      </c>
      <c r="CI113" s="17">
        <f>IF(ISNA(VLOOKUP(A113,'Données projet'!$A$113:$I$133,6,0)),0%,VLOOKUP(A113,'Données projet'!$A$113:$I$133,6,0)*VLOOKUP('Données projet'!$B$12,Paramètres!$A$1:$I$88,7,0))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projet'!$B$12,Paramètres!$A$1:$I$88,3,0)*0.475*44/12</f>
        <v>0</v>
      </c>
      <c r="CL113" s="23">
        <f>EXP(-LN(2)/25)*CL112+(1-EXP(-LN(2)/25))/(LN(2)/25)*Calculateur!CG113*Calculateur!CI113*VLOOKUP('Données projet'!$B$12,Paramètres!$A$1:$I$88,3,0)*0.475*44/12</f>
        <v>0</v>
      </c>
      <c r="CM113" s="23">
        <f>EXP(-LN(2)/2)*CM112+(1-EXP(-LN(2)/2))/(LN(2)/2)*CG113*CJ113*VLOOKUP('Données projet'!$B$12,Paramètres!$A$1:$I$88,3,0)*0.475*44/12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-3.4106051316484809E-13</v>
      </c>
      <c r="CU113" s="18">
        <f>CT113*VLOOKUP('Données projet'!$B$13,Paramètres!$A$1:$I$88,3,0)*VLOOKUP('Données projet'!$B$13,Paramètres!$A$1:$I$88,5,0)</f>
        <v>-1.9065282685915009E-13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302.20483575440988</v>
      </c>
      <c r="CZ113" s="62">
        <f t="shared" si="96"/>
        <v>275.32862097158687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projet'!$B$13,Paramètres!$A$1:$I$88,7,0))</f>
        <v>0</v>
      </c>
      <c r="DD113" s="17">
        <f>IF(ISNA(VLOOKUP(A113,'Données projet'!$A$139:$I$159,6,0)),0%,VLOOKUP(A113,'Données projet'!$A$139:$I$159,6,0)*VLOOKUP('Données projet'!$B$13,Paramètres!$A$1:$I$88,7,0))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projet'!$B$13,Paramètres!$A$1:$I$88,3,0)*0.475*44/12</f>
        <v>0</v>
      </c>
      <c r="DG113" s="23">
        <f>EXP(-LN(2)/25)*DG112+(1-EXP(-LN(2)/25))/(LN(2)/25)*Calculateur!DB113*Calculateur!DD113*VLOOKUP('Données projet'!$B$13,Paramètres!$A$1:$I$88,3,0)*0.475*44/12</f>
        <v>1.5046622856061629</v>
      </c>
      <c r="DH113" s="23">
        <f>EXP(-LN(2)/2)*DH112+(1-EXP(-LN(2)/2))/(LN(2)/2)*DB113*DE113*VLOOKUP('Données projet'!$B$13,Paramètres!$A$1:$I$88,3,0)*0.475*44/12</f>
        <v>6.167181436042364E-12</v>
      </c>
      <c r="DI113" s="24">
        <f t="shared" si="69"/>
        <v>1.5046622856123302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projet'!$B$14,Paramètres!$A$1:$I$88,3,0)*VLOOKUP('Données projet'!$B$14,Paramètres!$A$1:$I$88,5,0)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projet'!$B$14,Paramètres!$A$1:$I$88,7,0))</f>
        <v>0</v>
      </c>
      <c r="DY113" s="17">
        <f>IF(ISNA(VLOOKUP(A113,'Données projet'!$A$165:$I$185,6,0)),0%,VLOOKUP(A113,'Données projet'!$A$165:$I$185,6,0)*VLOOKUP('Données projet'!$B$14,Paramètres!$A$1:$I$88,7,0))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projet'!$B$14,Paramètres!$A$1:$I$88,3,0)*0.475*44/12</f>
        <v>#N/A</v>
      </c>
      <c r="EB113" s="23" t="e">
        <f>EXP(-LN(2)/25)*EB112+(1-EXP(-LN(2)/25))/(LN(2)/25)*Calculateur!DW113*Calculateur!DY113*VLOOKUP('Données projet'!$B$14,Paramètres!$A$1:$I$88,3,0)*0.475*44/12</f>
        <v>#N/A</v>
      </c>
      <c r="EC113" s="23" t="e">
        <f>EXP(-LN(2)/2)*EC112+(1-EXP(-LN(2)/2))/(LN(2)/2)*DW113*DZ113*VLOOKUP('Données projet'!$B$14,Paramètres!$A$1:$I$88,3,0)*0.475*44/12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projet'!$B$15,Paramètres!$A$1:$I$88,3,0)*VLOOKUP('Données projet'!$B$15,Paramètres!$A$1:$I$88,5,0)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projet'!$B$15,Paramètres!$A$1:$I$88,7,0))</f>
        <v>0</v>
      </c>
      <c r="ET113" s="17">
        <f>IF(ISNA(VLOOKUP(A113,'Données projet'!$A$191:$I$211,6,0)),0%,VLOOKUP(A113,'Données projet'!$A$191:$I$211,6,0)*VLOOKUP('Données projet'!$B$15,Paramètres!$A$1:$I$88,7,0))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projet'!$B$15,Paramètres!$A$1:$I$88,3,0)*0.475*44/12</f>
        <v>#N/A</v>
      </c>
      <c r="EW113" s="23" t="e">
        <f>EXP(-LN(2)/25)*EW112+(1-EXP(-LN(2)/25))/(LN(2)/25)*Calculateur!ER113*Calculateur!ET113*VLOOKUP('Données projet'!$B$15,Paramètres!$A$1:$I$88,3,0)*0.475*44/12</f>
        <v>#N/A</v>
      </c>
      <c r="EX113" s="23" t="e">
        <f>EXP(-LN(2)/2)*EX112+(1-EXP(-LN(2)/2))/(LN(2)/2)*ER113*EU113*VLOOKUP('Données projet'!$B$15,Paramètres!$A$1:$I$88,3,0)*0.475*44/12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projet'!$B$16,Paramètres!$A$1:$I$88,3,0)*VLOOKUP('Données projet'!$B$16,Paramètres!$A$1:$I$88,5,0)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projet'!$B$16,Paramètres!$A$1:$I$88,7,0))</f>
        <v>0</v>
      </c>
      <c r="FO113" s="17">
        <f>IF(ISNA(VLOOKUP(A113,'Données projet'!$A$217:$I$237,6,0)),0%,VLOOKUP(A113,'Données projet'!$A$217:$I$237,6,0)*VLOOKUP('Données projet'!$B$16,Paramètres!$A$1:$I$88,7,0))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projet'!$B$16,Paramètres!$A$1:$I$88,3,0)*0.475*44/12</f>
        <v>#N/A</v>
      </c>
      <c r="FR113" s="23" t="e">
        <f>EXP(-LN(2)/25)*FR112+(1-EXP(-LN(2)/25))/(LN(2)/25)*Calculateur!FM113*Calculateur!FO113*VLOOKUP('Données projet'!$B$16,Paramètres!$A$1:$I$88,3,0)*0.475*44/12</f>
        <v>#N/A</v>
      </c>
      <c r="FS113" s="23" t="e">
        <f>EXP(-LN(2)/2)*FS112+(1-EXP(-LN(2)/2))/(LN(2)/2)*FM113*FP113*VLOOKUP('Données projet'!$B$16,Paramètres!$A$1:$I$88,3,0)*0.475*44/12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projet'!$B$17,Paramètres!$A$1:$I$88,3,0)*VLOOKUP('Données projet'!$B$17,Paramètres!$A$1:$I$88,5,0)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projet'!$B$17,Paramètres!$A$1:$I$88,7,0))</f>
        <v>0</v>
      </c>
      <c r="GJ113" s="17">
        <f>IF(ISNA(VLOOKUP(A113,'Données projet'!$A$243:$I$263,6,0)),0%,VLOOKUP(A113,'Données projet'!$A$243:$I$263,6,0)*VLOOKUP('Données projet'!$B$17,Paramètres!$A$1:$I$88,7,0))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projet'!$B$17,Paramètres!$A$1:$I$88,3,0)*0.475*44/12</f>
        <v>#N/A</v>
      </c>
      <c r="GM113" s="23" t="e">
        <f>EXP(-LN(2)/25)*GM112+(1-EXP(-LN(2)/25))/(LN(2)/25)*Calculateur!GH113*Calculateur!GJ113*VLOOKUP('Données projet'!$B$17,Paramètres!$A$1:$I$88,3,0)*0.475*44/12</f>
        <v>#N/A</v>
      </c>
      <c r="GN113" s="23" t="e">
        <f>EXP(-LN(2)/2)*GN112+(1-EXP(-LN(2)/2))/(LN(2)/2)*GH113*GK113*VLOOKUP('Données projet'!$B$17,Paramètres!$A$1:$I$88,3,0)*0.475*44/12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projet'!$B$18,Paramètres!$A$1:$I$88,3,0)*VLOOKUP('Données projet'!$B$18,Paramètres!$A$1:$I$88,5,0)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projet'!$B$18,Paramètres!$A$1:$I$88,7,0))</f>
        <v>0</v>
      </c>
      <c r="HE113" s="17">
        <f>IF(ISNA(VLOOKUP(A113,'Données projet'!$A$269:$I$289,6,0)),0%,VLOOKUP(A113,'Données projet'!$A$269:$I$289,6,0)*VLOOKUP('Données projet'!$B$18,Paramètres!$A$1:$I$88,7,0))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projet'!$B$18,Paramètres!$A$1:$I$88,3,0)*0.475*44/12</f>
        <v>#N/A</v>
      </c>
      <c r="HH113" s="23" t="e">
        <f>EXP(-LN(2)/25)*HH112+(1-EXP(-LN(2)/25))/(LN(2)/25)*Calculateur!HC113*Calculateur!HE113*VLOOKUP('Données projet'!$B$18,Paramètres!$A$1:$I$88,3,0)*0.475*44/12</f>
        <v>#N/A</v>
      </c>
      <c r="HI113" s="23" t="e">
        <f>EXP(-LN(2)/2)*HI112+(1-EXP(-LN(2)/2))/(LN(2)/2)*HC113*HF113*VLOOKUP('Données projet'!$B$18,Paramètres!$A$1:$I$88,3,0)*0.475*44/12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projet'!$B$9,Paramètres!$A$1:$I$88,3,0)*VLOOKUP('Données projet'!$B$9,Paramètres!$A$1:$I$88,5,0)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175.05987582828078</v>
      </c>
      <c r="T114" s="62">
        <f t="shared" si="88"/>
        <v>268.54782308462387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projet'!$B$9,Paramètres!$A$1:$I$88,7,0))</f>
        <v>0</v>
      </c>
      <c r="X114" s="17">
        <f>IF(ISNA(VLOOKUP(A114,'Données projet'!$A$35:$I$55,6,0)),0%,VLOOKUP(A114,'Données projet'!$A$35:$I$55,6,0)*VLOOKUP('Données projet'!$B$9,Paramètres!$A$1:$I$88,7,0))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projet'!$B$9,Paramètres!$A$1:$I$88,3,0)*0.475*44/12</f>
        <v>0</v>
      </c>
      <c r="AA114" s="23">
        <f>EXP(-LN(2)/25)*AA113+(1-EXP(-LN(2)/25))/(LN(2)/25)*Calculateur!V114*Calculateur!X114*VLOOKUP('Données projet'!$B$9,Paramètres!$A$1:$I$88,3,0)*0.475*44/12</f>
        <v>1.0897055542673189</v>
      </c>
      <c r="AB114" s="23">
        <f>EXP(-LN(2)/2)*AB113+(1-EXP(-LN(2)/2))/(LN(2)/2)*V114*Y114*VLOOKUP('Données projet'!$B$9,Paramètres!$A$1:$I$88,3,0)*0.475*44/12</f>
        <v>1.062341612401639E-11</v>
      </c>
      <c r="AC114" s="24">
        <f t="shared" si="57"/>
        <v>1.0897055542779424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10.4</v>
      </c>
      <c r="AI114" s="14">
        <f>IF('Données projet'!$A$62&gt;35,AI113+AH114-AQ113,IF(A114&lt;'Données projet'!$A$62,$AF$205^A114,IF(A114='Données projet'!$A$62,'Données projet'!$B$62,AI113+AH114-AQ113)))</f>
        <v>898.39999999999918</v>
      </c>
      <c r="AJ114" s="14">
        <f>AI114*VLOOKUP('Données projet'!$B$10,Paramètres!$A$1:$I$88,3,0)*VLOOKUP('Données projet'!$B$10,Paramètres!$A$1:$I$88,5,0)</f>
        <v>432.13039999999961</v>
      </c>
      <c r="AK114" s="14">
        <f t="shared" si="89"/>
        <v>98.261031645211418</v>
      </c>
      <c r="AL114" s="22">
        <f t="shared" si="58"/>
        <v>923.76507678207565</v>
      </c>
      <c r="AM114" s="62">
        <f t="shared" si="59"/>
        <v>1217.098410115409</v>
      </c>
      <c r="AN114" s="62">
        <f ca="1">AVERAGE(OFFSET($AM$3,0,0,'Données projet'!$E$10+1,1))-AVERAGE(OFFSET($H$3,0,0,'Données projet'!$E$10+1,1))</f>
        <v>576.61210817354549</v>
      </c>
      <c r="AO114" s="62">
        <f t="shared" si="90"/>
        <v>343.9428747444544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projet'!$B$10,Paramètres!$A$1:$I$88,7,0))</f>
        <v>0</v>
      </c>
      <c r="AS114" s="17">
        <f>IF(ISNA(VLOOKUP(A114,'Données projet'!$A$61:$I$81,6,0)),0%,VLOOKUP(A114,'Données projet'!$A$61:$I$81,6,0)*VLOOKUP('Données projet'!$B$10,Paramètres!$A$1:$I$88,7,0))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projet'!$B$10,Paramètres!$A$1:$I$88,3,0)*0.475*44/12</f>
        <v>0</v>
      </c>
      <c r="AV114" s="23">
        <f>EXP(-LN(2)/25)*AV113+(1-EXP(-LN(2)/25))/(LN(2)/25)*Calculateur!AQ114*Calculateur!AS114*VLOOKUP('Données projet'!$B$10,Paramètres!$A$1:$I$88,3,0)*0.475*44/12</f>
        <v>0.59937771639545656</v>
      </c>
      <c r="AW114" s="23">
        <f>EXP(-LN(2)/2)*AW113+(1-EXP(-LN(2)/2))/(LN(2)/2)*AQ114*AT114*VLOOKUP('Données projet'!$B$10,Paramètres!$A$1:$I$88,3,0)*0.475*44/12</f>
        <v>7.5651848180940462E-12</v>
      </c>
      <c r="AX114" s="23">
        <f t="shared" si="60"/>
        <v>0.59937771640302173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-5.6843418860808015E-14</v>
      </c>
      <c r="BE114" s="14">
        <f>BD114*VLOOKUP('Données projet'!$B$11,Paramètres!$A$1:$I$88,3,0)*VLOOKUP('Données projet'!$B$11,Paramètres!$A$1:$I$88,5,0)</f>
        <v>-4.5224624045658861E-14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298.38448036212861</v>
      </c>
      <c r="BJ114" s="62">
        <f t="shared" si="92"/>
        <v>270.4445531106897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projet'!$B$11,Paramètres!$A$1:$I$88,7,0))</f>
        <v>0</v>
      </c>
      <c r="BN114" s="17">
        <f>IF(ISNA(VLOOKUP(A114,'Données projet'!$A$87:$I$107,6,0)),0%,VLOOKUP(A114,'Données projet'!$A$87:$I$107,6,0)*VLOOKUP('Données projet'!$B$11,Paramètres!$A$1:$I$88,7,0))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projet'!$B$11,Paramètres!$A$1:$I$88,3,0)*0.475*44/12</f>
        <v>0</v>
      </c>
      <c r="BQ114" s="23">
        <f>EXP(-LN(2)/25)*BQ113+(1-EXP(-LN(2)/25))/(LN(2)/25)*Calculateur!BL114*Calculateur!BN114*VLOOKUP('Données projet'!$B$11,Paramètres!$A$1:$I$88,3,0)*0.475*44/12</f>
        <v>0</v>
      </c>
      <c r="BR114" s="23">
        <f>EXP(-LN(2)/2)*BR113+(1-EXP(-LN(2)/2))/(LN(2)/2)*BL114*BO114*VLOOKUP('Données projet'!$B$11,Paramètres!$A$1:$I$88,3,0)*0.475*44/12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5.6843418860808015E-14</v>
      </c>
      <c r="BZ114" s="14">
        <f>BY114*VLOOKUP('Données projet'!$B$12,Paramètres!$A$1:$I$88,3,0)*VLOOKUP('Données projet'!$B$12,Paramètres!$A$1:$I$88,5,0)</f>
        <v>4.4337866711430253E-14</v>
      </c>
      <c r="CA114" s="14">
        <f t="shared" si="93"/>
        <v>7.3222115536967035E-13</v>
      </c>
      <c r="CB114" s="22">
        <f t="shared" si="64"/>
        <v>1.3525069634579169E-12</v>
      </c>
      <c r="CC114" s="62">
        <f t="shared" si="65"/>
        <v>293.33333333333468</v>
      </c>
      <c r="CD114" s="62">
        <f ca="1">AVERAGE(OFFSET($CC$3,0,0,'Données projet'!$E$12+1,1))-AVERAGE(OFFSET($H$3,0,0,'Données projet'!$E$12+1,1))</f>
        <v>217.32600829266818</v>
      </c>
      <c r="CE114" s="62">
        <f t="shared" si="94"/>
        <v>208.79744153433245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projet'!$B$12,Paramètres!$A$1:$I$88,7,0))</f>
        <v>0</v>
      </c>
      <c r="CI114" s="17">
        <f>IF(ISNA(VLOOKUP(A114,'Données projet'!$A$113:$I$133,6,0)),0%,VLOOKUP(A114,'Données projet'!$A$113:$I$133,6,0)*VLOOKUP('Données projet'!$B$12,Paramètres!$A$1:$I$88,7,0))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projet'!$B$12,Paramètres!$A$1:$I$88,3,0)*0.475*44/12</f>
        <v>0</v>
      </c>
      <c r="CL114" s="23">
        <f>EXP(-LN(2)/25)*CL113+(1-EXP(-LN(2)/25))/(LN(2)/25)*Calculateur!CG114*Calculateur!CI114*VLOOKUP('Données projet'!$B$12,Paramètres!$A$1:$I$88,3,0)*0.475*44/12</f>
        <v>0</v>
      </c>
      <c r="CM114" s="23">
        <f>EXP(-LN(2)/2)*CM113+(1-EXP(-LN(2)/2))/(LN(2)/2)*CG114*CJ114*VLOOKUP('Données projet'!$B$12,Paramètres!$A$1:$I$88,3,0)*0.475*44/12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-3.4106051316484809E-13</v>
      </c>
      <c r="CU114" s="18">
        <f>CT114*VLOOKUP('Données projet'!$B$13,Paramètres!$A$1:$I$88,3,0)*VLOOKUP('Données projet'!$B$13,Paramètres!$A$1:$I$88,5,0)</f>
        <v>-1.9065282685915009E-13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302.20483575440988</v>
      </c>
      <c r="CZ114" s="62">
        <f t="shared" si="96"/>
        <v>275.32862097158687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projet'!$B$13,Paramètres!$A$1:$I$88,7,0))</f>
        <v>0</v>
      </c>
      <c r="DD114" s="17">
        <f>IF(ISNA(VLOOKUP(A114,'Données projet'!$A$139:$I$159,6,0)),0%,VLOOKUP(A114,'Données projet'!$A$139:$I$159,6,0)*VLOOKUP('Données projet'!$B$13,Paramètres!$A$1:$I$88,7,0))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projet'!$B$13,Paramètres!$A$1:$I$88,3,0)*0.475*44/12</f>
        <v>0</v>
      </c>
      <c r="DG114" s="23">
        <f>EXP(-LN(2)/25)*DG113+(1-EXP(-LN(2)/25))/(LN(2)/25)*Calculateur!DB114*Calculateur!DD114*VLOOKUP('Données projet'!$B$13,Paramètres!$A$1:$I$88,3,0)*0.475*44/12</f>
        <v>1.4635172162795118</v>
      </c>
      <c r="DH114" s="23">
        <f>EXP(-LN(2)/2)*DH113+(1-EXP(-LN(2)/2))/(LN(2)/2)*DB114*DE114*VLOOKUP('Données projet'!$B$13,Paramètres!$A$1:$I$88,3,0)*0.475*44/12</f>
        <v>4.3608558142333457E-12</v>
      </c>
      <c r="DI114" s="24">
        <f t="shared" si="69"/>
        <v>1.4635172162838728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projet'!$B$14,Paramètres!$A$1:$I$88,3,0)*VLOOKUP('Données projet'!$B$14,Paramètres!$A$1:$I$88,5,0)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projet'!$B$14,Paramètres!$A$1:$I$88,7,0))</f>
        <v>0</v>
      </c>
      <c r="DY114" s="17">
        <f>IF(ISNA(VLOOKUP(A114,'Données projet'!$A$165:$I$185,6,0)),0%,VLOOKUP(A114,'Données projet'!$A$165:$I$185,6,0)*VLOOKUP('Données projet'!$B$14,Paramètres!$A$1:$I$88,7,0))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projet'!$B$14,Paramètres!$A$1:$I$88,3,0)*0.475*44/12</f>
        <v>#N/A</v>
      </c>
      <c r="EB114" s="23" t="e">
        <f>EXP(-LN(2)/25)*EB113+(1-EXP(-LN(2)/25))/(LN(2)/25)*Calculateur!DW114*Calculateur!DY114*VLOOKUP('Données projet'!$B$14,Paramètres!$A$1:$I$88,3,0)*0.475*44/12</f>
        <v>#N/A</v>
      </c>
      <c r="EC114" s="23" t="e">
        <f>EXP(-LN(2)/2)*EC113+(1-EXP(-LN(2)/2))/(LN(2)/2)*DW114*DZ114*VLOOKUP('Données projet'!$B$14,Paramètres!$A$1:$I$88,3,0)*0.475*44/12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projet'!$B$15,Paramètres!$A$1:$I$88,3,0)*VLOOKUP('Données projet'!$B$15,Paramètres!$A$1:$I$88,5,0)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projet'!$B$15,Paramètres!$A$1:$I$88,7,0))</f>
        <v>0</v>
      </c>
      <c r="ET114" s="17">
        <f>IF(ISNA(VLOOKUP(A114,'Données projet'!$A$191:$I$211,6,0)),0%,VLOOKUP(A114,'Données projet'!$A$191:$I$211,6,0)*VLOOKUP('Données projet'!$B$15,Paramètres!$A$1:$I$88,7,0))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projet'!$B$15,Paramètres!$A$1:$I$88,3,0)*0.475*44/12</f>
        <v>#N/A</v>
      </c>
      <c r="EW114" s="23" t="e">
        <f>EXP(-LN(2)/25)*EW113+(1-EXP(-LN(2)/25))/(LN(2)/25)*Calculateur!ER114*Calculateur!ET114*VLOOKUP('Données projet'!$B$15,Paramètres!$A$1:$I$88,3,0)*0.475*44/12</f>
        <v>#N/A</v>
      </c>
      <c r="EX114" s="23" t="e">
        <f>EXP(-LN(2)/2)*EX113+(1-EXP(-LN(2)/2))/(LN(2)/2)*ER114*EU114*VLOOKUP('Données projet'!$B$15,Paramètres!$A$1:$I$88,3,0)*0.475*44/12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projet'!$B$16,Paramètres!$A$1:$I$88,3,0)*VLOOKUP('Données projet'!$B$16,Paramètres!$A$1:$I$88,5,0)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projet'!$B$16,Paramètres!$A$1:$I$88,7,0))</f>
        <v>0</v>
      </c>
      <c r="FO114" s="17">
        <f>IF(ISNA(VLOOKUP(A114,'Données projet'!$A$217:$I$237,6,0)),0%,VLOOKUP(A114,'Données projet'!$A$217:$I$237,6,0)*VLOOKUP('Données projet'!$B$16,Paramètres!$A$1:$I$88,7,0))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projet'!$B$16,Paramètres!$A$1:$I$88,3,0)*0.475*44/12</f>
        <v>#N/A</v>
      </c>
      <c r="FR114" s="23" t="e">
        <f>EXP(-LN(2)/25)*FR113+(1-EXP(-LN(2)/25))/(LN(2)/25)*Calculateur!FM114*Calculateur!FO114*VLOOKUP('Données projet'!$B$16,Paramètres!$A$1:$I$88,3,0)*0.475*44/12</f>
        <v>#N/A</v>
      </c>
      <c r="FS114" s="23" t="e">
        <f>EXP(-LN(2)/2)*FS113+(1-EXP(-LN(2)/2))/(LN(2)/2)*FM114*FP114*VLOOKUP('Données projet'!$B$16,Paramètres!$A$1:$I$88,3,0)*0.475*44/12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projet'!$B$17,Paramètres!$A$1:$I$88,3,0)*VLOOKUP('Données projet'!$B$17,Paramètres!$A$1:$I$88,5,0)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projet'!$B$17,Paramètres!$A$1:$I$88,7,0))</f>
        <v>0</v>
      </c>
      <c r="GJ114" s="17">
        <f>IF(ISNA(VLOOKUP(A114,'Données projet'!$A$243:$I$263,6,0)),0%,VLOOKUP(A114,'Données projet'!$A$243:$I$263,6,0)*VLOOKUP('Données projet'!$B$17,Paramètres!$A$1:$I$88,7,0))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projet'!$B$17,Paramètres!$A$1:$I$88,3,0)*0.475*44/12</f>
        <v>#N/A</v>
      </c>
      <c r="GM114" s="23" t="e">
        <f>EXP(-LN(2)/25)*GM113+(1-EXP(-LN(2)/25))/(LN(2)/25)*Calculateur!GH114*Calculateur!GJ114*VLOOKUP('Données projet'!$B$17,Paramètres!$A$1:$I$88,3,0)*0.475*44/12</f>
        <v>#N/A</v>
      </c>
      <c r="GN114" s="23" t="e">
        <f>EXP(-LN(2)/2)*GN113+(1-EXP(-LN(2)/2))/(LN(2)/2)*GH114*GK114*VLOOKUP('Données projet'!$B$17,Paramètres!$A$1:$I$88,3,0)*0.475*44/12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projet'!$B$18,Paramètres!$A$1:$I$88,3,0)*VLOOKUP('Données projet'!$B$18,Paramètres!$A$1:$I$88,5,0)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projet'!$B$18,Paramètres!$A$1:$I$88,7,0))</f>
        <v>0</v>
      </c>
      <c r="HE114" s="17">
        <f>IF(ISNA(VLOOKUP(A114,'Données projet'!$A$269:$I$289,6,0)),0%,VLOOKUP(A114,'Données projet'!$A$269:$I$289,6,0)*VLOOKUP('Données projet'!$B$18,Paramètres!$A$1:$I$88,7,0))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projet'!$B$18,Paramètres!$A$1:$I$88,3,0)*0.475*44/12</f>
        <v>#N/A</v>
      </c>
      <c r="HH114" s="23" t="e">
        <f>EXP(-LN(2)/25)*HH113+(1-EXP(-LN(2)/25))/(LN(2)/25)*Calculateur!HC114*Calculateur!HE114*VLOOKUP('Données projet'!$B$18,Paramètres!$A$1:$I$88,3,0)*0.475*44/12</f>
        <v>#N/A</v>
      </c>
      <c r="HI114" s="23" t="e">
        <f>EXP(-LN(2)/2)*HI113+(1-EXP(-LN(2)/2))/(LN(2)/2)*HC114*HF114*VLOOKUP('Données projet'!$B$18,Paramètres!$A$1:$I$88,3,0)*0.475*44/12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projet'!$B$9,Paramètres!$A$1:$I$88,3,0)*VLOOKUP('Données projet'!$B$9,Paramètres!$A$1:$I$88,5,0)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175.05987582828078</v>
      </c>
      <c r="T115" s="62">
        <f t="shared" si="88"/>
        <v>268.54782308462387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projet'!$B$9,Paramètres!$A$1:$I$88,7,0))</f>
        <v>0</v>
      </c>
      <c r="X115" s="17">
        <f>IF(ISNA(VLOOKUP(A115,'Données projet'!$A$35:$I$55,6,0)),0%,VLOOKUP(A115,'Données projet'!$A$35:$I$55,6,0)*VLOOKUP('Données projet'!$B$9,Paramètres!$A$1:$I$88,7,0))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projet'!$B$9,Paramètres!$A$1:$I$88,3,0)*0.475*44/12</f>
        <v>0</v>
      </c>
      <c r="AA115" s="23">
        <f>EXP(-LN(2)/25)*AA114+(1-EXP(-LN(2)/25))/(LN(2)/25)*Calculateur!V115*Calculateur!X115*VLOOKUP('Données projet'!$B$9,Paramètres!$A$1:$I$88,3,0)*0.475*44/12</f>
        <v>1.0599074985807544</v>
      </c>
      <c r="AB115" s="23">
        <f>EXP(-LN(2)/2)*AB114+(1-EXP(-LN(2)/2))/(LN(2)/2)*V115*Y115*VLOOKUP('Données projet'!$B$9,Paramètres!$A$1:$I$88,3,0)*0.475*44/12</f>
        <v>7.5118895806584982E-12</v>
      </c>
      <c r="AC115" s="24">
        <f t="shared" si="57"/>
        <v>1.0599074985882664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10.4</v>
      </c>
      <c r="AI115" s="14">
        <f>IF('Données projet'!$A$62&gt;35,AI114+AH115-AQ114,IF(A115&lt;'Données projet'!$A$62,$AF$205^A115,IF(A115='Données projet'!$A$62,'Données projet'!$B$62,AI114+AH115-AQ114)))</f>
        <v>908.79999999999916</v>
      </c>
      <c r="AJ115" s="14">
        <f>AI115*VLOOKUP('Données projet'!$B$10,Paramètres!$A$1:$I$88,3,0)*VLOOKUP('Données projet'!$B$10,Paramètres!$A$1:$I$88,5,0)</f>
        <v>437.13279999999963</v>
      </c>
      <c r="AK115" s="14">
        <f t="shared" si="89"/>
        <v>99.26543737161964</v>
      </c>
      <c r="AL115" s="22">
        <f t="shared" si="58"/>
        <v>934.22693008890349</v>
      </c>
      <c r="AM115" s="62">
        <f t="shared" si="59"/>
        <v>1227.5602634222369</v>
      </c>
      <c r="AN115" s="62">
        <f ca="1">AVERAGE(OFFSET($AM$3,0,0,'Données projet'!$E$10+1,1))-AVERAGE(OFFSET($H$3,0,0,'Données projet'!$E$10+1,1))</f>
        <v>576.61210817354549</v>
      </c>
      <c r="AO115" s="62">
        <f t="shared" si="90"/>
        <v>343.9428747444544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projet'!$B$10,Paramètres!$A$1:$I$88,7,0))</f>
        <v>0</v>
      </c>
      <c r="AS115" s="17">
        <f>IF(ISNA(VLOOKUP(A115,'Données projet'!$A$61:$I$81,6,0)),0%,VLOOKUP(A115,'Données projet'!$A$61:$I$81,6,0)*VLOOKUP('Données projet'!$B$10,Paramètres!$A$1:$I$88,7,0))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projet'!$B$10,Paramètres!$A$1:$I$88,3,0)*0.475*44/12</f>
        <v>0</v>
      </c>
      <c r="AV115" s="23">
        <f>EXP(-LN(2)/25)*AV114+(1-EXP(-LN(2)/25))/(LN(2)/25)*Calculateur!AQ115*Calculateur!AS115*VLOOKUP('Données projet'!$B$10,Paramètres!$A$1:$I$88,3,0)*0.475*44/12</f>
        <v>0.58298770122071863</v>
      </c>
      <c r="AW115" s="23">
        <f>EXP(-LN(2)/2)*AW114+(1-EXP(-LN(2)/2))/(LN(2)/2)*AQ115*AT115*VLOOKUP('Données projet'!$B$10,Paramètres!$A$1:$I$88,3,0)*0.475*44/12</f>
        <v>5.3493934858038182E-12</v>
      </c>
      <c r="AX115" s="23">
        <f t="shared" si="60"/>
        <v>0.58298770122606802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-5.6843418860808015E-14</v>
      </c>
      <c r="BE115" s="14">
        <f>BD115*VLOOKUP('Données projet'!$B$11,Paramètres!$A$1:$I$88,3,0)*VLOOKUP('Données projet'!$B$11,Paramètres!$A$1:$I$88,5,0)</f>
        <v>-4.5224624045658861E-14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298.38448036212861</v>
      </c>
      <c r="BJ115" s="62">
        <f t="shared" si="92"/>
        <v>270.4445531106897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projet'!$B$11,Paramètres!$A$1:$I$88,7,0))</f>
        <v>0</v>
      </c>
      <c r="BN115" s="17">
        <f>IF(ISNA(VLOOKUP(A115,'Données projet'!$A$87:$I$107,6,0)),0%,VLOOKUP(A115,'Données projet'!$A$87:$I$107,6,0)*VLOOKUP('Données projet'!$B$11,Paramètres!$A$1:$I$88,7,0))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projet'!$B$11,Paramètres!$A$1:$I$88,3,0)*0.475*44/12</f>
        <v>0</v>
      </c>
      <c r="BQ115" s="23">
        <f>EXP(-LN(2)/25)*BQ114+(1-EXP(-LN(2)/25))/(LN(2)/25)*Calculateur!BL115*Calculateur!BN115*VLOOKUP('Données projet'!$B$11,Paramètres!$A$1:$I$88,3,0)*0.475*44/12</f>
        <v>0</v>
      </c>
      <c r="BR115" s="23">
        <f>EXP(-LN(2)/2)*BR114+(1-EXP(-LN(2)/2))/(LN(2)/2)*BL115*BO115*VLOOKUP('Données projet'!$B$11,Paramètres!$A$1:$I$88,3,0)*0.475*44/12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5.6843418860808015E-14</v>
      </c>
      <c r="BZ115" s="14">
        <f>BY115*VLOOKUP('Données projet'!$B$12,Paramètres!$A$1:$I$88,3,0)*VLOOKUP('Données projet'!$B$12,Paramètres!$A$1:$I$88,5,0)</f>
        <v>4.4337866711430253E-14</v>
      </c>
      <c r="CA115" s="14">
        <f t="shared" si="93"/>
        <v>7.3222115536967035E-13</v>
      </c>
      <c r="CB115" s="22">
        <f t="shared" si="64"/>
        <v>1.3525069634579169E-12</v>
      </c>
      <c r="CC115" s="62">
        <f t="shared" si="65"/>
        <v>293.33333333333468</v>
      </c>
      <c r="CD115" s="62">
        <f ca="1">AVERAGE(OFFSET($CC$3,0,0,'Données projet'!$E$12+1,1))-AVERAGE(OFFSET($H$3,0,0,'Données projet'!$E$12+1,1))</f>
        <v>217.32600829266818</v>
      </c>
      <c r="CE115" s="62">
        <f t="shared" si="94"/>
        <v>208.79744153433245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projet'!$B$12,Paramètres!$A$1:$I$88,7,0))</f>
        <v>0</v>
      </c>
      <c r="CI115" s="17">
        <f>IF(ISNA(VLOOKUP(A115,'Données projet'!$A$113:$I$133,6,0)),0%,VLOOKUP(A115,'Données projet'!$A$113:$I$133,6,0)*VLOOKUP('Données projet'!$B$12,Paramètres!$A$1:$I$88,7,0))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projet'!$B$12,Paramètres!$A$1:$I$88,3,0)*0.475*44/12</f>
        <v>0</v>
      </c>
      <c r="CL115" s="23">
        <f>EXP(-LN(2)/25)*CL114+(1-EXP(-LN(2)/25))/(LN(2)/25)*Calculateur!CG115*Calculateur!CI115*VLOOKUP('Données projet'!$B$12,Paramètres!$A$1:$I$88,3,0)*0.475*44/12</f>
        <v>0</v>
      </c>
      <c r="CM115" s="23">
        <f>EXP(-LN(2)/2)*CM114+(1-EXP(-LN(2)/2))/(LN(2)/2)*CG115*CJ115*VLOOKUP('Données projet'!$B$12,Paramètres!$A$1:$I$88,3,0)*0.475*44/12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-3.4106051316484809E-13</v>
      </c>
      <c r="CU115" s="18">
        <f>CT115*VLOOKUP('Données projet'!$B$13,Paramètres!$A$1:$I$88,3,0)*VLOOKUP('Données projet'!$B$13,Paramètres!$A$1:$I$88,5,0)</f>
        <v>-1.9065282685915009E-13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302.20483575440988</v>
      </c>
      <c r="CZ115" s="62">
        <f t="shared" si="96"/>
        <v>275.32862097158687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projet'!$B$13,Paramètres!$A$1:$I$88,7,0))</f>
        <v>0</v>
      </c>
      <c r="DD115" s="17">
        <f>IF(ISNA(VLOOKUP(A115,'Données projet'!$A$139:$I$159,6,0)),0%,VLOOKUP(A115,'Données projet'!$A$139:$I$159,6,0)*VLOOKUP('Données projet'!$B$13,Paramètres!$A$1:$I$88,7,0))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projet'!$B$13,Paramètres!$A$1:$I$88,3,0)*0.475*44/12</f>
        <v>0</v>
      </c>
      <c r="DG115" s="23">
        <f>EXP(-LN(2)/25)*DG114+(1-EXP(-LN(2)/25))/(LN(2)/25)*Calculateur!DB115*Calculateur!DD115*VLOOKUP('Données projet'!$B$13,Paramètres!$A$1:$I$88,3,0)*0.475*44/12</f>
        <v>1.4234972610373231</v>
      </c>
      <c r="DH115" s="23">
        <f>EXP(-LN(2)/2)*DH114+(1-EXP(-LN(2)/2))/(LN(2)/2)*DB115*DE115*VLOOKUP('Données projet'!$B$13,Paramètres!$A$1:$I$88,3,0)*0.475*44/12</f>
        <v>3.083590718021182E-12</v>
      </c>
      <c r="DI115" s="24">
        <f t="shared" si="69"/>
        <v>1.4234972610404066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projet'!$B$14,Paramètres!$A$1:$I$88,3,0)*VLOOKUP('Données projet'!$B$14,Paramètres!$A$1:$I$88,5,0)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projet'!$B$14,Paramètres!$A$1:$I$88,7,0))</f>
        <v>0</v>
      </c>
      <c r="DY115" s="17">
        <f>IF(ISNA(VLOOKUP(A115,'Données projet'!$A$165:$I$185,6,0)),0%,VLOOKUP(A115,'Données projet'!$A$165:$I$185,6,0)*VLOOKUP('Données projet'!$B$14,Paramètres!$A$1:$I$88,7,0))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projet'!$B$14,Paramètres!$A$1:$I$88,3,0)*0.475*44/12</f>
        <v>#N/A</v>
      </c>
      <c r="EB115" s="23" t="e">
        <f>EXP(-LN(2)/25)*EB114+(1-EXP(-LN(2)/25))/(LN(2)/25)*Calculateur!DW115*Calculateur!DY115*VLOOKUP('Données projet'!$B$14,Paramètres!$A$1:$I$88,3,0)*0.475*44/12</f>
        <v>#N/A</v>
      </c>
      <c r="EC115" s="23" t="e">
        <f>EXP(-LN(2)/2)*EC114+(1-EXP(-LN(2)/2))/(LN(2)/2)*DW115*DZ115*VLOOKUP('Données projet'!$B$14,Paramètres!$A$1:$I$88,3,0)*0.475*44/12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projet'!$B$15,Paramètres!$A$1:$I$88,3,0)*VLOOKUP('Données projet'!$B$15,Paramètres!$A$1:$I$88,5,0)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projet'!$B$15,Paramètres!$A$1:$I$88,7,0))</f>
        <v>0</v>
      </c>
      <c r="ET115" s="17">
        <f>IF(ISNA(VLOOKUP(A115,'Données projet'!$A$191:$I$211,6,0)),0%,VLOOKUP(A115,'Données projet'!$A$191:$I$211,6,0)*VLOOKUP('Données projet'!$B$15,Paramètres!$A$1:$I$88,7,0))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projet'!$B$15,Paramètres!$A$1:$I$88,3,0)*0.475*44/12</f>
        <v>#N/A</v>
      </c>
      <c r="EW115" s="23" t="e">
        <f>EXP(-LN(2)/25)*EW114+(1-EXP(-LN(2)/25))/(LN(2)/25)*Calculateur!ER115*Calculateur!ET115*VLOOKUP('Données projet'!$B$15,Paramètres!$A$1:$I$88,3,0)*0.475*44/12</f>
        <v>#N/A</v>
      </c>
      <c r="EX115" s="23" t="e">
        <f>EXP(-LN(2)/2)*EX114+(1-EXP(-LN(2)/2))/(LN(2)/2)*ER115*EU115*VLOOKUP('Données projet'!$B$15,Paramètres!$A$1:$I$88,3,0)*0.475*44/12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projet'!$B$16,Paramètres!$A$1:$I$88,3,0)*VLOOKUP('Données projet'!$B$16,Paramètres!$A$1:$I$88,5,0)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projet'!$B$16,Paramètres!$A$1:$I$88,7,0))</f>
        <v>0</v>
      </c>
      <c r="FO115" s="17">
        <f>IF(ISNA(VLOOKUP(A115,'Données projet'!$A$217:$I$237,6,0)),0%,VLOOKUP(A115,'Données projet'!$A$217:$I$237,6,0)*VLOOKUP('Données projet'!$B$16,Paramètres!$A$1:$I$88,7,0))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projet'!$B$16,Paramètres!$A$1:$I$88,3,0)*0.475*44/12</f>
        <v>#N/A</v>
      </c>
      <c r="FR115" s="23" t="e">
        <f>EXP(-LN(2)/25)*FR114+(1-EXP(-LN(2)/25))/(LN(2)/25)*Calculateur!FM115*Calculateur!FO115*VLOOKUP('Données projet'!$B$16,Paramètres!$A$1:$I$88,3,0)*0.475*44/12</f>
        <v>#N/A</v>
      </c>
      <c r="FS115" s="23" t="e">
        <f>EXP(-LN(2)/2)*FS114+(1-EXP(-LN(2)/2))/(LN(2)/2)*FM115*FP115*VLOOKUP('Données projet'!$B$16,Paramètres!$A$1:$I$88,3,0)*0.475*44/12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projet'!$B$17,Paramètres!$A$1:$I$88,3,0)*VLOOKUP('Données projet'!$B$17,Paramètres!$A$1:$I$88,5,0)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projet'!$B$17,Paramètres!$A$1:$I$88,7,0))</f>
        <v>0</v>
      </c>
      <c r="GJ115" s="17">
        <f>IF(ISNA(VLOOKUP(A115,'Données projet'!$A$243:$I$263,6,0)),0%,VLOOKUP(A115,'Données projet'!$A$243:$I$263,6,0)*VLOOKUP('Données projet'!$B$17,Paramètres!$A$1:$I$88,7,0))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projet'!$B$17,Paramètres!$A$1:$I$88,3,0)*0.475*44/12</f>
        <v>#N/A</v>
      </c>
      <c r="GM115" s="23" t="e">
        <f>EXP(-LN(2)/25)*GM114+(1-EXP(-LN(2)/25))/(LN(2)/25)*Calculateur!GH115*Calculateur!GJ115*VLOOKUP('Données projet'!$B$17,Paramètres!$A$1:$I$88,3,0)*0.475*44/12</f>
        <v>#N/A</v>
      </c>
      <c r="GN115" s="23" t="e">
        <f>EXP(-LN(2)/2)*GN114+(1-EXP(-LN(2)/2))/(LN(2)/2)*GH115*GK115*VLOOKUP('Données projet'!$B$17,Paramètres!$A$1:$I$88,3,0)*0.475*44/12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projet'!$B$18,Paramètres!$A$1:$I$88,3,0)*VLOOKUP('Données projet'!$B$18,Paramètres!$A$1:$I$88,5,0)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projet'!$B$18,Paramètres!$A$1:$I$88,7,0))</f>
        <v>0</v>
      </c>
      <c r="HE115" s="17">
        <f>IF(ISNA(VLOOKUP(A115,'Données projet'!$A$269:$I$289,6,0)),0%,VLOOKUP(A115,'Données projet'!$A$269:$I$289,6,0)*VLOOKUP('Données projet'!$B$18,Paramètres!$A$1:$I$88,7,0))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projet'!$B$18,Paramètres!$A$1:$I$88,3,0)*0.475*44/12</f>
        <v>#N/A</v>
      </c>
      <c r="HH115" s="23" t="e">
        <f>EXP(-LN(2)/25)*HH114+(1-EXP(-LN(2)/25))/(LN(2)/25)*Calculateur!HC115*Calculateur!HE115*VLOOKUP('Données projet'!$B$18,Paramètres!$A$1:$I$88,3,0)*0.475*44/12</f>
        <v>#N/A</v>
      </c>
      <c r="HI115" s="23" t="e">
        <f>EXP(-LN(2)/2)*HI114+(1-EXP(-LN(2)/2))/(LN(2)/2)*HC115*HF115*VLOOKUP('Données projet'!$B$18,Paramètres!$A$1:$I$88,3,0)*0.475*44/12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projet'!$B$9,Paramètres!$A$1:$I$88,3,0)*VLOOKUP('Données projet'!$B$9,Paramètres!$A$1:$I$88,5,0)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175.05987582828078</v>
      </c>
      <c r="T116" s="62">
        <f t="shared" si="88"/>
        <v>268.54782308462387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projet'!$B$9,Paramètres!$A$1:$I$88,7,0))</f>
        <v>0</v>
      </c>
      <c r="X116" s="17">
        <f>IF(ISNA(VLOOKUP(A116,'Données projet'!$A$35:$I$55,6,0)),0%,VLOOKUP(A116,'Données projet'!$A$35:$I$55,6,0)*VLOOKUP('Données projet'!$B$9,Paramètres!$A$1:$I$88,7,0))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projet'!$B$9,Paramètres!$A$1:$I$88,3,0)*0.475*44/12</f>
        <v>0</v>
      </c>
      <c r="AA116" s="23">
        <f>EXP(-LN(2)/25)*AA115+(1-EXP(-LN(2)/25))/(LN(2)/25)*Calculateur!V116*Calculateur!X116*VLOOKUP('Données projet'!$B$9,Paramètres!$A$1:$I$88,3,0)*0.475*44/12</f>
        <v>1.0309242722939507</v>
      </c>
      <c r="AB116" s="23">
        <f>EXP(-LN(2)/2)*AB115+(1-EXP(-LN(2)/2))/(LN(2)/2)*V116*Y116*VLOOKUP('Données projet'!$B$9,Paramètres!$A$1:$I$88,3,0)*0.475*44/12</f>
        <v>5.311708062008195E-12</v>
      </c>
      <c r="AC116" s="24">
        <f t="shared" si="57"/>
        <v>1.0309242722992624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10.4</v>
      </c>
      <c r="AI116" s="14">
        <f>IF('Données projet'!$A$62&gt;35,AI115+AH116-AQ115,IF(A116&lt;'Données projet'!$A$62,$AF$205^A116,IF(A116='Données projet'!$A$62,'Données projet'!$B$62,AI115+AH116-AQ115)))</f>
        <v>919.19999999999914</v>
      </c>
      <c r="AJ116" s="14">
        <f>AI116*VLOOKUP('Données projet'!$B$10,Paramètres!$A$1:$I$88,3,0)*VLOOKUP('Données projet'!$B$10,Paramètres!$A$1:$I$88,5,0)</f>
        <v>442.1351999999996</v>
      </c>
      <c r="AK116" s="14">
        <f t="shared" si="89"/>
        <v>100.26850604698043</v>
      </c>
      <c r="AL116" s="22">
        <f t="shared" si="58"/>
        <v>944.68645469849014</v>
      </c>
      <c r="AM116" s="62">
        <f t="shared" si="59"/>
        <v>1238.0197880318235</v>
      </c>
      <c r="AN116" s="62">
        <f ca="1">AVERAGE(OFFSET($AM$3,0,0,'Données projet'!$E$10+1,1))-AVERAGE(OFFSET($H$3,0,0,'Données projet'!$E$10+1,1))</f>
        <v>576.61210817354549</v>
      </c>
      <c r="AO116" s="62">
        <f t="shared" si="90"/>
        <v>343.9428747444544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projet'!$B$10,Paramètres!$A$1:$I$88,7,0))</f>
        <v>0</v>
      </c>
      <c r="AS116" s="17">
        <f>IF(ISNA(VLOOKUP(A116,'Données projet'!$A$61:$I$81,6,0)),0%,VLOOKUP(A116,'Données projet'!$A$61:$I$81,6,0)*VLOOKUP('Données projet'!$B$10,Paramètres!$A$1:$I$88,7,0))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projet'!$B$10,Paramètres!$A$1:$I$88,3,0)*0.475*44/12</f>
        <v>0</v>
      </c>
      <c r="AV116" s="23">
        <f>EXP(-LN(2)/25)*AV115+(1-EXP(-LN(2)/25))/(LN(2)/25)*Calculateur!AQ116*Calculateur!AS116*VLOOKUP('Données projet'!$B$10,Paramètres!$A$1:$I$88,3,0)*0.475*44/12</f>
        <v>0.56704587187284727</v>
      </c>
      <c r="AW116" s="23">
        <f>EXP(-LN(2)/2)*AW115+(1-EXP(-LN(2)/2))/(LN(2)/2)*AQ116*AT116*VLOOKUP('Données projet'!$B$10,Paramètres!$A$1:$I$88,3,0)*0.475*44/12</f>
        <v>3.7825924090470231E-12</v>
      </c>
      <c r="AX116" s="23">
        <f t="shared" si="60"/>
        <v>0.56704587187662991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-5.6843418860808015E-14</v>
      </c>
      <c r="BE116" s="14">
        <f>BD116*VLOOKUP('Données projet'!$B$11,Paramètres!$A$1:$I$88,3,0)*VLOOKUP('Données projet'!$B$11,Paramètres!$A$1:$I$88,5,0)</f>
        <v>-4.5224624045658861E-14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298.38448036212861</v>
      </c>
      <c r="BJ116" s="62">
        <f t="shared" si="92"/>
        <v>270.4445531106897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projet'!$B$11,Paramètres!$A$1:$I$88,7,0))</f>
        <v>0</v>
      </c>
      <c r="BN116" s="17">
        <f>IF(ISNA(VLOOKUP(A116,'Données projet'!$A$87:$I$107,6,0)),0%,VLOOKUP(A116,'Données projet'!$A$87:$I$107,6,0)*VLOOKUP('Données projet'!$B$11,Paramètres!$A$1:$I$88,7,0))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projet'!$B$11,Paramètres!$A$1:$I$88,3,0)*0.475*44/12</f>
        <v>0</v>
      </c>
      <c r="BQ116" s="23">
        <f>EXP(-LN(2)/25)*BQ115+(1-EXP(-LN(2)/25))/(LN(2)/25)*Calculateur!BL116*Calculateur!BN116*VLOOKUP('Données projet'!$B$11,Paramètres!$A$1:$I$88,3,0)*0.475*44/12</f>
        <v>0</v>
      </c>
      <c r="BR116" s="23">
        <f>EXP(-LN(2)/2)*BR115+(1-EXP(-LN(2)/2))/(LN(2)/2)*BL116*BO116*VLOOKUP('Données projet'!$B$11,Paramètres!$A$1:$I$88,3,0)*0.475*44/12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5.6843418860808015E-14</v>
      </c>
      <c r="BZ116" s="14">
        <f>BY116*VLOOKUP('Données projet'!$B$12,Paramètres!$A$1:$I$88,3,0)*VLOOKUP('Données projet'!$B$12,Paramètres!$A$1:$I$88,5,0)</f>
        <v>4.4337866711430253E-14</v>
      </c>
      <c r="CA116" s="14">
        <f t="shared" si="93"/>
        <v>7.3222115536967035E-13</v>
      </c>
      <c r="CB116" s="22">
        <f t="shared" si="64"/>
        <v>1.3525069634579169E-12</v>
      </c>
      <c r="CC116" s="62">
        <f t="shared" si="65"/>
        <v>293.33333333333468</v>
      </c>
      <c r="CD116" s="62">
        <f ca="1">AVERAGE(OFFSET($CC$3,0,0,'Données projet'!$E$12+1,1))-AVERAGE(OFFSET($H$3,0,0,'Données projet'!$E$12+1,1))</f>
        <v>217.32600829266818</v>
      </c>
      <c r="CE116" s="62">
        <f t="shared" si="94"/>
        <v>208.79744153433245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projet'!$B$12,Paramètres!$A$1:$I$88,7,0))</f>
        <v>0</v>
      </c>
      <c r="CI116" s="17">
        <f>IF(ISNA(VLOOKUP(A116,'Données projet'!$A$113:$I$133,6,0)),0%,VLOOKUP(A116,'Données projet'!$A$113:$I$133,6,0)*VLOOKUP('Données projet'!$B$12,Paramètres!$A$1:$I$88,7,0))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projet'!$B$12,Paramètres!$A$1:$I$88,3,0)*0.475*44/12</f>
        <v>0</v>
      </c>
      <c r="CL116" s="23">
        <f>EXP(-LN(2)/25)*CL115+(1-EXP(-LN(2)/25))/(LN(2)/25)*Calculateur!CG116*Calculateur!CI116*VLOOKUP('Données projet'!$B$12,Paramètres!$A$1:$I$88,3,0)*0.475*44/12</f>
        <v>0</v>
      </c>
      <c r="CM116" s="23">
        <f>EXP(-LN(2)/2)*CM115+(1-EXP(-LN(2)/2))/(LN(2)/2)*CG116*CJ116*VLOOKUP('Données projet'!$B$12,Paramètres!$A$1:$I$88,3,0)*0.475*44/12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-3.4106051316484809E-13</v>
      </c>
      <c r="CU116" s="18">
        <f>CT116*VLOOKUP('Données projet'!$B$13,Paramètres!$A$1:$I$88,3,0)*VLOOKUP('Données projet'!$B$13,Paramètres!$A$1:$I$88,5,0)</f>
        <v>-1.9065282685915009E-13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302.20483575440988</v>
      </c>
      <c r="CZ116" s="62">
        <f t="shared" si="96"/>
        <v>275.32862097158687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projet'!$B$13,Paramètres!$A$1:$I$88,7,0))</f>
        <v>0</v>
      </c>
      <c r="DD116" s="17">
        <f>IF(ISNA(VLOOKUP(A116,'Données projet'!$A$139:$I$159,6,0)),0%,VLOOKUP(A116,'Données projet'!$A$139:$I$159,6,0)*VLOOKUP('Données projet'!$B$13,Paramètres!$A$1:$I$88,7,0))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projet'!$B$13,Paramètres!$A$1:$I$88,3,0)*0.475*44/12</f>
        <v>0</v>
      </c>
      <c r="DG116" s="23">
        <f>EXP(-LN(2)/25)*DG115+(1-EXP(-LN(2)/25))/(LN(2)/25)*Calculateur!DB116*Calculateur!DD116*VLOOKUP('Données projet'!$B$13,Paramètres!$A$1:$I$88,3,0)*0.475*44/12</f>
        <v>1.3845716535757899</v>
      </c>
      <c r="DH116" s="23">
        <f>EXP(-LN(2)/2)*DH115+(1-EXP(-LN(2)/2))/(LN(2)/2)*DB116*DE116*VLOOKUP('Données projet'!$B$13,Paramètres!$A$1:$I$88,3,0)*0.475*44/12</f>
        <v>2.1804279071166729E-12</v>
      </c>
      <c r="DI116" s="24">
        <f t="shared" si="69"/>
        <v>1.3845716535779704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projet'!$B$14,Paramètres!$A$1:$I$88,3,0)*VLOOKUP('Données projet'!$B$14,Paramètres!$A$1:$I$88,5,0)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projet'!$B$14,Paramètres!$A$1:$I$88,7,0))</f>
        <v>0</v>
      </c>
      <c r="DY116" s="17">
        <f>IF(ISNA(VLOOKUP(A116,'Données projet'!$A$165:$I$185,6,0)),0%,VLOOKUP(A116,'Données projet'!$A$165:$I$185,6,0)*VLOOKUP('Données projet'!$B$14,Paramètres!$A$1:$I$88,7,0))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projet'!$B$14,Paramètres!$A$1:$I$88,3,0)*0.475*44/12</f>
        <v>#N/A</v>
      </c>
      <c r="EB116" s="23" t="e">
        <f>EXP(-LN(2)/25)*EB115+(1-EXP(-LN(2)/25))/(LN(2)/25)*Calculateur!DW116*Calculateur!DY116*VLOOKUP('Données projet'!$B$14,Paramètres!$A$1:$I$88,3,0)*0.475*44/12</f>
        <v>#N/A</v>
      </c>
      <c r="EC116" s="23" t="e">
        <f>EXP(-LN(2)/2)*EC115+(1-EXP(-LN(2)/2))/(LN(2)/2)*DW116*DZ116*VLOOKUP('Données projet'!$B$14,Paramètres!$A$1:$I$88,3,0)*0.475*44/12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projet'!$B$15,Paramètres!$A$1:$I$88,3,0)*VLOOKUP('Données projet'!$B$15,Paramètres!$A$1:$I$88,5,0)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projet'!$B$15,Paramètres!$A$1:$I$88,7,0))</f>
        <v>0</v>
      </c>
      <c r="ET116" s="17">
        <f>IF(ISNA(VLOOKUP(A116,'Données projet'!$A$191:$I$211,6,0)),0%,VLOOKUP(A116,'Données projet'!$A$191:$I$211,6,0)*VLOOKUP('Données projet'!$B$15,Paramètres!$A$1:$I$88,7,0))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projet'!$B$15,Paramètres!$A$1:$I$88,3,0)*0.475*44/12</f>
        <v>#N/A</v>
      </c>
      <c r="EW116" s="23" t="e">
        <f>EXP(-LN(2)/25)*EW115+(1-EXP(-LN(2)/25))/(LN(2)/25)*Calculateur!ER116*Calculateur!ET116*VLOOKUP('Données projet'!$B$15,Paramètres!$A$1:$I$88,3,0)*0.475*44/12</f>
        <v>#N/A</v>
      </c>
      <c r="EX116" s="23" t="e">
        <f>EXP(-LN(2)/2)*EX115+(1-EXP(-LN(2)/2))/(LN(2)/2)*ER116*EU116*VLOOKUP('Données projet'!$B$15,Paramètres!$A$1:$I$88,3,0)*0.475*44/12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projet'!$B$16,Paramètres!$A$1:$I$88,3,0)*VLOOKUP('Données projet'!$B$16,Paramètres!$A$1:$I$88,5,0)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projet'!$B$16,Paramètres!$A$1:$I$88,7,0))</f>
        <v>0</v>
      </c>
      <c r="FO116" s="17">
        <f>IF(ISNA(VLOOKUP(A116,'Données projet'!$A$217:$I$237,6,0)),0%,VLOOKUP(A116,'Données projet'!$A$217:$I$237,6,0)*VLOOKUP('Données projet'!$B$16,Paramètres!$A$1:$I$88,7,0))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projet'!$B$16,Paramètres!$A$1:$I$88,3,0)*0.475*44/12</f>
        <v>#N/A</v>
      </c>
      <c r="FR116" s="23" t="e">
        <f>EXP(-LN(2)/25)*FR115+(1-EXP(-LN(2)/25))/(LN(2)/25)*Calculateur!FM116*Calculateur!FO116*VLOOKUP('Données projet'!$B$16,Paramètres!$A$1:$I$88,3,0)*0.475*44/12</f>
        <v>#N/A</v>
      </c>
      <c r="FS116" s="23" t="e">
        <f>EXP(-LN(2)/2)*FS115+(1-EXP(-LN(2)/2))/(LN(2)/2)*FM116*FP116*VLOOKUP('Données projet'!$B$16,Paramètres!$A$1:$I$88,3,0)*0.475*44/12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projet'!$B$17,Paramètres!$A$1:$I$88,3,0)*VLOOKUP('Données projet'!$B$17,Paramètres!$A$1:$I$88,5,0)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projet'!$B$17,Paramètres!$A$1:$I$88,7,0))</f>
        <v>0</v>
      </c>
      <c r="GJ116" s="17">
        <f>IF(ISNA(VLOOKUP(A116,'Données projet'!$A$243:$I$263,6,0)),0%,VLOOKUP(A116,'Données projet'!$A$243:$I$263,6,0)*VLOOKUP('Données projet'!$B$17,Paramètres!$A$1:$I$88,7,0))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projet'!$B$17,Paramètres!$A$1:$I$88,3,0)*0.475*44/12</f>
        <v>#N/A</v>
      </c>
      <c r="GM116" s="23" t="e">
        <f>EXP(-LN(2)/25)*GM115+(1-EXP(-LN(2)/25))/(LN(2)/25)*Calculateur!GH116*Calculateur!GJ116*VLOOKUP('Données projet'!$B$17,Paramètres!$A$1:$I$88,3,0)*0.475*44/12</f>
        <v>#N/A</v>
      </c>
      <c r="GN116" s="23" t="e">
        <f>EXP(-LN(2)/2)*GN115+(1-EXP(-LN(2)/2))/(LN(2)/2)*GH116*GK116*VLOOKUP('Données projet'!$B$17,Paramètres!$A$1:$I$88,3,0)*0.475*44/12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projet'!$B$18,Paramètres!$A$1:$I$88,3,0)*VLOOKUP('Données projet'!$B$18,Paramètres!$A$1:$I$88,5,0)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projet'!$B$18,Paramètres!$A$1:$I$88,7,0))</f>
        <v>0</v>
      </c>
      <c r="HE116" s="17">
        <f>IF(ISNA(VLOOKUP(A116,'Données projet'!$A$269:$I$289,6,0)),0%,VLOOKUP(A116,'Données projet'!$A$269:$I$289,6,0)*VLOOKUP('Données projet'!$B$18,Paramètres!$A$1:$I$88,7,0))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projet'!$B$18,Paramètres!$A$1:$I$88,3,0)*0.475*44/12</f>
        <v>#N/A</v>
      </c>
      <c r="HH116" s="23" t="e">
        <f>EXP(-LN(2)/25)*HH115+(1-EXP(-LN(2)/25))/(LN(2)/25)*Calculateur!HC116*Calculateur!HE116*VLOOKUP('Données projet'!$B$18,Paramètres!$A$1:$I$88,3,0)*0.475*44/12</f>
        <v>#N/A</v>
      </c>
      <c r="HI116" s="23" t="e">
        <f>EXP(-LN(2)/2)*HI115+(1-EXP(-LN(2)/2))/(LN(2)/2)*HC116*HF116*VLOOKUP('Données projet'!$B$18,Paramètres!$A$1:$I$88,3,0)*0.475*44/12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projet'!$B$9,Paramètres!$A$1:$I$88,3,0)*VLOOKUP('Données projet'!$B$9,Paramètres!$A$1:$I$88,5,0)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175.05987582828078</v>
      </c>
      <c r="T117" s="62">
        <f t="shared" si="88"/>
        <v>268.54782308462387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projet'!$B$9,Paramètres!$A$1:$I$88,7,0))</f>
        <v>0</v>
      </c>
      <c r="X117" s="17">
        <f>IF(ISNA(VLOOKUP(A117,'Données projet'!$A$35:$I$55,6,0)),0%,VLOOKUP(A117,'Données projet'!$A$35:$I$55,6,0)*VLOOKUP('Données projet'!$B$9,Paramètres!$A$1:$I$88,7,0))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projet'!$B$9,Paramètres!$A$1:$I$88,3,0)*0.475*44/12</f>
        <v>0</v>
      </c>
      <c r="AA117" s="23">
        <f>EXP(-LN(2)/25)*AA116+(1-EXP(-LN(2)/25))/(LN(2)/25)*Calculateur!V117*Calculateur!X117*VLOOKUP('Données projet'!$B$9,Paramètres!$A$1:$I$88,3,0)*0.475*44/12</f>
        <v>1.0027335938541213</v>
      </c>
      <c r="AB117" s="23">
        <f>EXP(-LN(2)/2)*AB116+(1-EXP(-LN(2)/2))/(LN(2)/2)*V117*Y117*VLOOKUP('Données projet'!$B$9,Paramètres!$A$1:$I$88,3,0)*0.475*44/12</f>
        <v>3.7559447903292491E-12</v>
      </c>
      <c r="AC117" s="24">
        <f t="shared" si="57"/>
        <v>1.0027335938578772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10.4</v>
      </c>
      <c r="AI117" s="14">
        <f>IF('Données projet'!$A$62&gt;35,AI116+AH117-AQ116,IF(A117&lt;'Données projet'!$A$62,$AF$205^A117,IF(A117='Données projet'!$A$62,'Données projet'!$B$62,AI116+AH117-AQ116)))</f>
        <v>929.59999999999911</v>
      </c>
      <c r="AJ117" s="14">
        <f>AI117*VLOOKUP('Données projet'!$B$10,Paramètres!$A$1:$I$88,3,0)*VLOOKUP('Données projet'!$B$10,Paramètres!$A$1:$I$88,5,0)</f>
        <v>447.13759999999957</v>
      </c>
      <c r="AK117" s="14">
        <f t="shared" si="89"/>
        <v>101.27025454940397</v>
      </c>
      <c r="AL117" s="22">
        <f t="shared" si="58"/>
        <v>955.14368000687773</v>
      </c>
      <c r="AM117" s="62">
        <f t="shared" si="59"/>
        <v>1248.477013340211</v>
      </c>
      <c r="AN117" s="62">
        <f ca="1">AVERAGE(OFFSET($AM$3,0,0,'Données projet'!$E$10+1,1))-AVERAGE(OFFSET($H$3,0,0,'Données projet'!$E$10+1,1))</f>
        <v>576.61210817354549</v>
      </c>
      <c r="AO117" s="62">
        <f t="shared" si="90"/>
        <v>343.9428747444544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projet'!$B$10,Paramètres!$A$1:$I$88,7,0))</f>
        <v>0</v>
      </c>
      <c r="AS117" s="17">
        <f>IF(ISNA(VLOOKUP(A117,'Données projet'!$A$61:$I$81,6,0)),0%,VLOOKUP(A117,'Données projet'!$A$61:$I$81,6,0)*VLOOKUP('Données projet'!$B$10,Paramètres!$A$1:$I$88,7,0))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projet'!$B$10,Paramètres!$A$1:$I$88,3,0)*0.475*44/12</f>
        <v>0</v>
      </c>
      <c r="AV117" s="23">
        <f>EXP(-LN(2)/25)*AV116+(1-EXP(-LN(2)/25))/(LN(2)/25)*Calculateur!AQ117*Calculateur!AS117*VLOOKUP('Données projet'!$B$10,Paramètres!$A$1:$I$88,3,0)*0.475*44/12</f>
        <v>0.55153997268683785</v>
      </c>
      <c r="AW117" s="23">
        <f>EXP(-LN(2)/2)*AW116+(1-EXP(-LN(2)/2))/(LN(2)/2)*AQ117*AT117*VLOOKUP('Données projet'!$B$10,Paramètres!$A$1:$I$88,3,0)*0.475*44/12</f>
        <v>2.6746967429019091E-12</v>
      </c>
      <c r="AX117" s="23">
        <f t="shared" si="60"/>
        <v>0.5515399726895126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-5.6843418860808015E-14</v>
      </c>
      <c r="BE117" s="14">
        <f>BD117*VLOOKUP('Données projet'!$B$11,Paramètres!$A$1:$I$88,3,0)*VLOOKUP('Données projet'!$B$11,Paramètres!$A$1:$I$88,5,0)</f>
        <v>-4.5224624045658861E-14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298.38448036212861</v>
      </c>
      <c r="BJ117" s="62">
        <f t="shared" si="92"/>
        <v>270.4445531106897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projet'!$B$11,Paramètres!$A$1:$I$88,7,0))</f>
        <v>0</v>
      </c>
      <c r="BN117" s="17">
        <f>IF(ISNA(VLOOKUP(A117,'Données projet'!$A$87:$I$107,6,0)),0%,VLOOKUP(A117,'Données projet'!$A$87:$I$107,6,0)*VLOOKUP('Données projet'!$B$11,Paramètres!$A$1:$I$88,7,0))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projet'!$B$11,Paramètres!$A$1:$I$88,3,0)*0.475*44/12</f>
        <v>0</v>
      </c>
      <c r="BQ117" s="23">
        <f>EXP(-LN(2)/25)*BQ116+(1-EXP(-LN(2)/25))/(LN(2)/25)*Calculateur!BL117*Calculateur!BN117*VLOOKUP('Données projet'!$B$11,Paramètres!$A$1:$I$88,3,0)*0.475*44/12</f>
        <v>0</v>
      </c>
      <c r="BR117" s="23">
        <f>EXP(-LN(2)/2)*BR116+(1-EXP(-LN(2)/2))/(LN(2)/2)*BL117*BO117*VLOOKUP('Données projet'!$B$11,Paramètres!$A$1:$I$88,3,0)*0.475*44/12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5.6843418860808015E-14</v>
      </c>
      <c r="BZ117" s="14">
        <f>BY117*VLOOKUP('Données projet'!$B$12,Paramètres!$A$1:$I$88,3,0)*VLOOKUP('Données projet'!$B$12,Paramètres!$A$1:$I$88,5,0)</f>
        <v>4.4337866711430253E-14</v>
      </c>
      <c r="CA117" s="14">
        <f t="shared" si="93"/>
        <v>7.3222115536967035E-13</v>
      </c>
      <c r="CB117" s="22">
        <f t="shared" si="64"/>
        <v>1.3525069634579169E-12</v>
      </c>
      <c r="CC117" s="62">
        <f t="shared" si="65"/>
        <v>293.33333333333468</v>
      </c>
      <c r="CD117" s="62">
        <f ca="1">AVERAGE(OFFSET($CC$3,0,0,'Données projet'!$E$12+1,1))-AVERAGE(OFFSET($H$3,0,0,'Données projet'!$E$12+1,1))</f>
        <v>217.32600829266818</v>
      </c>
      <c r="CE117" s="62">
        <f t="shared" si="94"/>
        <v>208.79744153433245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projet'!$B$12,Paramètres!$A$1:$I$88,7,0))</f>
        <v>0</v>
      </c>
      <c r="CI117" s="17">
        <f>IF(ISNA(VLOOKUP(A117,'Données projet'!$A$113:$I$133,6,0)),0%,VLOOKUP(A117,'Données projet'!$A$113:$I$133,6,0)*VLOOKUP('Données projet'!$B$12,Paramètres!$A$1:$I$88,7,0))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projet'!$B$12,Paramètres!$A$1:$I$88,3,0)*0.475*44/12</f>
        <v>0</v>
      </c>
      <c r="CL117" s="23">
        <f>EXP(-LN(2)/25)*CL116+(1-EXP(-LN(2)/25))/(LN(2)/25)*Calculateur!CG117*Calculateur!CI117*VLOOKUP('Données projet'!$B$12,Paramètres!$A$1:$I$88,3,0)*0.475*44/12</f>
        <v>0</v>
      </c>
      <c r="CM117" s="23">
        <f>EXP(-LN(2)/2)*CM116+(1-EXP(-LN(2)/2))/(LN(2)/2)*CG117*CJ117*VLOOKUP('Données projet'!$B$12,Paramètres!$A$1:$I$88,3,0)*0.475*44/12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-3.4106051316484809E-13</v>
      </c>
      <c r="CU117" s="18">
        <f>CT117*VLOOKUP('Données projet'!$B$13,Paramètres!$A$1:$I$88,3,0)*VLOOKUP('Données projet'!$B$13,Paramètres!$A$1:$I$88,5,0)</f>
        <v>-1.9065282685915009E-13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302.20483575440988</v>
      </c>
      <c r="CZ117" s="62">
        <f t="shared" si="96"/>
        <v>275.32862097158687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projet'!$B$13,Paramètres!$A$1:$I$88,7,0))</f>
        <v>0</v>
      </c>
      <c r="DD117" s="17">
        <f>IF(ISNA(VLOOKUP(A117,'Données projet'!$A$139:$I$159,6,0)),0%,VLOOKUP(A117,'Données projet'!$A$139:$I$159,6,0)*VLOOKUP('Données projet'!$B$13,Paramètres!$A$1:$I$88,7,0))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projet'!$B$13,Paramètres!$A$1:$I$88,3,0)*0.475*44/12</f>
        <v>0</v>
      </c>
      <c r="DG117" s="23">
        <f>EXP(-LN(2)/25)*DG116+(1-EXP(-LN(2)/25))/(LN(2)/25)*Calculateur!DB117*Calculateur!DD117*VLOOKUP('Données projet'!$B$13,Paramètres!$A$1:$I$88,3,0)*0.475*44/12</f>
        <v>1.3467104688973013</v>
      </c>
      <c r="DH117" s="23">
        <f>EXP(-LN(2)/2)*DH116+(1-EXP(-LN(2)/2))/(LN(2)/2)*DB117*DE117*VLOOKUP('Données projet'!$B$13,Paramètres!$A$1:$I$88,3,0)*0.475*44/12</f>
        <v>1.541795359010591E-12</v>
      </c>
      <c r="DI117" s="24">
        <f t="shared" si="69"/>
        <v>1.3467104688988432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projet'!$B$14,Paramètres!$A$1:$I$88,3,0)*VLOOKUP('Données projet'!$B$14,Paramètres!$A$1:$I$88,5,0)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projet'!$B$14,Paramètres!$A$1:$I$88,7,0))</f>
        <v>0</v>
      </c>
      <c r="DY117" s="17">
        <f>IF(ISNA(VLOOKUP(A117,'Données projet'!$A$165:$I$185,6,0)),0%,VLOOKUP(A117,'Données projet'!$A$165:$I$185,6,0)*VLOOKUP('Données projet'!$B$14,Paramètres!$A$1:$I$88,7,0))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projet'!$B$14,Paramètres!$A$1:$I$88,3,0)*0.475*44/12</f>
        <v>#N/A</v>
      </c>
      <c r="EB117" s="23" t="e">
        <f>EXP(-LN(2)/25)*EB116+(1-EXP(-LN(2)/25))/(LN(2)/25)*Calculateur!DW117*Calculateur!DY117*VLOOKUP('Données projet'!$B$14,Paramètres!$A$1:$I$88,3,0)*0.475*44/12</f>
        <v>#N/A</v>
      </c>
      <c r="EC117" s="23" t="e">
        <f>EXP(-LN(2)/2)*EC116+(1-EXP(-LN(2)/2))/(LN(2)/2)*DW117*DZ117*VLOOKUP('Données projet'!$B$14,Paramètres!$A$1:$I$88,3,0)*0.475*44/12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projet'!$B$15,Paramètres!$A$1:$I$88,3,0)*VLOOKUP('Données projet'!$B$15,Paramètres!$A$1:$I$88,5,0)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projet'!$B$15,Paramètres!$A$1:$I$88,7,0))</f>
        <v>0</v>
      </c>
      <c r="ET117" s="17">
        <f>IF(ISNA(VLOOKUP(A117,'Données projet'!$A$191:$I$211,6,0)),0%,VLOOKUP(A117,'Données projet'!$A$191:$I$211,6,0)*VLOOKUP('Données projet'!$B$15,Paramètres!$A$1:$I$88,7,0))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projet'!$B$15,Paramètres!$A$1:$I$88,3,0)*0.475*44/12</f>
        <v>#N/A</v>
      </c>
      <c r="EW117" s="23" t="e">
        <f>EXP(-LN(2)/25)*EW116+(1-EXP(-LN(2)/25))/(LN(2)/25)*Calculateur!ER117*Calculateur!ET117*VLOOKUP('Données projet'!$B$15,Paramètres!$A$1:$I$88,3,0)*0.475*44/12</f>
        <v>#N/A</v>
      </c>
      <c r="EX117" s="23" t="e">
        <f>EXP(-LN(2)/2)*EX116+(1-EXP(-LN(2)/2))/(LN(2)/2)*ER117*EU117*VLOOKUP('Données projet'!$B$15,Paramètres!$A$1:$I$88,3,0)*0.475*44/12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projet'!$B$16,Paramètres!$A$1:$I$88,3,0)*VLOOKUP('Données projet'!$B$16,Paramètres!$A$1:$I$88,5,0)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projet'!$B$16,Paramètres!$A$1:$I$88,7,0))</f>
        <v>0</v>
      </c>
      <c r="FO117" s="17">
        <f>IF(ISNA(VLOOKUP(A117,'Données projet'!$A$217:$I$237,6,0)),0%,VLOOKUP(A117,'Données projet'!$A$217:$I$237,6,0)*VLOOKUP('Données projet'!$B$16,Paramètres!$A$1:$I$88,7,0))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projet'!$B$16,Paramètres!$A$1:$I$88,3,0)*0.475*44/12</f>
        <v>#N/A</v>
      </c>
      <c r="FR117" s="23" t="e">
        <f>EXP(-LN(2)/25)*FR116+(1-EXP(-LN(2)/25))/(LN(2)/25)*Calculateur!FM117*Calculateur!FO117*VLOOKUP('Données projet'!$B$16,Paramètres!$A$1:$I$88,3,0)*0.475*44/12</f>
        <v>#N/A</v>
      </c>
      <c r="FS117" s="23" t="e">
        <f>EXP(-LN(2)/2)*FS116+(1-EXP(-LN(2)/2))/(LN(2)/2)*FM117*FP117*VLOOKUP('Données projet'!$B$16,Paramètres!$A$1:$I$88,3,0)*0.475*44/12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projet'!$B$17,Paramètres!$A$1:$I$88,3,0)*VLOOKUP('Données projet'!$B$17,Paramètres!$A$1:$I$88,5,0)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projet'!$B$17,Paramètres!$A$1:$I$88,7,0))</f>
        <v>0</v>
      </c>
      <c r="GJ117" s="17">
        <f>IF(ISNA(VLOOKUP(A117,'Données projet'!$A$243:$I$263,6,0)),0%,VLOOKUP(A117,'Données projet'!$A$243:$I$263,6,0)*VLOOKUP('Données projet'!$B$17,Paramètres!$A$1:$I$88,7,0))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projet'!$B$17,Paramètres!$A$1:$I$88,3,0)*0.475*44/12</f>
        <v>#N/A</v>
      </c>
      <c r="GM117" s="23" t="e">
        <f>EXP(-LN(2)/25)*GM116+(1-EXP(-LN(2)/25))/(LN(2)/25)*Calculateur!GH117*Calculateur!GJ117*VLOOKUP('Données projet'!$B$17,Paramètres!$A$1:$I$88,3,0)*0.475*44/12</f>
        <v>#N/A</v>
      </c>
      <c r="GN117" s="23" t="e">
        <f>EXP(-LN(2)/2)*GN116+(1-EXP(-LN(2)/2))/(LN(2)/2)*GH117*GK117*VLOOKUP('Données projet'!$B$17,Paramètres!$A$1:$I$88,3,0)*0.475*44/12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projet'!$B$18,Paramètres!$A$1:$I$88,3,0)*VLOOKUP('Données projet'!$B$18,Paramètres!$A$1:$I$88,5,0)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projet'!$B$18,Paramètres!$A$1:$I$88,7,0))</f>
        <v>0</v>
      </c>
      <c r="HE117" s="17">
        <f>IF(ISNA(VLOOKUP(A117,'Données projet'!$A$269:$I$289,6,0)),0%,VLOOKUP(A117,'Données projet'!$A$269:$I$289,6,0)*VLOOKUP('Données projet'!$B$18,Paramètres!$A$1:$I$88,7,0))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projet'!$B$18,Paramètres!$A$1:$I$88,3,0)*0.475*44/12</f>
        <v>#N/A</v>
      </c>
      <c r="HH117" s="23" t="e">
        <f>EXP(-LN(2)/25)*HH116+(1-EXP(-LN(2)/25))/(LN(2)/25)*Calculateur!HC117*Calculateur!HE117*VLOOKUP('Données projet'!$B$18,Paramètres!$A$1:$I$88,3,0)*0.475*44/12</f>
        <v>#N/A</v>
      </c>
      <c r="HI117" s="23" t="e">
        <f>EXP(-LN(2)/2)*HI116+(1-EXP(-LN(2)/2))/(LN(2)/2)*HC117*HF117*VLOOKUP('Données projet'!$B$18,Paramètres!$A$1:$I$88,3,0)*0.475*44/12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projet'!$B$9,Paramètres!$A$1:$I$88,3,0)*VLOOKUP('Données projet'!$B$9,Paramètres!$A$1:$I$88,5,0)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175.05987582828078</v>
      </c>
      <c r="T118" s="62">
        <f t="shared" si="88"/>
        <v>268.54782308462387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projet'!$B$9,Paramètres!$A$1:$I$88,7,0))</f>
        <v>0</v>
      </c>
      <c r="X118" s="17">
        <f>IF(ISNA(VLOOKUP(A118,'Données projet'!$A$35:$I$55,6,0)),0%,VLOOKUP(A118,'Données projet'!$A$35:$I$55,6,0)*VLOOKUP('Données projet'!$B$9,Paramètres!$A$1:$I$88,7,0))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projet'!$B$9,Paramètres!$A$1:$I$88,3,0)*0.475*44/12</f>
        <v>0</v>
      </c>
      <c r="AA118" s="23">
        <f>EXP(-LN(2)/25)*AA117+(1-EXP(-LN(2)/25))/(LN(2)/25)*Calculateur!V118*Calculateur!X118*VLOOKUP('Données projet'!$B$9,Paramètres!$A$1:$I$88,3,0)*0.475*44/12</f>
        <v>0.9753137909987124</v>
      </c>
      <c r="AB118" s="23">
        <f>EXP(-LN(2)/2)*AB117+(1-EXP(-LN(2)/2))/(LN(2)/2)*V118*Y118*VLOOKUP('Données projet'!$B$9,Paramètres!$A$1:$I$88,3,0)*0.475*44/12</f>
        <v>2.6558540310040975E-12</v>
      </c>
      <c r="AC118" s="24">
        <f t="shared" si="57"/>
        <v>0.97531379100136828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10.4</v>
      </c>
      <c r="AI118" s="14">
        <f>IF('Données projet'!$A$62&gt;35,AI117+AH118-AQ117,IF(A118&lt;'Données projet'!$A$62,$AF$205^A118,IF(A118='Données projet'!$A$62,'Données projet'!$B$62,AI117+AH118-AQ117)))</f>
        <v>939.99999999999909</v>
      </c>
      <c r="AJ118" s="14">
        <f>AI118*VLOOKUP('Données projet'!$B$10,Paramètres!$A$1:$I$88,3,0)*VLOOKUP('Données projet'!$B$10,Paramètres!$A$1:$I$88,5,0)</f>
        <v>452.13999999999959</v>
      </c>
      <c r="AK118" s="14">
        <f t="shared" si="89"/>
        <v>102.27069935760532</v>
      </c>
      <c r="AL118" s="22">
        <f t="shared" si="58"/>
        <v>965.59863471449501</v>
      </c>
      <c r="AM118" s="62">
        <f t="shared" si="59"/>
        <v>1258.9319680478284</v>
      </c>
      <c r="AN118" s="62">
        <f ca="1">AVERAGE(OFFSET($AM$3,0,0,'Données projet'!$E$10+1,1))-AVERAGE(OFFSET($H$3,0,0,'Données projet'!$E$10+1,1))</f>
        <v>576.61210817354549</v>
      </c>
      <c r="AO118" s="62">
        <f t="shared" si="90"/>
        <v>343.9428747444544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projet'!$B$10,Paramètres!$A$1:$I$88,7,0))</f>
        <v>0</v>
      </c>
      <c r="AS118" s="17">
        <f>IF(ISNA(VLOOKUP(A118,'Données projet'!$A$61:$I$81,6,0)),0%,VLOOKUP(A118,'Données projet'!$A$61:$I$81,6,0)*VLOOKUP('Données projet'!$B$10,Paramètres!$A$1:$I$88,7,0))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projet'!$B$10,Paramètres!$A$1:$I$88,3,0)*0.475*44/12</f>
        <v>0</v>
      </c>
      <c r="AV118" s="23">
        <f>EXP(-LN(2)/25)*AV117+(1-EXP(-LN(2)/25))/(LN(2)/25)*Calculateur!AQ118*Calculateur!AS118*VLOOKUP('Données projet'!$B$10,Paramètres!$A$1:$I$88,3,0)*0.475*44/12</f>
        <v>0.53645808312948962</v>
      </c>
      <c r="AW118" s="23">
        <f>EXP(-LN(2)/2)*AW117+(1-EXP(-LN(2)/2))/(LN(2)/2)*AQ118*AT118*VLOOKUP('Données projet'!$B$10,Paramètres!$A$1:$I$88,3,0)*0.475*44/12</f>
        <v>1.8912962045235116E-12</v>
      </c>
      <c r="AX118" s="23">
        <f t="shared" si="60"/>
        <v>0.53645808313138088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-5.6843418860808015E-14</v>
      </c>
      <c r="BE118" s="14">
        <f>BD118*VLOOKUP('Données projet'!$B$11,Paramètres!$A$1:$I$88,3,0)*VLOOKUP('Données projet'!$B$11,Paramètres!$A$1:$I$88,5,0)</f>
        <v>-4.5224624045658861E-14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298.38448036212861</v>
      </c>
      <c r="BJ118" s="62">
        <f t="shared" si="92"/>
        <v>270.4445531106897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projet'!$B$11,Paramètres!$A$1:$I$88,7,0))</f>
        <v>0</v>
      </c>
      <c r="BN118" s="17">
        <f>IF(ISNA(VLOOKUP(A118,'Données projet'!$A$87:$I$107,6,0)),0%,VLOOKUP(A118,'Données projet'!$A$87:$I$107,6,0)*VLOOKUP('Données projet'!$B$11,Paramètres!$A$1:$I$88,7,0))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projet'!$B$11,Paramètres!$A$1:$I$88,3,0)*0.475*44/12</f>
        <v>0</v>
      </c>
      <c r="BQ118" s="23">
        <f>EXP(-LN(2)/25)*BQ117+(1-EXP(-LN(2)/25))/(LN(2)/25)*Calculateur!BL118*Calculateur!BN118*VLOOKUP('Données projet'!$B$11,Paramètres!$A$1:$I$88,3,0)*0.475*44/12</f>
        <v>0</v>
      </c>
      <c r="BR118" s="23">
        <f>EXP(-LN(2)/2)*BR117+(1-EXP(-LN(2)/2))/(LN(2)/2)*BL118*BO118*VLOOKUP('Données projet'!$B$11,Paramètres!$A$1:$I$88,3,0)*0.475*44/12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5.6843418860808015E-14</v>
      </c>
      <c r="BZ118" s="14">
        <f>BY118*VLOOKUP('Données projet'!$B$12,Paramètres!$A$1:$I$88,3,0)*VLOOKUP('Données projet'!$B$12,Paramètres!$A$1:$I$88,5,0)</f>
        <v>4.4337866711430253E-14</v>
      </c>
      <c r="CA118" s="14">
        <f t="shared" si="93"/>
        <v>7.3222115536967035E-13</v>
      </c>
      <c r="CB118" s="22">
        <f t="shared" si="64"/>
        <v>1.3525069634579169E-12</v>
      </c>
      <c r="CC118" s="62">
        <f t="shared" si="65"/>
        <v>293.33333333333468</v>
      </c>
      <c r="CD118" s="62">
        <f ca="1">AVERAGE(OFFSET($CC$3,0,0,'Données projet'!$E$12+1,1))-AVERAGE(OFFSET($H$3,0,0,'Données projet'!$E$12+1,1))</f>
        <v>217.32600829266818</v>
      </c>
      <c r="CE118" s="62">
        <f t="shared" si="94"/>
        <v>208.79744153433245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projet'!$B$12,Paramètres!$A$1:$I$88,7,0))</f>
        <v>0</v>
      </c>
      <c r="CI118" s="17">
        <f>IF(ISNA(VLOOKUP(A118,'Données projet'!$A$113:$I$133,6,0)),0%,VLOOKUP(A118,'Données projet'!$A$113:$I$133,6,0)*VLOOKUP('Données projet'!$B$12,Paramètres!$A$1:$I$88,7,0))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projet'!$B$12,Paramètres!$A$1:$I$88,3,0)*0.475*44/12</f>
        <v>0</v>
      </c>
      <c r="CL118" s="23">
        <f>EXP(-LN(2)/25)*CL117+(1-EXP(-LN(2)/25))/(LN(2)/25)*Calculateur!CG118*Calculateur!CI118*VLOOKUP('Données projet'!$B$12,Paramètres!$A$1:$I$88,3,0)*0.475*44/12</f>
        <v>0</v>
      </c>
      <c r="CM118" s="23">
        <f>EXP(-LN(2)/2)*CM117+(1-EXP(-LN(2)/2))/(LN(2)/2)*CG118*CJ118*VLOOKUP('Données projet'!$B$12,Paramètres!$A$1:$I$88,3,0)*0.475*44/12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-3.4106051316484809E-13</v>
      </c>
      <c r="CU118" s="18">
        <f>CT118*VLOOKUP('Données projet'!$B$13,Paramètres!$A$1:$I$88,3,0)*VLOOKUP('Données projet'!$B$13,Paramètres!$A$1:$I$88,5,0)</f>
        <v>-1.9065282685915009E-13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302.20483575440988</v>
      </c>
      <c r="CZ118" s="62">
        <f t="shared" si="96"/>
        <v>275.32862097158687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projet'!$B$13,Paramètres!$A$1:$I$88,7,0))</f>
        <v>0</v>
      </c>
      <c r="DD118" s="17">
        <f>IF(ISNA(VLOOKUP(A118,'Données projet'!$A$139:$I$159,6,0)),0%,VLOOKUP(A118,'Données projet'!$A$139:$I$159,6,0)*VLOOKUP('Données projet'!$B$13,Paramètres!$A$1:$I$88,7,0))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projet'!$B$13,Paramètres!$A$1:$I$88,3,0)*0.475*44/12</f>
        <v>0</v>
      </c>
      <c r="DG118" s="23">
        <f>EXP(-LN(2)/25)*DG117+(1-EXP(-LN(2)/25))/(LN(2)/25)*Calculateur!DB118*Calculateur!DD118*VLOOKUP('Données projet'!$B$13,Paramètres!$A$1:$I$88,3,0)*0.475*44/12</f>
        <v>1.309884600304879</v>
      </c>
      <c r="DH118" s="23">
        <f>EXP(-LN(2)/2)*DH117+(1-EXP(-LN(2)/2))/(LN(2)/2)*DB118*DE118*VLOOKUP('Données projet'!$B$13,Paramètres!$A$1:$I$88,3,0)*0.475*44/12</f>
        <v>1.0902139535583364E-12</v>
      </c>
      <c r="DI118" s="24">
        <f t="shared" si="69"/>
        <v>1.3098846003059692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projet'!$B$14,Paramètres!$A$1:$I$88,3,0)*VLOOKUP('Données projet'!$B$14,Paramètres!$A$1:$I$88,5,0)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projet'!$B$14,Paramètres!$A$1:$I$88,7,0))</f>
        <v>0</v>
      </c>
      <c r="DY118" s="17">
        <f>IF(ISNA(VLOOKUP(A118,'Données projet'!$A$165:$I$185,6,0)),0%,VLOOKUP(A118,'Données projet'!$A$165:$I$185,6,0)*VLOOKUP('Données projet'!$B$14,Paramètres!$A$1:$I$88,7,0))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projet'!$B$14,Paramètres!$A$1:$I$88,3,0)*0.475*44/12</f>
        <v>#N/A</v>
      </c>
      <c r="EB118" s="23" t="e">
        <f>EXP(-LN(2)/25)*EB117+(1-EXP(-LN(2)/25))/(LN(2)/25)*Calculateur!DW118*Calculateur!DY118*VLOOKUP('Données projet'!$B$14,Paramètres!$A$1:$I$88,3,0)*0.475*44/12</f>
        <v>#N/A</v>
      </c>
      <c r="EC118" s="23" t="e">
        <f>EXP(-LN(2)/2)*EC117+(1-EXP(-LN(2)/2))/(LN(2)/2)*DW118*DZ118*VLOOKUP('Données projet'!$B$14,Paramètres!$A$1:$I$88,3,0)*0.475*44/12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projet'!$B$15,Paramètres!$A$1:$I$88,3,0)*VLOOKUP('Données projet'!$B$15,Paramètres!$A$1:$I$88,5,0)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projet'!$B$15,Paramètres!$A$1:$I$88,7,0))</f>
        <v>0</v>
      </c>
      <c r="ET118" s="17">
        <f>IF(ISNA(VLOOKUP(A118,'Données projet'!$A$191:$I$211,6,0)),0%,VLOOKUP(A118,'Données projet'!$A$191:$I$211,6,0)*VLOOKUP('Données projet'!$B$15,Paramètres!$A$1:$I$88,7,0))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projet'!$B$15,Paramètres!$A$1:$I$88,3,0)*0.475*44/12</f>
        <v>#N/A</v>
      </c>
      <c r="EW118" s="23" t="e">
        <f>EXP(-LN(2)/25)*EW117+(1-EXP(-LN(2)/25))/(LN(2)/25)*Calculateur!ER118*Calculateur!ET118*VLOOKUP('Données projet'!$B$15,Paramètres!$A$1:$I$88,3,0)*0.475*44/12</f>
        <v>#N/A</v>
      </c>
      <c r="EX118" s="23" t="e">
        <f>EXP(-LN(2)/2)*EX117+(1-EXP(-LN(2)/2))/(LN(2)/2)*ER118*EU118*VLOOKUP('Données projet'!$B$15,Paramètres!$A$1:$I$88,3,0)*0.475*44/12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projet'!$B$16,Paramètres!$A$1:$I$88,3,0)*VLOOKUP('Données projet'!$B$16,Paramètres!$A$1:$I$88,5,0)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projet'!$B$16,Paramètres!$A$1:$I$88,7,0))</f>
        <v>0</v>
      </c>
      <c r="FO118" s="17">
        <f>IF(ISNA(VLOOKUP(A118,'Données projet'!$A$217:$I$237,6,0)),0%,VLOOKUP(A118,'Données projet'!$A$217:$I$237,6,0)*VLOOKUP('Données projet'!$B$16,Paramètres!$A$1:$I$88,7,0))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projet'!$B$16,Paramètres!$A$1:$I$88,3,0)*0.475*44/12</f>
        <v>#N/A</v>
      </c>
      <c r="FR118" s="23" t="e">
        <f>EXP(-LN(2)/25)*FR117+(1-EXP(-LN(2)/25))/(LN(2)/25)*Calculateur!FM118*Calculateur!FO118*VLOOKUP('Données projet'!$B$16,Paramètres!$A$1:$I$88,3,0)*0.475*44/12</f>
        <v>#N/A</v>
      </c>
      <c r="FS118" s="23" t="e">
        <f>EXP(-LN(2)/2)*FS117+(1-EXP(-LN(2)/2))/(LN(2)/2)*FM118*FP118*VLOOKUP('Données projet'!$B$16,Paramètres!$A$1:$I$88,3,0)*0.475*44/12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projet'!$B$17,Paramètres!$A$1:$I$88,3,0)*VLOOKUP('Données projet'!$B$17,Paramètres!$A$1:$I$88,5,0)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projet'!$B$17,Paramètres!$A$1:$I$88,7,0))</f>
        <v>0</v>
      </c>
      <c r="GJ118" s="17">
        <f>IF(ISNA(VLOOKUP(A118,'Données projet'!$A$243:$I$263,6,0)),0%,VLOOKUP(A118,'Données projet'!$A$243:$I$263,6,0)*VLOOKUP('Données projet'!$B$17,Paramètres!$A$1:$I$88,7,0))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projet'!$B$17,Paramètres!$A$1:$I$88,3,0)*0.475*44/12</f>
        <v>#N/A</v>
      </c>
      <c r="GM118" s="23" t="e">
        <f>EXP(-LN(2)/25)*GM117+(1-EXP(-LN(2)/25))/(LN(2)/25)*Calculateur!GH118*Calculateur!GJ118*VLOOKUP('Données projet'!$B$17,Paramètres!$A$1:$I$88,3,0)*0.475*44/12</f>
        <v>#N/A</v>
      </c>
      <c r="GN118" s="23" t="e">
        <f>EXP(-LN(2)/2)*GN117+(1-EXP(-LN(2)/2))/(LN(2)/2)*GH118*GK118*VLOOKUP('Données projet'!$B$17,Paramètres!$A$1:$I$88,3,0)*0.475*44/12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projet'!$B$18,Paramètres!$A$1:$I$88,3,0)*VLOOKUP('Données projet'!$B$18,Paramètres!$A$1:$I$88,5,0)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projet'!$B$18,Paramètres!$A$1:$I$88,7,0))</f>
        <v>0</v>
      </c>
      <c r="HE118" s="17">
        <f>IF(ISNA(VLOOKUP(A118,'Données projet'!$A$269:$I$289,6,0)),0%,VLOOKUP(A118,'Données projet'!$A$269:$I$289,6,0)*VLOOKUP('Données projet'!$B$18,Paramètres!$A$1:$I$88,7,0))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projet'!$B$18,Paramètres!$A$1:$I$88,3,0)*0.475*44/12</f>
        <v>#N/A</v>
      </c>
      <c r="HH118" s="23" t="e">
        <f>EXP(-LN(2)/25)*HH117+(1-EXP(-LN(2)/25))/(LN(2)/25)*Calculateur!HC118*Calculateur!HE118*VLOOKUP('Données projet'!$B$18,Paramètres!$A$1:$I$88,3,0)*0.475*44/12</f>
        <v>#N/A</v>
      </c>
      <c r="HI118" s="23" t="e">
        <f>EXP(-LN(2)/2)*HI117+(1-EXP(-LN(2)/2))/(LN(2)/2)*HC118*HF118*VLOOKUP('Données projet'!$B$18,Paramètres!$A$1:$I$88,3,0)*0.475*44/12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projet'!$B$9,Paramètres!$A$1:$I$88,3,0)*VLOOKUP('Données projet'!$B$9,Paramètres!$A$1:$I$88,5,0)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175.05987582828078</v>
      </c>
      <c r="T119" s="62">
        <f t="shared" si="88"/>
        <v>268.54782308462387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projet'!$B$9,Paramètres!$A$1:$I$88,7,0))</f>
        <v>0</v>
      </c>
      <c r="X119" s="17">
        <f>IF(ISNA(VLOOKUP(A119,'Données projet'!$A$35:$I$55,6,0)),0%,VLOOKUP(A119,'Données projet'!$A$35:$I$55,6,0)*VLOOKUP('Données projet'!$B$9,Paramètres!$A$1:$I$88,7,0))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projet'!$B$9,Paramètres!$A$1:$I$88,3,0)*0.475*44/12</f>
        <v>0</v>
      </c>
      <c r="AA119" s="23">
        <f>EXP(-LN(2)/25)*AA118+(1-EXP(-LN(2)/25))/(LN(2)/25)*Calculateur!V119*Calculateur!X119*VLOOKUP('Données projet'!$B$9,Paramètres!$A$1:$I$88,3,0)*0.475*44/12</f>
        <v>0.94864378409432948</v>
      </c>
      <c r="AB119" s="23">
        <f>EXP(-LN(2)/2)*AB118+(1-EXP(-LN(2)/2))/(LN(2)/2)*V119*Y119*VLOOKUP('Données projet'!$B$9,Paramètres!$A$1:$I$88,3,0)*0.475*44/12</f>
        <v>1.8779723951646245E-12</v>
      </c>
      <c r="AC119" s="24">
        <f t="shared" si="57"/>
        <v>0.94864378409620742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10.4</v>
      </c>
      <c r="AI119" s="14">
        <f>IF('Données projet'!$A$62&gt;35,AI118+AH119-AQ118,IF(A119&lt;'Données projet'!$A$62,$AF$205^A119,IF(A119='Données projet'!$A$62,'Données projet'!$B$62,AI118+AH119-AQ118)))</f>
        <v>950.39999999999907</v>
      </c>
      <c r="AJ119" s="14">
        <f>AI119*VLOOKUP('Données projet'!$B$10,Paramètres!$A$1:$I$88,3,0)*VLOOKUP('Données projet'!$B$10,Paramètres!$A$1:$I$88,5,0)</f>
        <v>457.14239999999955</v>
      </c>
      <c r="AK119" s="14">
        <f t="shared" si="89"/>
        <v>103.26985656466714</v>
      </c>
      <c r="AL119" s="22">
        <f t="shared" si="58"/>
        <v>976.05134685012774</v>
      </c>
      <c r="AM119" s="62">
        <f t="shared" si="59"/>
        <v>1269.3846801834611</v>
      </c>
      <c r="AN119" s="62">
        <f ca="1">AVERAGE(OFFSET($AM$3,0,0,'Données projet'!$E$10+1,1))-AVERAGE(OFFSET($H$3,0,0,'Données projet'!$E$10+1,1))</f>
        <v>576.61210817354549</v>
      </c>
      <c r="AO119" s="62">
        <f t="shared" si="90"/>
        <v>343.9428747444544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projet'!$B$10,Paramètres!$A$1:$I$88,7,0))</f>
        <v>0</v>
      </c>
      <c r="AS119" s="17">
        <f>IF(ISNA(VLOOKUP(A119,'Données projet'!$A$61:$I$81,6,0)),0%,VLOOKUP(A119,'Données projet'!$A$61:$I$81,6,0)*VLOOKUP('Données projet'!$B$10,Paramètres!$A$1:$I$88,7,0))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projet'!$B$10,Paramètres!$A$1:$I$88,3,0)*0.475*44/12</f>
        <v>0</v>
      </c>
      <c r="AV119" s="23">
        <f>EXP(-LN(2)/25)*AV118+(1-EXP(-LN(2)/25))/(LN(2)/25)*Calculateur!AQ119*Calculateur!AS119*VLOOKUP('Données projet'!$B$10,Paramètres!$A$1:$I$88,3,0)*0.475*44/12</f>
        <v>0.52178860863520926</v>
      </c>
      <c r="AW119" s="23">
        <f>EXP(-LN(2)/2)*AW118+(1-EXP(-LN(2)/2))/(LN(2)/2)*AQ119*AT119*VLOOKUP('Données projet'!$B$10,Paramètres!$A$1:$I$88,3,0)*0.475*44/12</f>
        <v>1.3373483714509545E-12</v>
      </c>
      <c r="AX119" s="23">
        <f t="shared" si="60"/>
        <v>0.52178860863654664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-5.6843418860808015E-14</v>
      </c>
      <c r="BE119" s="14">
        <f>BD119*VLOOKUP('Données projet'!$B$11,Paramètres!$A$1:$I$88,3,0)*VLOOKUP('Données projet'!$B$11,Paramètres!$A$1:$I$88,5,0)</f>
        <v>-4.5224624045658861E-14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298.38448036212861</v>
      </c>
      <c r="BJ119" s="62">
        <f t="shared" si="92"/>
        <v>270.4445531106897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projet'!$B$11,Paramètres!$A$1:$I$88,7,0))</f>
        <v>0</v>
      </c>
      <c r="BN119" s="17">
        <f>IF(ISNA(VLOOKUP(A119,'Données projet'!$A$87:$I$107,6,0)),0%,VLOOKUP(A119,'Données projet'!$A$87:$I$107,6,0)*VLOOKUP('Données projet'!$B$11,Paramètres!$A$1:$I$88,7,0))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projet'!$B$11,Paramètres!$A$1:$I$88,3,0)*0.475*44/12</f>
        <v>0</v>
      </c>
      <c r="BQ119" s="23">
        <f>EXP(-LN(2)/25)*BQ118+(1-EXP(-LN(2)/25))/(LN(2)/25)*Calculateur!BL119*Calculateur!BN119*VLOOKUP('Données projet'!$B$11,Paramètres!$A$1:$I$88,3,0)*0.475*44/12</f>
        <v>0</v>
      </c>
      <c r="BR119" s="23">
        <f>EXP(-LN(2)/2)*BR118+(1-EXP(-LN(2)/2))/(LN(2)/2)*BL119*BO119*VLOOKUP('Données projet'!$B$11,Paramètres!$A$1:$I$88,3,0)*0.475*44/12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5.6843418860808015E-14</v>
      </c>
      <c r="BZ119" s="14">
        <f>BY119*VLOOKUP('Données projet'!$B$12,Paramètres!$A$1:$I$88,3,0)*VLOOKUP('Données projet'!$B$12,Paramètres!$A$1:$I$88,5,0)</f>
        <v>4.4337866711430253E-14</v>
      </c>
      <c r="CA119" s="14">
        <f t="shared" si="93"/>
        <v>7.3222115536967035E-13</v>
      </c>
      <c r="CB119" s="22">
        <f t="shared" si="64"/>
        <v>1.3525069634579169E-12</v>
      </c>
      <c r="CC119" s="62">
        <f t="shared" si="65"/>
        <v>293.33333333333468</v>
      </c>
      <c r="CD119" s="62">
        <f ca="1">AVERAGE(OFFSET($CC$3,0,0,'Données projet'!$E$12+1,1))-AVERAGE(OFFSET($H$3,0,0,'Données projet'!$E$12+1,1))</f>
        <v>217.32600829266818</v>
      </c>
      <c r="CE119" s="62">
        <f t="shared" si="94"/>
        <v>208.79744153433245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projet'!$B$12,Paramètres!$A$1:$I$88,7,0))</f>
        <v>0</v>
      </c>
      <c r="CI119" s="17">
        <f>IF(ISNA(VLOOKUP(A119,'Données projet'!$A$113:$I$133,6,0)),0%,VLOOKUP(A119,'Données projet'!$A$113:$I$133,6,0)*VLOOKUP('Données projet'!$B$12,Paramètres!$A$1:$I$88,7,0))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projet'!$B$12,Paramètres!$A$1:$I$88,3,0)*0.475*44/12</f>
        <v>0</v>
      </c>
      <c r="CL119" s="23">
        <f>EXP(-LN(2)/25)*CL118+(1-EXP(-LN(2)/25))/(LN(2)/25)*Calculateur!CG119*Calculateur!CI119*VLOOKUP('Données projet'!$B$12,Paramètres!$A$1:$I$88,3,0)*0.475*44/12</f>
        <v>0</v>
      </c>
      <c r="CM119" s="23">
        <f>EXP(-LN(2)/2)*CM118+(1-EXP(-LN(2)/2))/(LN(2)/2)*CG119*CJ119*VLOOKUP('Données projet'!$B$12,Paramètres!$A$1:$I$88,3,0)*0.475*44/12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-3.4106051316484809E-13</v>
      </c>
      <c r="CU119" s="18">
        <f>CT119*VLOOKUP('Données projet'!$B$13,Paramètres!$A$1:$I$88,3,0)*VLOOKUP('Données projet'!$B$13,Paramètres!$A$1:$I$88,5,0)</f>
        <v>-1.9065282685915009E-13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302.20483575440988</v>
      </c>
      <c r="CZ119" s="62">
        <f t="shared" si="96"/>
        <v>275.32862097158687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projet'!$B$13,Paramètres!$A$1:$I$88,7,0))</f>
        <v>0</v>
      </c>
      <c r="DD119" s="17">
        <f>IF(ISNA(VLOOKUP(A119,'Données projet'!$A$139:$I$159,6,0)),0%,VLOOKUP(A119,'Données projet'!$A$139:$I$159,6,0)*VLOOKUP('Données projet'!$B$13,Paramètres!$A$1:$I$88,7,0))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projet'!$B$13,Paramètres!$A$1:$I$88,3,0)*0.475*44/12</f>
        <v>0</v>
      </c>
      <c r="DG119" s="23">
        <f>EXP(-LN(2)/25)*DG118+(1-EXP(-LN(2)/25))/(LN(2)/25)*Calculateur!DB119*Calculateur!DD119*VLOOKUP('Données projet'!$B$13,Paramètres!$A$1:$I$88,3,0)*0.475*44/12</f>
        <v>1.2740657370257047</v>
      </c>
      <c r="DH119" s="23">
        <f>EXP(-LN(2)/2)*DH118+(1-EXP(-LN(2)/2))/(LN(2)/2)*DB119*DE119*VLOOKUP('Données projet'!$B$13,Paramètres!$A$1:$I$88,3,0)*0.475*44/12</f>
        <v>7.708976795052955E-13</v>
      </c>
      <c r="DI119" s="24">
        <f t="shared" si="69"/>
        <v>1.2740657370264756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projet'!$B$14,Paramètres!$A$1:$I$88,3,0)*VLOOKUP('Données projet'!$B$14,Paramètres!$A$1:$I$88,5,0)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projet'!$B$14,Paramètres!$A$1:$I$88,7,0))</f>
        <v>0</v>
      </c>
      <c r="DY119" s="17">
        <f>IF(ISNA(VLOOKUP(A119,'Données projet'!$A$165:$I$185,6,0)),0%,VLOOKUP(A119,'Données projet'!$A$165:$I$185,6,0)*VLOOKUP('Données projet'!$B$14,Paramètres!$A$1:$I$88,7,0))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projet'!$B$14,Paramètres!$A$1:$I$88,3,0)*0.475*44/12</f>
        <v>#N/A</v>
      </c>
      <c r="EB119" s="23" t="e">
        <f>EXP(-LN(2)/25)*EB118+(1-EXP(-LN(2)/25))/(LN(2)/25)*Calculateur!DW119*Calculateur!DY119*VLOOKUP('Données projet'!$B$14,Paramètres!$A$1:$I$88,3,0)*0.475*44/12</f>
        <v>#N/A</v>
      </c>
      <c r="EC119" s="23" t="e">
        <f>EXP(-LN(2)/2)*EC118+(1-EXP(-LN(2)/2))/(LN(2)/2)*DW119*DZ119*VLOOKUP('Données projet'!$B$14,Paramètres!$A$1:$I$88,3,0)*0.475*44/12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projet'!$B$15,Paramètres!$A$1:$I$88,3,0)*VLOOKUP('Données projet'!$B$15,Paramètres!$A$1:$I$88,5,0)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projet'!$B$15,Paramètres!$A$1:$I$88,7,0))</f>
        <v>0</v>
      </c>
      <c r="ET119" s="17">
        <f>IF(ISNA(VLOOKUP(A119,'Données projet'!$A$191:$I$211,6,0)),0%,VLOOKUP(A119,'Données projet'!$A$191:$I$211,6,0)*VLOOKUP('Données projet'!$B$15,Paramètres!$A$1:$I$88,7,0))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projet'!$B$15,Paramètres!$A$1:$I$88,3,0)*0.475*44/12</f>
        <v>#N/A</v>
      </c>
      <c r="EW119" s="23" t="e">
        <f>EXP(-LN(2)/25)*EW118+(1-EXP(-LN(2)/25))/(LN(2)/25)*Calculateur!ER119*Calculateur!ET119*VLOOKUP('Données projet'!$B$15,Paramètres!$A$1:$I$88,3,0)*0.475*44/12</f>
        <v>#N/A</v>
      </c>
      <c r="EX119" s="23" t="e">
        <f>EXP(-LN(2)/2)*EX118+(1-EXP(-LN(2)/2))/(LN(2)/2)*ER119*EU119*VLOOKUP('Données projet'!$B$15,Paramètres!$A$1:$I$88,3,0)*0.475*44/12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projet'!$B$16,Paramètres!$A$1:$I$88,3,0)*VLOOKUP('Données projet'!$B$16,Paramètres!$A$1:$I$88,5,0)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projet'!$B$16,Paramètres!$A$1:$I$88,7,0))</f>
        <v>0</v>
      </c>
      <c r="FO119" s="17">
        <f>IF(ISNA(VLOOKUP(A119,'Données projet'!$A$217:$I$237,6,0)),0%,VLOOKUP(A119,'Données projet'!$A$217:$I$237,6,0)*VLOOKUP('Données projet'!$B$16,Paramètres!$A$1:$I$88,7,0))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projet'!$B$16,Paramètres!$A$1:$I$88,3,0)*0.475*44/12</f>
        <v>#N/A</v>
      </c>
      <c r="FR119" s="23" t="e">
        <f>EXP(-LN(2)/25)*FR118+(1-EXP(-LN(2)/25))/(LN(2)/25)*Calculateur!FM119*Calculateur!FO119*VLOOKUP('Données projet'!$B$16,Paramètres!$A$1:$I$88,3,0)*0.475*44/12</f>
        <v>#N/A</v>
      </c>
      <c r="FS119" s="23" t="e">
        <f>EXP(-LN(2)/2)*FS118+(1-EXP(-LN(2)/2))/(LN(2)/2)*FM119*FP119*VLOOKUP('Données projet'!$B$16,Paramètres!$A$1:$I$88,3,0)*0.475*44/12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projet'!$B$17,Paramètres!$A$1:$I$88,3,0)*VLOOKUP('Données projet'!$B$17,Paramètres!$A$1:$I$88,5,0)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projet'!$B$17,Paramètres!$A$1:$I$88,7,0))</f>
        <v>0</v>
      </c>
      <c r="GJ119" s="17">
        <f>IF(ISNA(VLOOKUP(A119,'Données projet'!$A$243:$I$263,6,0)),0%,VLOOKUP(A119,'Données projet'!$A$243:$I$263,6,0)*VLOOKUP('Données projet'!$B$17,Paramètres!$A$1:$I$88,7,0))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projet'!$B$17,Paramètres!$A$1:$I$88,3,0)*0.475*44/12</f>
        <v>#N/A</v>
      </c>
      <c r="GM119" s="23" t="e">
        <f>EXP(-LN(2)/25)*GM118+(1-EXP(-LN(2)/25))/(LN(2)/25)*Calculateur!GH119*Calculateur!GJ119*VLOOKUP('Données projet'!$B$17,Paramètres!$A$1:$I$88,3,0)*0.475*44/12</f>
        <v>#N/A</v>
      </c>
      <c r="GN119" s="23" t="e">
        <f>EXP(-LN(2)/2)*GN118+(1-EXP(-LN(2)/2))/(LN(2)/2)*GH119*GK119*VLOOKUP('Données projet'!$B$17,Paramètres!$A$1:$I$88,3,0)*0.475*44/12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projet'!$B$18,Paramètres!$A$1:$I$88,3,0)*VLOOKUP('Données projet'!$B$18,Paramètres!$A$1:$I$88,5,0)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projet'!$B$18,Paramètres!$A$1:$I$88,7,0))</f>
        <v>0</v>
      </c>
      <c r="HE119" s="17">
        <f>IF(ISNA(VLOOKUP(A119,'Données projet'!$A$269:$I$289,6,0)),0%,VLOOKUP(A119,'Données projet'!$A$269:$I$289,6,0)*VLOOKUP('Données projet'!$B$18,Paramètres!$A$1:$I$88,7,0))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projet'!$B$18,Paramètres!$A$1:$I$88,3,0)*0.475*44/12</f>
        <v>#N/A</v>
      </c>
      <c r="HH119" s="23" t="e">
        <f>EXP(-LN(2)/25)*HH118+(1-EXP(-LN(2)/25))/(LN(2)/25)*Calculateur!HC119*Calculateur!HE119*VLOOKUP('Données projet'!$B$18,Paramètres!$A$1:$I$88,3,0)*0.475*44/12</f>
        <v>#N/A</v>
      </c>
      <c r="HI119" s="23" t="e">
        <f>EXP(-LN(2)/2)*HI118+(1-EXP(-LN(2)/2))/(LN(2)/2)*HC119*HF119*VLOOKUP('Données projet'!$B$18,Paramètres!$A$1:$I$88,3,0)*0.475*44/12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projet'!$B$9,Paramètres!$A$1:$I$88,3,0)*VLOOKUP('Données projet'!$B$9,Paramètres!$A$1:$I$88,5,0)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175.05987582828078</v>
      </c>
      <c r="T120" s="62">
        <f t="shared" si="88"/>
        <v>268.54782308462387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projet'!$B$9,Paramètres!$A$1:$I$88,7,0))</f>
        <v>0</v>
      </c>
      <c r="X120" s="17">
        <f>IF(ISNA(VLOOKUP(A120,'Données projet'!$A$35:$I$55,6,0)),0%,VLOOKUP(A120,'Données projet'!$A$35:$I$55,6,0)*VLOOKUP('Données projet'!$B$9,Paramètres!$A$1:$I$88,7,0))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projet'!$B$9,Paramètres!$A$1:$I$88,3,0)*0.475*44/12</f>
        <v>0</v>
      </c>
      <c r="AA120" s="23">
        <f>EXP(-LN(2)/25)*AA119+(1-EXP(-LN(2)/25))/(LN(2)/25)*Calculateur!V120*Calculateur!X120*VLOOKUP('Données projet'!$B$9,Paramètres!$A$1:$I$88,3,0)*0.475*44/12</f>
        <v>0.92270306993126161</v>
      </c>
      <c r="AB120" s="23">
        <f>EXP(-LN(2)/2)*AB119+(1-EXP(-LN(2)/2))/(LN(2)/2)*V120*Y120*VLOOKUP('Données projet'!$B$9,Paramètres!$A$1:$I$88,3,0)*0.475*44/12</f>
        <v>1.3279270155020487E-12</v>
      </c>
      <c r="AC120" s="24">
        <f t="shared" si="57"/>
        <v>0.92270306993258955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10.4</v>
      </c>
      <c r="AI120" s="14">
        <f>IF('Données projet'!$A$62&gt;35,AI119+AH120-AQ119,IF(A120&lt;'Données projet'!$A$62,$AF$205^A120,IF(A120='Données projet'!$A$62,'Données projet'!$B$62,AI119+AH120-AQ119)))</f>
        <v>960.79999999999905</v>
      </c>
      <c r="AJ120" s="14">
        <f>AI120*VLOOKUP('Données projet'!$B$10,Paramètres!$A$1:$I$88,3,0)*VLOOKUP('Données projet'!$B$10,Paramètres!$A$1:$I$88,5,0)</f>
        <v>462.14479999999952</v>
      </c>
      <c r="AK120" s="14">
        <f t="shared" si="89"/>
        <v>104.26774189118348</v>
      </c>
      <c r="AL120" s="22">
        <f t="shared" si="58"/>
        <v>986.50184379381028</v>
      </c>
      <c r="AM120" s="62">
        <f t="shared" si="59"/>
        <v>1279.8351771271437</v>
      </c>
      <c r="AN120" s="62">
        <f ca="1">AVERAGE(OFFSET($AM$3,0,0,'Données projet'!$E$10+1,1))-AVERAGE(OFFSET($H$3,0,0,'Données projet'!$E$10+1,1))</f>
        <v>576.61210817354549</v>
      </c>
      <c r="AO120" s="62">
        <f t="shared" si="90"/>
        <v>343.9428747444544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projet'!$B$10,Paramètres!$A$1:$I$88,7,0))</f>
        <v>0</v>
      </c>
      <c r="AS120" s="17">
        <f>IF(ISNA(VLOOKUP(A120,'Données projet'!$A$61:$I$81,6,0)),0%,VLOOKUP(A120,'Données projet'!$A$61:$I$81,6,0)*VLOOKUP('Données projet'!$B$10,Paramètres!$A$1:$I$88,7,0))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projet'!$B$10,Paramètres!$A$1:$I$88,3,0)*0.475*44/12</f>
        <v>0</v>
      </c>
      <c r="AV120" s="23">
        <f>EXP(-LN(2)/25)*AV119+(1-EXP(-LN(2)/25))/(LN(2)/25)*Calculateur!AQ120*Calculateur!AS120*VLOOKUP('Données projet'!$B$10,Paramètres!$A$1:$I$88,3,0)*0.475*44/12</f>
        <v>0.5075202716924091</v>
      </c>
      <c r="AW120" s="23">
        <f>EXP(-LN(2)/2)*AW119+(1-EXP(-LN(2)/2))/(LN(2)/2)*AQ120*AT120*VLOOKUP('Données projet'!$B$10,Paramètres!$A$1:$I$88,3,0)*0.475*44/12</f>
        <v>9.4564810226175578E-13</v>
      </c>
      <c r="AX120" s="23">
        <f t="shared" si="60"/>
        <v>0.50752027169335479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-5.6843418860808015E-14</v>
      </c>
      <c r="BE120" s="14">
        <f>BD120*VLOOKUP('Données projet'!$B$11,Paramètres!$A$1:$I$88,3,0)*VLOOKUP('Données projet'!$B$11,Paramètres!$A$1:$I$88,5,0)</f>
        <v>-4.5224624045658861E-14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298.38448036212861</v>
      </c>
      <c r="BJ120" s="62">
        <f t="shared" si="92"/>
        <v>270.4445531106897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projet'!$B$11,Paramètres!$A$1:$I$88,7,0))</f>
        <v>0</v>
      </c>
      <c r="BN120" s="17">
        <f>IF(ISNA(VLOOKUP(A120,'Données projet'!$A$87:$I$107,6,0)),0%,VLOOKUP(A120,'Données projet'!$A$87:$I$107,6,0)*VLOOKUP('Données projet'!$B$11,Paramètres!$A$1:$I$88,7,0))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projet'!$B$11,Paramètres!$A$1:$I$88,3,0)*0.475*44/12</f>
        <v>0</v>
      </c>
      <c r="BQ120" s="23">
        <f>EXP(-LN(2)/25)*BQ119+(1-EXP(-LN(2)/25))/(LN(2)/25)*Calculateur!BL120*Calculateur!BN120*VLOOKUP('Données projet'!$B$11,Paramètres!$A$1:$I$88,3,0)*0.475*44/12</f>
        <v>0</v>
      </c>
      <c r="BR120" s="23">
        <f>EXP(-LN(2)/2)*BR119+(1-EXP(-LN(2)/2))/(LN(2)/2)*BL120*BO120*VLOOKUP('Données projet'!$B$11,Paramètres!$A$1:$I$88,3,0)*0.475*44/12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5.6843418860808015E-14</v>
      </c>
      <c r="BZ120" s="14">
        <f>BY120*VLOOKUP('Données projet'!$B$12,Paramètres!$A$1:$I$88,3,0)*VLOOKUP('Données projet'!$B$12,Paramètres!$A$1:$I$88,5,0)</f>
        <v>4.4337866711430253E-14</v>
      </c>
      <c r="CA120" s="14">
        <f t="shared" si="93"/>
        <v>7.3222115536967035E-13</v>
      </c>
      <c r="CB120" s="22">
        <f t="shared" si="64"/>
        <v>1.3525069634579169E-12</v>
      </c>
      <c r="CC120" s="62">
        <f t="shared" si="65"/>
        <v>293.33333333333468</v>
      </c>
      <c r="CD120" s="62">
        <f ca="1">AVERAGE(OFFSET($CC$3,0,0,'Données projet'!$E$12+1,1))-AVERAGE(OFFSET($H$3,0,0,'Données projet'!$E$12+1,1))</f>
        <v>217.32600829266818</v>
      </c>
      <c r="CE120" s="62">
        <f t="shared" si="94"/>
        <v>208.79744153433245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projet'!$B$12,Paramètres!$A$1:$I$88,7,0))</f>
        <v>0</v>
      </c>
      <c r="CI120" s="17">
        <f>IF(ISNA(VLOOKUP(A120,'Données projet'!$A$113:$I$133,6,0)),0%,VLOOKUP(A120,'Données projet'!$A$113:$I$133,6,0)*VLOOKUP('Données projet'!$B$12,Paramètres!$A$1:$I$88,7,0))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projet'!$B$12,Paramètres!$A$1:$I$88,3,0)*0.475*44/12</f>
        <v>0</v>
      </c>
      <c r="CL120" s="23">
        <f>EXP(-LN(2)/25)*CL119+(1-EXP(-LN(2)/25))/(LN(2)/25)*Calculateur!CG120*Calculateur!CI120*VLOOKUP('Données projet'!$B$12,Paramètres!$A$1:$I$88,3,0)*0.475*44/12</f>
        <v>0</v>
      </c>
      <c r="CM120" s="23">
        <f>EXP(-LN(2)/2)*CM119+(1-EXP(-LN(2)/2))/(LN(2)/2)*CG120*CJ120*VLOOKUP('Données projet'!$B$12,Paramètres!$A$1:$I$88,3,0)*0.475*44/12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-3.4106051316484809E-13</v>
      </c>
      <c r="CU120" s="18">
        <f>CT120*VLOOKUP('Données projet'!$B$13,Paramètres!$A$1:$I$88,3,0)*VLOOKUP('Données projet'!$B$13,Paramètres!$A$1:$I$88,5,0)</f>
        <v>-1.9065282685915009E-13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302.20483575440988</v>
      </c>
      <c r="CZ120" s="62">
        <f t="shared" si="96"/>
        <v>275.32862097158687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projet'!$B$13,Paramètres!$A$1:$I$88,7,0))</f>
        <v>0</v>
      </c>
      <c r="DD120" s="17">
        <f>IF(ISNA(VLOOKUP(A120,'Données projet'!$A$139:$I$159,6,0)),0%,VLOOKUP(A120,'Données projet'!$A$139:$I$159,6,0)*VLOOKUP('Données projet'!$B$13,Paramètres!$A$1:$I$88,7,0))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projet'!$B$13,Paramètres!$A$1:$I$88,3,0)*0.475*44/12</f>
        <v>0</v>
      </c>
      <c r="DG120" s="23">
        <f>EXP(-LN(2)/25)*DG119+(1-EXP(-LN(2)/25))/(LN(2)/25)*Calculateur!DB120*Calculateur!DD120*VLOOKUP('Données projet'!$B$13,Paramètres!$A$1:$I$88,3,0)*0.475*44/12</f>
        <v>1.2392263424465315</v>
      </c>
      <c r="DH120" s="23">
        <f>EXP(-LN(2)/2)*DH119+(1-EXP(-LN(2)/2))/(LN(2)/2)*DB120*DE120*VLOOKUP('Données projet'!$B$13,Paramètres!$A$1:$I$88,3,0)*0.475*44/12</f>
        <v>5.4510697677916822E-13</v>
      </c>
      <c r="DI120" s="24">
        <f t="shared" si="69"/>
        <v>1.2392263424470766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projet'!$B$14,Paramètres!$A$1:$I$88,3,0)*VLOOKUP('Données projet'!$B$14,Paramètres!$A$1:$I$88,5,0)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projet'!$B$14,Paramètres!$A$1:$I$88,7,0))</f>
        <v>0</v>
      </c>
      <c r="DY120" s="17">
        <f>IF(ISNA(VLOOKUP(A120,'Données projet'!$A$165:$I$185,6,0)),0%,VLOOKUP(A120,'Données projet'!$A$165:$I$185,6,0)*VLOOKUP('Données projet'!$B$14,Paramètres!$A$1:$I$88,7,0))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projet'!$B$14,Paramètres!$A$1:$I$88,3,0)*0.475*44/12</f>
        <v>#N/A</v>
      </c>
      <c r="EB120" s="23" t="e">
        <f>EXP(-LN(2)/25)*EB119+(1-EXP(-LN(2)/25))/(LN(2)/25)*Calculateur!DW120*Calculateur!DY120*VLOOKUP('Données projet'!$B$14,Paramètres!$A$1:$I$88,3,0)*0.475*44/12</f>
        <v>#N/A</v>
      </c>
      <c r="EC120" s="23" t="e">
        <f>EXP(-LN(2)/2)*EC119+(1-EXP(-LN(2)/2))/(LN(2)/2)*DW120*DZ120*VLOOKUP('Données projet'!$B$14,Paramètres!$A$1:$I$88,3,0)*0.475*44/12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projet'!$B$15,Paramètres!$A$1:$I$88,3,0)*VLOOKUP('Données projet'!$B$15,Paramètres!$A$1:$I$88,5,0)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projet'!$B$15,Paramètres!$A$1:$I$88,7,0))</f>
        <v>0</v>
      </c>
      <c r="ET120" s="17">
        <f>IF(ISNA(VLOOKUP(A120,'Données projet'!$A$191:$I$211,6,0)),0%,VLOOKUP(A120,'Données projet'!$A$191:$I$211,6,0)*VLOOKUP('Données projet'!$B$15,Paramètres!$A$1:$I$88,7,0))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projet'!$B$15,Paramètres!$A$1:$I$88,3,0)*0.475*44/12</f>
        <v>#N/A</v>
      </c>
      <c r="EW120" s="23" t="e">
        <f>EXP(-LN(2)/25)*EW119+(1-EXP(-LN(2)/25))/(LN(2)/25)*Calculateur!ER120*Calculateur!ET120*VLOOKUP('Données projet'!$B$15,Paramètres!$A$1:$I$88,3,0)*0.475*44/12</f>
        <v>#N/A</v>
      </c>
      <c r="EX120" s="23" t="e">
        <f>EXP(-LN(2)/2)*EX119+(1-EXP(-LN(2)/2))/(LN(2)/2)*ER120*EU120*VLOOKUP('Données projet'!$B$15,Paramètres!$A$1:$I$88,3,0)*0.475*44/12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projet'!$B$16,Paramètres!$A$1:$I$88,3,0)*VLOOKUP('Données projet'!$B$16,Paramètres!$A$1:$I$88,5,0)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projet'!$B$16,Paramètres!$A$1:$I$88,7,0))</f>
        <v>0</v>
      </c>
      <c r="FO120" s="17">
        <f>IF(ISNA(VLOOKUP(A120,'Données projet'!$A$217:$I$237,6,0)),0%,VLOOKUP(A120,'Données projet'!$A$217:$I$237,6,0)*VLOOKUP('Données projet'!$B$16,Paramètres!$A$1:$I$88,7,0))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projet'!$B$16,Paramètres!$A$1:$I$88,3,0)*0.475*44/12</f>
        <v>#N/A</v>
      </c>
      <c r="FR120" s="23" t="e">
        <f>EXP(-LN(2)/25)*FR119+(1-EXP(-LN(2)/25))/(LN(2)/25)*Calculateur!FM120*Calculateur!FO120*VLOOKUP('Données projet'!$B$16,Paramètres!$A$1:$I$88,3,0)*0.475*44/12</f>
        <v>#N/A</v>
      </c>
      <c r="FS120" s="23" t="e">
        <f>EXP(-LN(2)/2)*FS119+(1-EXP(-LN(2)/2))/(LN(2)/2)*FM120*FP120*VLOOKUP('Données projet'!$B$16,Paramètres!$A$1:$I$88,3,0)*0.475*44/12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projet'!$B$17,Paramètres!$A$1:$I$88,3,0)*VLOOKUP('Données projet'!$B$17,Paramètres!$A$1:$I$88,5,0)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projet'!$B$17,Paramètres!$A$1:$I$88,7,0))</f>
        <v>0</v>
      </c>
      <c r="GJ120" s="17">
        <f>IF(ISNA(VLOOKUP(A120,'Données projet'!$A$243:$I$263,6,0)),0%,VLOOKUP(A120,'Données projet'!$A$243:$I$263,6,0)*VLOOKUP('Données projet'!$B$17,Paramètres!$A$1:$I$88,7,0))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projet'!$B$17,Paramètres!$A$1:$I$88,3,0)*0.475*44/12</f>
        <v>#N/A</v>
      </c>
      <c r="GM120" s="23" t="e">
        <f>EXP(-LN(2)/25)*GM119+(1-EXP(-LN(2)/25))/(LN(2)/25)*Calculateur!GH120*Calculateur!GJ120*VLOOKUP('Données projet'!$B$17,Paramètres!$A$1:$I$88,3,0)*0.475*44/12</f>
        <v>#N/A</v>
      </c>
      <c r="GN120" s="23" t="e">
        <f>EXP(-LN(2)/2)*GN119+(1-EXP(-LN(2)/2))/(LN(2)/2)*GH120*GK120*VLOOKUP('Données projet'!$B$17,Paramètres!$A$1:$I$88,3,0)*0.475*44/12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projet'!$B$18,Paramètres!$A$1:$I$88,3,0)*VLOOKUP('Données projet'!$B$18,Paramètres!$A$1:$I$88,5,0)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projet'!$B$18,Paramètres!$A$1:$I$88,7,0))</f>
        <v>0</v>
      </c>
      <c r="HE120" s="17">
        <f>IF(ISNA(VLOOKUP(A120,'Données projet'!$A$269:$I$289,6,0)),0%,VLOOKUP(A120,'Données projet'!$A$269:$I$289,6,0)*VLOOKUP('Données projet'!$B$18,Paramètres!$A$1:$I$88,7,0))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projet'!$B$18,Paramètres!$A$1:$I$88,3,0)*0.475*44/12</f>
        <v>#N/A</v>
      </c>
      <c r="HH120" s="23" t="e">
        <f>EXP(-LN(2)/25)*HH119+(1-EXP(-LN(2)/25))/(LN(2)/25)*Calculateur!HC120*Calculateur!HE120*VLOOKUP('Données projet'!$B$18,Paramètres!$A$1:$I$88,3,0)*0.475*44/12</f>
        <v>#N/A</v>
      </c>
      <c r="HI120" s="23" t="e">
        <f>EXP(-LN(2)/2)*HI119+(1-EXP(-LN(2)/2))/(LN(2)/2)*HC120*HF120*VLOOKUP('Données projet'!$B$18,Paramètres!$A$1:$I$88,3,0)*0.475*44/12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projet'!$B$9,Paramètres!$A$1:$I$88,3,0)*VLOOKUP('Données projet'!$B$9,Paramètres!$A$1:$I$88,5,0)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175.05987582828078</v>
      </c>
      <c r="T121" s="62">
        <f t="shared" si="88"/>
        <v>268.54782308462387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projet'!$B$9,Paramètres!$A$1:$I$88,7,0))</f>
        <v>0</v>
      </c>
      <c r="X121" s="17">
        <f>IF(ISNA(VLOOKUP(A121,'Données projet'!$A$35:$I$55,6,0)),0%,VLOOKUP(A121,'Données projet'!$A$35:$I$55,6,0)*VLOOKUP('Données projet'!$B$9,Paramètres!$A$1:$I$88,7,0))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projet'!$B$9,Paramètres!$A$1:$I$88,3,0)*0.475*44/12</f>
        <v>0</v>
      </c>
      <c r="AA121" s="23">
        <f>EXP(-LN(2)/25)*AA120+(1-EXP(-LN(2)/25))/(LN(2)/25)*Calculateur!V121*Calculateur!X121*VLOOKUP('Données projet'!$B$9,Paramètres!$A$1:$I$88,3,0)*0.475*44/12</f>
        <v>0.89747170596114567</v>
      </c>
      <c r="AB121" s="23">
        <f>EXP(-LN(2)/2)*AB120+(1-EXP(-LN(2)/2))/(LN(2)/2)*V121*Y121*VLOOKUP('Données projet'!$B$9,Paramètres!$A$1:$I$88,3,0)*0.475*44/12</f>
        <v>9.3898619758231227E-13</v>
      </c>
      <c r="AC121" s="24">
        <f t="shared" si="57"/>
        <v>0.8974717059620847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10.4</v>
      </c>
      <c r="AI121" s="14">
        <f>IF('Données projet'!$A$62&gt;35,AI120+AH121-AQ120,IF(A121&lt;'Données projet'!$A$62,$AF$205^A121,IF(A121='Données projet'!$A$62,'Données projet'!$B$62,AI120+AH121-AQ120)))</f>
        <v>971.19999999999902</v>
      </c>
      <c r="AJ121" s="14">
        <f>AI121*VLOOKUP('Données projet'!$B$10,Paramètres!$A$1:$I$88,3,0)*VLOOKUP('Données projet'!$B$10,Paramètres!$A$1:$I$88,5,0)</f>
        <v>467.14719999999954</v>
      </c>
      <c r="AK121" s="14">
        <f t="shared" si="89"/>
        <v>105.26437069781781</v>
      </c>
      <c r="AL121" s="22">
        <f t="shared" si="58"/>
        <v>996.95015229869841</v>
      </c>
      <c r="AM121" s="62">
        <f t="shared" si="59"/>
        <v>1290.2834856320317</v>
      </c>
      <c r="AN121" s="62">
        <f ca="1">AVERAGE(OFFSET($AM$3,0,0,'Données projet'!$E$10+1,1))-AVERAGE(OFFSET($H$3,0,0,'Données projet'!$E$10+1,1))</f>
        <v>576.61210817354549</v>
      </c>
      <c r="AO121" s="62">
        <f t="shared" si="90"/>
        <v>343.9428747444544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projet'!$B$10,Paramètres!$A$1:$I$88,7,0))</f>
        <v>0</v>
      </c>
      <c r="AS121" s="17">
        <f>IF(ISNA(VLOOKUP(A121,'Données projet'!$A$61:$I$81,6,0)),0%,VLOOKUP(A121,'Données projet'!$A$61:$I$81,6,0)*VLOOKUP('Données projet'!$B$10,Paramètres!$A$1:$I$88,7,0))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projet'!$B$10,Paramètres!$A$1:$I$88,3,0)*0.475*44/12</f>
        <v>0</v>
      </c>
      <c r="AV121" s="23">
        <f>EXP(-LN(2)/25)*AV120+(1-EXP(-LN(2)/25))/(LN(2)/25)*Calculateur!AQ121*Calculateur!AS121*VLOOKUP('Données projet'!$B$10,Paramètres!$A$1:$I$88,3,0)*0.475*44/12</f>
        <v>0.49364210317364904</v>
      </c>
      <c r="AW121" s="23">
        <f>EXP(-LN(2)/2)*AW120+(1-EXP(-LN(2)/2))/(LN(2)/2)*AQ121*AT121*VLOOKUP('Données projet'!$B$10,Paramètres!$A$1:$I$88,3,0)*0.475*44/12</f>
        <v>6.6867418572547727E-13</v>
      </c>
      <c r="AX121" s="23">
        <f t="shared" si="60"/>
        <v>0.49364210317431773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-5.6843418860808015E-14</v>
      </c>
      <c r="BE121" s="14">
        <f>BD121*VLOOKUP('Données projet'!$B$11,Paramètres!$A$1:$I$88,3,0)*VLOOKUP('Données projet'!$B$11,Paramètres!$A$1:$I$88,5,0)</f>
        <v>-4.5224624045658861E-14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298.38448036212861</v>
      </c>
      <c r="BJ121" s="62">
        <f t="shared" si="92"/>
        <v>270.4445531106897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projet'!$B$11,Paramètres!$A$1:$I$88,7,0))</f>
        <v>0</v>
      </c>
      <c r="BN121" s="17">
        <f>IF(ISNA(VLOOKUP(A121,'Données projet'!$A$87:$I$107,6,0)),0%,VLOOKUP(A121,'Données projet'!$A$87:$I$107,6,0)*VLOOKUP('Données projet'!$B$11,Paramètres!$A$1:$I$88,7,0))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projet'!$B$11,Paramètres!$A$1:$I$88,3,0)*0.475*44/12</f>
        <v>0</v>
      </c>
      <c r="BQ121" s="23">
        <f>EXP(-LN(2)/25)*BQ120+(1-EXP(-LN(2)/25))/(LN(2)/25)*Calculateur!BL121*Calculateur!BN121*VLOOKUP('Données projet'!$B$11,Paramètres!$A$1:$I$88,3,0)*0.475*44/12</f>
        <v>0</v>
      </c>
      <c r="BR121" s="23">
        <f>EXP(-LN(2)/2)*BR120+(1-EXP(-LN(2)/2))/(LN(2)/2)*BL121*BO121*VLOOKUP('Données projet'!$B$11,Paramètres!$A$1:$I$88,3,0)*0.475*44/12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5.6843418860808015E-14</v>
      </c>
      <c r="BZ121" s="14">
        <f>BY121*VLOOKUP('Données projet'!$B$12,Paramètres!$A$1:$I$88,3,0)*VLOOKUP('Données projet'!$B$12,Paramètres!$A$1:$I$88,5,0)</f>
        <v>4.4337866711430253E-14</v>
      </c>
      <c r="CA121" s="14">
        <f t="shared" si="93"/>
        <v>7.3222115536967035E-13</v>
      </c>
      <c r="CB121" s="22">
        <f t="shared" si="64"/>
        <v>1.3525069634579169E-12</v>
      </c>
      <c r="CC121" s="62">
        <f t="shared" si="65"/>
        <v>293.33333333333468</v>
      </c>
      <c r="CD121" s="62">
        <f ca="1">AVERAGE(OFFSET($CC$3,0,0,'Données projet'!$E$12+1,1))-AVERAGE(OFFSET($H$3,0,0,'Données projet'!$E$12+1,1))</f>
        <v>217.32600829266818</v>
      </c>
      <c r="CE121" s="62">
        <f t="shared" si="94"/>
        <v>208.79744153433245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projet'!$B$12,Paramètres!$A$1:$I$88,7,0))</f>
        <v>0</v>
      </c>
      <c r="CI121" s="17">
        <f>IF(ISNA(VLOOKUP(A121,'Données projet'!$A$113:$I$133,6,0)),0%,VLOOKUP(A121,'Données projet'!$A$113:$I$133,6,0)*VLOOKUP('Données projet'!$B$12,Paramètres!$A$1:$I$88,7,0))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projet'!$B$12,Paramètres!$A$1:$I$88,3,0)*0.475*44/12</f>
        <v>0</v>
      </c>
      <c r="CL121" s="23">
        <f>EXP(-LN(2)/25)*CL120+(1-EXP(-LN(2)/25))/(LN(2)/25)*Calculateur!CG121*Calculateur!CI121*VLOOKUP('Données projet'!$B$12,Paramètres!$A$1:$I$88,3,0)*0.475*44/12</f>
        <v>0</v>
      </c>
      <c r="CM121" s="23">
        <f>EXP(-LN(2)/2)*CM120+(1-EXP(-LN(2)/2))/(LN(2)/2)*CG121*CJ121*VLOOKUP('Données projet'!$B$12,Paramètres!$A$1:$I$88,3,0)*0.475*44/12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-3.4106051316484809E-13</v>
      </c>
      <c r="CU121" s="18">
        <f>CT121*VLOOKUP('Données projet'!$B$13,Paramètres!$A$1:$I$88,3,0)*VLOOKUP('Données projet'!$B$13,Paramètres!$A$1:$I$88,5,0)</f>
        <v>-1.9065282685915009E-13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302.20483575440988</v>
      </c>
      <c r="CZ121" s="62">
        <f t="shared" si="96"/>
        <v>275.32862097158687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projet'!$B$13,Paramètres!$A$1:$I$88,7,0))</f>
        <v>0</v>
      </c>
      <c r="DD121" s="17">
        <f>IF(ISNA(VLOOKUP(A121,'Données projet'!$A$139:$I$159,6,0)),0%,VLOOKUP(A121,'Données projet'!$A$139:$I$159,6,0)*VLOOKUP('Données projet'!$B$13,Paramètres!$A$1:$I$88,7,0))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projet'!$B$13,Paramètres!$A$1:$I$88,3,0)*0.475*44/12</f>
        <v>0</v>
      </c>
      <c r="DG121" s="23">
        <f>EXP(-LN(2)/25)*DG120+(1-EXP(-LN(2)/25))/(LN(2)/25)*Calculateur!DB121*Calculateur!DD121*VLOOKUP('Données projet'!$B$13,Paramètres!$A$1:$I$88,3,0)*0.475*44/12</f>
        <v>1.2053396329442501</v>
      </c>
      <c r="DH121" s="23">
        <f>EXP(-LN(2)/2)*DH120+(1-EXP(-LN(2)/2))/(LN(2)/2)*DB121*DE121*VLOOKUP('Données projet'!$B$13,Paramètres!$A$1:$I$88,3,0)*0.475*44/12</f>
        <v>3.8544883975264775E-13</v>
      </c>
      <c r="DI121" s="24">
        <f t="shared" si="69"/>
        <v>1.2053396329446355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projet'!$B$14,Paramètres!$A$1:$I$88,3,0)*VLOOKUP('Données projet'!$B$14,Paramètres!$A$1:$I$88,5,0)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projet'!$B$14,Paramètres!$A$1:$I$88,7,0))</f>
        <v>0</v>
      </c>
      <c r="DY121" s="17">
        <f>IF(ISNA(VLOOKUP(A121,'Données projet'!$A$165:$I$185,6,0)),0%,VLOOKUP(A121,'Données projet'!$A$165:$I$185,6,0)*VLOOKUP('Données projet'!$B$14,Paramètres!$A$1:$I$88,7,0))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projet'!$B$14,Paramètres!$A$1:$I$88,3,0)*0.475*44/12</f>
        <v>#N/A</v>
      </c>
      <c r="EB121" s="23" t="e">
        <f>EXP(-LN(2)/25)*EB120+(1-EXP(-LN(2)/25))/(LN(2)/25)*Calculateur!DW121*Calculateur!DY121*VLOOKUP('Données projet'!$B$14,Paramètres!$A$1:$I$88,3,0)*0.475*44/12</f>
        <v>#N/A</v>
      </c>
      <c r="EC121" s="23" t="e">
        <f>EXP(-LN(2)/2)*EC120+(1-EXP(-LN(2)/2))/(LN(2)/2)*DW121*DZ121*VLOOKUP('Données projet'!$B$14,Paramètres!$A$1:$I$88,3,0)*0.475*44/12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projet'!$B$15,Paramètres!$A$1:$I$88,3,0)*VLOOKUP('Données projet'!$B$15,Paramètres!$A$1:$I$88,5,0)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projet'!$B$15,Paramètres!$A$1:$I$88,7,0))</f>
        <v>0</v>
      </c>
      <c r="ET121" s="17">
        <f>IF(ISNA(VLOOKUP(A121,'Données projet'!$A$191:$I$211,6,0)),0%,VLOOKUP(A121,'Données projet'!$A$191:$I$211,6,0)*VLOOKUP('Données projet'!$B$15,Paramètres!$A$1:$I$88,7,0))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projet'!$B$15,Paramètres!$A$1:$I$88,3,0)*0.475*44/12</f>
        <v>#N/A</v>
      </c>
      <c r="EW121" s="23" t="e">
        <f>EXP(-LN(2)/25)*EW120+(1-EXP(-LN(2)/25))/(LN(2)/25)*Calculateur!ER121*Calculateur!ET121*VLOOKUP('Données projet'!$B$15,Paramètres!$A$1:$I$88,3,0)*0.475*44/12</f>
        <v>#N/A</v>
      </c>
      <c r="EX121" s="23" t="e">
        <f>EXP(-LN(2)/2)*EX120+(1-EXP(-LN(2)/2))/(LN(2)/2)*ER121*EU121*VLOOKUP('Données projet'!$B$15,Paramètres!$A$1:$I$88,3,0)*0.475*44/12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projet'!$B$16,Paramètres!$A$1:$I$88,3,0)*VLOOKUP('Données projet'!$B$16,Paramètres!$A$1:$I$88,5,0)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projet'!$B$16,Paramètres!$A$1:$I$88,7,0))</f>
        <v>0</v>
      </c>
      <c r="FO121" s="17">
        <f>IF(ISNA(VLOOKUP(A121,'Données projet'!$A$217:$I$237,6,0)),0%,VLOOKUP(A121,'Données projet'!$A$217:$I$237,6,0)*VLOOKUP('Données projet'!$B$16,Paramètres!$A$1:$I$88,7,0))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projet'!$B$16,Paramètres!$A$1:$I$88,3,0)*0.475*44/12</f>
        <v>#N/A</v>
      </c>
      <c r="FR121" s="23" t="e">
        <f>EXP(-LN(2)/25)*FR120+(1-EXP(-LN(2)/25))/(LN(2)/25)*Calculateur!FM121*Calculateur!FO121*VLOOKUP('Données projet'!$B$16,Paramètres!$A$1:$I$88,3,0)*0.475*44/12</f>
        <v>#N/A</v>
      </c>
      <c r="FS121" s="23" t="e">
        <f>EXP(-LN(2)/2)*FS120+(1-EXP(-LN(2)/2))/(LN(2)/2)*FM121*FP121*VLOOKUP('Données projet'!$B$16,Paramètres!$A$1:$I$88,3,0)*0.475*44/12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projet'!$B$17,Paramètres!$A$1:$I$88,3,0)*VLOOKUP('Données projet'!$B$17,Paramètres!$A$1:$I$88,5,0)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projet'!$B$17,Paramètres!$A$1:$I$88,7,0))</f>
        <v>0</v>
      </c>
      <c r="GJ121" s="17">
        <f>IF(ISNA(VLOOKUP(A121,'Données projet'!$A$243:$I$263,6,0)),0%,VLOOKUP(A121,'Données projet'!$A$243:$I$263,6,0)*VLOOKUP('Données projet'!$B$17,Paramètres!$A$1:$I$88,7,0))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projet'!$B$17,Paramètres!$A$1:$I$88,3,0)*0.475*44/12</f>
        <v>#N/A</v>
      </c>
      <c r="GM121" s="23" t="e">
        <f>EXP(-LN(2)/25)*GM120+(1-EXP(-LN(2)/25))/(LN(2)/25)*Calculateur!GH121*Calculateur!GJ121*VLOOKUP('Données projet'!$B$17,Paramètres!$A$1:$I$88,3,0)*0.475*44/12</f>
        <v>#N/A</v>
      </c>
      <c r="GN121" s="23" t="e">
        <f>EXP(-LN(2)/2)*GN120+(1-EXP(-LN(2)/2))/(LN(2)/2)*GH121*GK121*VLOOKUP('Données projet'!$B$17,Paramètres!$A$1:$I$88,3,0)*0.475*44/12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projet'!$B$18,Paramètres!$A$1:$I$88,3,0)*VLOOKUP('Données projet'!$B$18,Paramètres!$A$1:$I$88,5,0)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projet'!$B$18,Paramètres!$A$1:$I$88,7,0))</f>
        <v>0</v>
      </c>
      <c r="HE121" s="17">
        <f>IF(ISNA(VLOOKUP(A121,'Données projet'!$A$269:$I$289,6,0)),0%,VLOOKUP(A121,'Données projet'!$A$269:$I$289,6,0)*VLOOKUP('Données projet'!$B$18,Paramètres!$A$1:$I$88,7,0))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projet'!$B$18,Paramètres!$A$1:$I$88,3,0)*0.475*44/12</f>
        <v>#N/A</v>
      </c>
      <c r="HH121" s="23" t="e">
        <f>EXP(-LN(2)/25)*HH120+(1-EXP(-LN(2)/25))/(LN(2)/25)*Calculateur!HC121*Calculateur!HE121*VLOOKUP('Données projet'!$B$18,Paramètres!$A$1:$I$88,3,0)*0.475*44/12</f>
        <v>#N/A</v>
      </c>
      <c r="HI121" s="23" t="e">
        <f>EXP(-LN(2)/2)*HI120+(1-EXP(-LN(2)/2))/(LN(2)/2)*HC121*HF121*VLOOKUP('Données projet'!$B$18,Paramètres!$A$1:$I$88,3,0)*0.475*44/12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projet'!$B$9,Paramètres!$A$1:$I$88,3,0)*VLOOKUP('Données projet'!$B$9,Paramètres!$A$1:$I$88,5,0)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175.05987582828078</v>
      </c>
      <c r="T122" s="62">
        <f t="shared" si="88"/>
        <v>268.54782308462387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projet'!$B$9,Paramètres!$A$1:$I$88,7,0))</f>
        <v>0</v>
      </c>
      <c r="X122" s="17">
        <f>IF(ISNA(VLOOKUP(A122,'Données projet'!$A$35:$I$55,6,0)),0%,VLOOKUP(A122,'Données projet'!$A$35:$I$55,6,0)*VLOOKUP('Données projet'!$B$9,Paramètres!$A$1:$I$88,7,0))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projet'!$B$9,Paramètres!$A$1:$I$88,3,0)*0.475*44/12</f>
        <v>0</v>
      </c>
      <c r="AA122" s="23">
        <f>EXP(-LN(2)/25)*AA121+(1-EXP(-LN(2)/25))/(LN(2)/25)*Calculateur!V122*Calculateur!X122*VLOOKUP('Données projet'!$B$9,Paramètres!$A$1:$I$88,3,0)*0.475*44/12</f>
        <v>0.87293029496565233</v>
      </c>
      <c r="AB122" s="23">
        <f>EXP(-LN(2)/2)*AB121+(1-EXP(-LN(2)/2))/(LN(2)/2)*V122*Y122*VLOOKUP('Données projet'!$B$9,Paramètres!$A$1:$I$88,3,0)*0.475*44/12</f>
        <v>6.6396350775102437E-13</v>
      </c>
      <c r="AC122" s="24">
        <f t="shared" si="57"/>
        <v>0.87293029496631624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10.4</v>
      </c>
      <c r="AI122" s="14">
        <f>IF('Données projet'!$A$62&gt;35,AI121+AH122-AQ121,IF(A122&lt;'Données projet'!$A$62,$AF$205^A122,IF(A122='Données projet'!$A$62,'Données projet'!$B$62,AI121+AH122-AQ121)))</f>
        <v>981.599999999999</v>
      </c>
      <c r="AJ122" s="14">
        <f>AI122*VLOOKUP('Données projet'!$B$10,Paramètres!$A$1:$I$88,3,0)*VLOOKUP('Données projet'!$B$10,Paramètres!$A$1:$I$88,5,0)</f>
        <v>472.14959999999951</v>
      </c>
      <c r="AK122" s="14">
        <f t="shared" si="89"/>
        <v>106.25975799730823</v>
      </c>
      <c r="AL122" s="22">
        <f t="shared" si="58"/>
        <v>1007.3962985119775</v>
      </c>
      <c r="AM122" s="62">
        <f t="shared" si="59"/>
        <v>1300.7296318453109</v>
      </c>
      <c r="AN122" s="62">
        <f ca="1">AVERAGE(OFFSET($AM$3,0,0,'Données projet'!$E$10+1,1))-AVERAGE(OFFSET($H$3,0,0,'Données projet'!$E$10+1,1))</f>
        <v>576.61210817354549</v>
      </c>
      <c r="AO122" s="62">
        <f t="shared" si="90"/>
        <v>343.9428747444544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projet'!$B$10,Paramètres!$A$1:$I$88,7,0))</f>
        <v>0</v>
      </c>
      <c r="AS122" s="17">
        <f>IF(ISNA(VLOOKUP(A122,'Données projet'!$A$61:$I$81,6,0)),0%,VLOOKUP(A122,'Données projet'!$A$61:$I$81,6,0)*VLOOKUP('Données projet'!$B$10,Paramètres!$A$1:$I$88,7,0))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projet'!$B$10,Paramètres!$A$1:$I$88,3,0)*0.475*44/12</f>
        <v>0</v>
      </c>
      <c r="AV122" s="23">
        <f>EXP(-LN(2)/25)*AV121+(1-EXP(-LN(2)/25))/(LN(2)/25)*Calculateur!AQ122*Calculateur!AS122*VLOOKUP('Données projet'!$B$10,Paramètres!$A$1:$I$88,3,0)*0.475*44/12</f>
        <v>0.48014343390285563</v>
      </c>
      <c r="AW122" s="23">
        <f>EXP(-LN(2)/2)*AW121+(1-EXP(-LN(2)/2))/(LN(2)/2)*AQ122*AT122*VLOOKUP('Données projet'!$B$10,Paramètres!$A$1:$I$88,3,0)*0.475*44/12</f>
        <v>4.7282405113087789E-13</v>
      </c>
      <c r="AX122" s="23">
        <f t="shared" si="60"/>
        <v>0.48014343390332848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-5.6843418860808015E-14</v>
      </c>
      <c r="BE122" s="14">
        <f>BD122*VLOOKUP('Données projet'!$B$11,Paramètres!$A$1:$I$88,3,0)*VLOOKUP('Données projet'!$B$11,Paramètres!$A$1:$I$88,5,0)</f>
        <v>-4.5224624045658861E-14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298.38448036212861</v>
      </c>
      <c r="BJ122" s="62">
        <f t="shared" si="92"/>
        <v>270.4445531106897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projet'!$B$11,Paramètres!$A$1:$I$88,7,0))</f>
        <v>0</v>
      </c>
      <c r="BN122" s="17">
        <f>IF(ISNA(VLOOKUP(A122,'Données projet'!$A$87:$I$107,6,0)),0%,VLOOKUP(A122,'Données projet'!$A$87:$I$107,6,0)*VLOOKUP('Données projet'!$B$11,Paramètres!$A$1:$I$88,7,0))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projet'!$B$11,Paramètres!$A$1:$I$88,3,0)*0.475*44/12</f>
        <v>0</v>
      </c>
      <c r="BQ122" s="23">
        <f>EXP(-LN(2)/25)*BQ121+(1-EXP(-LN(2)/25))/(LN(2)/25)*Calculateur!BL122*Calculateur!BN122*VLOOKUP('Données projet'!$B$11,Paramètres!$A$1:$I$88,3,0)*0.475*44/12</f>
        <v>0</v>
      </c>
      <c r="BR122" s="23">
        <f>EXP(-LN(2)/2)*BR121+(1-EXP(-LN(2)/2))/(LN(2)/2)*BL122*BO122*VLOOKUP('Données projet'!$B$11,Paramètres!$A$1:$I$88,3,0)*0.475*44/12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5.6843418860808015E-14</v>
      </c>
      <c r="BZ122" s="14">
        <f>BY122*VLOOKUP('Données projet'!$B$12,Paramètres!$A$1:$I$88,3,0)*VLOOKUP('Données projet'!$B$12,Paramètres!$A$1:$I$88,5,0)</f>
        <v>4.4337866711430253E-14</v>
      </c>
      <c r="CA122" s="14">
        <f t="shared" si="93"/>
        <v>7.3222115536967035E-13</v>
      </c>
      <c r="CB122" s="22">
        <f t="shared" si="64"/>
        <v>1.3525069634579169E-12</v>
      </c>
      <c r="CC122" s="62">
        <f t="shared" si="65"/>
        <v>293.33333333333468</v>
      </c>
      <c r="CD122" s="62">
        <f ca="1">AVERAGE(OFFSET($CC$3,0,0,'Données projet'!$E$12+1,1))-AVERAGE(OFFSET($H$3,0,0,'Données projet'!$E$12+1,1))</f>
        <v>217.32600829266818</v>
      </c>
      <c r="CE122" s="62">
        <f t="shared" si="94"/>
        <v>208.79744153433245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projet'!$B$12,Paramètres!$A$1:$I$88,7,0))</f>
        <v>0</v>
      </c>
      <c r="CI122" s="17">
        <f>IF(ISNA(VLOOKUP(A122,'Données projet'!$A$113:$I$133,6,0)),0%,VLOOKUP(A122,'Données projet'!$A$113:$I$133,6,0)*VLOOKUP('Données projet'!$B$12,Paramètres!$A$1:$I$88,7,0))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projet'!$B$12,Paramètres!$A$1:$I$88,3,0)*0.475*44/12</f>
        <v>0</v>
      </c>
      <c r="CL122" s="23">
        <f>EXP(-LN(2)/25)*CL121+(1-EXP(-LN(2)/25))/(LN(2)/25)*Calculateur!CG122*Calculateur!CI122*VLOOKUP('Données projet'!$B$12,Paramètres!$A$1:$I$88,3,0)*0.475*44/12</f>
        <v>0</v>
      </c>
      <c r="CM122" s="23">
        <f>EXP(-LN(2)/2)*CM121+(1-EXP(-LN(2)/2))/(LN(2)/2)*CG122*CJ122*VLOOKUP('Données projet'!$B$12,Paramètres!$A$1:$I$88,3,0)*0.475*44/12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-3.4106051316484809E-13</v>
      </c>
      <c r="CU122" s="18">
        <f>CT122*VLOOKUP('Données projet'!$B$13,Paramètres!$A$1:$I$88,3,0)*VLOOKUP('Données projet'!$B$13,Paramètres!$A$1:$I$88,5,0)</f>
        <v>-1.9065282685915009E-13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302.20483575440988</v>
      </c>
      <c r="CZ122" s="62">
        <f t="shared" si="96"/>
        <v>275.32862097158687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projet'!$B$13,Paramètres!$A$1:$I$88,7,0))</f>
        <v>0</v>
      </c>
      <c r="DD122" s="17">
        <f>IF(ISNA(VLOOKUP(A122,'Données projet'!$A$139:$I$159,6,0)),0%,VLOOKUP(A122,'Données projet'!$A$139:$I$159,6,0)*VLOOKUP('Données projet'!$B$13,Paramètres!$A$1:$I$88,7,0))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projet'!$B$13,Paramètres!$A$1:$I$88,3,0)*0.475*44/12</f>
        <v>0</v>
      </c>
      <c r="DG122" s="23">
        <f>EXP(-LN(2)/25)*DG121+(1-EXP(-LN(2)/25))/(LN(2)/25)*Calculateur!DB122*Calculateur!DD122*VLOOKUP('Données projet'!$B$13,Paramètres!$A$1:$I$88,3,0)*0.475*44/12</f>
        <v>1.1723795572953331</v>
      </c>
      <c r="DH122" s="23">
        <f>EXP(-LN(2)/2)*DH121+(1-EXP(-LN(2)/2))/(LN(2)/2)*DB122*DE122*VLOOKUP('Données projet'!$B$13,Paramètres!$A$1:$I$88,3,0)*0.475*44/12</f>
        <v>2.7255348838958411E-13</v>
      </c>
      <c r="DI122" s="24">
        <f t="shared" si="69"/>
        <v>1.1723795572956055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projet'!$B$14,Paramètres!$A$1:$I$88,3,0)*VLOOKUP('Données projet'!$B$14,Paramètres!$A$1:$I$88,5,0)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projet'!$B$14,Paramètres!$A$1:$I$88,7,0))</f>
        <v>0</v>
      </c>
      <c r="DY122" s="17">
        <f>IF(ISNA(VLOOKUP(A122,'Données projet'!$A$165:$I$185,6,0)),0%,VLOOKUP(A122,'Données projet'!$A$165:$I$185,6,0)*VLOOKUP('Données projet'!$B$14,Paramètres!$A$1:$I$88,7,0))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projet'!$B$14,Paramètres!$A$1:$I$88,3,0)*0.475*44/12</f>
        <v>#N/A</v>
      </c>
      <c r="EB122" s="23" t="e">
        <f>EXP(-LN(2)/25)*EB121+(1-EXP(-LN(2)/25))/(LN(2)/25)*Calculateur!DW122*Calculateur!DY122*VLOOKUP('Données projet'!$B$14,Paramètres!$A$1:$I$88,3,0)*0.475*44/12</f>
        <v>#N/A</v>
      </c>
      <c r="EC122" s="23" t="e">
        <f>EXP(-LN(2)/2)*EC121+(1-EXP(-LN(2)/2))/(LN(2)/2)*DW122*DZ122*VLOOKUP('Données projet'!$B$14,Paramètres!$A$1:$I$88,3,0)*0.475*44/12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projet'!$B$15,Paramètres!$A$1:$I$88,3,0)*VLOOKUP('Données projet'!$B$15,Paramètres!$A$1:$I$88,5,0)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projet'!$B$15,Paramètres!$A$1:$I$88,7,0))</f>
        <v>0</v>
      </c>
      <c r="ET122" s="17">
        <f>IF(ISNA(VLOOKUP(A122,'Données projet'!$A$191:$I$211,6,0)),0%,VLOOKUP(A122,'Données projet'!$A$191:$I$211,6,0)*VLOOKUP('Données projet'!$B$15,Paramètres!$A$1:$I$88,7,0))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projet'!$B$15,Paramètres!$A$1:$I$88,3,0)*0.475*44/12</f>
        <v>#N/A</v>
      </c>
      <c r="EW122" s="23" t="e">
        <f>EXP(-LN(2)/25)*EW121+(1-EXP(-LN(2)/25))/(LN(2)/25)*Calculateur!ER122*Calculateur!ET122*VLOOKUP('Données projet'!$B$15,Paramètres!$A$1:$I$88,3,0)*0.475*44/12</f>
        <v>#N/A</v>
      </c>
      <c r="EX122" s="23" t="e">
        <f>EXP(-LN(2)/2)*EX121+(1-EXP(-LN(2)/2))/(LN(2)/2)*ER122*EU122*VLOOKUP('Données projet'!$B$15,Paramètres!$A$1:$I$88,3,0)*0.475*44/12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projet'!$B$16,Paramètres!$A$1:$I$88,3,0)*VLOOKUP('Données projet'!$B$16,Paramètres!$A$1:$I$88,5,0)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projet'!$B$16,Paramètres!$A$1:$I$88,7,0))</f>
        <v>0</v>
      </c>
      <c r="FO122" s="17">
        <f>IF(ISNA(VLOOKUP(A122,'Données projet'!$A$217:$I$237,6,0)),0%,VLOOKUP(A122,'Données projet'!$A$217:$I$237,6,0)*VLOOKUP('Données projet'!$B$16,Paramètres!$A$1:$I$88,7,0))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projet'!$B$16,Paramètres!$A$1:$I$88,3,0)*0.475*44/12</f>
        <v>#N/A</v>
      </c>
      <c r="FR122" s="23" t="e">
        <f>EXP(-LN(2)/25)*FR121+(1-EXP(-LN(2)/25))/(LN(2)/25)*Calculateur!FM122*Calculateur!FO122*VLOOKUP('Données projet'!$B$16,Paramètres!$A$1:$I$88,3,0)*0.475*44/12</f>
        <v>#N/A</v>
      </c>
      <c r="FS122" s="23" t="e">
        <f>EXP(-LN(2)/2)*FS121+(1-EXP(-LN(2)/2))/(LN(2)/2)*FM122*FP122*VLOOKUP('Données projet'!$B$16,Paramètres!$A$1:$I$88,3,0)*0.475*44/12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projet'!$B$17,Paramètres!$A$1:$I$88,3,0)*VLOOKUP('Données projet'!$B$17,Paramètres!$A$1:$I$88,5,0)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projet'!$B$17,Paramètres!$A$1:$I$88,7,0))</f>
        <v>0</v>
      </c>
      <c r="GJ122" s="17">
        <f>IF(ISNA(VLOOKUP(A122,'Données projet'!$A$243:$I$263,6,0)),0%,VLOOKUP(A122,'Données projet'!$A$243:$I$263,6,0)*VLOOKUP('Données projet'!$B$17,Paramètres!$A$1:$I$88,7,0))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projet'!$B$17,Paramètres!$A$1:$I$88,3,0)*0.475*44/12</f>
        <v>#N/A</v>
      </c>
      <c r="GM122" s="23" t="e">
        <f>EXP(-LN(2)/25)*GM121+(1-EXP(-LN(2)/25))/(LN(2)/25)*Calculateur!GH122*Calculateur!GJ122*VLOOKUP('Données projet'!$B$17,Paramètres!$A$1:$I$88,3,0)*0.475*44/12</f>
        <v>#N/A</v>
      </c>
      <c r="GN122" s="23" t="e">
        <f>EXP(-LN(2)/2)*GN121+(1-EXP(-LN(2)/2))/(LN(2)/2)*GH122*GK122*VLOOKUP('Données projet'!$B$17,Paramètres!$A$1:$I$88,3,0)*0.475*44/12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projet'!$B$18,Paramètres!$A$1:$I$88,3,0)*VLOOKUP('Données projet'!$B$18,Paramètres!$A$1:$I$88,5,0)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projet'!$B$18,Paramètres!$A$1:$I$88,7,0))</f>
        <v>0</v>
      </c>
      <c r="HE122" s="17">
        <f>IF(ISNA(VLOOKUP(A122,'Données projet'!$A$269:$I$289,6,0)),0%,VLOOKUP(A122,'Données projet'!$A$269:$I$289,6,0)*VLOOKUP('Données projet'!$B$18,Paramètres!$A$1:$I$88,7,0))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projet'!$B$18,Paramètres!$A$1:$I$88,3,0)*0.475*44/12</f>
        <v>#N/A</v>
      </c>
      <c r="HH122" s="23" t="e">
        <f>EXP(-LN(2)/25)*HH121+(1-EXP(-LN(2)/25))/(LN(2)/25)*Calculateur!HC122*Calculateur!HE122*VLOOKUP('Données projet'!$B$18,Paramètres!$A$1:$I$88,3,0)*0.475*44/12</f>
        <v>#N/A</v>
      </c>
      <c r="HI122" s="23" t="e">
        <f>EXP(-LN(2)/2)*HI121+(1-EXP(-LN(2)/2))/(LN(2)/2)*HC122*HF122*VLOOKUP('Données projet'!$B$18,Paramètres!$A$1:$I$88,3,0)*0.475*44/12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projet'!$B$9,Paramètres!$A$1:$I$88,3,0)*VLOOKUP('Données projet'!$B$9,Paramètres!$A$1:$I$88,5,0)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175.05987582828078</v>
      </c>
      <c r="T123" s="62">
        <f t="shared" si="88"/>
        <v>268.54782308462387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projet'!$B$9,Paramètres!$A$1:$I$88,7,0))</f>
        <v>0</v>
      </c>
      <c r="X123" s="17">
        <f>IF(ISNA(VLOOKUP(A123,'Données projet'!$A$35:$I$55,6,0)),0%,VLOOKUP(A123,'Données projet'!$A$35:$I$55,6,0)*VLOOKUP('Données projet'!$B$9,Paramètres!$A$1:$I$88,7,0))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projet'!$B$9,Paramètres!$A$1:$I$88,3,0)*0.475*44/12</f>
        <v>0</v>
      </c>
      <c r="AA123" s="23">
        <f>EXP(-LN(2)/25)*AA122+(1-EXP(-LN(2)/25))/(LN(2)/25)*Calculateur!V123*Calculateur!X123*VLOOKUP('Données projet'!$B$9,Paramètres!$A$1:$I$88,3,0)*0.475*44/12</f>
        <v>0.84905997014440748</v>
      </c>
      <c r="AB123" s="23">
        <f>EXP(-LN(2)/2)*AB122+(1-EXP(-LN(2)/2))/(LN(2)/2)*V123*Y123*VLOOKUP('Données projet'!$B$9,Paramètres!$A$1:$I$88,3,0)*0.475*44/12</f>
        <v>4.6949309879115614E-13</v>
      </c>
      <c r="AC123" s="24">
        <f t="shared" si="57"/>
        <v>0.849059970144877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992</v>
      </c>
      <c r="AG123" s="13">
        <f>VLOOKUP(A123,'Données projet'!$A$61:$I$81,9,0)</f>
        <v>10.4</v>
      </c>
      <c r="AH123" s="13">
        <f t="array" ref="AH123">INDEX(AG:AG,MIN(IF(ISNUMBER(AG123:AG319),ROW(AG123:AG319),"")))</f>
        <v>10.4</v>
      </c>
      <c r="AI123" s="14">
        <f>IF('Données projet'!$A$62&gt;35,AI122+AH123-AQ122,IF(A123&lt;'Données projet'!$A$62,$AF$205^A123,IF(A123='Données projet'!$A$62,'Données projet'!$B$62,AI122+AH123-AQ122)))</f>
        <v>991.99999999999898</v>
      </c>
      <c r="AJ123" s="14">
        <f>AI123*VLOOKUP('Données projet'!$B$10,Paramètres!$A$1:$I$88,3,0)*VLOOKUP('Données projet'!$B$10,Paramètres!$A$1:$I$88,5,0)</f>
        <v>477.15199999999953</v>
      </c>
      <c r="AK123" s="14">
        <f t="shared" si="89"/>
        <v>107.25391846594825</v>
      </c>
      <c r="AL123" s="22">
        <f t="shared" si="58"/>
        <v>1017.840307994859</v>
      </c>
      <c r="AM123" s="62">
        <f t="shared" si="59"/>
        <v>1311.1736413281924</v>
      </c>
      <c r="AN123" s="62">
        <f ca="1">AVERAGE(OFFSET($AM$3,0,0,'Données projet'!$E$10+1,1))-AVERAGE(OFFSET($H$3,0,0,'Données projet'!$E$10+1,1))</f>
        <v>576.61210817354549</v>
      </c>
      <c r="AO123" s="62">
        <f t="shared" si="90"/>
        <v>343.9428747444544</v>
      </c>
      <c r="AP123" s="16">
        <f>IF(ISNA(VLOOKUP(A123,'Données projet'!$A$61:$I$81,3,0)),0,VLOOKUP(A123,'Données projet'!$A$61:$I$81,3,0))</f>
        <v>7</v>
      </c>
      <c r="AQ123" s="16">
        <f>IF(ISNA(VLOOKUP(A123,'Données projet'!$A$61:$I$81,4,0)),0,VLOOKUP(A123,'Données projet'!$A$61:$I$81,4,0))</f>
        <v>112</v>
      </c>
      <c r="AR123" s="17">
        <f>IF(ISNA(VLOOKUP(A123,'Données projet'!$A$61:$I$81,5,0)),0%,VLOOKUP(A123,'Données projet'!$A$61:$I$81,5,0)*VLOOKUP('Données projet'!$B$10,Paramètres!$A$1:$I$88,7,0))</f>
        <v>0</v>
      </c>
      <c r="AS123" s="17">
        <f>IF(ISNA(VLOOKUP(A123,'Données projet'!$A$61:$I$81,6,0)),0%,VLOOKUP(A123,'Données projet'!$A$61:$I$81,6,0)*VLOOKUP('Données projet'!$B$10,Paramètres!$A$1:$I$88,7,0))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projet'!$B$10,Paramètres!$A$1:$I$88,3,0)*0.475*44/12</f>
        <v>0</v>
      </c>
      <c r="AV123" s="23">
        <f>EXP(-LN(2)/25)*AV122+(1-EXP(-LN(2)/25))/(LN(2)/25)*Calculateur!AQ123*Calculateur!AS123*VLOOKUP('Données projet'!$B$10,Paramètres!$A$1:$I$88,3,0)*0.475*44/12</f>
        <v>0.46701388645313624</v>
      </c>
      <c r="AW123" s="23">
        <f>EXP(-LN(2)/2)*AW122+(1-EXP(-LN(2)/2))/(LN(2)/2)*AQ123*AT123*VLOOKUP('Données projet'!$B$10,Paramètres!$A$1:$I$88,3,0)*0.475*44/12</f>
        <v>3.3433709286273864E-13</v>
      </c>
      <c r="AX123" s="23">
        <f t="shared" si="60"/>
        <v>0.46701388645347058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-5.6843418860808015E-14</v>
      </c>
      <c r="BE123" s="14">
        <f>BD123*VLOOKUP('Données projet'!$B$11,Paramètres!$A$1:$I$88,3,0)*VLOOKUP('Données projet'!$B$11,Paramètres!$A$1:$I$88,5,0)</f>
        <v>-4.5224624045658861E-14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298.38448036212861</v>
      </c>
      <c r="BJ123" s="62">
        <f t="shared" si="92"/>
        <v>270.4445531106897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projet'!$B$11,Paramètres!$A$1:$I$88,7,0))</f>
        <v>0</v>
      </c>
      <c r="BN123" s="17">
        <f>IF(ISNA(VLOOKUP(A123,'Données projet'!$A$87:$I$107,6,0)),0%,VLOOKUP(A123,'Données projet'!$A$87:$I$107,6,0)*VLOOKUP('Données projet'!$B$11,Paramètres!$A$1:$I$88,7,0))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projet'!$B$11,Paramètres!$A$1:$I$88,3,0)*0.475*44/12</f>
        <v>0</v>
      </c>
      <c r="BQ123" s="23">
        <f>EXP(-LN(2)/25)*BQ122+(1-EXP(-LN(2)/25))/(LN(2)/25)*Calculateur!BL123*Calculateur!BN123*VLOOKUP('Données projet'!$B$11,Paramètres!$A$1:$I$88,3,0)*0.475*44/12</f>
        <v>0</v>
      </c>
      <c r="BR123" s="23">
        <f>EXP(-LN(2)/2)*BR122+(1-EXP(-LN(2)/2))/(LN(2)/2)*BL123*BO123*VLOOKUP('Données projet'!$B$11,Paramètres!$A$1:$I$88,3,0)*0.475*44/12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5.6843418860808015E-14</v>
      </c>
      <c r="BZ123" s="14">
        <f>BY123*VLOOKUP('Données projet'!$B$12,Paramètres!$A$1:$I$88,3,0)*VLOOKUP('Données projet'!$B$12,Paramètres!$A$1:$I$88,5,0)</f>
        <v>4.4337866711430253E-14</v>
      </c>
      <c r="CA123" s="14">
        <f t="shared" si="93"/>
        <v>7.3222115536967035E-13</v>
      </c>
      <c r="CB123" s="22">
        <f t="shared" si="64"/>
        <v>1.3525069634579169E-12</v>
      </c>
      <c r="CC123" s="62">
        <f t="shared" si="65"/>
        <v>293.33333333333468</v>
      </c>
      <c r="CD123" s="62">
        <f ca="1">AVERAGE(OFFSET($CC$3,0,0,'Données projet'!$E$12+1,1))-AVERAGE(OFFSET($H$3,0,0,'Données projet'!$E$12+1,1))</f>
        <v>217.32600829266818</v>
      </c>
      <c r="CE123" s="62">
        <f t="shared" si="94"/>
        <v>208.79744153433245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projet'!$B$12,Paramètres!$A$1:$I$88,7,0))</f>
        <v>0</v>
      </c>
      <c r="CI123" s="17">
        <f>IF(ISNA(VLOOKUP(A123,'Données projet'!$A$113:$I$133,6,0)),0%,VLOOKUP(A123,'Données projet'!$A$113:$I$133,6,0)*VLOOKUP('Données projet'!$B$12,Paramètres!$A$1:$I$88,7,0))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projet'!$B$12,Paramètres!$A$1:$I$88,3,0)*0.475*44/12</f>
        <v>0</v>
      </c>
      <c r="CL123" s="23">
        <f>EXP(-LN(2)/25)*CL122+(1-EXP(-LN(2)/25))/(LN(2)/25)*Calculateur!CG123*Calculateur!CI123*VLOOKUP('Données projet'!$B$12,Paramètres!$A$1:$I$88,3,0)*0.475*44/12</f>
        <v>0</v>
      </c>
      <c r="CM123" s="23">
        <f>EXP(-LN(2)/2)*CM122+(1-EXP(-LN(2)/2))/(LN(2)/2)*CG123*CJ123*VLOOKUP('Données projet'!$B$12,Paramètres!$A$1:$I$88,3,0)*0.475*44/12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-3.4106051316484809E-13</v>
      </c>
      <c r="CU123" s="18">
        <f>CT123*VLOOKUP('Données projet'!$B$13,Paramètres!$A$1:$I$88,3,0)*VLOOKUP('Données projet'!$B$13,Paramètres!$A$1:$I$88,5,0)</f>
        <v>-1.9065282685915009E-13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302.20483575440988</v>
      </c>
      <c r="CZ123" s="62">
        <f t="shared" si="96"/>
        <v>275.32862097158687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projet'!$B$13,Paramètres!$A$1:$I$88,7,0))</f>
        <v>0</v>
      </c>
      <c r="DD123" s="17">
        <f>IF(ISNA(VLOOKUP(A123,'Données projet'!$A$139:$I$159,6,0)),0%,VLOOKUP(A123,'Données projet'!$A$139:$I$159,6,0)*VLOOKUP('Données projet'!$B$13,Paramètres!$A$1:$I$88,7,0))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projet'!$B$13,Paramètres!$A$1:$I$88,3,0)*0.475*44/12</f>
        <v>0</v>
      </c>
      <c r="DG123" s="23">
        <f>EXP(-LN(2)/25)*DG122+(1-EXP(-LN(2)/25))/(LN(2)/25)*Calculateur!DB123*Calculateur!DD123*VLOOKUP('Données projet'!$B$13,Paramètres!$A$1:$I$88,3,0)*0.475*44/12</f>
        <v>1.1403207766483308</v>
      </c>
      <c r="DH123" s="23">
        <f>EXP(-LN(2)/2)*DH122+(1-EXP(-LN(2)/2))/(LN(2)/2)*DB123*DE123*VLOOKUP('Données projet'!$B$13,Paramètres!$A$1:$I$88,3,0)*0.475*44/12</f>
        <v>1.9272441987632387E-13</v>
      </c>
      <c r="DI123" s="24">
        <f t="shared" si="69"/>
        <v>1.1403207766485235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projet'!$B$14,Paramètres!$A$1:$I$88,3,0)*VLOOKUP('Données projet'!$B$14,Paramètres!$A$1:$I$88,5,0)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projet'!$B$14,Paramètres!$A$1:$I$88,7,0))</f>
        <v>0</v>
      </c>
      <c r="DY123" s="17">
        <f>IF(ISNA(VLOOKUP(A123,'Données projet'!$A$165:$I$185,6,0)),0%,VLOOKUP(A123,'Données projet'!$A$165:$I$185,6,0)*VLOOKUP('Données projet'!$B$14,Paramètres!$A$1:$I$88,7,0))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projet'!$B$14,Paramètres!$A$1:$I$88,3,0)*0.475*44/12</f>
        <v>#N/A</v>
      </c>
      <c r="EB123" s="23" t="e">
        <f>EXP(-LN(2)/25)*EB122+(1-EXP(-LN(2)/25))/(LN(2)/25)*Calculateur!DW123*Calculateur!DY123*VLOOKUP('Données projet'!$B$14,Paramètres!$A$1:$I$88,3,0)*0.475*44/12</f>
        <v>#N/A</v>
      </c>
      <c r="EC123" s="23" t="e">
        <f>EXP(-LN(2)/2)*EC122+(1-EXP(-LN(2)/2))/(LN(2)/2)*DW123*DZ123*VLOOKUP('Données projet'!$B$14,Paramètres!$A$1:$I$88,3,0)*0.475*44/12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projet'!$B$15,Paramètres!$A$1:$I$88,3,0)*VLOOKUP('Données projet'!$B$15,Paramètres!$A$1:$I$88,5,0)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projet'!$B$15,Paramètres!$A$1:$I$88,7,0))</f>
        <v>0</v>
      </c>
      <c r="ET123" s="17">
        <f>IF(ISNA(VLOOKUP(A123,'Données projet'!$A$191:$I$211,6,0)),0%,VLOOKUP(A123,'Données projet'!$A$191:$I$211,6,0)*VLOOKUP('Données projet'!$B$15,Paramètres!$A$1:$I$88,7,0))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projet'!$B$15,Paramètres!$A$1:$I$88,3,0)*0.475*44/12</f>
        <v>#N/A</v>
      </c>
      <c r="EW123" s="23" t="e">
        <f>EXP(-LN(2)/25)*EW122+(1-EXP(-LN(2)/25))/(LN(2)/25)*Calculateur!ER123*Calculateur!ET123*VLOOKUP('Données projet'!$B$15,Paramètres!$A$1:$I$88,3,0)*0.475*44/12</f>
        <v>#N/A</v>
      </c>
      <c r="EX123" s="23" t="e">
        <f>EXP(-LN(2)/2)*EX122+(1-EXP(-LN(2)/2))/(LN(2)/2)*ER123*EU123*VLOOKUP('Données projet'!$B$15,Paramètres!$A$1:$I$88,3,0)*0.475*44/12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projet'!$B$16,Paramètres!$A$1:$I$88,3,0)*VLOOKUP('Données projet'!$B$16,Paramètres!$A$1:$I$88,5,0)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projet'!$B$16,Paramètres!$A$1:$I$88,7,0))</f>
        <v>0</v>
      </c>
      <c r="FO123" s="17">
        <f>IF(ISNA(VLOOKUP(A123,'Données projet'!$A$217:$I$237,6,0)),0%,VLOOKUP(A123,'Données projet'!$A$217:$I$237,6,0)*VLOOKUP('Données projet'!$B$16,Paramètres!$A$1:$I$88,7,0))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projet'!$B$16,Paramètres!$A$1:$I$88,3,0)*0.475*44/12</f>
        <v>#N/A</v>
      </c>
      <c r="FR123" s="23" t="e">
        <f>EXP(-LN(2)/25)*FR122+(1-EXP(-LN(2)/25))/(LN(2)/25)*Calculateur!FM123*Calculateur!FO123*VLOOKUP('Données projet'!$B$16,Paramètres!$A$1:$I$88,3,0)*0.475*44/12</f>
        <v>#N/A</v>
      </c>
      <c r="FS123" s="23" t="e">
        <f>EXP(-LN(2)/2)*FS122+(1-EXP(-LN(2)/2))/(LN(2)/2)*FM123*FP123*VLOOKUP('Données projet'!$B$16,Paramètres!$A$1:$I$88,3,0)*0.475*44/12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projet'!$B$17,Paramètres!$A$1:$I$88,3,0)*VLOOKUP('Données projet'!$B$17,Paramètres!$A$1:$I$88,5,0)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projet'!$B$17,Paramètres!$A$1:$I$88,7,0))</f>
        <v>0</v>
      </c>
      <c r="GJ123" s="17">
        <f>IF(ISNA(VLOOKUP(A123,'Données projet'!$A$243:$I$263,6,0)),0%,VLOOKUP(A123,'Données projet'!$A$243:$I$263,6,0)*VLOOKUP('Données projet'!$B$17,Paramètres!$A$1:$I$88,7,0))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projet'!$B$17,Paramètres!$A$1:$I$88,3,0)*0.475*44/12</f>
        <v>#N/A</v>
      </c>
      <c r="GM123" s="23" t="e">
        <f>EXP(-LN(2)/25)*GM122+(1-EXP(-LN(2)/25))/(LN(2)/25)*Calculateur!GH123*Calculateur!GJ123*VLOOKUP('Données projet'!$B$17,Paramètres!$A$1:$I$88,3,0)*0.475*44/12</f>
        <v>#N/A</v>
      </c>
      <c r="GN123" s="23" t="e">
        <f>EXP(-LN(2)/2)*GN122+(1-EXP(-LN(2)/2))/(LN(2)/2)*GH123*GK123*VLOOKUP('Données projet'!$B$17,Paramètres!$A$1:$I$88,3,0)*0.475*44/12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projet'!$B$18,Paramètres!$A$1:$I$88,3,0)*VLOOKUP('Données projet'!$B$18,Paramètres!$A$1:$I$88,5,0)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projet'!$B$18,Paramètres!$A$1:$I$88,7,0))</f>
        <v>0</v>
      </c>
      <c r="HE123" s="17">
        <f>IF(ISNA(VLOOKUP(A123,'Données projet'!$A$269:$I$289,6,0)),0%,VLOOKUP(A123,'Données projet'!$A$269:$I$289,6,0)*VLOOKUP('Données projet'!$B$18,Paramètres!$A$1:$I$88,7,0))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projet'!$B$18,Paramètres!$A$1:$I$88,3,0)*0.475*44/12</f>
        <v>#N/A</v>
      </c>
      <c r="HH123" s="23" t="e">
        <f>EXP(-LN(2)/25)*HH122+(1-EXP(-LN(2)/25))/(LN(2)/25)*Calculateur!HC123*Calculateur!HE123*VLOOKUP('Données projet'!$B$18,Paramètres!$A$1:$I$88,3,0)*0.475*44/12</f>
        <v>#N/A</v>
      </c>
      <c r="HI123" s="23" t="e">
        <f>EXP(-LN(2)/2)*HI122+(1-EXP(-LN(2)/2))/(LN(2)/2)*HC123*HF123*VLOOKUP('Données projet'!$B$18,Paramètres!$A$1:$I$88,3,0)*0.475*44/12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projet'!$B$9,Paramètres!$A$1:$I$88,3,0)*VLOOKUP('Données projet'!$B$9,Paramètres!$A$1:$I$88,5,0)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175.05987582828078</v>
      </c>
      <c r="T124" s="62">
        <f t="shared" si="88"/>
        <v>268.54782308462387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projet'!$B$9,Paramètres!$A$1:$I$88,7,0))</f>
        <v>0</v>
      </c>
      <c r="X124" s="17">
        <f>IF(ISNA(VLOOKUP(A124,'Données projet'!$A$35:$I$55,6,0)),0%,VLOOKUP(A124,'Données projet'!$A$35:$I$55,6,0)*VLOOKUP('Données projet'!$B$9,Paramètres!$A$1:$I$88,7,0))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projet'!$B$9,Paramètres!$A$1:$I$88,3,0)*0.475*44/12</f>
        <v>0</v>
      </c>
      <c r="AA124" s="23">
        <f>EXP(-LN(2)/25)*AA123+(1-EXP(-LN(2)/25))/(LN(2)/25)*Calculateur!V124*Calculateur!X124*VLOOKUP('Données projet'!$B$9,Paramètres!$A$1:$I$88,3,0)*0.475*44/12</f>
        <v>0.82584238061068538</v>
      </c>
      <c r="AB124" s="23">
        <f>EXP(-LN(2)/2)*AB123+(1-EXP(-LN(2)/2))/(LN(2)/2)*V124*Y124*VLOOKUP('Données projet'!$B$9,Paramètres!$A$1:$I$88,3,0)*0.475*44/12</f>
        <v>3.3198175387551219E-13</v>
      </c>
      <c r="AC124" s="24">
        <f t="shared" si="57"/>
        <v>0.82584238061101733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9</v>
      </c>
      <c r="AI124" s="14">
        <f>IF('Données projet'!$A$62&gt;35,AI123+AH124-AQ123,IF(A124&lt;'Données projet'!$A$62,$AF$205^A124,IF(A124='Données projet'!$A$62,'Données projet'!$B$62,AI123+AH124-AQ123)))</f>
        <v>888.99999999999898</v>
      </c>
      <c r="AJ124" s="14">
        <f>AI124*VLOOKUP('Données projet'!$B$10,Paramètres!$A$1:$I$88,3,0)*VLOOKUP('Données projet'!$B$10,Paramètres!$A$1:$I$88,5,0)</f>
        <v>427.60899999999953</v>
      </c>
      <c r="AK124" s="14">
        <f t="shared" si="89"/>
        <v>97.352038611993606</v>
      </c>
      <c r="AL124" s="22">
        <f t="shared" si="58"/>
        <v>914.30714224922122</v>
      </c>
      <c r="AM124" s="62">
        <f t="shared" si="59"/>
        <v>1207.6404755825545</v>
      </c>
      <c r="AN124" s="62">
        <f ca="1">AVERAGE(OFFSET($AM$3,0,0,'Données projet'!$E$10+1,1))-AVERAGE(OFFSET($H$3,0,0,'Données projet'!$E$10+1,1))</f>
        <v>576.61210817354549</v>
      </c>
      <c r="AO124" s="62">
        <f t="shared" si="90"/>
        <v>343.9428747444544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projet'!$B$10,Paramètres!$A$1:$I$88,7,0))</f>
        <v>0</v>
      </c>
      <c r="AS124" s="17">
        <f>IF(ISNA(VLOOKUP(A124,'Données projet'!$A$61:$I$81,6,0)),0%,VLOOKUP(A124,'Données projet'!$A$61:$I$81,6,0)*VLOOKUP('Données projet'!$B$10,Paramètres!$A$1:$I$88,7,0))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projet'!$B$10,Paramètres!$A$1:$I$88,3,0)*0.475*44/12</f>
        <v>0</v>
      </c>
      <c r="AV124" s="23">
        <f>EXP(-LN(2)/25)*AV123+(1-EXP(-LN(2)/25))/(LN(2)/25)*Calculateur!AQ124*Calculateur!AS124*VLOOKUP('Données projet'!$B$10,Paramètres!$A$1:$I$88,3,0)*0.475*44/12</f>
        <v>0.45424336716888231</v>
      </c>
      <c r="AW124" s="23">
        <f>EXP(-LN(2)/2)*AW123+(1-EXP(-LN(2)/2))/(LN(2)/2)*AQ124*AT124*VLOOKUP('Données projet'!$B$10,Paramètres!$A$1:$I$88,3,0)*0.475*44/12</f>
        <v>2.3641202556543894E-13</v>
      </c>
      <c r="AX124" s="23">
        <f t="shared" si="60"/>
        <v>0.45424336716911873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-5.6843418860808015E-14</v>
      </c>
      <c r="BE124" s="14">
        <f>BD124*VLOOKUP('Données projet'!$B$11,Paramètres!$A$1:$I$88,3,0)*VLOOKUP('Données projet'!$B$11,Paramètres!$A$1:$I$88,5,0)</f>
        <v>-4.5224624045658861E-14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298.38448036212861</v>
      </c>
      <c r="BJ124" s="62">
        <f t="shared" si="92"/>
        <v>270.4445531106897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projet'!$B$11,Paramètres!$A$1:$I$88,7,0))</f>
        <v>0</v>
      </c>
      <c r="BN124" s="17">
        <f>IF(ISNA(VLOOKUP(A124,'Données projet'!$A$87:$I$107,6,0)),0%,VLOOKUP(A124,'Données projet'!$A$87:$I$107,6,0)*VLOOKUP('Données projet'!$B$11,Paramètres!$A$1:$I$88,7,0))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projet'!$B$11,Paramètres!$A$1:$I$88,3,0)*0.475*44/12</f>
        <v>0</v>
      </c>
      <c r="BQ124" s="23">
        <f>EXP(-LN(2)/25)*BQ123+(1-EXP(-LN(2)/25))/(LN(2)/25)*Calculateur!BL124*Calculateur!BN124*VLOOKUP('Données projet'!$B$11,Paramètres!$A$1:$I$88,3,0)*0.475*44/12</f>
        <v>0</v>
      </c>
      <c r="BR124" s="23">
        <f>EXP(-LN(2)/2)*BR123+(1-EXP(-LN(2)/2))/(LN(2)/2)*BL124*BO124*VLOOKUP('Données projet'!$B$11,Paramètres!$A$1:$I$88,3,0)*0.475*44/12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5.6843418860808015E-14</v>
      </c>
      <c r="BZ124" s="14">
        <f>BY124*VLOOKUP('Données projet'!$B$12,Paramètres!$A$1:$I$88,3,0)*VLOOKUP('Données projet'!$B$12,Paramètres!$A$1:$I$88,5,0)</f>
        <v>4.4337866711430253E-14</v>
      </c>
      <c r="CA124" s="14">
        <f t="shared" si="93"/>
        <v>7.3222115536967035E-13</v>
      </c>
      <c r="CB124" s="22">
        <f t="shared" si="64"/>
        <v>1.3525069634579169E-12</v>
      </c>
      <c r="CC124" s="62">
        <f t="shared" si="65"/>
        <v>293.33333333333468</v>
      </c>
      <c r="CD124" s="62">
        <f ca="1">AVERAGE(OFFSET($CC$3,0,0,'Données projet'!$E$12+1,1))-AVERAGE(OFFSET($H$3,0,0,'Données projet'!$E$12+1,1))</f>
        <v>217.32600829266818</v>
      </c>
      <c r="CE124" s="62">
        <f t="shared" si="94"/>
        <v>208.79744153433245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projet'!$B$12,Paramètres!$A$1:$I$88,7,0))</f>
        <v>0</v>
      </c>
      <c r="CI124" s="17">
        <f>IF(ISNA(VLOOKUP(A124,'Données projet'!$A$113:$I$133,6,0)),0%,VLOOKUP(A124,'Données projet'!$A$113:$I$133,6,0)*VLOOKUP('Données projet'!$B$12,Paramètres!$A$1:$I$88,7,0))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projet'!$B$12,Paramètres!$A$1:$I$88,3,0)*0.475*44/12</f>
        <v>0</v>
      </c>
      <c r="CL124" s="23">
        <f>EXP(-LN(2)/25)*CL123+(1-EXP(-LN(2)/25))/(LN(2)/25)*Calculateur!CG124*Calculateur!CI124*VLOOKUP('Données projet'!$B$12,Paramètres!$A$1:$I$88,3,0)*0.475*44/12</f>
        <v>0</v>
      </c>
      <c r="CM124" s="23">
        <f>EXP(-LN(2)/2)*CM123+(1-EXP(-LN(2)/2))/(LN(2)/2)*CG124*CJ124*VLOOKUP('Données projet'!$B$12,Paramètres!$A$1:$I$88,3,0)*0.475*44/12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-3.4106051316484809E-13</v>
      </c>
      <c r="CU124" s="18">
        <f>CT124*VLOOKUP('Données projet'!$B$13,Paramètres!$A$1:$I$88,3,0)*VLOOKUP('Données projet'!$B$13,Paramètres!$A$1:$I$88,5,0)</f>
        <v>-1.9065282685915009E-13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302.20483575440988</v>
      </c>
      <c r="CZ124" s="62">
        <f t="shared" si="96"/>
        <v>275.32862097158687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projet'!$B$13,Paramètres!$A$1:$I$88,7,0))</f>
        <v>0</v>
      </c>
      <c r="DD124" s="17">
        <f>IF(ISNA(VLOOKUP(A124,'Données projet'!$A$139:$I$159,6,0)),0%,VLOOKUP(A124,'Données projet'!$A$139:$I$159,6,0)*VLOOKUP('Données projet'!$B$13,Paramètres!$A$1:$I$88,7,0))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projet'!$B$13,Paramètres!$A$1:$I$88,3,0)*0.475*44/12</f>
        <v>0</v>
      </c>
      <c r="DG124" s="23">
        <f>EXP(-LN(2)/25)*DG123+(1-EXP(-LN(2)/25))/(LN(2)/25)*Calculateur!DB124*Calculateur!DD124*VLOOKUP('Données projet'!$B$13,Paramètres!$A$1:$I$88,3,0)*0.475*44/12</f>
        <v>1.1091386450440188</v>
      </c>
      <c r="DH124" s="23">
        <f>EXP(-LN(2)/2)*DH123+(1-EXP(-LN(2)/2))/(LN(2)/2)*DB124*DE124*VLOOKUP('Données projet'!$B$13,Paramètres!$A$1:$I$88,3,0)*0.475*44/12</f>
        <v>1.3627674419479205E-13</v>
      </c>
      <c r="DI124" s="24">
        <f t="shared" si="69"/>
        <v>1.1091386450441552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projet'!$B$14,Paramètres!$A$1:$I$88,3,0)*VLOOKUP('Données projet'!$B$14,Paramètres!$A$1:$I$88,5,0)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projet'!$B$14,Paramètres!$A$1:$I$88,7,0))</f>
        <v>0</v>
      </c>
      <c r="DY124" s="17">
        <f>IF(ISNA(VLOOKUP(A124,'Données projet'!$A$165:$I$185,6,0)),0%,VLOOKUP(A124,'Données projet'!$A$165:$I$185,6,0)*VLOOKUP('Données projet'!$B$14,Paramètres!$A$1:$I$88,7,0))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projet'!$B$14,Paramètres!$A$1:$I$88,3,0)*0.475*44/12</f>
        <v>#N/A</v>
      </c>
      <c r="EB124" s="23" t="e">
        <f>EXP(-LN(2)/25)*EB123+(1-EXP(-LN(2)/25))/(LN(2)/25)*Calculateur!DW124*Calculateur!DY124*VLOOKUP('Données projet'!$B$14,Paramètres!$A$1:$I$88,3,0)*0.475*44/12</f>
        <v>#N/A</v>
      </c>
      <c r="EC124" s="23" t="e">
        <f>EXP(-LN(2)/2)*EC123+(1-EXP(-LN(2)/2))/(LN(2)/2)*DW124*DZ124*VLOOKUP('Données projet'!$B$14,Paramètres!$A$1:$I$88,3,0)*0.475*44/12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projet'!$B$15,Paramètres!$A$1:$I$88,3,0)*VLOOKUP('Données projet'!$B$15,Paramètres!$A$1:$I$88,5,0)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projet'!$B$15,Paramètres!$A$1:$I$88,7,0))</f>
        <v>0</v>
      </c>
      <c r="ET124" s="17">
        <f>IF(ISNA(VLOOKUP(A124,'Données projet'!$A$191:$I$211,6,0)),0%,VLOOKUP(A124,'Données projet'!$A$191:$I$211,6,0)*VLOOKUP('Données projet'!$B$15,Paramètres!$A$1:$I$88,7,0))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projet'!$B$15,Paramètres!$A$1:$I$88,3,0)*0.475*44/12</f>
        <v>#N/A</v>
      </c>
      <c r="EW124" s="23" t="e">
        <f>EXP(-LN(2)/25)*EW123+(1-EXP(-LN(2)/25))/(LN(2)/25)*Calculateur!ER124*Calculateur!ET124*VLOOKUP('Données projet'!$B$15,Paramètres!$A$1:$I$88,3,0)*0.475*44/12</f>
        <v>#N/A</v>
      </c>
      <c r="EX124" s="23" t="e">
        <f>EXP(-LN(2)/2)*EX123+(1-EXP(-LN(2)/2))/(LN(2)/2)*ER124*EU124*VLOOKUP('Données projet'!$B$15,Paramètres!$A$1:$I$88,3,0)*0.475*44/12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projet'!$B$16,Paramètres!$A$1:$I$88,3,0)*VLOOKUP('Données projet'!$B$16,Paramètres!$A$1:$I$88,5,0)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projet'!$B$16,Paramètres!$A$1:$I$88,7,0))</f>
        <v>0</v>
      </c>
      <c r="FO124" s="17">
        <f>IF(ISNA(VLOOKUP(A124,'Données projet'!$A$217:$I$237,6,0)),0%,VLOOKUP(A124,'Données projet'!$A$217:$I$237,6,0)*VLOOKUP('Données projet'!$B$16,Paramètres!$A$1:$I$88,7,0))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projet'!$B$16,Paramètres!$A$1:$I$88,3,0)*0.475*44/12</f>
        <v>#N/A</v>
      </c>
      <c r="FR124" s="23" t="e">
        <f>EXP(-LN(2)/25)*FR123+(1-EXP(-LN(2)/25))/(LN(2)/25)*Calculateur!FM124*Calculateur!FO124*VLOOKUP('Données projet'!$B$16,Paramètres!$A$1:$I$88,3,0)*0.475*44/12</f>
        <v>#N/A</v>
      </c>
      <c r="FS124" s="23" t="e">
        <f>EXP(-LN(2)/2)*FS123+(1-EXP(-LN(2)/2))/(LN(2)/2)*FM124*FP124*VLOOKUP('Données projet'!$B$16,Paramètres!$A$1:$I$88,3,0)*0.475*44/12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projet'!$B$17,Paramètres!$A$1:$I$88,3,0)*VLOOKUP('Données projet'!$B$17,Paramètres!$A$1:$I$88,5,0)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projet'!$B$17,Paramètres!$A$1:$I$88,7,0))</f>
        <v>0</v>
      </c>
      <c r="GJ124" s="17">
        <f>IF(ISNA(VLOOKUP(A124,'Données projet'!$A$243:$I$263,6,0)),0%,VLOOKUP(A124,'Données projet'!$A$243:$I$263,6,0)*VLOOKUP('Données projet'!$B$17,Paramètres!$A$1:$I$88,7,0))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projet'!$B$17,Paramètres!$A$1:$I$88,3,0)*0.475*44/12</f>
        <v>#N/A</v>
      </c>
      <c r="GM124" s="23" t="e">
        <f>EXP(-LN(2)/25)*GM123+(1-EXP(-LN(2)/25))/(LN(2)/25)*Calculateur!GH124*Calculateur!GJ124*VLOOKUP('Données projet'!$B$17,Paramètres!$A$1:$I$88,3,0)*0.475*44/12</f>
        <v>#N/A</v>
      </c>
      <c r="GN124" s="23" t="e">
        <f>EXP(-LN(2)/2)*GN123+(1-EXP(-LN(2)/2))/(LN(2)/2)*GH124*GK124*VLOOKUP('Données projet'!$B$17,Paramètres!$A$1:$I$88,3,0)*0.475*44/12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projet'!$B$18,Paramètres!$A$1:$I$88,3,0)*VLOOKUP('Données projet'!$B$18,Paramètres!$A$1:$I$88,5,0)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projet'!$B$18,Paramètres!$A$1:$I$88,7,0))</f>
        <v>0</v>
      </c>
      <c r="HE124" s="17">
        <f>IF(ISNA(VLOOKUP(A124,'Données projet'!$A$269:$I$289,6,0)),0%,VLOOKUP(A124,'Données projet'!$A$269:$I$289,6,0)*VLOOKUP('Données projet'!$B$18,Paramètres!$A$1:$I$88,7,0))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projet'!$B$18,Paramètres!$A$1:$I$88,3,0)*0.475*44/12</f>
        <v>#N/A</v>
      </c>
      <c r="HH124" s="23" t="e">
        <f>EXP(-LN(2)/25)*HH123+(1-EXP(-LN(2)/25))/(LN(2)/25)*Calculateur!HC124*Calculateur!HE124*VLOOKUP('Données projet'!$B$18,Paramètres!$A$1:$I$88,3,0)*0.475*44/12</f>
        <v>#N/A</v>
      </c>
      <c r="HI124" s="23" t="e">
        <f>EXP(-LN(2)/2)*HI123+(1-EXP(-LN(2)/2))/(LN(2)/2)*HC124*HF124*VLOOKUP('Données projet'!$B$18,Paramètres!$A$1:$I$88,3,0)*0.475*44/12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projet'!$B$9,Paramètres!$A$1:$I$88,3,0)*VLOOKUP('Données projet'!$B$9,Paramètres!$A$1:$I$88,5,0)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175.05987582828078</v>
      </c>
      <c r="T125" s="62">
        <f t="shared" si="88"/>
        <v>268.54782308462387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projet'!$B$9,Paramètres!$A$1:$I$88,7,0))</f>
        <v>0</v>
      </c>
      <c r="X125" s="17">
        <f>IF(ISNA(VLOOKUP(A125,'Données projet'!$A$35:$I$55,6,0)),0%,VLOOKUP(A125,'Données projet'!$A$35:$I$55,6,0)*VLOOKUP('Données projet'!$B$9,Paramètres!$A$1:$I$88,7,0))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projet'!$B$9,Paramètres!$A$1:$I$88,3,0)*0.475*44/12</f>
        <v>0</v>
      </c>
      <c r="AA125" s="23">
        <f>EXP(-LN(2)/25)*AA124+(1-EXP(-LN(2)/25))/(LN(2)/25)*Calculateur!V125*Calculateur!X125*VLOOKUP('Données projet'!$B$9,Paramètres!$A$1:$I$88,3,0)*0.475*44/12</f>
        <v>0.80325967728372283</v>
      </c>
      <c r="AB125" s="23">
        <f>EXP(-LN(2)/2)*AB124+(1-EXP(-LN(2)/2))/(LN(2)/2)*V125*Y125*VLOOKUP('Données projet'!$B$9,Paramètres!$A$1:$I$88,3,0)*0.475*44/12</f>
        <v>2.3474654939557807E-13</v>
      </c>
      <c r="AC125" s="24">
        <f t="shared" si="57"/>
        <v>0.80325967728395753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9</v>
      </c>
      <c r="AI125" s="14">
        <f>IF('Données projet'!$A$62&gt;35,AI124+AH125-AQ124,IF(A125&lt;'Données projet'!$A$62,$AF$205^A125,IF(A125='Données projet'!$A$62,'Données projet'!$B$62,AI124+AH125-AQ124)))</f>
        <v>897.99999999999898</v>
      </c>
      <c r="AJ125" s="14">
        <f>AI125*VLOOKUP('Données projet'!$B$10,Paramètres!$A$1:$I$88,3,0)*VLOOKUP('Données projet'!$B$10,Paramètres!$A$1:$I$88,5,0)</f>
        <v>431.93799999999948</v>
      </c>
      <c r="AK125" s="14">
        <f t="shared" si="89"/>
        <v>98.22237372100507</v>
      </c>
      <c r="AL125" s="22">
        <f t="shared" si="58"/>
        <v>923.3626508974163</v>
      </c>
      <c r="AM125" s="62">
        <f t="shared" si="59"/>
        <v>1216.6959842307497</v>
      </c>
      <c r="AN125" s="62">
        <f ca="1">AVERAGE(OFFSET($AM$3,0,0,'Données projet'!$E$10+1,1))-AVERAGE(OFFSET($H$3,0,0,'Données projet'!$E$10+1,1))</f>
        <v>576.61210817354549</v>
      </c>
      <c r="AO125" s="62">
        <f t="shared" si="90"/>
        <v>343.9428747444544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projet'!$B$10,Paramètres!$A$1:$I$88,7,0))</f>
        <v>0</v>
      </c>
      <c r="AS125" s="17">
        <f>IF(ISNA(VLOOKUP(A125,'Données projet'!$A$61:$I$81,6,0)),0%,VLOOKUP(A125,'Données projet'!$A$61:$I$81,6,0)*VLOOKUP('Données projet'!$B$10,Paramètres!$A$1:$I$88,7,0))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projet'!$B$10,Paramètres!$A$1:$I$88,3,0)*0.475*44/12</f>
        <v>0</v>
      </c>
      <c r="AV125" s="23">
        <f>EXP(-LN(2)/25)*AV124+(1-EXP(-LN(2)/25))/(LN(2)/25)*Calculateur!AQ125*Calculateur!AS125*VLOOKUP('Données projet'!$B$10,Paramètres!$A$1:$I$88,3,0)*0.475*44/12</f>
        <v>0.44182205840602873</v>
      </c>
      <c r="AW125" s="23">
        <f>EXP(-LN(2)/2)*AW124+(1-EXP(-LN(2)/2))/(LN(2)/2)*AQ125*AT125*VLOOKUP('Données projet'!$B$10,Paramètres!$A$1:$I$88,3,0)*0.475*44/12</f>
        <v>1.6716854643136932E-13</v>
      </c>
      <c r="AX125" s="23">
        <f t="shared" si="60"/>
        <v>0.44182205840619587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-5.6843418860808015E-14</v>
      </c>
      <c r="BE125" s="14">
        <f>BD125*VLOOKUP('Données projet'!$B$11,Paramètres!$A$1:$I$88,3,0)*VLOOKUP('Données projet'!$B$11,Paramètres!$A$1:$I$88,5,0)</f>
        <v>-4.5224624045658861E-14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298.38448036212861</v>
      </c>
      <c r="BJ125" s="62">
        <f t="shared" si="92"/>
        <v>270.4445531106897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projet'!$B$11,Paramètres!$A$1:$I$88,7,0))</f>
        <v>0</v>
      </c>
      <c r="BN125" s="17">
        <f>IF(ISNA(VLOOKUP(A125,'Données projet'!$A$87:$I$107,6,0)),0%,VLOOKUP(A125,'Données projet'!$A$87:$I$107,6,0)*VLOOKUP('Données projet'!$B$11,Paramètres!$A$1:$I$88,7,0))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projet'!$B$11,Paramètres!$A$1:$I$88,3,0)*0.475*44/12</f>
        <v>0</v>
      </c>
      <c r="BQ125" s="23">
        <f>EXP(-LN(2)/25)*BQ124+(1-EXP(-LN(2)/25))/(LN(2)/25)*Calculateur!BL125*Calculateur!BN125*VLOOKUP('Données projet'!$B$11,Paramètres!$A$1:$I$88,3,0)*0.475*44/12</f>
        <v>0</v>
      </c>
      <c r="BR125" s="23">
        <f>EXP(-LN(2)/2)*BR124+(1-EXP(-LN(2)/2))/(LN(2)/2)*BL125*BO125*VLOOKUP('Données projet'!$B$11,Paramètres!$A$1:$I$88,3,0)*0.475*44/12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5.6843418860808015E-14</v>
      </c>
      <c r="BZ125" s="14">
        <f>BY125*VLOOKUP('Données projet'!$B$12,Paramètres!$A$1:$I$88,3,0)*VLOOKUP('Données projet'!$B$12,Paramètres!$A$1:$I$88,5,0)</f>
        <v>4.4337866711430253E-14</v>
      </c>
      <c r="CA125" s="14">
        <f t="shared" si="93"/>
        <v>7.3222115536967035E-13</v>
      </c>
      <c r="CB125" s="22">
        <f t="shared" si="64"/>
        <v>1.3525069634579169E-12</v>
      </c>
      <c r="CC125" s="62">
        <f t="shared" si="65"/>
        <v>293.33333333333468</v>
      </c>
      <c r="CD125" s="62">
        <f ca="1">AVERAGE(OFFSET($CC$3,0,0,'Données projet'!$E$12+1,1))-AVERAGE(OFFSET($H$3,0,0,'Données projet'!$E$12+1,1))</f>
        <v>217.32600829266818</v>
      </c>
      <c r="CE125" s="62">
        <f t="shared" si="94"/>
        <v>208.79744153433245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projet'!$B$12,Paramètres!$A$1:$I$88,7,0))</f>
        <v>0</v>
      </c>
      <c r="CI125" s="17">
        <f>IF(ISNA(VLOOKUP(A125,'Données projet'!$A$113:$I$133,6,0)),0%,VLOOKUP(A125,'Données projet'!$A$113:$I$133,6,0)*VLOOKUP('Données projet'!$B$12,Paramètres!$A$1:$I$88,7,0))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projet'!$B$12,Paramètres!$A$1:$I$88,3,0)*0.475*44/12</f>
        <v>0</v>
      </c>
      <c r="CL125" s="23">
        <f>EXP(-LN(2)/25)*CL124+(1-EXP(-LN(2)/25))/(LN(2)/25)*Calculateur!CG125*Calculateur!CI125*VLOOKUP('Données projet'!$B$12,Paramètres!$A$1:$I$88,3,0)*0.475*44/12</f>
        <v>0</v>
      </c>
      <c r="CM125" s="23">
        <f>EXP(-LN(2)/2)*CM124+(1-EXP(-LN(2)/2))/(LN(2)/2)*CG125*CJ125*VLOOKUP('Données projet'!$B$12,Paramètres!$A$1:$I$88,3,0)*0.475*44/12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-3.4106051316484809E-13</v>
      </c>
      <c r="CU125" s="18">
        <f>CT125*VLOOKUP('Données projet'!$B$13,Paramètres!$A$1:$I$88,3,0)*VLOOKUP('Données projet'!$B$13,Paramètres!$A$1:$I$88,5,0)</f>
        <v>-1.9065282685915009E-13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302.20483575440988</v>
      </c>
      <c r="CZ125" s="62">
        <f t="shared" si="96"/>
        <v>275.32862097158687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projet'!$B$13,Paramètres!$A$1:$I$88,7,0))</f>
        <v>0</v>
      </c>
      <c r="DD125" s="17">
        <f>IF(ISNA(VLOOKUP(A125,'Données projet'!$A$139:$I$159,6,0)),0%,VLOOKUP(A125,'Données projet'!$A$139:$I$159,6,0)*VLOOKUP('Données projet'!$B$13,Paramètres!$A$1:$I$88,7,0))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projet'!$B$13,Paramètres!$A$1:$I$88,3,0)*0.475*44/12</f>
        <v>0</v>
      </c>
      <c r="DG125" s="23">
        <f>EXP(-LN(2)/25)*DG124+(1-EXP(-LN(2)/25))/(LN(2)/25)*Calculateur!DB125*Calculateur!DD125*VLOOKUP('Données projet'!$B$13,Paramètres!$A$1:$I$88,3,0)*0.475*44/12</f>
        <v>1.0788091904682238</v>
      </c>
      <c r="DH125" s="23">
        <f>EXP(-LN(2)/2)*DH124+(1-EXP(-LN(2)/2))/(LN(2)/2)*DB125*DE125*VLOOKUP('Données projet'!$B$13,Paramètres!$A$1:$I$88,3,0)*0.475*44/12</f>
        <v>9.6362209938161937E-14</v>
      </c>
      <c r="DI125" s="24">
        <f t="shared" si="69"/>
        <v>1.0788091904683201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projet'!$B$14,Paramètres!$A$1:$I$88,3,0)*VLOOKUP('Données projet'!$B$14,Paramètres!$A$1:$I$88,5,0)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projet'!$B$14,Paramètres!$A$1:$I$88,7,0))</f>
        <v>0</v>
      </c>
      <c r="DY125" s="17">
        <f>IF(ISNA(VLOOKUP(A125,'Données projet'!$A$165:$I$185,6,0)),0%,VLOOKUP(A125,'Données projet'!$A$165:$I$185,6,0)*VLOOKUP('Données projet'!$B$14,Paramètres!$A$1:$I$88,7,0))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projet'!$B$14,Paramètres!$A$1:$I$88,3,0)*0.475*44/12</f>
        <v>#N/A</v>
      </c>
      <c r="EB125" s="23" t="e">
        <f>EXP(-LN(2)/25)*EB124+(1-EXP(-LN(2)/25))/(LN(2)/25)*Calculateur!DW125*Calculateur!DY125*VLOOKUP('Données projet'!$B$14,Paramètres!$A$1:$I$88,3,0)*0.475*44/12</f>
        <v>#N/A</v>
      </c>
      <c r="EC125" s="23" t="e">
        <f>EXP(-LN(2)/2)*EC124+(1-EXP(-LN(2)/2))/(LN(2)/2)*DW125*DZ125*VLOOKUP('Données projet'!$B$14,Paramètres!$A$1:$I$88,3,0)*0.475*44/12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projet'!$B$15,Paramètres!$A$1:$I$88,3,0)*VLOOKUP('Données projet'!$B$15,Paramètres!$A$1:$I$88,5,0)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projet'!$B$15,Paramètres!$A$1:$I$88,7,0))</f>
        <v>0</v>
      </c>
      <c r="ET125" s="17">
        <f>IF(ISNA(VLOOKUP(A125,'Données projet'!$A$191:$I$211,6,0)),0%,VLOOKUP(A125,'Données projet'!$A$191:$I$211,6,0)*VLOOKUP('Données projet'!$B$15,Paramètres!$A$1:$I$88,7,0))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projet'!$B$15,Paramètres!$A$1:$I$88,3,0)*0.475*44/12</f>
        <v>#N/A</v>
      </c>
      <c r="EW125" s="23" t="e">
        <f>EXP(-LN(2)/25)*EW124+(1-EXP(-LN(2)/25))/(LN(2)/25)*Calculateur!ER125*Calculateur!ET125*VLOOKUP('Données projet'!$B$15,Paramètres!$A$1:$I$88,3,0)*0.475*44/12</f>
        <v>#N/A</v>
      </c>
      <c r="EX125" s="23" t="e">
        <f>EXP(-LN(2)/2)*EX124+(1-EXP(-LN(2)/2))/(LN(2)/2)*ER125*EU125*VLOOKUP('Données projet'!$B$15,Paramètres!$A$1:$I$88,3,0)*0.475*44/12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projet'!$B$16,Paramètres!$A$1:$I$88,3,0)*VLOOKUP('Données projet'!$B$16,Paramètres!$A$1:$I$88,5,0)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projet'!$B$16,Paramètres!$A$1:$I$88,7,0))</f>
        <v>0</v>
      </c>
      <c r="FO125" s="17">
        <f>IF(ISNA(VLOOKUP(A125,'Données projet'!$A$217:$I$237,6,0)),0%,VLOOKUP(A125,'Données projet'!$A$217:$I$237,6,0)*VLOOKUP('Données projet'!$B$16,Paramètres!$A$1:$I$88,7,0))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projet'!$B$16,Paramètres!$A$1:$I$88,3,0)*0.475*44/12</f>
        <v>#N/A</v>
      </c>
      <c r="FR125" s="23" t="e">
        <f>EXP(-LN(2)/25)*FR124+(1-EXP(-LN(2)/25))/(LN(2)/25)*Calculateur!FM125*Calculateur!FO125*VLOOKUP('Données projet'!$B$16,Paramètres!$A$1:$I$88,3,0)*0.475*44/12</f>
        <v>#N/A</v>
      </c>
      <c r="FS125" s="23" t="e">
        <f>EXP(-LN(2)/2)*FS124+(1-EXP(-LN(2)/2))/(LN(2)/2)*FM125*FP125*VLOOKUP('Données projet'!$B$16,Paramètres!$A$1:$I$88,3,0)*0.475*44/12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projet'!$B$17,Paramètres!$A$1:$I$88,3,0)*VLOOKUP('Données projet'!$B$17,Paramètres!$A$1:$I$88,5,0)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projet'!$B$17,Paramètres!$A$1:$I$88,7,0))</f>
        <v>0</v>
      </c>
      <c r="GJ125" s="17">
        <f>IF(ISNA(VLOOKUP(A125,'Données projet'!$A$243:$I$263,6,0)),0%,VLOOKUP(A125,'Données projet'!$A$243:$I$263,6,0)*VLOOKUP('Données projet'!$B$17,Paramètres!$A$1:$I$88,7,0))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projet'!$B$17,Paramètres!$A$1:$I$88,3,0)*0.475*44/12</f>
        <v>#N/A</v>
      </c>
      <c r="GM125" s="23" t="e">
        <f>EXP(-LN(2)/25)*GM124+(1-EXP(-LN(2)/25))/(LN(2)/25)*Calculateur!GH125*Calculateur!GJ125*VLOOKUP('Données projet'!$B$17,Paramètres!$A$1:$I$88,3,0)*0.475*44/12</f>
        <v>#N/A</v>
      </c>
      <c r="GN125" s="23" t="e">
        <f>EXP(-LN(2)/2)*GN124+(1-EXP(-LN(2)/2))/(LN(2)/2)*GH125*GK125*VLOOKUP('Données projet'!$B$17,Paramètres!$A$1:$I$88,3,0)*0.475*44/12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projet'!$B$18,Paramètres!$A$1:$I$88,3,0)*VLOOKUP('Données projet'!$B$18,Paramètres!$A$1:$I$88,5,0)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projet'!$B$18,Paramètres!$A$1:$I$88,7,0))</f>
        <v>0</v>
      </c>
      <c r="HE125" s="17">
        <f>IF(ISNA(VLOOKUP(A125,'Données projet'!$A$269:$I$289,6,0)),0%,VLOOKUP(A125,'Données projet'!$A$269:$I$289,6,0)*VLOOKUP('Données projet'!$B$18,Paramètres!$A$1:$I$88,7,0))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projet'!$B$18,Paramètres!$A$1:$I$88,3,0)*0.475*44/12</f>
        <v>#N/A</v>
      </c>
      <c r="HH125" s="23" t="e">
        <f>EXP(-LN(2)/25)*HH124+(1-EXP(-LN(2)/25))/(LN(2)/25)*Calculateur!HC125*Calculateur!HE125*VLOOKUP('Données projet'!$B$18,Paramètres!$A$1:$I$88,3,0)*0.475*44/12</f>
        <v>#N/A</v>
      </c>
      <c r="HI125" s="23" t="e">
        <f>EXP(-LN(2)/2)*HI124+(1-EXP(-LN(2)/2))/(LN(2)/2)*HC125*HF125*VLOOKUP('Données projet'!$B$18,Paramètres!$A$1:$I$88,3,0)*0.475*44/12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projet'!$B$9,Paramètres!$A$1:$I$88,3,0)*VLOOKUP('Données projet'!$B$9,Paramètres!$A$1:$I$88,5,0)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175.05987582828078</v>
      </c>
      <c r="T126" s="62">
        <f t="shared" si="88"/>
        <v>268.54782308462387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projet'!$B$9,Paramètres!$A$1:$I$88,7,0))</f>
        <v>0</v>
      </c>
      <c r="X126" s="17">
        <f>IF(ISNA(VLOOKUP(A126,'Données projet'!$A$35:$I$55,6,0)),0%,VLOOKUP(A126,'Données projet'!$A$35:$I$55,6,0)*VLOOKUP('Données projet'!$B$9,Paramètres!$A$1:$I$88,7,0))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projet'!$B$9,Paramètres!$A$1:$I$88,3,0)*0.475*44/12</f>
        <v>0</v>
      </c>
      <c r="AA126" s="23">
        <f>EXP(-LN(2)/25)*AA125+(1-EXP(-LN(2)/25))/(LN(2)/25)*Calculateur!V126*Calculateur!X126*VLOOKUP('Données projet'!$B$9,Paramètres!$A$1:$I$88,3,0)*0.475*44/12</f>
        <v>0.78129449916680882</v>
      </c>
      <c r="AB126" s="23">
        <f>EXP(-LN(2)/2)*AB125+(1-EXP(-LN(2)/2))/(LN(2)/2)*V126*Y126*VLOOKUP('Données projet'!$B$9,Paramètres!$A$1:$I$88,3,0)*0.475*44/12</f>
        <v>1.6599087693775609E-13</v>
      </c>
      <c r="AC126" s="24">
        <f t="shared" si="57"/>
        <v>0.7812944991669748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9</v>
      </c>
      <c r="AI126" s="14">
        <f>IF('Données projet'!$A$62&gt;35,AI125+AH126-AQ125,IF(A126&lt;'Données projet'!$A$62,$AF$205^A126,IF(A126='Données projet'!$A$62,'Données projet'!$B$62,AI125+AH126-AQ125)))</f>
        <v>906.99999999999898</v>
      </c>
      <c r="AJ126" s="14">
        <f>AI126*VLOOKUP('Données projet'!$B$10,Paramètres!$A$1:$I$88,3,0)*VLOOKUP('Données projet'!$B$10,Paramètres!$A$1:$I$88,5,0)</f>
        <v>436.26699999999954</v>
      </c>
      <c r="AK126" s="14">
        <f t="shared" si="89"/>
        <v>99.091694077708112</v>
      </c>
      <c r="AL126" s="22">
        <f t="shared" si="58"/>
        <v>932.4163921853409</v>
      </c>
      <c r="AM126" s="62">
        <f t="shared" si="59"/>
        <v>1225.7497255186743</v>
      </c>
      <c r="AN126" s="62">
        <f ca="1">AVERAGE(OFFSET($AM$3,0,0,'Données projet'!$E$10+1,1))-AVERAGE(OFFSET($H$3,0,0,'Données projet'!$E$10+1,1))</f>
        <v>576.61210817354549</v>
      </c>
      <c r="AO126" s="62">
        <f t="shared" si="90"/>
        <v>343.9428747444544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projet'!$B$10,Paramètres!$A$1:$I$88,7,0))</f>
        <v>0</v>
      </c>
      <c r="AS126" s="17">
        <f>IF(ISNA(VLOOKUP(A126,'Données projet'!$A$61:$I$81,6,0)),0%,VLOOKUP(A126,'Données projet'!$A$61:$I$81,6,0)*VLOOKUP('Données projet'!$B$10,Paramètres!$A$1:$I$88,7,0))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projet'!$B$10,Paramètres!$A$1:$I$88,3,0)*0.475*44/12</f>
        <v>0</v>
      </c>
      <c r="AV126" s="23">
        <f>EXP(-LN(2)/25)*AV125+(1-EXP(-LN(2)/25))/(LN(2)/25)*Calculateur!AQ126*Calculateur!AS126*VLOOKUP('Données projet'!$B$10,Paramètres!$A$1:$I$88,3,0)*0.475*44/12</f>
        <v>0.42974041098450361</v>
      </c>
      <c r="AW126" s="23">
        <f>EXP(-LN(2)/2)*AW125+(1-EXP(-LN(2)/2))/(LN(2)/2)*AQ126*AT126*VLOOKUP('Données projet'!$B$10,Paramètres!$A$1:$I$88,3,0)*0.475*44/12</f>
        <v>1.1820601278271947E-13</v>
      </c>
      <c r="AX126" s="23">
        <f t="shared" si="60"/>
        <v>0.42974041098462179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-5.6843418860808015E-14</v>
      </c>
      <c r="BE126" s="14">
        <f>BD126*VLOOKUP('Données projet'!$B$11,Paramètres!$A$1:$I$88,3,0)*VLOOKUP('Données projet'!$B$11,Paramètres!$A$1:$I$88,5,0)</f>
        <v>-4.5224624045658861E-14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298.38448036212861</v>
      </c>
      <c r="BJ126" s="62">
        <f t="shared" si="92"/>
        <v>270.4445531106897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projet'!$B$11,Paramètres!$A$1:$I$88,7,0))</f>
        <v>0</v>
      </c>
      <c r="BN126" s="17">
        <f>IF(ISNA(VLOOKUP(A126,'Données projet'!$A$87:$I$107,6,0)),0%,VLOOKUP(A126,'Données projet'!$A$87:$I$107,6,0)*VLOOKUP('Données projet'!$B$11,Paramètres!$A$1:$I$88,7,0))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projet'!$B$11,Paramètres!$A$1:$I$88,3,0)*0.475*44/12</f>
        <v>0</v>
      </c>
      <c r="BQ126" s="23">
        <f>EXP(-LN(2)/25)*BQ125+(1-EXP(-LN(2)/25))/(LN(2)/25)*Calculateur!BL126*Calculateur!BN126*VLOOKUP('Données projet'!$B$11,Paramètres!$A$1:$I$88,3,0)*0.475*44/12</f>
        <v>0</v>
      </c>
      <c r="BR126" s="23">
        <f>EXP(-LN(2)/2)*BR125+(1-EXP(-LN(2)/2))/(LN(2)/2)*BL126*BO126*VLOOKUP('Données projet'!$B$11,Paramètres!$A$1:$I$88,3,0)*0.475*44/12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5.6843418860808015E-14</v>
      </c>
      <c r="BZ126" s="14">
        <f>BY126*VLOOKUP('Données projet'!$B$12,Paramètres!$A$1:$I$88,3,0)*VLOOKUP('Données projet'!$B$12,Paramètres!$A$1:$I$88,5,0)</f>
        <v>4.4337866711430253E-14</v>
      </c>
      <c r="CA126" s="14">
        <f t="shared" si="93"/>
        <v>7.3222115536967035E-13</v>
      </c>
      <c r="CB126" s="22">
        <f t="shared" si="64"/>
        <v>1.3525069634579169E-12</v>
      </c>
      <c r="CC126" s="62">
        <f t="shared" si="65"/>
        <v>293.33333333333468</v>
      </c>
      <c r="CD126" s="62">
        <f ca="1">AVERAGE(OFFSET($CC$3,0,0,'Données projet'!$E$12+1,1))-AVERAGE(OFFSET($H$3,0,0,'Données projet'!$E$12+1,1))</f>
        <v>217.32600829266818</v>
      </c>
      <c r="CE126" s="62">
        <f t="shared" si="94"/>
        <v>208.79744153433245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projet'!$B$12,Paramètres!$A$1:$I$88,7,0))</f>
        <v>0</v>
      </c>
      <c r="CI126" s="17">
        <f>IF(ISNA(VLOOKUP(A126,'Données projet'!$A$113:$I$133,6,0)),0%,VLOOKUP(A126,'Données projet'!$A$113:$I$133,6,0)*VLOOKUP('Données projet'!$B$12,Paramètres!$A$1:$I$88,7,0))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projet'!$B$12,Paramètres!$A$1:$I$88,3,0)*0.475*44/12</f>
        <v>0</v>
      </c>
      <c r="CL126" s="23">
        <f>EXP(-LN(2)/25)*CL125+(1-EXP(-LN(2)/25))/(LN(2)/25)*Calculateur!CG126*Calculateur!CI126*VLOOKUP('Données projet'!$B$12,Paramètres!$A$1:$I$88,3,0)*0.475*44/12</f>
        <v>0</v>
      </c>
      <c r="CM126" s="23">
        <f>EXP(-LN(2)/2)*CM125+(1-EXP(-LN(2)/2))/(LN(2)/2)*CG126*CJ126*VLOOKUP('Données projet'!$B$12,Paramètres!$A$1:$I$88,3,0)*0.475*44/12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-3.4106051316484809E-13</v>
      </c>
      <c r="CU126" s="18">
        <f>CT126*VLOOKUP('Données projet'!$B$13,Paramètres!$A$1:$I$88,3,0)*VLOOKUP('Données projet'!$B$13,Paramètres!$A$1:$I$88,5,0)</f>
        <v>-1.9065282685915009E-13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302.20483575440988</v>
      </c>
      <c r="CZ126" s="62">
        <f t="shared" si="96"/>
        <v>275.32862097158687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projet'!$B$13,Paramètres!$A$1:$I$88,7,0))</f>
        <v>0</v>
      </c>
      <c r="DD126" s="17">
        <f>IF(ISNA(VLOOKUP(A126,'Données projet'!$A$139:$I$159,6,0)),0%,VLOOKUP(A126,'Données projet'!$A$139:$I$159,6,0)*VLOOKUP('Données projet'!$B$13,Paramètres!$A$1:$I$88,7,0))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projet'!$B$13,Paramètres!$A$1:$I$88,3,0)*0.475*44/12</f>
        <v>0</v>
      </c>
      <c r="DG126" s="23">
        <f>EXP(-LN(2)/25)*DG125+(1-EXP(-LN(2)/25))/(LN(2)/25)*Calculateur!DB126*Calculateur!DD126*VLOOKUP('Données projet'!$B$13,Paramètres!$A$1:$I$88,3,0)*0.475*44/12</f>
        <v>1.0493090964227605</v>
      </c>
      <c r="DH126" s="23">
        <f>EXP(-LN(2)/2)*DH125+(1-EXP(-LN(2)/2))/(LN(2)/2)*DB126*DE126*VLOOKUP('Données projet'!$B$13,Paramètres!$A$1:$I$88,3,0)*0.475*44/12</f>
        <v>6.8138372097396027E-14</v>
      </c>
      <c r="DI126" s="24">
        <f t="shared" si="69"/>
        <v>1.0493090964228287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projet'!$B$14,Paramètres!$A$1:$I$88,3,0)*VLOOKUP('Données projet'!$B$14,Paramètres!$A$1:$I$88,5,0)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projet'!$B$14,Paramètres!$A$1:$I$88,7,0))</f>
        <v>0</v>
      </c>
      <c r="DY126" s="17">
        <f>IF(ISNA(VLOOKUP(A126,'Données projet'!$A$165:$I$185,6,0)),0%,VLOOKUP(A126,'Données projet'!$A$165:$I$185,6,0)*VLOOKUP('Données projet'!$B$14,Paramètres!$A$1:$I$88,7,0))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projet'!$B$14,Paramètres!$A$1:$I$88,3,0)*0.475*44/12</f>
        <v>#N/A</v>
      </c>
      <c r="EB126" s="23" t="e">
        <f>EXP(-LN(2)/25)*EB125+(1-EXP(-LN(2)/25))/(LN(2)/25)*Calculateur!DW126*Calculateur!DY126*VLOOKUP('Données projet'!$B$14,Paramètres!$A$1:$I$88,3,0)*0.475*44/12</f>
        <v>#N/A</v>
      </c>
      <c r="EC126" s="23" t="e">
        <f>EXP(-LN(2)/2)*EC125+(1-EXP(-LN(2)/2))/(LN(2)/2)*DW126*DZ126*VLOOKUP('Données projet'!$B$14,Paramètres!$A$1:$I$88,3,0)*0.475*44/12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projet'!$B$15,Paramètres!$A$1:$I$88,3,0)*VLOOKUP('Données projet'!$B$15,Paramètres!$A$1:$I$88,5,0)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projet'!$B$15,Paramètres!$A$1:$I$88,7,0))</f>
        <v>0</v>
      </c>
      <c r="ET126" s="17">
        <f>IF(ISNA(VLOOKUP(A126,'Données projet'!$A$191:$I$211,6,0)),0%,VLOOKUP(A126,'Données projet'!$A$191:$I$211,6,0)*VLOOKUP('Données projet'!$B$15,Paramètres!$A$1:$I$88,7,0))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projet'!$B$15,Paramètres!$A$1:$I$88,3,0)*0.475*44/12</f>
        <v>#N/A</v>
      </c>
      <c r="EW126" s="23" t="e">
        <f>EXP(-LN(2)/25)*EW125+(1-EXP(-LN(2)/25))/(LN(2)/25)*Calculateur!ER126*Calculateur!ET126*VLOOKUP('Données projet'!$B$15,Paramètres!$A$1:$I$88,3,0)*0.475*44/12</f>
        <v>#N/A</v>
      </c>
      <c r="EX126" s="23" t="e">
        <f>EXP(-LN(2)/2)*EX125+(1-EXP(-LN(2)/2))/(LN(2)/2)*ER126*EU126*VLOOKUP('Données projet'!$B$15,Paramètres!$A$1:$I$88,3,0)*0.475*44/12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projet'!$B$16,Paramètres!$A$1:$I$88,3,0)*VLOOKUP('Données projet'!$B$16,Paramètres!$A$1:$I$88,5,0)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projet'!$B$16,Paramètres!$A$1:$I$88,7,0))</f>
        <v>0</v>
      </c>
      <c r="FO126" s="17">
        <f>IF(ISNA(VLOOKUP(A126,'Données projet'!$A$217:$I$237,6,0)),0%,VLOOKUP(A126,'Données projet'!$A$217:$I$237,6,0)*VLOOKUP('Données projet'!$B$16,Paramètres!$A$1:$I$88,7,0))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projet'!$B$16,Paramètres!$A$1:$I$88,3,0)*0.475*44/12</f>
        <v>#N/A</v>
      </c>
      <c r="FR126" s="23" t="e">
        <f>EXP(-LN(2)/25)*FR125+(1-EXP(-LN(2)/25))/(LN(2)/25)*Calculateur!FM126*Calculateur!FO126*VLOOKUP('Données projet'!$B$16,Paramètres!$A$1:$I$88,3,0)*0.475*44/12</f>
        <v>#N/A</v>
      </c>
      <c r="FS126" s="23" t="e">
        <f>EXP(-LN(2)/2)*FS125+(1-EXP(-LN(2)/2))/(LN(2)/2)*FM126*FP126*VLOOKUP('Données projet'!$B$16,Paramètres!$A$1:$I$88,3,0)*0.475*44/12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projet'!$B$17,Paramètres!$A$1:$I$88,3,0)*VLOOKUP('Données projet'!$B$17,Paramètres!$A$1:$I$88,5,0)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projet'!$B$17,Paramètres!$A$1:$I$88,7,0))</f>
        <v>0</v>
      </c>
      <c r="GJ126" s="17">
        <f>IF(ISNA(VLOOKUP(A126,'Données projet'!$A$243:$I$263,6,0)),0%,VLOOKUP(A126,'Données projet'!$A$243:$I$263,6,0)*VLOOKUP('Données projet'!$B$17,Paramètres!$A$1:$I$88,7,0))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projet'!$B$17,Paramètres!$A$1:$I$88,3,0)*0.475*44/12</f>
        <v>#N/A</v>
      </c>
      <c r="GM126" s="23" t="e">
        <f>EXP(-LN(2)/25)*GM125+(1-EXP(-LN(2)/25))/(LN(2)/25)*Calculateur!GH126*Calculateur!GJ126*VLOOKUP('Données projet'!$B$17,Paramètres!$A$1:$I$88,3,0)*0.475*44/12</f>
        <v>#N/A</v>
      </c>
      <c r="GN126" s="23" t="e">
        <f>EXP(-LN(2)/2)*GN125+(1-EXP(-LN(2)/2))/(LN(2)/2)*GH126*GK126*VLOOKUP('Données projet'!$B$17,Paramètres!$A$1:$I$88,3,0)*0.475*44/12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projet'!$B$18,Paramètres!$A$1:$I$88,3,0)*VLOOKUP('Données projet'!$B$18,Paramètres!$A$1:$I$88,5,0)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projet'!$B$18,Paramètres!$A$1:$I$88,7,0))</f>
        <v>0</v>
      </c>
      <c r="HE126" s="17">
        <f>IF(ISNA(VLOOKUP(A126,'Données projet'!$A$269:$I$289,6,0)),0%,VLOOKUP(A126,'Données projet'!$A$269:$I$289,6,0)*VLOOKUP('Données projet'!$B$18,Paramètres!$A$1:$I$88,7,0))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projet'!$B$18,Paramètres!$A$1:$I$88,3,0)*0.475*44/12</f>
        <v>#N/A</v>
      </c>
      <c r="HH126" s="23" t="e">
        <f>EXP(-LN(2)/25)*HH125+(1-EXP(-LN(2)/25))/(LN(2)/25)*Calculateur!HC126*Calculateur!HE126*VLOOKUP('Données projet'!$B$18,Paramètres!$A$1:$I$88,3,0)*0.475*44/12</f>
        <v>#N/A</v>
      </c>
      <c r="HI126" s="23" t="e">
        <f>EXP(-LN(2)/2)*HI125+(1-EXP(-LN(2)/2))/(LN(2)/2)*HC126*HF126*VLOOKUP('Données projet'!$B$18,Paramètres!$A$1:$I$88,3,0)*0.475*44/12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projet'!$B$9,Paramètres!$A$1:$I$88,3,0)*VLOOKUP('Données projet'!$B$9,Paramètres!$A$1:$I$88,5,0)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175.05987582828078</v>
      </c>
      <c r="T127" s="62">
        <f t="shared" si="88"/>
        <v>268.54782308462387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projet'!$B$9,Paramètres!$A$1:$I$88,7,0))</f>
        <v>0</v>
      </c>
      <c r="X127" s="17">
        <f>IF(ISNA(VLOOKUP(A127,'Données projet'!$A$35:$I$55,6,0)),0%,VLOOKUP(A127,'Données projet'!$A$35:$I$55,6,0)*VLOOKUP('Données projet'!$B$9,Paramètres!$A$1:$I$88,7,0))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projet'!$B$9,Paramètres!$A$1:$I$88,3,0)*0.475*44/12</f>
        <v>0</v>
      </c>
      <c r="AA127" s="23">
        <f>EXP(-LN(2)/25)*AA126+(1-EXP(-LN(2)/25))/(LN(2)/25)*Calculateur!V127*Calculateur!X127*VLOOKUP('Données projet'!$B$9,Paramètres!$A$1:$I$88,3,0)*0.475*44/12</f>
        <v>0.75992996000060042</v>
      </c>
      <c r="AB127" s="23">
        <f>EXP(-LN(2)/2)*AB126+(1-EXP(-LN(2)/2))/(LN(2)/2)*V127*Y127*VLOOKUP('Données projet'!$B$9,Paramètres!$A$1:$I$88,3,0)*0.475*44/12</f>
        <v>1.1737327469778903E-13</v>
      </c>
      <c r="AC127" s="24">
        <f t="shared" si="57"/>
        <v>0.75992996000071777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9</v>
      </c>
      <c r="AI127" s="14">
        <f>IF('Données projet'!$A$62&gt;35,AI126+AH127-AQ126,IF(A127&lt;'Données projet'!$A$62,$AF$205^A127,IF(A127='Données projet'!$A$62,'Données projet'!$B$62,AI126+AH127-AQ126)))</f>
        <v>915.99999999999898</v>
      </c>
      <c r="AJ127" s="14">
        <f>AI127*VLOOKUP('Données projet'!$B$10,Paramètres!$A$1:$I$88,3,0)*VLOOKUP('Données projet'!$B$10,Paramètres!$A$1:$I$88,5,0)</f>
        <v>440.59599999999949</v>
      </c>
      <c r="AK127" s="14">
        <f t="shared" si="89"/>
        <v>99.960010917246279</v>
      </c>
      <c r="AL127" s="22">
        <f t="shared" si="58"/>
        <v>941.46838568086969</v>
      </c>
      <c r="AM127" s="62">
        <f t="shared" si="59"/>
        <v>1234.8017190142029</v>
      </c>
      <c r="AN127" s="62">
        <f ca="1">AVERAGE(OFFSET($AM$3,0,0,'Données projet'!$E$10+1,1))-AVERAGE(OFFSET($H$3,0,0,'Données projet'!$E$10+1,1))</f>
        <v>576.61210817354549</v>
      </c>
      <c r="AO127" s="62">
        <f t="shared" si="90"/>
        <v>343.9428747444544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projet'!$B$10,Paramètres!$A$1:$I$88,7,0))</f>
        <v>0</v>
      </c>
      <c r="AS127" s="17">
        <f>IF(ISNA(VLOOKUP(A127,'Données projet'!$A$61:$I$81,6,0)),0%,VLOOKUP(A127,'Données projet'!$A$61:$I$81,6,0)*VLOOKUP('Données projet'!$B$10,Paramètres!$A$1:$I$88,7,0))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projet'!$B$10,Paramètres!$A$1:$I$88,3,0)*0.475*44/12</f>
        <v>0</v>
      </c>
      <c r="AV127" s="23">
        <f>EXP(-LN(2)/25)*AV126+(1-EXP(-LN(2)/25))/(LN(2)/25)*Calculateur!AQ127*Calculateur!AS127*VLOOKUP('Données projet'!$B$10,Paramètres!$A$1:$I$88,3,0)*0.475*44/12</f>
        <v>0.41798913684706634</v>
      </c>
      <c r="AW127" s="23">
        <f>EXP(-LN(2)/2)*AW126+(1-EXP(-LN(2)/2))/(LN(2)/2)*AQ127*AT127*VLOOKUP('Données projet'!$B$10,Paramètres!$A$1:$I$88,3,0)*0.475*44/12</f>
        <v>8.3584273215684659E-14</v>
      </c>
      <c r="AX127" s="23">
        <f t="shared" si="60"/>
        <v>0.41798913684714994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-5.6843418860808015E-14</v>
      </c>
      <c r="BE127" s="14">
        <f>BD127*VLOOKUP('Données projet'!$B$11,Paramètres!$A$1:$I$88,3,0)*VLOOKUP('Données projet'!$B$11,Paramètres!$A$1:$I$88,5,0)</f>
        <v>-4.5224624045658861E-14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298.38448036212861</v>
      </c>
      <c r="BJ127" s="62">
        <f t="shared" si="92"/>
        <v>270.4445531106897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projet'!$B$11,Paramètres!$A$1:$I$88,7,0))</f>
        <v>0</v>
      </c>
      <c r="BN127" s="17">
        <f>IF(ISNA(VLOOKUP(A127,'Données projet'!$A$87:$I$107,6,0)),0%,VLOOKUP(A127,'Données projet'!$A$87:$I$107,6,0)*VLOOKUP('Données projet'!$B$11,Paramètres!$A$1:$I$88,7,0))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projet'!$B$11,Paramètres!$A$1:$I$88,3,0)*0.475*44/12</f>
        <v>0</v>
      </c>
      <c r="BQ127" s="23">
        <f>EXP(-LN(2)/25)*BQ126+(1-EXP(-LN(2)/25))/(LN(2)/25)*Calculateur!BL127*Calculateur!BN127*VLOOKUP('Données projet'!$B$11,Paramètres!$A$1:$I$88,3,0)*0.475*44/12</f>
        <v>0</v>
      </c>
      <c r="BR127" s="23">
        <f>EXP(-LN(2)/2)*BR126+(1-EXP(-LN(2)/2))/(LN(2)/2)*BL127*BO127*VLOOKUP('Données projet'!$B$11,Paramètres!$A$1:$I$88,3,0)*0.475*44/12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5.6843418860808015E-14</v>
      </c>
      <c r="BZ127" s="14">
        <f>BY127*VLOOKUP('Données projet'!$B$12,Paramètres!$A$1:$I$88,3,0)*VLOOKUP('Données projet'!$B$12,Paramètres!$A$1:$I$88,5,0)</f>
        <v>4.4337866711430253E-14</v>
      </c>
      <c r="CA127" s="14">
        <f t="shared" si="93"/>
        <v>7.3222115536967035E-13</v>
      </c>
      <c r="CB127" s="22">
        <f t="shared" si="64"/>
        <v>1.3525069634579169E-12</v>
      </c>
      <c r="CC127" s="62">
        <f t="shared" si="65"/>
        <v>293.33333333333468</v>
      </c>
      <c r="CD127" s="62">
        <f ca="1">AVERAGE(OFFSET($CC$3,0,0,'Données projet'!$E$12+1,1))-AVERAGE(OFFSET($H$3,0,0,'Données projet'!$E$12+1,1))</f>
        <v>217.32600829266818</v>
      </c>
      <c r="CE127" s="62">
        <f t="shared" si="94"/>
        <v>208.79744153433245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projet'!$B$12,Paramètres!$A$1:$I$88,7,0))</f>
        <v>0</v>
      </c>
      <c r="CI127" s="17">
        <f>IF(ISNA(VLOOKUP(A127,'Données projet'!$A$113:$I$133,6,0)),0%,VLOOKUP(A127,'Données projet'!$A$113:$I$133,6,0)*VLOOKUP('Données projet'!$B$12,Paramètres!$A$1:$I$88,7,0))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projet'!$B$12,Paramètres!$A$1:$I$88,3,0)*0.475*44/12</f>
        <v>0</v>
      </c>
      <c r="CL127" s="23">
        <f>EXP(-LN(2)/25)*CL126+(1-EXP(-LN(2)/25))/(LN(2)/25)*Calculateur!CG127*Calculateur!CI127*VLOOKUP('Données projet'!$B$12,Paramètres!$A$1:$I$88,3,0)*0.475*44/12</f>
        <v>0</v>
      </c>
      <c r="CM127" s="23">
        <f>EXP(-LN(2)/2)*CM126+(1-EXP(-LN(2)/2))/(LN(2)/2)*CG127*CJ127*VLOOKUP('Données projet'!$B$12,Paramètres!$A$1:$I$88,3,0)*0.475*44/12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-3.4106051316484809E-13</v>
      </c>
      <c r="CU127" s="18">
        <f>CT127*VLOOKUP('Données projet'!$B$13,Paramètres!$A$1:$I$88,3,0)*VLOOKUP('Données projet'!$B$13,Paramètres!$A$1:$I$88,5,0)</f>
        <v>-1.9065282685915009E-13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302.20483575440988</v>
      </c>
      <c r="CZ127" s="62">
        <f t="shared" si="96"/>
        <v>275.32862097158687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projet'!$B$13,Paramètres!$A$1:$I$88,7,0))</f>
        <v>0</v>
      </c>
      <c r="DD127" s="17">
        <f>IF(ISNA(VLOOKUP(A127,'Données projet'!$A$139:$I$159,6,0)),0%,VLOOKUP(A127,'Données projet'!$A$139:$I$159,6,0)*VLOOKUP('Données projet'!$B$13,Paramètres!$A$1:$I$88,7,0))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projet'!$B$13,Paramètres!$A$1:$I$88,3,0)*0.475*44/12</f>
        <v>0</v>
      </c>
      <c r="DG127" s="23">
        <f>EXP(-LN(2)/25)*DG126+(1-EXP(-LN(2)/25))/(LN(2)/25)*Calculateur!DB127*Calculateur!DD127*VLOOKUP('Données projet'!$B$13,Paramètres!$A$1:$I$88,3,0)*0.475*44/12</f>
        <v>1.0206156840003129</v>
      </c>
      <c r="DH127" s="23">
        <f>EXP(-LN(2)/2)*DH126+(1-EXP(-LN(2)/2))/(LN(2)/2)*DB127*DE127*VLOOKUP('Données projet'!$B$13,Paramètres!$A$1:$I$88,3,0)*0.475*44/12</f>
        <v>4.8181104969080969E-14</v>
      </c>
      <c r="DI127" s="24">
        <f t="shared" si="69"/>
        <v>1.0206156840003611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projet'!$B$14,Paramètres!$A$1:$I$88,3,0)*VLOOKUP('Données projet'!$B$14,Paramètres!$A$1:$I$88,5,0)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projet'!$B$14,Paramètres!$A$1:$I$88,7,0))</f>
        <v>0</v>
      </c>
      <c r="DY127" s="17">
        <f>IF(ISNA(VLOOKUP(A127,'Données projet'!$A$165:$I$185,6,0)),0%,VLOOKUP(A127,'Données projet'!$A$165:$I$185,6,0)*VLOOKUP('Données projet'!$B$14,Paramètres!$A$1:$I$88,7,0))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projet'!$B$14,Paramètres!$A$1:$I$88,3,0)*0.475*44/12</f>
        <v>#N/A</v>
      </c>
      <c r="EB127" s="23" t="e">
        <f>EXP(-LN(2)/25)*EB126+(1-EXP(-LN(2)/25))/(LN(2)/25)*Calculateur!DW127*Calculateur!DY127*VLOOKUP('Données projet'!$B$14,Paramètres!$A$1:$I$88,3,0)*0.475*44/12</f>
        <v>#N/A</v>
      </c>
      <c r="EC127" s="23" t="e">
        <f>EXP(-LN(2)/2)*EC126+(1-EXP(-LN(2)/2))/(LN(2)/2)*DW127*DZ127*VLOOKUP('Données projet'!$B$14,Paramètres!$A$1:$I$88,3,0)*0.475*44/12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projet'!$B$15,Paramètres!$A$1:$I$88,3,0)*VLOOKUP('Données projet'!$B$15,Paramètres!$A$1:$I$88,5,0)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projet'!$B$15,Paramètres!$A$1:$I$88,7,0))</f>
        <v>0</v>
      </c>
      <c r="ET127" s="17">
        <f>IF(ISNA(VLOOKUP(A127,'Données projet'!$A$191:$I$211,6,0)),0%,VLOOKUP(A127,'Données projet'!$A$191:$I$211,6,0)*VLOOKUP('Données projet'!$B$15,Paramètres!$A$1:$I$88,7,0))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projet'!$B$15,Paramètres!$A$1:$I$88,3,0)*0.475*44/12</f>
        <v>#N/A</v>
      </c>
      <c r="EW127" s="23" t="e">
        <f>EXP(-LN(2)/25)*EW126+(1-EXP(-LN(2)/25))/(LN(2)/25)*Calculateur!ER127*Calculateur!ET127*VLOOKUP('Données projet'!$B$15,Paramètres!$A$1:$I$88,3,0)*0.475*44/12</f>
        <v>#N/A</v>
      </c>
      <c r="EX127" s="23" t="e">
        <f>EXP(-LN(2)/2)*EX126+(1-EXP(-LN(2)/2))/(LN(2)/2)*ER127*EU127*VLOOKUP('Données projet'!$B$15,Paramètres!$A$1:$I$88,3,0)*0.475*44/12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projet'!$B$16,Paramètres!$A$1:$I$88,3,0)*VLOOKUP('Données projet'!$B$16,Paramètres!$A$1:$I$88,5,0)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projet'!$B$16,Paramètres!$A$1:$I$88,7,0))</f>
        <v>0</v>
      </c>
      <c r="FO127" s="17">
        <f>IF(ISNA(VLOOKUP(A127,'Données projet'!$A$217:$I$237,6,0)),0%,VLOOKUP(A127,'Données projet'!$A$217:$I$237,6,0)*VLOOKUP('Données projet'!$B$16,Paramètres!$A$1:$I$88,7,0))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projet'!$B$16,Paramètres!$A$1:$I$88,3,0)*0.475*44/12</f>
        <v>#N/A</v>
      </c>
      <c r="FR127" s="23" t="e">
        <f>EXP(-LN(2)/25)*FR126+(1-EXP(-LN(2)/25))/(LN(2)/25)*Calculateur!FM127*Calculateur!FO127*VLOOKUP('Données projet'!$B$16,Paramètres!$A$1:$I$88,3,0)*0.475*44/12</f>
        <v>#N/A</v>
      </c>
      <c r="FS127" s="23" t="e">
        <f>EXP(-LN(2)/2)*FS126+(1-EXP(-LN(2)/2))/(LN(2)/2)*FM127*FP127*VLOOKUP('Données projet'!$B$16,Paramètres!$A$1:$I$88,3,0)*0.475*44/12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projet'!$B$17,Paramètres!$A$1:$I$88,3,0)*VLOOKUP('Données projet'!$B$17,Paramètres!$A$1:$I$88,5,0)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projet'!$B$17,Paramètres!$A$1:$I$88,7,0))</f>
        <v>0</v>
      </c>
      <c r="GJ127" s="17">
        <f>IF(ISNA(VLOOKUP(A127,'Données projet'!$A$243:$I$263,6,0)),0%,VLOOKUP(A127,'Données projet'!$A$243:$I$263,6,0)*VLOOKUP('Données projet'!$B$17,Paramètres!$A$1:$I$88,7,0))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projet'!$B$17,Paramètres!$A$1:$I$88,3,0)*0.475*44/12</f>
        <v>#N/A</v>
      </c>
      <c r="GM127" s="23" t="e">
        <f>EXP(-LN(2)/25)*GM126+(1-EXP(-LN(2)/25))/(LN(2)/25)*Calculateur!GH127*Calculateur!GJ127*VLOOKUP('Données projet'!$B$17,Paramètres!$A$1:$I$88,3,0)*0.475*44/12</f>
        <v>#N/A</v>
      </c>
      <c r="GN127" s="23" t="e">
        <f>EXP(-LN(2)/2)*GN126+(1-EXP(-LN(2)/2))/(LN(2)/2)*GH127*GK127*VLOOKUP('Données projet'!$B$17,Paramètres!$A$1:$I$88,3,0)*0.475*44/12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projet'!$B$18,Paramètres!$A$1:$I$88,3,0)*VLOOKUP('Données projet'!$B$18,Paramètres!$A$1:$I$88,5,0)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projet'!$B$18,Paramètres!$A$1:$I$88,7,0))</f>
        <v>0</v>
      </c>
      <c r="HE127" s="17">
        <f>IF(ISNA(VLOOKUP(A127,'Données projet'!$A$269:$I$289,6,0)),0%,VLOOKUP(A127,'Données projet'!$A$269:$I$289,6,0)*VLOOKUP('Données projet'!$B$18,Paramètres!$A$1:$I$88,7,0))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projet'!$B$18,Paramètres!$A$1:$I$88,3,0)*0.475*44/12</f>
        <v>#N/A</v>
      </c>
      <c r="HH127" s="23" t="e">
        <f>EXP(-LN(2)/25)*HH126+(1-EXP(-LN(2)/25))/(LN(2)/25)*Calculateur!HC127*Calculateur!HE127*VLOOKUP('Données projet'!$B$18,Paramètres!$A$1:$I$88,3,0)*0.475*44/12</f>
        <v>#N/A</v>
      </c>
      <c r="HI127" s="23" t="e">
        <f>EXP(-LN(2)/2)*HI126+(1-EXP(-LN(2)/2))/(LN(2)/2)*HC127*HF127*VLOOKUP('Données projet'!$B$18,Paramètres!$A$1:$I$88,3,0)*0.475*44/12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projet'!$B$9,Paramètres!$A$1:$I$88,3,0)*VLOOKUP('Données projet'!$B$9,Paramètres!$A$1:$I$88,5,0)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175.05987582828078</v>
      </c>
      <c r="T128" s="62">
        <f t="shared" si="88"/>
        <v>268.54782308462387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projet'!$B$9,Paramètres!$A$1:$I$88,7,0))</f>
        <v>0</v>
      </c>
      <c r="X128" s="17">
        <f>IF(ISNA(VLOOKUP(A128,'Données projet'!$A$35:$I$55,6,0)),0%,VLOOKUP(A128,'Données projet'!$A$35:$I$55,6,0)*VLOOKUP('Données projet'!$B$9,Paramètres!$A$1:$I$88,7,0))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projet'!$B$9,Paramètres!$A$1:$I$88,3,0)*0.475*44/12</f>
        <v>0</v>
      </c>
      <c r="AA128" s="23">
        <f>EXP(-LN(2)/25)*AA127+(1-EXP(-LN(2)/25))/(LN(2)/25)*Calculateur!V128*Calculateur!X128*VLOOKUP('Données projet'!$B$9,Paramètres!$A$1:$I$88,3,0)*0.475*44/12</f>
        <v>0.7391496352814042</v>
      </c>
      <c r="AB128" s="23">
        <f>EXP(-LN(2)/2)*AB127+(1-EXP(-LN(2)/2))/(LN(2)/2)*V128*Y128*VLOOKUP('Données projet'!$B$9,Paramètres!$A$1:$I$88,3,0)*0.475*44/12</f>
        <v>8.2995438468878046E-14</v>
      </c>
      <c r="AC128" s="24">
        <f t="shared" si="57"/>
        <v>0.73914963528148725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9</v>
      </c>
      <c r="AI128" s="14">
        <f>IF('Données projet'!$A$62&gt;35,AI127+AH128-AQ127,IF(A128&lt;'Données projet'!$A$62,$AF$205^A128,IF(A128='Données projet'!$A$62,'Données projet'!$B$62,AI127+AH128-AQ127)))</f>
        <v>924.99999999999898</v>
      </c>
      <c r="AJ128" s="14">
        <f>AI128*VLOOKUP('Données projet'!$B$10,Paramètres!$A$1:$I$88,3,0)*VLOOKUP('Données projet'!$B$10,Paramètres!$A$1:$I$88,5,0)</f>
        <v>444.9249999999995</v>
      </c>
      <c r="AK128" s="14">
        <f t="shared" si="89"/>
        <v>100.82733524125858</v>
      </c>
      <c r="AL128" s="22">
        <f t="shared" si="58"/>
        <v>950.51865054519101</v>
      </c>
      <c r="AM128" s="62">
        <f t="shared" si="59"/>
        <v>1243.8519838785244</v>
      </c>
      <c r="AN128" s="62">
        <f ca="1">AVERAGE(OFFSET($AM$3,0,0,'Données projet'!$E$10+1,1))-AVERAGE(OFFSET($H$3,0,0,'Données projet'!$E$10+1,1))</f>
        <v>576.61210817354549</v>
      </c>
      <c r="AO128" s="62">
        <f t="shared" si="90"/>
        <v>343.9428747444544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projet'!$B$10,Paramètres!$A$1:$I$88,7,0))</f>
        <v>0</v>
      </c>
      <c r="AS128" s="17">
        <f>IF(ISNA(VLOOKUP(A128,'Données projet'!$A$61:$I$81,6,0)),0%,VLOOKUP(A128,'Données projet'!$A$61:$I$81,6,0)*VLOOKUP('Données projet'!$B$10,Paramètres!$A$1:$I$88,7,0))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projet'!$B$10,Paramètres!$A$1:$I$88,3,0)*0.475*44/12</f>
        <v>0</v>
      </c>
      <c r="AV128" s="23">
        <f>EXP(-LN(2)/25)*AV127+(1-EXP(-LN(2)/25))/(LN(2)/25)*Calculateur!AQ128*Calculateur!AS128*VLOOKUP('Données projet'!$B$10,Paramètres!$A$1:$I$88,3,0)*0.475*44/12</f>
        <v>0.40655920191888995</v>
      </c>
      <c r="AW128" s="23">
        <f>EXP(-LN(2)/2)*AW127+(1-EXP(-LN(2)/2))/(LN(2)/2)*AQ128*AT128*VLOOKUP('Données projet'!$B$10,Paramètres!$A$1:$I$88,3,0)*0.475*44/12</f>
        <v>5.9103006391359736E-14</v>
      </c>
      <c r="AX128" s="23">
        <f t="shared" si="60"/>
        <v>0.40655920191894906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-5.6843418860808015E-14</v>
      </c>
      <c r="BE128" s="14">
        <f>BD128*VLOOKUP('Données projet'!$B$11,Paramètres!$A$1:$I$88,3,0)*VLOOKUP('Données projet'!$B$11,Paramètres!$A$1:$I$88,5,0)</f>
        <v>-4.5224624045658861E-14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298.38448036212861</v>
      </c>
      <c r="BJ128" s="62">
        <f t="shared" si="92"/>
        <v>270.4445531106897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projet'!$B$11,Paramètres!$A$1:$I$88,7,0))</f>
        <v>0</v>
      </c>
      <c r="BN128" s="17">
        <f>IF(ISNA(VLOOKUP(A128,'Données projet'!$A$87:$I$107,6,0)),0%,VLOOKUP(A128,'Données projet'!$A$87:$I$107,6,0)*VLOOKUP('Données projet'!$B$11,Paramètres!$A$1:$I$88,7,0))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projet'!$B$11,Paramètres!$A$1:$I$88,3,0)*0.475*44/12</f>
        <v>0</v>
      </c>
      <c r="BQ128" s="23">
        <f>EXP(-LN(2)/25)*BQ127+(1-EXP(-LN(2)/25))/(LN(2)/25)*Calculateur!BL128*Calculateur!BN128*VLOOKUP('Données projet'!$B$11,Paramètres!$A$1:$I$88,3,0)*0.475*44/12</f>
        <v>0</v>
      </c>
      <c r="BR128" s="23">
        <f>EXP(-LN(2)/2)*BR127+(1-EXP(-LN(2)/2))/(LN(2)/2)*BL128*BO128*VLOOKUP('Données projet'!$B$11,Paramètres!$A$1:$I$88,3,0)*0.475*44/12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5.6843418860808015E-14</v>
      </c>
      <c r="BZ128" s="14">
        <f>BY128*VLOOKUP('Données projet'!$B$12,Paramètres!$A$1:$I$88,3,0)*VLOOKUP('Données projet'!$B$12,Paramètres!$A$1:$I$88,5,0)</f>
        <v>4.4337866711430253E-14</v>
      </c>
      <c r="CA128" s="14">
        <f t="shared" si="93"/>
        <v>7.3222115536967035E-13</v>
      </c>
      <c r="CB128" s="22">
        <f t="shared" si="64"/>
        <v>1.3525069634579169E-12</v>
      </c>
      <c r="CC128" s="62">
        <f t="shared" si="65"/>
        <v>293.33333333333468</v>
      </c>
      <c r="CD128" s="62">
        <f ca="1">AVERAGE(OFFSET($CC$3,0,0,'Données projet'!$E$12+1,1))-AVERAGE(OFFSET($H$3,0,0,'Données projet'!$E$12+1,1))</f>
        <v>217.32600829266818</v>
      </c>
      <c r="CE128" s="62">
        <f t="shared" si="94"/>
        <v>208.79744153433245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projet'!$B$12,Paramètres!$A$1:$I$88,7,0))</f>
        <v>0</v>
      </c>
      <c r="CI128" s="17">
        <f>IF(ISNA(VLOOKUP(A128,'Données projet'!$A$113:$I$133,6,0)),0%,VLOOKUP(A128,'Données projet'!$A$113:$I$133,6,0)*VLOOKUP('Données projet'!$B$12,Paramètres!$A$1:$I$88,7,0))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projet'!$B$12,Paramètres!$A$1:$I$88,3,0)*0.475*44/12</f>
        <v>0</v>
      </c>
      <c r="CL128" s="23">
        <f>EXP(-LN(2)/25)*CL127+(1-EXP(-LN(2)/25))/(LN(2)/25)*Calculateur!CG128*Calculateur!CI128*VLOOKUP('Données projet'!$B$12,Paramètres!$A$1:$I$88,3,0)*0.475*44/12</f>
        <v>0</v>
      </c>
      <c r="CM128" s="23">
        <f>EXP(-LN(2)/2)*CM127+(1-EXP(-LN(2)/2))/(LN(2)/2)*CG128*CJ128*VLOOKUP('Données projet'!$B$12,Paramètres!$A$1:$I$88,3,0)*0.475*44/12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-3.4106051316484809E-13</v>
      </c>
      <c r="CU128" s="18">
        <f>CT128*VLOOKUP('Données projet'!$B$13,Paramètres!$A$1:$I$88,3,0)*VLOOKUP('Données projet'!$B$13,Paramètres!$A$1:$I$88,5,0)</f>
        <v>-1.9065282685915009E-13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302.20483575440988</v>
      </c>
      <c r="CZ128" s="62">
        <f t="shared" si="96"/>
        <v>275.32862097158687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projet'!$B$13,Paramètres!$A$1:$I$88,7,0))</f>
        <v>0</v>
      </c>
      <c r="DD128" s="17">
        <f>IF(ISNA(VLOOKUP(A128,'Données projet'!$A$139:$I$159,6,0)),0%,VLOOKUP(A128,'Données projet'!$A$139:$I$159,6,0)*VLOOKUP('Données projet'!$B$13,Paramètres!$A$1:$I$88,7,0))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projet'!$B$13,Paramètres!$A$1:$I$88,3,0)*0.475*44/12</f>
        <v>0</v>
      </c>
      <c r="DG128" s="23">
        <f>EXP(-LN(2)/25)*DG127+(1-EXP(-LN(2)/25))/(LN(2)/25)*Calculateur!DB128*Calculateur!DD128*VLOOKUP('Données projet'!$B$13,Paramètres!$A$1:$I$88,3,0)*0.475*44/12</f>
        <v>0.99270689444947813</v>
      </c>
      <c r="DH128" s="23">
        <f>EXP(-LN(2)/2)*DH127+(1-EXP(-LN(2)/2))/(LN(2)/2)*DB128*DE128*VLOOKUP('Données projet'!$B$13,Paramètres!$A$1:$I$88,3,0)*0.475*44/12</f>
        <v>3.4069186048698014E-14</v>
      </c>
      <c r="DI128" s="24">
        <f t="shared" si="69"/>
        <v>0.99270689444951221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projet'!$B$14,Paramètres!$A$1:$I$88,3,0)*VLOOKUP('Données projet'!$B$14,Paramètres!$A$1:$I$88,5,0)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projet'!$B$14,Paramètres!$A$1:$I$88,7,0))</f>
        <v>0</v>
      </c>
      <c r="DY128" s="17">
        <f>IF(ISNA(VLOOKUP(A128,'Données projet'!$A$165:$I$185,6,0)),0%,VLOOKUP(A128,'Données projet'!$A$165:$I$185,6,0)*VLOOKUP('Données projet'!$B$14,Paramètres!$A$1:$I$88,7,0))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projet'!$B$14,Paramètres!$A$1:$I$88,3,0)*0.475*44/12</f>
        <v>#N/A</v>
      </c>
      <c r="EB128" s="23" t="e">
        <f>EXP(-LN(2)/25)*EB127+(1-EXP(-LN(2)/25))/(LN(2)/25)*Calculateur!DW128*Calculateur!DY128*VLOOKUP('Données projet'!$B$14,Paramètres!$A$1:$I$88,3,0)*0.475*44/12</f>
        <v>#N/A</v>
      </c>
      <c r="EC128" s="23" t="e">
        <f>EXP(-LN(2)/2)*EC127+(1-EXP(-LN(2)/2))/(LN(2)/2)*DW128*DZ128*VLOOKUP('Données projet'!$B$14,Paramètres!$A$1:$I$88,3,0)*0.475*44/12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projet'!$B$15,Paramètres!$A$1:$I$88,3,0)*VLOOKUP('Données projet'!$B$15,Paramètres!$A$1:$I$88,5,0)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projet'!$B$15,Paramètres!$A$1:$I$88,7,0))</f>
        <v>0</v>
      </c>
      <c r="ET128" s="17">
        <f>IF(ISNA(VLOOKUP(A128,'Données projet'!$A$191:$I$211,6,0)),0%,VLOOKUP(A128,'Données projet'!$A$191:$I$211,6,0)*VLOOKUP('Données projet'!$B$15,Paramètres!$A$1:$I$88,7,0))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projet'!$B$15,Paramètres!$A$1:$I$88,3,0)*0.475*44/12</f>
        <v>#N/A</v>
      </c>
      <c r="EW128" s="23" t="e">
        <f>EXP(-LN(2)/25)*EW127+(1-EXP(-LN(2)/25))/(LN(2)/25)*Calculateur!ER128*Calculateur!ET128*VLOOKUP('Données projet'!$B$15,Paramètres!$A$1:$I$88,3,0)*0.475*44/12</f>
        <v>#N/A</v>
      </c>
      <c r="EX128" s="23" t="e">
        <f>EXP(-LN(2)/2)*EX127+(1-EXP(-LN(2)/2))/(LN(2)/2)*ER128*EU128*VLOOKUP('Données projet'!$B$15,Paramètres!$A$1:$I$88,3,0)*0.475*44/12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projet'!$B$16,Paramètres!$A$1:$I$88,3,0)*VLOOKUP('Données projet'!$B$16,Paramètres!$A$1:$I$88,5,0)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projet'!$B$16,Paramètres!$A$1:$I$88,7,0))</f>
        <v>0</v>
      </c>
      <c r="FO128" s="17">
        <f>IF(ISNA(VLOOKUP(A128,'Données projet'!$A$217:$I$237,6,0)),0%,VLOOKUP(A128,'Données projet'!$A$217:$I$237,6,0)*VLOOKUP('Données projet'!$B$16,Paramètres!$A$1:$I$88,7,0))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projet'!$B$16,Paramètres!$A$1:$I$88,3,0)*0.475*44/12</f>
        <v>#N/A</v>
      </c>
      <c r="FR128" s="23" t="e">
        <f>EXP(-LN(2)/25)*FR127+(1-EXP(-LN(2)/25))/(LN(2)/25)*Calculateur!FM128*Calculateur!FO128*VLOOKUP('Données projet'!$B$16,Paramètres!$A$1:$I$88,3,0)*0.475*44/12</f>
        <v>#N/A</v>
      </c>
      <c r="FS128" s="23" t="e">
        <f>EXP(-LN(2)/2)*FS127+(1-EXP(-LN(2)/2))/(LN(2)/2)*FM128*FP128*VLOOKUP('Données projet'!$B$16,Paramètres!$A$1:$I$88,3,0)*0.475*44/12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projet'!$B$17,Paramètres!$A$1:$I$88,3,0)*VLOOKUP('Données projet'!$B$17,Paramètres!$A$1:$I$88,5,0)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projet'!$B$17,Paramètres!$A$1:$I$88,7,0))</f>
        <v>0</v>
      </c>
      <c r="GJ128" s="17">
        <f>IF(ISNA(VLOOKUP(A128,'Données projet'!$A$243:$I$263,6,0)),0%,VLOOKUP(A128,'Données projet'!$A$243:$I$263,6,0)*VLOOKUP('Données projet'!$B$17,Paramètres!$A$1:$I$88,7,0))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projet'!$B$17,Paramètres!$A$1:$I$88,3,0)*0.475*44/12</f>
        <v>#N/A</v>
      </c>
      <c r="GM128" s="23" t="e">
        <f>EXP(-LN(2)/25)*GM127+(1-EXP(-LN(2)/25))/(LN(2)/25)*Calculateur!GH128*Calculateur!GJ128*VLOOKUP('Données projet'!$B$17,Paramètres!$A$1:$I$88,3,0)*0.475*44/12</f>
        <v>#N/A</v>
      </c>
      <c r="GN128" s="23" t="e">
        <f>EXP(-LN(2)/2)*GN127+(1-EXP(-LN(2)/2))/(LN(2)/2)*GH128*GK128*VLOOKUP('Données projet'!$B$17,Paramètres!$A$1:$I$88,3,0)*0.475*44/12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projet'!$B$18,Paramètres!$A$1:$I$88,3,0)*VLOOKUP('Données projet'!$B$18,Paramètres!$A$1:$I$88,5,0)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projet'!$B$18,Paramètres!$A$1:$I$88,7,0))</f>
        <v>0</v>
      </c>
      <c r="HE128" s="17">
        <f>IF(ISNA(VLOOKUP(A128,'Données projet'!$A$269:$I$289,6,0)),0%,VLOOKUP(A128,'Données projet'!$A$269:$I$289,6,0)*VLOOKUP('Données projet'!$B$18,Paramètres!$A$1:$I$88,7,0))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projet'!$B$18,Paramètres!$A$1:$I$88,3,0)*0.475*44/12</f>
        <v>#N/A</v>
      </c>
      <c r="HH128" s="23" t="e">
        <f>EXP(-LN(2)/25)*HH127+(1-EXP(-LN(2)/25))/(LN(2)/25)*Calculateur!HC128*Calculateur!HE128*VLOOKUP('Données projet'!$B$18,Paramètres!$A$1:$I$88,3,0)*0.475*44/12</f>
        <v>#N/A</v>
      </c>
      <c r="HI128" s="23" t="e">
        <f>EXP(-LN(2)/2)*HI127+(1-EXP(-LN(2)/2))/(LN(2)/2)*HC128*HF128*VLOOKUP('Données projet'!$B$18,Paramètres!$A$1:$I$88,3,0)*0.475*44/12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projet'!$B$9,Paramètres!$A$1:$I$88,3,0)*VLOOKUP('Données projet'!$B$9,Paramètres!$A$1:$I$88,5,0)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175.05987582828078</v>
      </c>
      <c r="T129" s="62">
        <f t="shared" si="88"/>
        <v>268.54782308462387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projet'!$B$9,Paramètres!$A$1:$I$88,7,0))</f>
        <v>0</v>
      </c>
      <c r="X129" s="17">
        <f>IF(ISNA(VLOOKUP(A129,'Données projet'!$A$35:$I$55,6,0)),0%,VLOOKUP(A129,'Données projet'!$A$35:$I$55,6,0)*VLOOKUP('Données projet'!$B$9,Paramètres!$A$1:$I$88,7,0))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projet'!$B$9,Paramètres!$A$1:$I$88,3,0)*0.475*44/12</f>
        <v>0</v>
      </c>
      <c r="AA129" s="23">
        <f>EXP(-LN(2)/25)*AA128+(1-EXP(-LN(2)/25))/(LN(2)/25)*Calculateur!V129*Calculateur!X129*VLOOKUP('Données projet'!$B$9,Paramètres!$A$1:$I$88,3,0)*0.475*44/12</f>
        <v>0.71893754963444423</v>
      </c>
      <c r="AB129" s="23">
        <f>EXP(-LN(2)/2)*AB128+(1-EXP(-LN(2)/2))/(LN(2)/2)*V129*Y129*VLOOKUP('Données projet'!$B$9,Paramètres!$A$1:$I$88,3,0)*0.475*44/12</f>
        <v>5.8686637348894517E-14</v>
      </c>
      <c r="AC129" s="24">
        <f t="shared" si="57"/>
        <v>0.71893754963450296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9</v>
      </c>
      <c r="AI129" s="14">
        <f>IF('Données projet'!$A$62&gt;35,AI128+AH129-AQ128,IF(A129&lt;'Données projet'!$A$62,$AF$205^A129,IF(A129='Données projet'!$A$62,'Données projet'!$B$62,AI128+AH129-AQ128)))</f>
        <v>933.99999999999898</v>
      </c>
      <c r="AJ129" s="14">
        <f>AI129*VLOOKUP('Données projet'!$B$10,Paramètres!$A$1:$I$88,3,0)*VLOOKUP('Données projet'!$B$10,Paramètres!$A$1:$I$88,5,0)</f>
        <v>449.25399999999956</v>
      </c>
      <c r="AK129" s="14">
        <f t="shared" si="89"/>
        <v>101.6936778249557</v>
      </c>
      <c r="AL129" s="22">
        <f t="shared" si="58"/>
        <v>959.56720554513015</v>
      </c>
      <c r="AM129" s="62">
        <f t="shared" si="59"/>
        <v>1252.9005388784635</v>
      </c>
      <c r="AN129" s="62">
        <f ca="1">AVERAGE(OFFSET($AM$3,0,0,'Données projet'!$E$10+1,1))-AVERAGE(OFFSET($H$3,0,0,'Données projet'!$E$10+1,1))</f>
        <v>576.61210817354549</v>
      </c>
      <c r="AO129" s="62">
        <f t="shared" si="90"/>
        <v>343.9428747444544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projet'!$B$10,Paramètres!$A$1:$I$88,7,0))</f>
        <v>0</v>
      </c>
      <c r="AS129" s="17">
        <f>IF(ISNA(VLOOKUP(A129,'Données projet'!$A$61:$I$81,6,0)),0%,VLOOKUP(A129,'Données projet'!$A$61:$I$81,6,0)*VLOOKUP('Données projet'!$B$10,Paramètres!$A$1:$I$88,7,0))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projet'!$B$10,Paramètres!$A$1:$I$88,3,0)*0.475*44/12</f>
        <v>0</v>
      </c>
      <c r="AV129" s="23">
        <f>EXP(-LN(2)/25)*AV128+(1-EXP(-LN(2)/25))/(LN(2)/25)*Calculateur!AQ129*Calculateur!AS129*VLOOKUP('Données projet'!$B$10,Paramètres!$A$1:$I$88,3,0)*0.475*44/12</f>
        <v>0.39544181916239868</v>
      </c>
      <c r="AW129" s="23">
        <f>EXP(-LN(2)/2)*AW128+(1-EXP(-LN(2)/2))/(LN(2)/2)*AQ129*AT129*VLOOKUP('Données projet'!$B$10,Paramètres!$A$1:$I$88,3,0)*0.475*44/12</f>
        <v>4.1792136607842329E-14</v>
      </c>
      <c r="AX129" s="23">
        <f t="shared" si="60"/>
        <v>0.39544181916244048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-5.6843418860808015E-14</v>
      </c>
      <c r="BE129" s="14">
        <f>BD129*VLOOKUP('Données projet'!$B$11,Paramètres!$A$1:$I$88,3,0)*VLOOKUP('Données projet'!$B$11,Paramètres!$A$1:$I$88,5,0)</f>
        <v>-4.5224624045658861E-14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298.38448036212861</v>
      </c>
      <c r="BJ129" s="62">
        <f t="shared" si="92"/>
        <v>270.4445531106897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projet'!$B$11,Paramètres!$A$1:$I$88,7,0))</f>
        <v>0</v>
      </c>
      <c r="BN129" s="17">
        <f>IF(ISNA(VLOOKUP(A129,'Données projet'!$A$87:$I$107,6,0)),0%,VLOOKUP(A129,'Données projet'!$A$87:$I$107,6,0)*VLOOKUP('Données projet'!$B$11,Paramètres!$A$1:$I$88,7,0))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projet'!$B$11,Paramètres!$A$1:$I$88,3,0)*0.475*44/12</f>
        <v>0</v>
      </c>
      <c r="BQ129" s="23">
        <f>EXP(-LN(2)/25)*BQ128+(1-EXP(-LN(2)/25))/(LN(2)/25)*Calculateur!BL129*Calculateur!BN129*VLOOKUP('Données projet'!$B$11,Paramètres!$A$1:$I$88,3,0)*0.475*44/12</f>
        <v>0</v>
      </c>
      <c r="BR129" s="23">
        <f>EXP(-LN(2)/2)*BR128+(1-EXP(-LN(2)/2))/(LN(2)/2)*BL129*BO129*VLOOKUP('Données projet'!$B$11,Paramètres!$A$1:$I$88,3,0)*0.475*44/12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5.6843418860808015E-14</v>
      </c>
      <c r="BZ129" s="14">
        <f>BY129*VLOOKUP('Données projet'!$B$12,Paramètres!$A$1:$I$88,3,0)*VLOOKUP('Données projet'!$B$12,Paramètres!$A$1:$I$88,5,0)</f>
        <v>4.4337866711430253E-14</v>
      </c>
      <c r="CA129" s="14">
        <f t="shared" si="93"/>
        <v>7.3222115536967035E-13</v>
      </c>
      <c r="CB129" s="22">
        <f t="shared" si="64"/>
        <v>1.3525069634579169E-12</v>
      </c>
      <c r="CC129" s="62">
        <f t="shared" si="65"/>
        <v>293.33333333333468</v>
      </c>
      <c r="CD129" s="62">
        <f ca="1">AVERAGE(OFFSET($CC$3,0,0,'Données projet'!$E$12+1,1))-AVERAGE(OFFSET($H$3,0,0,'Données projet'!$E$12+1,1))</f>
        <v>217.32600829266818</v>
      </c>
      <c r="CE129" s="62">
        <f t="shared" si="94"/>
        <v>208.79744153433245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projet'!$B$12,Paramètres!$A$1:$I$88,7,0))</f>
        <v>0</v>
      </c>
      <c r="CI129" s="17">
        <f>IF(ISNA(VLOOKUP(A129,'Données projet'!$A$113:$I$133,6,0)),0%,VLOOKUP(A129,'Données projet'!$A$113:$I$133,6,0)*VLOOKUP('Données projet'!$B$12,Paramètres!$A$1:$I$88,7,0))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projet'!$B$12,Paramètres!$A$1:$I$88,3,0)*0.475*44/12</f>
        <v>0</v>
      </c>
      <c r="CL129" s="23">
        <f>EXP(-LN(2)/25)*CL128+(1-EXP(-LN(2)/25))/(LN(2)/25)*Calculateur!CG129*Calculateur!CI129*VLOOKUP('Données projet'!$B$12,Paramètres!$A$1:$I$88,3,0)*0.475*44/12</f>
        <v>0</v>
      </c>
      <c r="CM129" s="23">
        <f>EXP(-LN(2)/2)*CM128+(1-EXP(-LN(2)/2))/(LN(2)/2)*CG129*CJ129*VLOOKUP('Données projet'!$B$12,Paramètres!$A$1:$I$88,3,0)*0.475*44/12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-3.4106051316484809E-13</v>
      </c>
      <c r="CU129" s="18">
        <f>CT129*VLOOKUP('Données projet'!$B$13,Paramètres!$A$1:$I$88,3,0)*VLOOKUP('Données projet'!$B$13,Paramètres!$A$1:$I$88,5,0)</f>
        <v>-1.9065282685915009E-13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302.20483575440988</v>
      </c>
      <c r="CZ129" s="62">
        <f t="shared" si="96"/>
        <v>275.32862097158687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projet'!$B$13,Paramètres!$A$1:$I$88,7,0))</f>
        <v>0</v>
      </c>
      <c r="DD129" s="17">
        <f>IF(ISNA(VLOOKUP(A129,'Données projet'!$A$139:$I$159,6,0)),0%,VLOOKUP(A129,'Données projet'!$A$139:$I$159,6,0)*VLOOKUP('Données projet'!$B$13,Paramètres!$A$1:$I$88,7,0))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projet'!$B$13,Paramètres!$A$1:$I$88,3,0)*0.475*44/12</f>
        <v>0</v>
      </c>
      <c r="DG129" s="23">
        <f>EXP(-LN(2)/25)*DG128+(1-EXP(-LN(2)/25))/(LN(2)/25)*Calculateur!DB129*Calculateur!DD129*VLOOKUP('Données projet'!$B$13,Paramètres!$A$1:$I$88,3,0)*0.475*44/12</f>
        <v>0.9655612722165704</v>
      </c>
      <c r="DH129" s="23">
        <f>EXP(-LN(2)/2)*DH128+(1-EXP(-LN(2)/2))/(LN(2)/2)*DB129*DE129*VLOOKUP('Données projet'!$B$13,Paramètres!$A$1:$I$88,3,0)*0.475*44/12</f>
        <v>2.4090552484540484E-14</v>
      </c>
      <c r="DI129" s="24">
        <f t="shared" si="69"/>
        <v>0.96556127221659449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projet'!$B$14,Paramètres!$A$1:$I$88,3,0)*VLOOKUP('Données projet'!$B$14,Paramètres!$A$1:$I$88,5,0)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projet'!$B$14,Paramètres!$A$1:$I$88,7,0))</f>
        <v>0</v>
      </c>
      <c r="DY129" s="17">
        <f>IF(ISNA(VLOOKUP(A129,'Données projet'!$A$165:$I$185,6,0)),0%,VLOOKUP(A129,'Données projet'!$A$165:$I$185,6,0)*VLOOKUP('Données projet'!$B$14,Paramètres!$A$1:$I$88,7,0))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projet'!$B$14,Paramètres!$A$1:$I$88,3,0)*0.475*44/12</f>
        <v>#N/A</v>
      </c>
      <c r="EB129" s="23" t="e">
        <f>EXP(-LN(2)/25)*EB128+(1-EXP(-LN(2)/25))/(LN(2)/25)*Calculateur!DW129*Calculateur!DY129*VLOOKUP('Données projet'!$B$14,Paramètres!$A$1:$I$88,3,0)*0.475*44/12</f>
        <v>#N/A</v>
      </c>
      <c r="EC129" s="23" t="e">
        <f>EXP(-LN(2)/2)*EC128+(1-EXP(-LN(2)/2))/(LN(2)/2)*DW129*DZ129*VLOOKUP('Données projet'!$B$14,Paramètres!$A$1:$I$88,3,0)*0.475*44/12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projet'!$B$15,Paramètres!$A$1:$I$88,3,0)*VLOOKUP('Données projet'!$B$15,Paramètres!$A$1:$I$88,5,0)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projet'!$B$15,Paramètres!$A$1:$I$88,7,0))</f>
        <v>0</v>
      </c>
      <c r="ET129" s="17">
        <f>IF(ISNA(VLOOKUP(A129,'Données projet'!$A$191:$I$211,6,0)),0%,VLOOKUP(A129,'Données projet'!$A$191:$I$211,6,0)*VLOOKUP('Données projet'!$B$15,Paramètres!$A$1:$I$88,7,0))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projet'!$B$15,Paramètres!$A$1:$I$88,3,0)*0.475*44/12</f>
        <v>#N/A</v>
      </c>
      <c r="EW129" s="23" t="e">
        <f>EXP(-LN(2)/25)*EW128+(1-EXP(-LN(2)/25))/(LN(2)/25)*Calculateur!ER129*Calculateur!ET129*VLOOKUP('Données projet'!$B$15,Paramètres!$A$1:$I$88,3,0)*0.475*44/12</f>
        <v>#N/A</v>
      </c>
      <c r="EX129" s="23" t="e">
        <f>EXP(-LN(2)/2)*EX128+(1-EXP(-LN(2)/2))/(LN(2)/2)*ER129*EU129*VLOOKUP('Données projet'!$B$15,Paramètres!$A$1:$I$88,3,0)*0.475*44/12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projet'!$B$16,Paramètres!$A$1:$I$88,3,0)*VLOOKUP('Données projet'!$B$16,Paramètres!$A$1:$I$88,5,0)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projet'!$B$16,Paramètres!$A$1:$I$88,7,0))</f>
        <v>0</v>
      </c>
      <c r="FO129" s="17">
        <f>IF(ISNA(VLOOKUP(A129,'Données projet'!$A$217:$I$237,6,0)),0%,VLOOKUP(A129,'Données projet'!$A$217:$I$237,6,0)*VLOOKUP('Données projet'!$B$16,Paramètres!$A$1:$I$88,7,0))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projet'!$B$16,Paramètres!$A$1:$I$88,3,0)*0.475*44/12</f>
        <v>#N/A</v>
      </c>
      <c r="FR129" s="23" t="e">
        <f>EXP(-LN(2)/25)*FR128+(1-EXP(-LN(2)/25))/(LN(2)/25)*Calculateur!FM129*Calculateur!FO129*VLOOKUP('Données projet'!$B$16,Paramètres!$A$1:$I$88,3,0)*0.475*44/12</f>
        <v>#N/A</v>
      </c>
      <c r="FS129" s="23" t="e">
        <f>EXP(-LN(2)/2)*FS128+(1-EXP(-LN(2)/2))/(LN(2)/2)*FM129*FP129*VLOOKUP('Données projet'!$B$16,Paramètres!$A$1:$I$88,3,0)*0.475*44/12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projet'!$B$17,Paramètres!$A$1:$I$88,3,0)*VLOOKUP('Données projet'!$B$17,Paramètres!$A$1:$I$88,5,0)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projet'!$B$17,Paramètres!$A$1:$I$88,7,0))</f>
        <v>0</v>
      </c>
      <c r="GJ129" s="17">
        <f>IF(ISNA(VLOOKUP(A129,'Données projet'!$A$243:$I$263,6,0)),0%,VLOOKUP(A129,'Données projet'!$A$243:$I$263,6,0)*VLOOKUP('Données projet'!$B$17,Paramètres!$A$1:$I$88,7,0))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projet'!$B$17,Paramètres!$A$1:$I$88,3,0)*0.475*44/12</f>
        <v>#N/A</v>
      </c>
      <c r="GM129" s="23" t="e">
        <f>EXP(-LN(2)/25)*GM128+(1-EXP(-LN(2)/25))/(LN(2)/25)*Calculateur!GH129*Calculateur!GJ129*VLOOKUP('Données projet'!$B$17,Paramètres!$A$1:$I$88,3,0)*0.475*44/12</f>
        <v>#N/A</v>
      </c>
      <c r="GN129" s="23" t="e">
        <f>EXP(-LN(2)/2)*GN128+(1-EXP(-LN(2)/2))/(LN(2)/2)*GH129*GK129*VLOOKUP('Données projet'!$B$17,Paramètres!$A$1:$I$88,3,0)*0.475*44/12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projet'!$B$18,Paramètres!$A$1:$I$88,3,0)*VLOOKUP('Données projet'!$B$18,Paramètres!$A$1:$I$88,5,0)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projet'!$B$18,Paramètres!$A$1:$I$88,7,0))</f>
        <v>0</v>
      </c>
      <c r="HE129" s="17">
        <f>IF(ISNA(VLOOKUP(A129,'Données projet'!$A$269:$I$289,6,0)),0%,VLOOKUP(A129,'Données projet'!$A$269:$I$289,6,0)*VLOOKUP('Données projet'!$B$18,Paramètres!$A$1:$I$88,7,0))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projet'!$B$18,Paramètres!$A$1:$I$88,3,0)*0.475*44/12</f>
        <v>#N/A</v>
      </c>
      <c r="HH129" s="23" t="e">
        <f>EXP(-LN(2)/25)*HH128+(1-EXP(-LN(2)/25))/(LN(2)/25)*Calculateur!HC129*Calculateur!HE129*VLOOKUP('Données projet'!$B$18,Paramètres!$A$1:$I$88,3,0)*0.475*44/12</f>
        <v>#N/A</v>
      </c>
      <c r="HI129" s="23" t="e">
        <f>EXP(-LN(2)/2)*HI128+(1-EXP(-LN(2)/2))/(LN(2)/2)*HC129*HF129*VLOOKUP('Données projet'!$B$18,Paramètres!$A$1:$I$88,3,0)*0.475*44/12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projet'!$B$9,Paramètres!$A$1:$I$88,3,0)*VLOOKUP('Données projet'!$B$9,Paramètres!$A$1:$I$88,5,0)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175.05987582828078</v>
      </c>
      <c r="T130" s="62">
        <f t="shared" si="88"/>
        <v>268.54782308462387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projet'!$B$9,Paramètres!$A$1:$I$88,7,0))</f>
        <v>0</v>
      </c>
      <c r="X130" s="17">
        <f>IF(ISNA(VLOOKUP(A130,'Données projet'!$A$35:$I$55,6,0)),0%,VLOOKUP(A130,'Données projet'!$A$35:$I$55,6,0)*VLOOKUP('Données projet'!$B$9,Paramètres!$A$1:$I$88,7,0))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projet'!$B$9,Paramètres!$A$1:$I$88,3,0)*0.475*44/12</f>
        <v>0</v>
      </c>
      <c r="AA130" s="23">
        <f>EXP(-LN(2)/25)*AA129+(1-EXP(-LN(2)/25))/(LN(2)/25)*Calculateur!V130*Calculateur!X130*VLOOKUP('Données projet'!$B$9,Paramètres!$A$1:$I$88,3,0)*0.475*44/12</f>
        <v>0.69927816453240776</v>
      </c>
      <c r="AB130" s="23">
        <f>EXP(-LN(2)/2)*AB129+(1-EXP(-LN(2)/2))/(LN(2)/2)*V130*Y130*VLOOKUP('Données projet'!$B$9,Paramètres!$A$1:$I$88,3,0)*0.475*44/12</f>
        <v>4.1497719234439023E-14</v>
      </c>
      <c r="AC130" s="24">
        <f t="shared" si="57"/>
        <v>0.69927816453244929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9</v>
      </c>
      <c r="AI130" s="14">
        <f>IF('Données projet'!$A$62&gt;35,AI129+AH130-AQ129,IF(A130&lt;'Données projet'!$A$62,$AF$205^A130,IF(A130='Données projet'!$A$62,'Données projet'!$B$62,AI129+AH130-AQ129)))</f>
        <v>942.99999999999898</v>
      </c>
      <c r="AJ130" s="14">
        <f>AI130*VLOOKUP('Données projet'!$B$10,Paramètres!$A$1:$I$88,3,0)*VLOOKUP('Données projet'!$B$10,Paramètres!$A$1:$I$88,5,0)</f>
        <v>453.58299999999952</v>
      </c>
      <c r="AK130" s="14">
        <f t="shared" si="89"/>
        <v>102.55904922391635</v>
      </c>
      <c r="AL130" s="22">
        <f t="shared" si="58"/>
        <v>968.61406906498678</v>
      </c>
      <c r="AM130" s="62">
        <f t="shared" si="59"/>
        <v>1261.94740239832</v>
      </c>
      <c r="AN130" s="62">
        <f ca="1">AVERAGE(OFFSET($AM$3,0,0,'Données projet'!$E$10+1,1))-AVERAGE(OFFSET($H$3,0,0,'Données projet'!$E$10+1,1))</f>
        <v>576.61210817354549</v>
      </c>
      <c r="AO130" s="62">
        <f t="shared" si="90"/>
        <v>343.9428747444544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projet'!$B$10,Paramètres!$A$1:$I$88,7,0))</f>
        <v>0</v>
      </c>
      <c r="AS130" s="17">
        <f>IF(ISNA(VLOOKUP(A130,'Données projet'!$A$61:$I$81,6,0)),0%,VLOOKUP(A130,'Données projet'!$A$61:$I$81,6,0)*VLOOKUP('Données projet'!$B$10,Paramètres!$A$1:$I$88,7,0))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projet'!$B$10,Paramètres!$A$1:$I$88,3,0)*0.475*44/12</f>
        <v>0</v>
      </c>
      <c r="AV130" s="23">
        <f>EXP(-LN(2)/25)*AV129+(1-EXP(-LN(2)/25))/(LN(2)/25)*Calculateur!AQ130*Calculateur!AS130*VLOOKUP('Données projet'!$B$10,Paramètres!$A$1:$I$88,3,0)*0.475*44/12</f>
        <v>0.38462844182202138</v>
      </c>
      <c r="AW130" s="23">
        <f>EXP(-LN(2)/2)*AW129+(1-EXP(-LN(2)/2))/(LN(2)/2)*AQ130*AT130*VLOOKUP('Données projet'!$B$10,Paramètres!$A$1:$I$88,3,0)*0.475*44/12</f>
        <v>2.9551503195679868E-14</v>
      </c>
      <c r="AX130" s="23">
        <f t="shared" si="60"/>
        <v>0.38462844182205091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-5.6843418860808015E-14</v>
      </c>
      <c r="BE130" s="14">
        <f>BD130*VLOOKUP('Données projet'!$B$11,Paramètres!$A$1:$I$88,3,0)*VLOOKUP('Données projet'!$B$11,Paramètres!$A$1:$I$88,5,0)</f>
        <v>-4.5224624045658861E-14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298.38448036212861</v>
      </c>
      <c r="BJ130" s="62">
        <f t="shared" si="92"/>
        <v>270.4445531106897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projet'!$B$11,Paramètres!$A$1:$I$88,7,0))</f>
        <v>0</v>
      </c>
      <c r="BN130" s="17">
        <f>IF(ISNA(VLOOKUP(A130,'Données projet'!$A$87:$I$107,6,0)),0%,VLOOKUP(A130,'Données projet'!$A$87:$I$107,6,0)*VLOOKUP('Données projet'!$B$11,Paramètres!$A$1:$I$88,7,0))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projet'!$B$11,Paramètres!$A$1:$I$88,3,0)*0.475*44/12</f>
        <v>0</v>
      </c>
      <c r="BQ130" s="23">
        <f>EXP(-LN(2)/25)*BQ129+(1-EXP(-LN(2)/25))/(LN(2)/25)*Calculateur!BL130*Calculateur!BN130*VLOOKUP('Données projet'!$B$11,Paramètres!$A$1:$I$88,3,0)*0.475*44/12</f>
        <v>0</v>
      </c>
      <c r="BR130" s="23">
        <f>EXP(-LN(2)/2)*BR129+(1-EXP(-LN(2)/2))/(LN(2)/2)*BL130*BO130*VLOOKUP('Données projet'!$B$11,Paramètres!$A$1:$I$88,3,0)*0.475*44/12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5.6843418860808015E-14</v>
      </c>
      <c r="BZ130" s="14">
        <f>BY130*VLOOKUP('Données projet'!$B$12,Paramètres!$A$1:$I$88,3,0)*VLOOKUP('Données projet'!$B$12,Paramètres!$A$1:$I$88,5,0)</f>
        <v>4.4337866711430253E-14</v>
      </c>
      <c r="CA130" s="14">
        <f t="shared" si="93"/>
        <v>7.3222115536967035E-13</v>
      </c>
      <c r="CB130" s="22">
        <f t="shared" si="64"/>
        <v>1.3525069634579169E-12</v>
      </c>
      <c r="CC130" s="62">
        <f t="shared" si="65"/>
        <v>293.33333333333468</v>
      </c>
      <c r="CD130" s="62">
        <f ca="1">AVERAGE(OFFSET($CC$3,0,0,'Données projet'!$E$12+1,1))-AVERAGE(OFFSET($H$3,0,0,'Données projet'!$E$12+1,1))</f>
        <v>217.32600829266818</v>
      </c>
      <c r="CE130" s="62">
        <f t="shared" si="94"/>
        <v>208.79744153433245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projet'!$B$12,Paramètres!$A$1:$I$88,7,0))</f>
        <v>0</v>
      </c>
      <c r="CI130" s="17">
        <f>IF(ISNA(VLOOKUP(A130,'Données projet'!$A$113:$I$133,6,0)),0%,VLOOKUP(A130,'Données projet'!$A$113:$I$133,6,0)*VLOOKUP('Données projet'!$B$12,Paramètres!$A$1:$I$88,7,0))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projet'!$B$12,Paramètres!$A$1:$I$88,3,0)*0.475*44/12</f>
        <v>0</v>
      </c>
      <c r="CL130" s="23">
        <f>EXP(-LN(2)/25)*CL129+(1-EXP(-LN(2)/25))/(LN(2)/25)*Calculateur!CG130*Calculateur!CI130*VLOOKUP('Données projet'!$B$12,Paramètres!$A$1:$I$88,3,0)*0.475*44/12</f>
        <v>0</v>
      </c>
      <c r="CM130" s="23">
        <f>EXP(-LN(2)/2)*CM129+(1-EXP(-LN(2)/2))/(LN(2)/2)*CG130*CJ130*VLOOKUP('Données projet'!$B$12,Paramètres!$A$1:$I$88,3,0)*0.475*44/12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-3.4106051316484809E-13</v>
      </c>
      <c r="CU130" s="18">
        <f>CT130*VLOOKUP('Données projet'!$B$13,Paramètres!$A$1:$I$88,3,0)*VLOOKUP('Données projet'!$B$13,Paramètres!$A$1:$I$88,5,0)</f>
        <v>-1.9065282685915009E-13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302.20483575440988</v>
      </c>
      <c r="CZ130" s="62">
        <f t="shared" si="96"/>
        <v>275.32862097158687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projet'!$B$13,Paramètres!$A$1:$I$88,7,0))</f>
        <v>0</v>
      </c>
      <c r="DD130" s="17">
        <f>IF(ISNA(VLOOKUP(A130,'Données projet'!$A$139:$I$159,6,0)),0%,VLOOKUP(A130,'Données projet'!$A$139:$I$159,6,0)*VLOOKUP('Données projet'!$B$13,Paramètres!$A$1:$I$88,7,0))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projet'!$B$13,Paramètres!$A$1:$I$88,3,0)*0.475*44/12</f>
        <v>0</v>
      </c>
      <c r="DG130" s="23">
        <f>EXP(-LN(2)/25)*DG129+(1-EXP(-LN(2)/25))/(LN(2)/25)*Calculateur!DB130*Calculateur!DD130*VLOOKUP('Données projet'!$B$13,Paramètres!$A$1:$I$88,3,0)*0.475*44/12</f>
        <v>0.93915794845114775</v>
      </c>
      <c r="DH130" s="23">
        <f>EXP(-LN(2)/2)*DH129+(1-EXP(-LN(2)/2))/(LN(2)/2)*DB130*DE130*VLOOKUP('Données projet'!$B$13,Paramètres!$A$1:$I$88,3,0)*0.475*44/12</f>
        <v>1.7034593024349007E-14</v>
      </c>
      <c r="DI130" s="24">
        <f t="shared" si="69"/>
        <v>0.93915794845116474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projet'!$B$14,Paramètres!$A$1:$I$88,3,0)*VLOOKUP('Données projet'!$B$14,Paramètres!$A$1:$I$88,5,0)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projet'!$B$14,Paramètres!$A$1:$I$88,7,0))</f>
        <v>0</v>
      </c>
      <c r="DY130" s="17">
        <f>IF(ISNA(VLOOKUP(A130,'Données projet'!$A$165:$I$185,6,0)),0%,VLOOKUP(A130,'Données projet'!$A$165:$I$185,6,0)*VLOOKUP('Données projet'!$B$14,Paramètres!$A$1:$I$88,7,0))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projet'!$B$14,Paramètres!$A$1:$I$88,3,0)*0.475*44/12</f>
        <v>#N/A</v>
      </c>
      <c r="EB130" s="23" t="e">
        <f>EXP(-LN(2)/25)*EB129+(1-EXP(-LN(2)/25))/(LN(2)/25)*Calculateur!DW130*Calculateur!DY130*VLOOKUP('Données projet'!$B$14,Paramètres!$A$1:$I$88,3,0)*0.475*44/12</f>
        <v>#N/A</v>
      </c>
      <c r="EC130" s="23" t="e">
        <f>EXP(-LN(2)/2)*EC129+(1-EXP(-LN(2)/2))/(LN(2)/2)*DW130*DZ130*VLOOKUP('Données projet'!$B$14,Paramètres!$A$1:$I$88,3,0)*0.475*44/12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projet'!$B$15,Paramètres!$A$1:$I$88,3,0)*VLOOKUP('Données projet'!$B$15,Paramètres!$A$1:$I$88,5,0)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projet'!$B$15,Paramètres!$A$1:$I$88,7,0))</f>
        <v>0</v>
      </c>
      <c r="ET130" s="17">
        <f>IF(ISNA(VLOOKUP(A130,'Données projet'!$A$191:$I$211,6,0)),0%,VLOOKUP(A130,'Données projet'!$A$191:$I$211,6,0)*VLOOKUP('Données projet'!$B$15,Paramètres!$A$1:$I$88,7,0))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projet'!$B$15,Paramètres!$A$1:$I$88,3,0)*0.475*44/12</f>
        <v>#N/A</v>
      </c>
      <c r="EW130" s="23" t="e">
        <f>EXP(-LN(2)/25)*EW129+(1-EXP(-LN(2)/25))/(LN(2)/25)*Calculateur!ER130*Calculateur!ET130*VLOOKUP('Données projet'!$B$15,Paramètres!$A$1:$I$88,3,0)*0.475*44/12</f>
        <v>#N/A</v>
      </c>
      <c r="EX130" s="23" t="e">
        <f>EXP(-LN(2)/2)*EX129+(1-EXP(-LN(2)/2))/(LN(2)/2)*ER130*EU130*VLOOKUP('Données projet'!$B$15,Paramètres!$A$1:$I$88,3,0)*0.475*44/12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projet'!$B$16,Paramètres!$A$1:$I$88,3,0)*VLOOKUP('Données projet'!$B$16,Paramètres!$A$1:$I$88,5,0)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projet'!$B$16,Paramètres!$A$1:$I$88,7,0))</f>
        <v>0</v>
      </c>
      <c r="FO130" s="17">
        <f>IF(ISNA(VLOOKUP(A130,'Données projet'!$A$217:$I$237,6,0)),0%,VLOOKUP(A130,'Données projet'!$A$217:$I$237,6,0)*VLOOKUP('Données projet'!$B$16,Paramètres!$A$1:$I$88,7,0))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projet'!$B$16,Paramètres!$A$1:$I$88,3,0)*0.475*44/12</f>
        <v>#N/A</v>
      </c>
      <c r="FR130" s="23" t="e">
        <f>EXP(-LN(2)/25)*FR129+(1-EXP(-LN(2)/25))/(LN(2)/25)*Calculateur!FM130*Calculateur!FO130*VLOOKUP('Données projet'!$B$16,Paramètres!$A$1:$I$88,3,0)*0.475*44/12</f>
        <v>#N/A</v>
      </c>
      <c r="FS130" s="23" t="e">
        <f>EXP(-LN(2)/2)*FS129+(1-EXP(-LN(2)/2))/(LN(2)/2)*FM130*FP130*VLOOKUP('Données projet'!$B$16,Paramètres!$A$1:$I$88,3,0)*0.475*44/12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projet'!$B$17,Paramètres!$A$1:$I$88,3,0)*VLOOKUP('Données projet'!$B$17,Paramètres!$A$1:$I$88,5,0)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projet'!$B$17,Paramètres!$A$1:$I$88,7,0))</f>
        <v>0</v>
      </c>
      <c r="GJ130" s="17">
        <f>IF(ISNA(VLOOKUP(A130,'Données projet'!$A$243:$I$263,6,0)),0%,VLOOKUP(A130,'Données projet'!$A$243:$I$263,6,0)*VLOOKUP('Données projet'!$B$17,Paramètres!$A$1:$I$88,7,0))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projet'!$B$17,Paramètres!$A$1:$I$88,3,0)*0.475*44/12</f>
        <v>#N/A</v>
      </c>
      <c r="GM130" s="23" t="e">
        <f>EXP(-LN(2)/25)*GM129+(1-EXP(-LN(2)/25))/(LN(2)/25)*Calculateur!GH130*Calculateur!GJ130*VLOOKUP('Données projet'!$B$17,Paramètres!$A$1:$I$88,3,0)*0.475*44/12</f>
        <v>#N/A</v>
      </c>
      <c r="GN130" s="23" t="e">
        <f>EXP(-LN(2)/2)*GN129+(1-EXP(-LN(2)/2))/(LN(2)/2)*GH130*GK130*VLOOKUP('Données projet'!$B$17,Paramètres!$A$1:$I$88,3,0)*0.475*44/12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projet'!$B$18,Paramètres!$A$1:$I$88,3,0)*VLOOKUP('Données projet'!$B$18,Paramètres!$A$1:$I$88,5,0)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projet'!$B$18,Paramètres!$A$1:$I$88,7,0))</f>
        <v>0</v>
      </c>
      <c r="HE130" s="17">
        <f>IF(ISNA(VLOOKUP(A130,'Données projet'!$A$269:$I$289,6,0)),0%,VLOOKUP(A130,'Données projet'!$A$269:$I$289,6,0)*VLOOKUP('Données projet'!$B$18,Paramètres!$A$1:$I$88,7,0))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projet'!$B$18,Paramètres!$A$1:$I$88,3,0)*0.475*44/12</f>
        <v>#N/A</v>
      </c>
      <c r="HH130" s="23" t="e">
        <f>EXP(-LN(2)/25)*HH129+(1-EXP(-LN(2)/25))/(LN(2)/25)*Calculateur!HC130*Calculateur!HE130*VLOOKUP('Données projet'!$B$18,Paramètres!$A$1:$I$88,3,0)*0.475*44/12</f>
        <v>#N/A</v>
      </c>
      <c r="HI130" s="23" t="e">
        <f>EXP(-LN(2)/2)*HI129+(1-EXP(-LN(2)/2))/(LN(2)/2)*HC130*HF130*VLOOKUP('Données projet'!$B$18,Paramètres!$A$1:$I$88,3,0)*0.475*44/12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projet'!$B$9,Paramètres!$A$1:$I$88,3,0)*VLOOKUP('Données projet'!$B$9,Paramètres!$A$1:$I$88,5,0)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175.05987582828078</v>
      </c>
      <c r="T131" s="62">
        <f t="shared" si="88"/>
        <v>268.54782308462387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projet'!$B$9,Paramètres!$A$1:$I$88,7,0))</f>
        <v>0</v>
      </c>
      <c r="X131" s="17">
        <f>IF(ISNA(VLOOKUP(A131,'Données projet'!$A$35:$I$55,6,0)),0%,VLOOKUP(A131,'Données projet'!$A$35:$I$55,6,0)*VLOOKUP('Données projet'!$B$9,Paramètres!$A$1:$I$88,7,0))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projet'!$B$9,Paramètres!$A$1:$I$88,3,0)*0.475*44/12</f>
        <v>0</v>
      </c>
      <c r="AA131" s="23">
        <f>EXP(-LN(2)/25)*AA130+(1-EXP(-LN(2)/25))/(LN(2)/25)*Calculateur!V131*Calculateur!X131*VLOOKUP('Données projet'!$B$9,Paramètres!$A$1:$I$88,3,0)*0.475*44/12</f>
        <v>0.68015636634982868</v>
      </c>
      <c r="AB131" s="23">
        <f>EXP(-LN(2)/2)*AB130+(1-EXP(-LN(2)/2))/(LN(2)/2)*V131*Y131*VLOOKUP('Données projet'!$B$9,Paramètres!$A$1:$I$88,3,0)*0.475*44/12</f>
        <v>2.9343318674447259E-14</v>
      </c>
      <c r="AC131" s="24">
        <f t="shared" si="57"/>
        <v>0.68015636634985799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9</v>
      </c>
      <c r="AI131" s="14">
        <f>IF('Données projet'!$A$62&gt;35,AI130+AH131-AQ130,IF(A131&lt;'Données projet'!$A$62,$AF$205^A131,IF(A131='Données projet'!$A$62,'Données projet'!$B$62,AI130+AH131-AQ130)))</f>
        <v>951.99999999999898</v>
      </c>
      <c r="AJ131" s="14">
        <f>AI131*VLOOKUP('Données projet'!$B$10,Paramètres!$A$1:$I$88,3,0)*VLOOKUP('Données projet'!$B$10,Paramètres!$A$1:$I$88,5,0)</f>
        <v>457.91199999999952</v>
      </c>
      <c r="AK131" s="14">
        <f t="shared" si="89"/>
        <v>103.42345978061677</v>
      </c>
      <c r="AL131" s="22">
        <f t="shared" si="58"/>
        <v>977.65925911790657</v>
      </c>
      <c r="AM131" s="62">
        <f t="shared" si="59"/>
        <v>1270.9925924512399</v>
      </c>
      <c r="AN131" s="62">
        <f ca="1">AVERAGE(OFFSET($AM$3,0,0,'Données projet'!$E$10+1,1))-AVERAGE(OFFSET($H$3,0,0,'Données projet'!$E$10+1,1))</f>
        <v>576.61210817354549</v>
      </c>
      <c r="AO131" s="62">
        <f t="shared" si="90"/>
        <v>343.9428747444544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projet'!$B$10,Paramètres!$A$1:$I$88,7,0))</f>
        <v>0</v>
      </c>
      <c r="AS131" s="17">
        <f>IF(ISNA(VLOOKUP(A131,'Données projet'!$A$61:$I$81,6,0)),0%,VLOOKUP(A131,'Données projet'!$A$61:$I$81,6,0)*VLOOKUP('Données projet'!$B$10,Paramètres!$A$1:$I$88,7,0))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projet'!$B$10,Paramètres!$A$1:$I$88,3,0)*0.475*44/12</f>
        <v>0</v>
      </c>
      <c r="AV131" s="23">
        <f>EXP(-LN(2)/25)*AV130+(1-EXP(-LN(2)/25))/(LN(2)/25)*Calculateur!AQ131*Calculateur!AS131*VLOOKUP('Données projet'!$B$10,Paramètres!$A$1:$I$88,3,0)*0.475*44/12</f>
        <v>0.37411075685366751</v>
      </c>
      <c r="AW131" s="23">
        <f>EXP(-LN(2)/2)*AW130+(1-EXP(-LN(2)/2))/(LN(2)/2)*AQ131*AT131*VLOOKUP('Données projet'!$B$10,Paramètres!$A$1:$I$88,3,0)*0.475*44/12</f>
        <v>2.0896068303921165E-14</v>
      </c>
      <c r="AX131" s="23">
        <f t="shared" si="60"/>
        <v>0.37411075685368839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-5.6843418860808015E-14</v>
      </c>
      <c r="BE131" s="14">
        <f>BD131*VLOOKUP('Données projet'!$B$11,Paramètres!$A$1:$I$88,3,0)*VLOOKUP('Données projet'!$B$11,Paramètres!$A$1:$I$88,5,0)</f>
        <v>-4.5224624045658861E-14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298.38448036212861</v>
      </c>
      <c r="BJ131" s="62">
        <f t="shared" si="92"/>
        <v>270.4445531106897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projet'!$B$11,Paramètres!$A$1:$I$88,7,0))</f>
        <v>0</v>
      </c>
      <c r="BN131" s="17">
        <f>IF(ISNA(VLOOKUP(A131,'Données projet'!$A$87:$I$107,6,0)),0%,VLOOKUP(A131,'Données projet'!$A$87:$I$107,6,0)*VLOOKUP('Données projet'!$B$11,Paramètres!$A$1:$I$88,7,0))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projet'!$B$11,Paramètres!$A$1:$I$88,3,0)*0.475*44/12</f>
        <v>0</v>
      </c>
      <c r="BQ131" s="23">
        <f>EXP(-LN(2)/25)*BQ130+(1-EXP(-LN(2)/25))/(LN(2)/25)*Calculateur!BL131*Calculateur!BN131*VLOOKUP('Données projet'!$B$11,Paramètres!$A$1:$I$88,3,0)*0.475*44/12</f>
        <v>0</v>
      </c>
      <c r="BR131" s="23">
        <f>EXP(-LN(2)/2)*BR130+(1-EXP(-LN(2)/2))/(LN(2)/2)*BL131*BO131*VLOOKUP('Données projet'!$B$11,Paramètres!$A$1:$I$88,3,0)*0.475*44/12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5.6843418860808015E-14</v>
      </c>
      <c r="BZ131" s="14">
        <f>BY131*VLOOKUP('Données projet'!$B$12,Paramètres!$A$1:$I$88,3,0)*VLOOKUP('Données projet'!$B$12,Paramètres!$A$1:$I$88,5,0)</f>
        <v>4.4337866711430253E-14</v>
      </c>
      <c r="CA131" s="14">
        <f t="shared" si="93"/>
        <v>7.3222115536967035E-13</v>
      </c>
      <c r="CB131" s="22">
        <f t="shared" si="64"/>
        <v>1.3525069634579169E-12</v>
      </c>
      <c r="CC131" s="62">
        <f t="shared" si="65"/>
        <v>293.33333333333468</v>
      </c>
      <c r="CD131" s="62">
        <f ca="1">AVERAGE(OFFSET($CC$3,0,0,'Données projet'!$E$12+1,1))-AVERAGE(OFFSET($H$3,0,0,'Données projet'!$E$12+1,1))</f>
        <v>217.32600829266818</v>
      </c>
      <c r="CE131" s="62">
        <f t="shared" si="94"/>
        <v>208.79744153433245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projet'!$B$12,Paramètres!$A$1:$I$88,7,0))</f>
        <v>0</v>
      </c>
      <c r="CI131" s="17">
        <f>IF(ISNA(VLOOKUP(A131,'Données projet'!$A$113:$I$133,6,0)),0%,VLOOKUP(A131,'Données projet'!$A$113:$I$133,6,0)*VLOOKUP('Données projet'!$B$12,Paramètres!$A$1:$I$88,7,0))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projet'!$B$12,Paramètres!$A$1:$I$88,3,0)*0.475*44/12</f>
        <v>0</v>
      </c>
      <c r="CL131" s="23">
        <f>EXP(-LN(2)/25)*CL130+(1-EXP(-LN(2)/25))/(LN(2)/25)*Calculateur!CG131*Calculateur!CI131*VLOOKUP('Données projet'!$B$12,Paramètres!$A$1:$I$88,3,0)*0.475*44/12</f>
        <v>0</v>
      </c>
      <c r="CM131" s="23">
        <f>EXP(-LN(2)/2)*CM130+(1-EXP(-LN(2)/2))/(LN(2)/2)*CG131*CJ131*VLOOKUP('Données projet'!$B$12,Paramètres!$A$1:$I$88,3,0)*0.475*44/12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-3.4106051316484809E-13</v>
      </c>
      <c r="CU131" s="18">
        <f>CT131*VLOOKUP('Données projet'!$B$13,Paramètres!$A$1:$I$88,3,0)*VLOOKUP('Données projet'!$B$13,Paramètres!$A$1:$I$88,5,0)</f>
        <v>-1.9065282685915009E-13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302.20483575440988</v>
      </c>
      <c r="CZ131" s="62">
        <f t="shared" si="96"/>
        <v>275.32862097158687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projet'!$B$13,Paramètres!$A$1:$I$88,7,0))</f>
        <v>0</v>
      </c>
      <c r="DD131" s="17">
        <f>IF(ISNA(VLOOKUP(A131,'Données projet'!$A$139:$I$159,6,0)),0%,VLOOKUP(A131,'Données projet'!$A$139:$I$159,6,0)*VLOOKUP('Données projet'!$B$13,Paramètres!$A$1:$I$88,7,0))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projet'!$B$13,Paramètres!$A$1:$I$88,3,0)*0.475*44/12</f>
        <v>0</v>
      </c>
      <c r="DG131" s="23">
        <f>EXP(-LN(2)/25)*DG130+(1-EXP(-LN(2)/25))/(LN(2)/25)*Calculateur!DB131*Calculateur!DD131*VLOOKUP('Données projet'!$B$13,Paramètres!$A$1:$I$88,3,0)*0.475*44/12</f>
        <v>0.91347662496258109</v>
      </c>
      <c r="DH131" s="23">
        <f>EXP(-LN(2)/2)*DH130+(1-EXP(-LN(2)/2))/(LN(2)/2)*DB131*DE131*VLOOKUP('Données projet'!$B$13,Paramètres!$A$1:$I$88,3,0)*0.475*44/12</f>
        <v>1.2045276242270242E-14</v>
      </c>
      <c r="DI131" s="24">
        <f t="shared" si="69"/>
        <v>0.91347662496259308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projet'!$B$14,Paramètres!$A$1:$I$88,3,0)*VLOOKUP('Données projet'!$B$14,Paramètres!$A$1:$I$88,5,0)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projet'!$B$14,Paramètres!$A$1:$I$88,7,0))</f>
        <v>0</v>
      </c>
      <c r="DY131" s="17">
        <f>IF(ISNA(VLOOKUP(A131,'Données projet'!$A$165:$I$185,6,0)),0%,VLOOKUP(A131,'Données projet'!$A$165:$I$185,6,0)*VLOOKUP('Données projet'!$B$14,Paramètres!$A$1:$I$88,7,0))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projet'!$B$14,Paramètres!$A$1:$I$88,3,0)*0.475*44/12</f>
        <v>#N/A</v>
      </c>
      <c r="EB131" s="23" t="e">
        <f>EXP(-LN(2)/25)*EB130+(1-EXP(-LN(2)/25))/(LN(2)/25)*Calculateur!DW131*Calculateur!DY131*VLOOKUP('Données projet'!$B$14,Paramètres!$A$1:$I$88,3,0)*0.475*44/12</f>
        <v>#N/A</v>
      </c>
      <c r="EC131" s="23" t="e">
        <f>EXP(-LN(2)/2)*EC130+(1-EXP(-LN(2)/2))/(LN(2)/2)*DW131*DZ131*VLOOKUP('Données projet'!$B$14,Paramètres!$A$1:$I$88,3,0)*0.475*44/12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projet'!$B$15,Paramètres!$A$1:$I$88,3,0)*VLOOKUP('Données projet'!$B$15,Paramètres!$A$1:$I$88,5,0)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projet'!$B$15,Paramètres!$A$1:$I$88,7,0))</f>
        <v>0</v>
      </c>
      <c r="ET131" s="17">
        <f>IF(ISNA(VLOOKUP(A131,'Données projet'!$A$191:$I$211,6,0)),0%,VLOOKUP(A131,'Données projet'!$A$191:$I$211,6,0)*VLOOKUP('Données projet'!$B$15,Paramètres!$A$1:$I$88,7,0))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projet'!$B$15,Paramètres!$A$1:$I$88,3,0)*0.475*44/12</f>
        <v>#N/A</v>
      </c>
      <c r="EW131" s="23" t="e">
        <f>EXP(-LN(2)/25)*EW130+(1-EXP(-LN(2)/25))/(LN(2)/25)*Calculateur!ER131*Calculateur!ET131*VLOOKUP('Données projet'!$B$15,Paramètres!$A$1:$I$88,3,0)*0.475*44/12</f>
        <v>#N/A</v>
      </c>
      <c r="EX131" s="23" t="e">
        <f>EXP(-LN(2)/2)*EX130+(1-EXP(-LN(2)/2))/(LN(2)/2)*ER131*EU131*VLOOKUP('Données projet'!$B$15,Paramètres!$A$1:$I$88,3,0)*0.475*44/12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projet'!$B$16,Paramètres!$A$1:$I$88,3,0)*VLOOKUP('Données projet'!$B$16,Paramètres!$A$1:$I$88,5,0)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projet'!$B$16,Paramètres!$A$1:$I$88,7,0))</f>
        <v>0</v>
      </c>
      <c r="FO131" s="17">
        <f>IF(ISNA(VLOOKUP(A131,'Données projet'!$A$217:$I$237,6,0)),0%,VLOOKUP(A131,'Données projet'!$A$217:$I$237,6,0)*VLOOKUP('Données projet'!$B$16,Paramètres!$A$1:$I$88,7,0))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projet'!$B$16,Paramètres!$A$1:$I$88,3,0)*0.475*44/12</f>
        <v>#N/A</v>
      </c>
      <c r="FR131" s="23" t="e">
        <f>EXP(-LN(2)/25)*FR130+(1-EXP(-LN(2)/25))/(LN(2)/25)*Calculateur!FM131*Calculateur!FO131*VLOOKUP('Données projet'!$B$16,Paramètres!$A$1:$I$88,3,0)*0.475*44/12</f>
        <v>#N/A</v>
      </c>
      <c r="FS131" s="23" t="e">
        <f>EXP(-LN(2)/2)*FS130+(1-EXP(-LN(2)/2))/(LN(2)/2)*FM131*FP131*VLOOKUP('Données projet'!$B$16,Paramètres!$A$1:$I$88,3,0)*0.475*44/12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projet'!$B$17,Paramètres!$A$1:$I$88,3,0)*VLOOKUP('Données projet'!$B$17,Paramètres!$A$1:$I$88,5,0)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projet'!$B$17,Paramètres!$A$1:$I$88,7,0))</f>
        <v>0</v>
      </c>
      <c r="GJ131" s="17">
        <f>IF(ISNA(VLOOKUP(A131,'Données projet'!$A$243:$I$263,6,0)),0%,VLOOKUP(A131,'Données projet'!$A$243:$I$263,6,0)*VLOOKUP('Données projet'!$B$17,Paramètres!$A$1:$I$88,7,0))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projet'!$B$17,Paramètres!$A$1:$I$88,3,0)*0.475*44/12</f>
        <v>#N/A</v>
      </c>
      <c r="GM131" s="23" t="e">
        <f>EXP(-LN(2)/25)*GM130+(1-EXP(-LN(2)/25))/(LN(2)/25)*Calculateur!GH131*Calculateur!GJ131*VLOOKUP('Données projet'!$B$17,Paramètres!$A$1:$I$88,3,0)*0.475*44/12</f>
        <v>#N/A</v>
      </c>
      <c r="GN131" s="23" t="e">
        <f>EXP(-LN(2)/2)*GN130+(1-EXP(-LN(2)/2))/(LN(2)/2)*GH131*GK131*VLOOKUP('Données projet'!$B$17,Paramètres!$A$1:$I$88,3,0)*0.475*44/12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projet'!$B$18,Paramètres!$A$1:$I$88,3,0)*VLOOKUP('Données projet'!$B$18,Paramètres!$A$1:$I$88,5,0)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projet'!$B$18,Paramètres!$A$1:$I$88,7,0))</f>
        <v>0</v>
      </c>
      <c r="HE131" s="17">
        <f>IF(ISNA(VLOOKUP(A131,'Données projet'!$A$269:$I$289,6,0)),0%,VLOOKUP(A131,'Données projet'!$A$269:$I$289,6,0)*VLOOKUP('Données projet'!$B$18,Paramètres!$A$1:$I$88,7,0))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projet'!$B$18,Paramètres!$A$1:$I$88,3,0)*0.475*44/12</f>
        <v>#N/A</v>
      </c>
      <c r="HH131" s="23" t="e">
        <f>EXP(-LN(2)/25)*HH130+(1-EXP(-LN(2)/25))/(LN(2)/25)*Calculateur!HC131*Calculateur!HE131*VLOOKUP('Données projet'!$B$18,Paramètres!$A$1:$I$88,3,0)*0.475*44/12</f>
        <v>#N/A</v>
      </c>
      <c r="HI131" s="23" t="e">
        <f>EXP(-LN(2)/2)*HI130+(1-EXP(-LN(2)/2))/(LN(2)/2)*HC131*HF131*VLOOKUP('Données projet'!$B$18,Paramètres!$A$1:$I$88,3,0)*0.475*44/12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projet'!$B$9,Paramètres!$A$1:$I$88,3,0)*VLOOKUP('Données projet'!$B$9,Paramètres!$A$1:$I$88,5,0)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175.05987582828078</v>
      </c>
      <c r="T132" s="62">
        <f t="shared" si="88"/>
        <v>268.54782308462387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projet'!$B$9,Paramètres!$A$1:$I$88,7,0))</f>
        <v>0</v>
      </c>
      <c r="X132" s="17">
        <f>IF(ISNA(VLOOKUP(A132,'Données projet'!$A$35:$I$55,6,0)),0%,VLOOKUP(A132,'Données projet'!$A$35:$I$55,6,0)*VLOOKUP('Données projet'!$B$9,Paramètres!$A$1:$I$88,7,0))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projet'!$B$9,Paramètres!$A$1:$I$88,3,0)*0.475*44/12</f>
        <v>0</v>
      </c>
      <c r="AA132" s="23">
        <f>EXP(-LN(2)/25)*AA131+(1-EXP(-LN(2)/25))/(LN(2)/25)*Calculateur!V132*Calculateur!X132*VLOOKUP('Données projet'!$B$9,Paramètres!$A$1:$I$88,3,0)*0.475*44/12</f>
        <v>0.66155745474412386</v>
      </c>
      <c r="AB132" s="23">
        <f>EXP(-LN(2)/2)*AB131+(1-EXP(-LN(2)/2))/(LN(2)/2)*V132*Y132*VLOOKUP('Données projet'!$B$9,Paramètres!$A$1:$I$88,3,0)*0.475*44/12</f>
        <v>2.0748859617219512E-14</v>
      </c>
      <c r="AC132" s="24">
        <f t="shared" ref="AC132:AC153" si="111">SUM(Z132:AB132)</f>
        <v>0.66155745474414462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9</v>
      </c>
      <c r="AI132" s="14">
        <f>IF('Données projet'!$A$62&gt;35,AI131+AH132-AQ131,IF(A132&lt;'Données projet'!$A$62,$AF$205^A132,IF(A132='Données projet'!$A$62,'Données projet'!$B$62,AI131+AH132-AQ131)))</f>
        <v>960.99999999999898</v>
      </c>
      <c r="AJ132" s="14">
        <f>AI132*VLOOKUP('Données projet'!$B$10,Paramètres!$A$1:$I$88,3,0)*VLOOKUP('Données projet'!$B$10,Paramètres!$A$1:$I$88,5,0)</f>
        <v>462.24099999999947</v>
      </c>
      <c r="AK132" s="14">
        <f t="shared" si="89"/>
        <v>104.28691963070537</v>
      </c>
      <c r="AL132" s="22">
        <f t="shared" ref="AL132:AL153" si="112">(AJ132+AK132)*0.475*44/12</f>
        <v>986.70279335681107</v>
      </c>
      <c r="AM132" s="62">
        <f t="shared" ref="AM132:AM195" si="113">AL132+(AD132+AE132)*44/12</f>
        <v>1280.0361266901443</v>
      </c>
      <c r="AN132" s="62">
        <f ca="1">AVERAGE(OFFSET($AM$3,0,0,'Données projet'!$E$10+1,1))-AVERAGE(OFFSET($H$3,0,0,'Données projet'!$E$10+1,1))</f>
        <v>576.61210817354549</v>
      </c>
      <c r="AO132" s="62">
        <f t="shared" si="90"/>
        <v>343.9428747444544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projet'!$B$10,Paramètres!$A$1:$I$88,7,0))</f>
        <v>0</v>
      </c>
      <c r="AS132" s="17">
        <f>IF(ISNA(VLOOKUP(A132,'Données projet'!$A$61:$I$81,6,0)),0%,VLOOKUP(A132,'Données projet'!$A$61:$I$81,6,0)*VLOOKUP('Données projet'!$B$10,Paramètres!$A$1:$I$88,7,0))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projet'!$B$10,Paramètres!$A$1:$I$88,3,0)*0.475*44/12</f>
        <v>0</v>
      </c>
      <c r="AV132" s="23">
        <f>EXP(-LN(2)/25)*AV131+(1-EXP(-LN(2)/25))/(LN(2)/25)*Calculateur!AQ132*Calculateur!AS132*VLOOKUP('Données projet'!$B$10,Paramètres!$A$1:$I$88,3,0)*0.475*44/12</f>
        <v>0.36388067853387429</v>
      </c>
      <c r="AW132" s="23">
        <f>EXP(-LN(2)/2)*AW131+(1-EXP(-LN(2)/2))/(LN(2)/2)*AQ132*AT132*VLOOKUP('Données projet'!$B$10,Paramètres!$A$1:$I$88,3,0)*0.475*44/12</f>
        <v>1.4775751597839934E-14</v>
      </c>
      <c r="AX132" s="23">
        <f t="shared" ref="AX132:AX153" si="114">SUM(AU132:AW132)</f>
        <v>0.36388067853388906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-5.6843418860808015E-14</v>
      </c>
      <c r="BE132" s="14">
        <f>BD132*VLOOKUP('Données projet'!$B$11,Paramètres!$A$1:$I$88,3,0)*VLOOKUP('Données projet'!$B$11,Paramètres!$A$1:$I$88,5,0)</f>
        <v>-4.5224624045658861E-14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298.38448036212861</v>
      </c>
      <c r="BJ132" s="62">
        <f t="shared" si="92"/>
        <v>270.4445531106897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projet'!$B$11,Paramètres!$A$1:$I$88,7,0))</f>
        <v>0</v>
      </c>
      <c r="BN132" s="17">
        <f>IF(ISNA(VLOOKUP(A132,'Données projet'!$A$87:$I$107,6,0)),0%,VLOOKUP(A132,'Données projet'!$A$87:$I$107,6,0)*VLOOKUP('Données projet'!$B$11,Paramètres!$A$1:$I$88,7,0))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projet'!$B$11,Paramètres!$A$1:$I$88,3,0)*0.475*44/12</f>
        <v>0</v>
      </c>
      <c r="BQ132" s="23">
        <f>EXP(-LN(2)/25)*BQ131+(1-EXP(-LN(2)/25))/(LN(2)/25)*Calculateur!BL132*Calculateur!BN132*VLOOKUP('Données projet'!$B$11,Paramètres!$A$1:$I$88,3,0)*0.475*44/12</f>
        <v>0</v>
      </c>
      <c r="BR132" s="23">
        <f>EXP(-LN(2)/2)*BR131+(1-EXP(-LN(2)/2))/(LN(2)/2)*BL132*BO132*VLOOKUP('Données projet'!$B$11,Paramètres!$A$1:$I$88,3,0)*0.475*44/12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5.6843418860808015E-14</v>
      </c>
      <c r="BZ132" s="14">
        <f>BY132*VLOOKUP('Données projet'!$B$12,Paramètres!$A$1:$I$88,3,0)*VLOOKUP('Données projet'!$B$12,Paramètres!$A$1:$I$88,5,0)</f>
        <v>4.4337866711430253E-14</v>
      </c>
      <c r="CA132" s="14">
        <f t="shared" si="93"/>
        <v>7.3222115536967035E-13</v>
      </c>
      <c r="CB132" s="22">
        <f t="shared" ref="CB132:CB153" si="118">(BZ132+CA132)*0.475*44/12</f>
        <v>1.3525069634579169E-12</v>
      </c>
      <c r="CC132" s="62">
        <f t="shared" ref="CC132:CC195" si="119">CB132+(BT132+BU132)*44/12</f>
        <v>293.33333333333468</v>
      </c>
      <c r="CD132" s="62">
        <f ca="1">AVERAGE(OFFSET($CC$3,0,0,'Données projet'!$E$12+1,1))-AVERAGE(OFFSET($H$3,0,0,'Données projet'!$E$12+1,1))</f>
        <v>217.32600829266818</v>
      </c>
      <c r="CE132" s="62">
        <f t="shared" si="94"/>
        <v>208.79744153433245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projet'!$B$12,Paramètres!$A$1:$I$88,7,0))</f>
        <v>0</v>
      </c>
      <c r="CI132" s="17">
        <f>IF(ISNA(VLOOKUP(A132,'Données projet'!$A$113:$I$133,6,0)),0%,VLOOKUP(A132,'Données projet'!$A$113:$I$133,6,0)*VLOOKUP('Données projet'!$B$12,Paramètres!$A$1:$I$88,7,0))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projet'!$B$12,Paramètres!$A$1:$I$88,3,0)*0.475*44/12</f>
        <v>0</v>
      </c>
      <c r="CL132" s="23">
        <f>EXP(-LN(2)/25)*CL131+(1-EXP(-LN(2)/25))/(LN(2)/25)*Calculateur!CG132*Calculateur!CI132*VLOOKUP('Données projet'!$B$12,Paramètres!$A$1:$I$88,3,0)*0.475*44/12</f>
        <v>0</v>
      </c>
      <c r="CM132" s="23">
        <f>EXP(-LN(2)/2)*CM131+(1-EXP(-LN(2)/2))/(LN(2)/2)*CG132*CJ132*VLOOKUP('Données projet'!$B$12,Paramètres!$A$1:$I$88,3,0)*0.475*44/12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-3.4106051316484809E-13</v>
      </c>
      <c r="CU132" s="18">
        <f>CT132*VLOOKUP('Données projet'!$B$13,Paramètres!$A$1:$I$88,3,0)*VLOOKUP('Données projet'!$B$13,Paramètres!$A$1:$I$88,5,0)</f>
        <v>-1.9065282685915009E-13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302.20483575440988</v>
      </c>
      <c r="CZ132" s="62">
        <f t="shared" si="96"/>
        <v>275.32862097158687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projet'!$B$13,Paramètres!$A$1:$I$88,7,0))</f>
        <v>0</v>
      </c>
      <c r="DD132" s="17">
        <f>IF(ISNA(VLOOKUP(A132,'Données projet'!$A$139:$I$159,6,0)),0%,VLOOKUP(A132,'Données projet'!$A$139:$I$159,6,0)*VLOOKUP('Données projet'!$B$13,Paramètres!$A$1:$I$88,7,0))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projet'!$B$13,Paramètres!$A$1:$I$88,3,0)*0.475*44/12</f>
        <v>0</v>
      </c>
      <c r="DG132" s="23">
        <f>EXP(-LN(2)/25)*DG131+(1-EXP(-LN(2)/25))/(LN(2)/25)*Calculateur!DB132*Calculateur!DD132*VLOOKUP('Données projet'!$B$13,Paramètres!$A$1:$I$88,3,0)*0.475*44/12</f>
        <v>0.88849755861533142</v>
      </c>
      <c r="DH132" s="23">
        <f>EXP(-LN(2)/2)*DH131+(1-EXP(-LN(2)/2))/(LN(2)/2)*DB132*DE132*VLOOKUP('Données projet'!$B$13,Paramètres!$A$1:$I$88,3,0)*0.475*44/12</f>
        <v>8.5172965121745034E-15</v>
      </c>
      <c r="DI132" s="24">
        <f t="shared" ref="DI132:DI153" si="123">SUM(DF132:DH132)</f>
        <v>0.88849755861533997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projet'!$B$14,Paramètres!$A$1:$I$88,3,0)*VLOOKUP('Données projet'!$B$14,Paramètres!$A$1:$I$88,5,0)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projet'!$B$14,Paramètres!$A$1:$I$88,7,0))</f>
        <v>0</v>
      </c>
      <c r="DY132" s="17">
        <f>IF(ISNA(VLOOKUP(A132,'Données projet'!$A$165:$I$185,6,0)),0%,VLOOKUP(A132,'Données projet'!$A$165:$I$185,6,0)*VLOOKUP('Données projet'!$B$14,Paramètres!$A$1:$I$88,7,0))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projet'!$B$14,Paramètres!$A$1:$I$88,3,0)*0.475*44/12</f>
        <v>#N/A</v>
      </c>
      <c r="EB132" s="23" t="e">
        <f>EXP(-LN(2)/25)*EB131+(1-EXP(-LN(2)/25))/(LN(2)/25)*Calculateur!DW132*Calculateur!DY132*VLOOKUP('Données projet'!$B$14,Paramètres!$A$1:$I$88,3,0)*0.475*44/12</f>
        <v>#N/A</v>
      </c>
      <c r="EC132" s="23" t="e">
        <f>EXP(-LN(2)/2)*EC131+(1-EXP(-LN(2)/2))/(LN(2)/2)*DW132*DZ132*VLOOKUP('Données projet'!$B$14,Paramètres!$A$1:$I$88,3,0)*0.475*44/12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projet'!$B$15,Paramètres!$A$1:$I$88,3,0)*VLOOKUP('Données projet'!$B$15,Paramètres!$A$1:$I$88,5,0)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projet'!$B$15,Paramètres!$A$1:$I$88,7,0))</f>
        <v>0</v>
      </c>
      <c r="ET132" s="17">
        <f>IF(ISNA(VLOOKUP(A132,'Données projet'!$A$191:$I$211,6,0)),0%,VLOOKUP(A132,'Données projet'!$A$191:$I$211,6,0)*VLOOKUP('Données projet'!$B$15,Paramètres!$A$1:$I$88,7,0))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projet'!$B$15,Paramètres!$A$1:$I$88,3,0)*0.475*44/12</f>
        <v>#N/A</v>
      </c>
      <c r="EW132" s="23" t="e">
        <f>EXP(-LN(2)/25)*EW131+(1-EXP(-LN(2)/25))/(LN(2)/25)*Calculateur!ER132*Calculateur!ET132*VLOOKUP('Données projet'!$B$15,Paramètres!$A$1:$I$88,3,0)*0.475*44/12</f>
        <v>#N/A</v>
      </c>
      <c r="EX132" s="23" t="e">
        <f>EXP(-LN(2)/2)*EX131+(1-EXP(-LN(2)/2))/(LN(2)/2)*ER132*EU132*VLOOKUP('Données projet'!$B$15,Paramètres!$A$1:$I$88,3,0)*0.475*44/12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projet'!$B$16,Paramètres!$A$1:$I$88,3,0)*VLOOKUP('Données projet'!$B$16,Paramètres!$A$1:$I$88,5,0)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projet'!$B$16,Paramètres!$A$1:$I$88,7,0))</f>
        <v>0</v>
      </c>
      <c r="FO132" s="17">
        <f>IF(ISNA(VLOOKUP(A132,'Données projet'!$A$217:$I$237,6,0)),0%,VLOOKUP(A132,'Données projet'!$A$217:$I$237,6,0)*VLOOKUP('Données projet'!$B$16,Paramètres!$A$1:$I$88,7,0))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projet'!$B$16,Paramètres!$A$1:$I$88,3,0)*0.475*44/12</f>
        <v>#N/A</v>
      </c>
      <c r="FR132" s="23" t="e">
        <f>EXP(-LN(2)/25)*FR131+(1-EXP(-LN(2)/25))/(LN(2)/25)*Calculateur!FM132*Calculateur!FO132*VLOOKUP('Données projet'!$B$16,Paramètres!$A$1:$I$88,3,0)*0.475*44/12</f>
        <v>#N/A</v>
      </c>
      <c r="FS132" s="23" t="e">
        <f>EXP(-LN(2)/2)*FS131+(1-EXP(-LN(2)/2))/(LN(2)/2)*FM132*FP132*VLOOKUP('Données projet'!$B$16,Paramètres!$A$1:$I$88,3,0)*0.475*44/12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projet'!$B$17,Paramètres!$A$1:$I$88,3,0)*VLOOKUP('Données projet'!$B$17,Paramètres!$A$1:$I$88,5,0)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projet'!$B$17,Paramètres!$A$1:$I$88,7,0))</f>
        <v>0</v>
      </c>
      <c r="GJ132" s="17">
        <f>IF(ISNA(VLOOKUP(A132,'Données projet'!$A$243:$I$263,6,0)),0%,VLOOKUP(A132,'Données projet'!$A$243:$I$263,6,0)*VLOOKUP('Données projet'!$B$17,Paramètres!$A$1:$I$88,7,0))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projet'!$B$17,Paramètres!$A$1:$I$88,3,0)*0.475*44/12</f>
        <v>#N/A</v>
      </c>
      <c r="GM132" s="23" t="e">
        <f>EXP(-LN(2)/25)*GM131+(1-EXP(-LN(2)/25))/(LN(2)/25)*Calculateur!GH132*Calculateur!GJ132*VLOOKUP('Données projet'!$B$17,Paramètres!$A$1:$I$88,3,0)*0.475*44/12</f>
        <v>#N/A</v>
      </c>
      <c r="GN132" s="23" t="e">
        <f>EXP(-LN(2)/2)*GN131+(1-EXP(-LN(2)/2))/(LN(2)/2)*GH132*GK132*VLOOKUP('Données projet'!$B$17,Paramètres!$A$1:$I$88,3,0)*0.475*44/12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projet'!$B$18,Paramètres!$A$1:$I$88,3,0)*VLOOKUP('Données projet'!$B$18,Paramètres!$A$1:$I$88,5,0)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projet'!$B$18,Paramètres!$A$1:$I$88,7,0))</f>
        <v>0</v>
      </c>
      <c r="HE132" s="17">
        <f>IF(ISNA(VLOOKUP(A132,'Données projet'!$A$269:$I$289,6,0)),0%,VLOOKUP(A132,'Données projet'!$A$269:$I$289,6,0)*VLOOKUP('Données projet'!$B$18,Paramètres!$A$1:$I$88,7,0))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projet'!$B$18,Paramètres!$A$1:$I$88,3,0)*0.475*44/12</f>
        <v>#N/A</v>
      </c>
      <c r="HH132" s="23" t="e">
        <f>EXP(-LN(2)/25)*HH131+(1-EXP(-LN(2)/25))/(LN(2)/25)*Calculateur!HC132*Calculateur!HE132*VLOOKUP('Données projet'!$B$18,Paramètres!$A$1:$I$88,3,0)*0.475*44/12</f>
        <v>#N/A</v>
      </c>
      <c r="HI132" s="23" t="e">
        <f>EXP(-LN(2)/2)*HI131+(1-EXP(-LN(2)/2))/(LN(2)/2)*HC132*HF132*VLOOKUP('Données projet'!$B$18,Paramètres!$A$1:$I$88,3,0)*0.475*44/12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projet'!$B$9,Paramètres!$A$1:$I$88,3,0)*VLOOKUP('Données projet'!$B$9,Paramètres!$A$1:$I$88,5,0)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175.05987582828078</v>
      </c>
      <c r="T133" s="62">
        <f t="shared" ref="T133:T196" si="142">$T$3</f>
        <v>268.54782308462387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projet'!$B$9,Paramètres!$A$1:$I$88,7,0))</f>
        <v>0</v>
      </c>
      <c r="X133" s="17">
        <f>IF(ISNA(VLOOKUP(A133,'Données projet'!$A$35:$I$55,6,0)),0%,VLOOKUP(A133,'Données projet'!$A$35:$I$55,6,0)*VLOOKUP('Données projet'!$B$9,Paramètres!$A$1:$I$88,7,0))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projet'!$B$9,Paramètres!$A$1:$I$88,3,0)*0.475*44/12</f>
        <v>0</v>
      </c>
      <c r="AA133" s="23">
        <f>EXP(-LN(2)/25)*AA132+(1-EXP(-LN(2)/25))/(LN(2)/25)*Calculateur!V133*Calculateur!X133*VLOOKUP('Données projet'!$B$9,Paramètres!$A$1:$I$88,3,0)*0.475*44/12</f>
        <v>0.6434671313543513</v>
      </c>
      <c r="AB133" s="23">
        <f>EXP(-LN(2)/2)*AB132+(1-EXP(-LN(2)/2))/(LN(2)/2)*V133*Y133*VLOOKUP('Données projet'!$B$9,Paramètres!$A$1:$I$88,3,0)*0.475*44/12</f>
        <v>1.4671659337223629E-14</v>
      </c>
      <c r="AC133" s="24">
        <f t="shared" si="111"/>
        <v>0.64346713135436595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9</v>
      </c>
      <c r="AI133" s="14">
        <f>IF('Données projet'!$A$62&gt;35,AI132+AH133-AQ132,IF(A133&lt;'Données projet'!$A$62,$AF$205^A133,IF(A133='Données projet'!$A$62,'Données projet'!$B$62,AI132+AH133-AQ132)))</f>
        <v>969.99999999999898</v>
      </c>
      <c r="AJ133" s="14">
        <f>AI133*VLOOKUP('Données projet'!$B$10,Paramètres!$A$1:$I$88,3,0)*VLOOKUP('Données projet'!$B$10,Paramètres!$A$1:$I$88,5,0)</f>
        <v>466.56999999999954</v>
      </c>
      <c r="AK133" s="14">
        <f t="shared" ref="AK133:AK153" si="143">EXP(-1.0587+0.8836*LN(AJ133)+0.284)</f>
        <v>105.14943870903707</v>
      </c>
      <c r="AL133" s="22">
        <f t="shared" si="112"/>
        <v>995.74468908490519</v>
      </c>
      <c r="AM133" s="62">
        <f t="shared" si="113"/>
        <v>1289.0780224182386</v>
      </c>
      <c r="AN133" s="62">
        <f ca="1">AVERAGE(OFFSET($AM$3,0,0,'Données projet'!$E$10+1,1))-AVERAGE(OFFSET($H$3,0,0,'Données projet'!$E$10+1,1))</f>
        <v>576.61210817354549</v>
      </c>
      <c r="AO133" s="62">
        <f t="shared" ref="AO133:AO196" si="144">$AO$3</f>
        <v>343.9428747444544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projet'!$B$10,Paramètres!$A$1:$I$88,7,0))</f>
        <v>0</v>
      </c>
      <c r="AS133" s="17">
        <f>IF(ISNA(VLOOKUP(A133,'Données projet'!$A$61:$I$81,6,0)),0%,VLOOKUP(A133,'Données projet'!$A$61:$I$81,6,0)*VLOOKUP('Données projet'!$B$10,Paramètres!$A$1:$I$88,7,0))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projet'!$B$10,Paramètres!$A$1:$I$88,3,0)*0.475*44/12</f>
        <v>0</v>
      </c>
      <c r="AV133" s="23">
        <f>EXP(-LN(2)/25)*AV132+(1-EXP(-LN(2)/25))/(LN(2)/25)*Calculateur!AQ133*Calculateur!AS133*VLOOKUP('Données projet'!$B$10,Paramètres!$A$1:$I$88,3,0)*0.475*44/12</f>
        <v>0.35393034224371228</v>
      </c>
      <c r="AW133" s="23">
        <f>EXP(-LN(2)/2)*AW132+(1-EXP(-LN(2)/2))/(LN(2)/2)*AQ133*AT133*VLOOKUP('Données projet'!$B$10,Paramètres!$A$1:$I$88,3,0)*0.475*44/12</f>
        <v>1.0448034151960582E-14</v>
      </c>
      <c r="AX133" s="23">
        <f t="shared" si="114"/>
        <v>0.35393034224372272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-5.6843418860808015E-14</v>
      </c>
      <c r="BE133" s="14">
        <f>BD133*VLOOKUP('Données projet'!$B$11,Paramètres!$A$1:$I$88,3,0)*VLOOKUP('Données projet'!$B$11,Paramètres!$A$1:$I$88,5,0)</f>
        <v>-4.5224624045658861E-14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298.38448036212861</v>
      </c>
      <c r="BJ133" s="62">
        <f t="shared" ref="BJ133:BJ196" si="146">$BJ$3</f>
        <v>270.4445531106897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projet'!$B$11,Paramètres!$A$1:$I$88,7,0))</f>
        <v>0</v>
      </c>
      <c r="BN133" s="17">
        <f>IF(ISNA(VLOOKUP(A133,'Données projet'!$A$87:$I$107,6,0)),0%,VLOOKUP(A133,'Données projet'!$A$87:$I$107,6,0)*VLOOKUP('Données projet'!$B$11,Paramètres!$A$1:$I$88,7,0))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projet'!$B$11,Paramètres!$A$1:$I$88,3,0)*0.475*44/12</f>
        <v>0</v>
      </c>
      <c r="BQ133" s="23">
        <f>EXP(-LN(2)/25)*BQ132+(1-EXP(-LN(2)/25))/(LN(2)/25)*Calculateur!BL133*Calculateur!BN133*VLOOKUP('Données projet'!$B$11,Paramètres!$A$1:$I$88,3,0)*0.475*44/12</f>
        <v>0</v>
      </c>
      <c r="BR133" s="23">
        <f>EXP(-LN(2)/2)*BR132+(1-EXP(-LN(2)/2))/(LN(2)/2)*BL133*BO133*VLOOKUP('Données projet'!$B$11,Paramètres!$A$1:$I$88,3,0)*0.475*44/12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5.6843418860808015E-14</v>
      </c>
      <c r="BZ133" s="14">
        <f>BY133*VLOOKUP('Données projet'!$B$12,Paramètres!$A$1:$I$88,3,0)*VLOOKUP('Données projet'!$B$12,Paramètres!$A$1:$I$88,5,0)</f>
        <v>4.4337866711430253E-14</v>
      </c>
      <c r="CA133" s="14">
        <f t="shared" ref="CA133:CA153" si="147">EXP(-1.0587+0.8836*LN(BZ133)+0.284)</f>
        <v>7.3222115536967035E-13</v>
      </c>
      <c r="CB133" s="22">
        <f t="shared" si="118"/>
        <v>1.3525069634579169E-12</v>
      </c>
      <c r="CC133" s="62">
        <f t="shared" si="119"/>
        <v>293.33333333333468</v>
      </c>
      <c r="CD133" s="62">
        <f ca="1">AVERAGE(OFFSET($CC$3,0,0,'Données projet'!$E$12+1,1))-AVERAGE(OFFSET($H$3,0,0,'Données projet'!$E$12+1,1))</f>
        <v>217.32600829266818</v>
      </c>
      <c r="CE133" s="62">
        <f t="shared" ref="CE133:CE196" si="148">$CE$3</f>
        <v>208.79744153433245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projet'!$B$12,Paramètres!$A$1:$I$88,7,0))</f>
        <v>0</v>
      </c>
      <c r="CI133" s="17">
        <f>IF(ISNA(VLOOKUP(A133,'Données projet'!$A$113:$I$133,6,0)),0%,VLOOKUP(A133,'Données projet'!$A$113:$I$133,6,0)*VLOOKUP('Données projet'!$B$12,Paramètres!$A$1:$I$88,7,0))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projet'!$B$12,Paramètres!$A$1:$I$88,3,0)*0.475*44/12</f>
        <v>0</v>
      </c>
      <c r="CL133" s="23">
        <f>EXP(-LN(2)/25)*CL132+(1-EXP(-LN(2)/25))/(LN(2)/25)*Calculateur!CG133*Calculateur!CI133*VLOOKUP('Données projet'!$B$12,Paramètres!$A$1:$I$88,3,0)*0.475*44/12</f>
        <v>0</v>
      </c>
      <c r="CM133" s="23">
        <f>EXP(-LN(2)/2)*CM132+(1-EXP(-LN(2)/2))/(LN(2)/2)*CG133*CJ133*VLOOKUP('Données projet'!$B$12,Paramètres!$A$1:$I$88,3,0)*0.475*44/12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-3.4106051316484809E-13</v>
      </c>
      <c r="CU133" s="18">
        <f>CT133*VLOOKUP('Données projet'!$B$13,Paramètres!$A$1:$I$88,3,0)*VLOOKUP('Données projet'!$B$13,Paramètres!$A$1:$I$88,5,0)</f>
        <v>-1.9065282685915009E-13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302.20483575440988</v>
      </c>
      <c r="CZ133" s="62">
        <f t="shared" ref="CZ133:CZ196" si="150">$CZ$3</f>
        <v>275.32862097158687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projet'!$B$13,Paramètres!$A$1:$I$88,7,0))</f>
        <v>0</v>
      </c>
      <c r="DD133" s="17">
        <f>IF(ISNA(VLOOKUP(A133,'Données projet'!$A$139:$I$159,6,0)),0%,VLOOKUP(A133,'Données projet'!$A$139:$I$159,6,0)*VLOOKUP('Données projet'!$B$13,Paramètres!$A$1:$I$88,7,0))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projet'!$B$13,Paramètres!$A$1:$I$88,3,0)*0.475*44/12</f>
        <v>0</v>
      </c>
      <c r="DG133" s="23">
        <f>EXP(-LN(2)/25)*DG132+(1-EXP(-LN(2)/25))/(LN(2)/25)*Calculateur!DB133*Calculateur!DD133*VLOOKUP('Données projet'!$B$13,Paramètres!$A$1:$I$88,3,0)*0.475*44/12</f>
        <v>0.86420154615093925</v>
      </c>
      <c r="DH133" s="23">
        <f>EXP(-LN(2)/2)*DH132+(1-EXP(-LN(2)/2))/(LN(2)/2)*DB133*DE133*VLOOKUP('Données projet'!$B$13,Paramètres!$A$1:$I$88,3,0)*0.475*44/12</f>
        <v>6.0226381211351211E-15</v>
      </c>
      <c r="DI133" s="24">
        <f t="shared" si="123"/>
        <v>0.86420154615094524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projet'!$B$14,Paramètres!$A$1:$I$88,3,0)*VLOOKUP('Données projet'!$B$14,Paramètres!$A$1:$I$88,5,0)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projet'!$B$14,Paramètres!$A$1:$I$88,7,0))</f>
        <v>0</v>
      </c>
      <c r="DY133" s="17">
        <f>IF(ISNA(VLOOKUP(A133,'Données projet'!$A$165:$I$185,6,0)),0%,VLOOKUP(A133,'Données projet'!$A$165:$I$185,6,0)*VLOOKUP('Données projet'!$B$14,Paramètres!$A$1:$I$88,7,0))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projet'!$B$14,Paramètres!$A$1:$I$88,3,0)*0.475*44/12</f>
        <v>#N/A</v>
      </c>
      <c r="EB133" s="23" t="e">
        <f>EXP(-LN(2)/25)*EB132+(1-EXP(-LN(2)/25))/(LN(2)/25)*Calculateur!DW133*Calculateur!DY133*VLOOKUP('Données projet'!$B$14,Paramètres!$A$1:$I$88,3,0)*0.475*44/12</f>
        <v>#N/A</v>
      </c>
      <c r="EC133" s="23" t="e">
        <f>EXP(-LN(2)/2)*EC132+(1-EXP(-LN(2)/2))/(LN(2)/2)*DW133*DZ133*VLOOKUP('Données projet'!$B$14,Paramètres!$A$1:$I$88,3,0)*0.475*44/12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projet'!$B$15,Paramètres!$A$1:$I$88,3,0)*VLOOKUP('Données projet'!$B$15,Paramètres!$A$1:$I$88,5,0)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projet'!$B$15,Paramètres!$A$1:$I$88,7,0))</f>
        <v>0</v>
      </c>
      <c r="ET133" s="17">
        <f>IF(ISNA(VLOOKUP(A133,'Données projet'!$A$191:$I$211,6,0)),0%,VLOOKUP(A133,'Données projet'!$A$191:$I$211,6,0)*VLOOKUP('Données projet'!$B$15,Paramètres!$A$1:$I$88,7,0))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projet'!$B$15,Paramètres!$A$1:$I$88,3,0)*0.475*44/12</f>
        <v>#N/A</v>
      </c>
      <c r="EW133" s="23" t="e">
        <f>EXP(-LN(2)/25)*EW132+(1-EXP(-LN(2)/25))/(LN(2)/25)*Calculateur!ER133*Calculateur!ET133*VLOOKUP('Données projet'!$B$15,Paramètres!$A$1:$I$88,3,0)*0.475*44/12</f>
        <v>#N/A</v>
      </c>
      <c r="EX133" s="23" t="e">
        <f>EXP(-LN(2)/2)*EX132+(1-EXP(-LN(2)/2))/(LN(2)/2)*ER133*EU133*VLOOKUP('Données projet'!$B$15,Paramètres!$A$1:$I$88,3,0)*0.475*44/12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projet'!$B$16,Paramètres!$A$1:$I$88,3,0)*VLOOKUP('Données projet'!$B$16,Paramètres!$A$1:$I$88,5,0)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projet'!$B$16,Paramètres!$A$1:$I$88,7,0))</f>
        <v>0</v>
      </c>
      <c r="FO133" s="17">
        <f>IF(ISNA(VLOOKUP(A133,'Données projet'!$A$217:$I$237,6,0)),0%,VLOOKUP(A133,'Données projet'!$A$217:$I$237,6,0)*VLOOKUP('Données projet'!$B$16,Paramètres!$A$1:$I$88,7,0))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projet'!$B$16,Paramètres!$A$1:$I$88,3,0)*0.475*44/12</f>
        <v>#N/A</v>
      </c>
      <c r="FR133" s="23" t="e">
        <f>EXP(-LN(2)/25)*FR132+(1-EXP(-LN(2)/25))/(LN(2)/25)*Calculateur!FM133*Calculateur!FO133*VLOOKUP('Données projet'!$B$16,Paramètres!$A$1:$I$88,3,0)*0.475*44/12</f>
        <v>#N/A</v>
      </c>
      <c r="FS133" s="23" t="e">
        <f>EXP(-LN(2)/2)*FS132+(1-EXP(-LN(2)/2))/(LN(2)/2)*FM133*FP133*VLOOKUP('Données projet'!$B$16,Paramètres!$A$1:$I$88,3,0)*0.475*44/12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projet'!$B$17,Paramètres!$A$1:$I$88,3,0)*VLOOKUP('Données projet'!$B$17,Paramètres!$A$1:$I$88,5,0)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projet'!$B$17,Paramètres!$A$1:$I$88,7,0))</f>
        <v>0</v>
      </c>
      <c r="GJ133" s="17">
        <f>IF(ISNA(VLOOKUP(A133,'Données projet'!$A$243:$I$263,6,0)),0%,VLOOKUP(A133,'Données projet'!$A$243:$I$263,6,0)*VLOOKUP('Données projet'!$B$17,Paramètres!$A$1:$I$88,7,0))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projet'!$B$17,Paramètres!$A$1:$I$88,3,0)*0.475*44/12</f>
        <v>#N/A</v>
      </c>
      <c r="GM133" s="23" t="e">
        <f>EXP(-LN(2)/25)*GM132+(1-EXP(-LN(2)/25))/(LN(2)/25)*Calculateur!GH133*Calculateur!GJ133*VLOOKUP('Données projet'!$B$17,Paramètres!$A$1:$I$88,3,0)*0.475*44/12</f>
        <v>#N/A</v>
      </c>
      <c r="GN133" s="23" t="e">
        <f>EXP(-LN(2)/2)*GN132+(1-EXP(-LN(2)/2))/(LN(2)/2)*GH133*GK133*VLOOKUP('Données projet'!$B$17,Paramètres!$A$1:$I$88,3,0)*0.475*44/12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projet'!$B$18,Paramètres!$A$1:$I$88,3,0)*VLOOKUP('Données projet'!$B$18,Paramètres!$A$1:$I$88,5,0)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projet'!$B$18,Paramètres!$A$1:$I$88,7,0))</f>
        <v>0</v>
      </c>
      <c r="HE133" s="17">
        <f>IF(ISNA(VLOOKUP(A133,'Données projet'!$A$269:$I$289,6,0)),0%,VLOOKUP(A133,'Données projet'!$A$269:$I$289,6,0)*VLOOKUP('Données projet'!$B$18,Paramètres!$A$1:$I$88,7,0))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projet'!$B$18,Paramètres!$A$1:$I$88,3,0)*0.475*44/12</f>
        <v>#N/A</v>
      </c>
      <c r="HH133" s="23" t="e">
        <f>EXP(-LN(2)/25)*HH132+(1-EXP(-LN(2)/25))/(LN(2)/25)*Calculateur!HC133*Calculateur!HE133*VLOOKUP('Données projet'!$B$18,Paramètres!$A$1:$I$88,3,0)*0.475*44/12</f>
        <v>#N/A</v>
      </c>
      <c r="HI133" s="23" t="e">
        <f>EXP(-LN(2)/2)*HI132+(1-EXP(-LN(2)/2))/(LN(2)/2)*HC133*HF133*VLOOKUP('Données projet'!$B$18,Paramètres!$A$1:$I$88,3,0)*0.475*44/12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projet'!$B$9,Paramètres!$A$1:$I$88,3,0)*VLOOKUP('Données projet'!$B$9,Paramètres!$A$1:$I$88,5,0)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175.05987582828078</v>
      </c>
      <c r="T134" s="62">
        <f t="shared" si="142"/>
        <v>268.54782308462387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projet'!$B$9,Paramètres!$A$1:$I$88,7,0))</f>
        <v>0</v>
      </c>
      <c r="X134" s="17">
        <f>IF(ISNA(VLOOKUP(A134,'Données projet'!$A$35:$I$55,6,0)),0%,VLOOKUP(A134,'Données projet'!$A$35:$I$55,6,0)*VLOOKUP('Données projet'!$B$9,Paramètres!$A$1:$I$88,7,0))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projet'!$B$9,Paramètres!$A$1:$I$88,3,0)*0.475*44/12</f>
        <v>0</v>
      </c>
      <c r="AA134" s="23">
        <f>EXP(-LN(2)/25)*AA133+(1-EXP(-LN(2)/25))/(LN(2)/25)*Calculateur!V134*Calculateur!X134*VLOOKUP('Données projet'!$B$9,Paramètres!$A$1:$I$88,3,0)*0.475*44/12</f>
        <v>0.62587148880900079</v>
      </c>
      <c r="AB134" s="23">
        <f>EXP(-LN(2)/2)*AB133+(1-EXP(-LN(2)/2))/(LN(2)/2)*V134*Y134*VLOOKUP('Données projet'!$B$9,Paramètres!$A$1:$I$88,3,0)*0.475*44/12</f>
        <v>1.0374429808609756E-14</v>
      </c>
      <c r="AC134" s="24">
        <f t="shared" si="111"/>
        <v>0.62587148880901111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9</v>
      </c>
      <c r="AI134" s="14">
        <f>IF('Données projet'!$A$62&gt;35,AI133+AH134-AQ133,IF(A134&lt;'Données projet'!$A$62,$AF$205^A134,IF(A134='Données projet'!$A$62,'Données projet'!$B$62,AI133+AH134-AQ133)))</f>
        <v>978.99999999999898</v>
      </c>
      <c r="AJ134" s="14">
        <f>AI134*VLOOKUP('Données projet'!$B$10,Paramètres!$A$1:$I$88,3,0)*VLOOKUP('Données projet'!$B$10,Paramètres!$A$1:$I$88,5,0)</f>
        <v>470.89899999999955</v>
      </c>
      <c r="AK134" s="14">
        <f t="shared" si="143"/>
        <v>106.0110267554757</v>
      </c>
      <c r="AL134" s="22">
        <f t="shared" si="112"/>
        <v>1004.7849632657858</v>
      </c>
      <c r="AM134" s="62">
        <f t="shared" si="113"/>
        <v>1298.118296599119</v>
      </c>
      <c r="AN134" s="62">
        <f ca="1">AVERAGE(OFFSET($AM$3,0,0,'Données projet'!$E$10+1,1))-AVERAGE(OFFSET($H$3,0,0,'Données projet'!$E$10+1,1))</f>
        <v>576.61210817354549</v>
      </c>
      <c r="AO134" s="62">
        <f t="shared" si="144"/>
        <v>343.9428747444544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projet'!$B$10,Paramètres!$A$1:$I$88,7,0))</f>
        <v>0</v>
      </c>
      <c r="AS134" s="17">
        <f>IF(ISNA(VLOOKUP(A134,'Données projet'!$A$61:$I$81,6,0)),0%,VLOOKUP(A134,'Données projet'!$A$61:$I$81,6,0)*VLOOKUP('Données projet'!$B$10,Paramètres!$A$1:$I$88,7,0))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projet'!$B$10,Paramètres!$A$1:$I$88,3,0)*0.475*44/12</f>
        <v>0</v>
      </c>
      <c r="AV134" s="23">
        <f>EXP(-LN(2)/25)*AV133+(1-EXP(-LN(2)/25))/(LN(2)/25)*Calculateur!AQ134*Calculateur!AS134*VLOOKUP('Données projet'!$B$10,Paramètres!$A$1:$I$88,3,0)*0.475*44/12</f>
        <v>0.34425209842267018</v>
      </c>
      <c r="AW134" s="23">
        <f>EXP(-LN(2)/2)*AW133+(1-EXP(-LN(2)/2))/(LN(2)/2)*AQ134*AT134*VLOOKUP('Données projet'!$B$10,Paramètres!$A$1:$I$88,3,0)*0.475*44/12</f>
        <v>7.387875798919967E-15</v>
      </c>
      <c r="AX134" s="23">
        <f t="shared" si="114"/>
        <v>0.34425209842267757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-5.6843418860808015E-14</v>
      </c>
      <c r="BE134" s="14">
        <f>BD134*VLOOKUP('Données projet'!$B$11,Paramètres!$A$1:$I$88,3,0)*VLOOKUP('Données projet'!$B$11,Paramètres!$A$1:$I$88,5,0)</f>
        <v>-4.5224624045658861E-14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298.38448036212861</v>
      </c>
      <c r="BJ134" s="62">
        <f t="shared" si="146"/>
        <v>270.4445531106897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projet'!$B$11,Paramètres!$A$1:$I$88,7,0))</f>
        <v>0</v>
      </c>
      <c r="BN134" s="17">
        <f>IF(ISNA(VLOOKUP(A134,'Données projet'!$A$87:$I$107,6,0)),0%,VLOOKUP(A134,'Données projet'!$A$87:$I$107,6,0)*VLOOKUP('Données projet'!$B$11,Paramètres!$A$1:$I$88,7,0))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projet'!$B$11,Paramètres!$A$1:$I$88,3,0)*0.475*44/12</f>
        <v>0</v>
      </c>
      <c r="BQ134" s="23">
        <f>EXP(-LN(2)/25)*BQ133+(1-EXP(-LN(2)/25))/(LN(2)/25)*Calculateur!BL134*Calculateur!BN134*VLOOKUP('Données projet'!$B$11,Paramètres!$A$1:$I$88,3,0)*0.475*44/12</f>
        <v>0</v>
      </c>
      <c r="BR134" s="23">
        <f>EXP(-LN(2)/2)*BR133+(1-EXP(-LN(2)/2))/(LN(2)/2)*BL134*BO134*VLOOKUP('Données projet'!$B$11,Paramètres!$A$1:$I$88,3,0)*0.475*44/12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5.6843418860808015E-14</v>
      </c>
      <c r="BZ134" s="14">
        <f>BY134*VLOOKUP('Données projet'!$B$12,Paramètres!$A$1:$I$88,3,0)*VLOOKUP('Données projet'!$B$12,Paramètres!$A$1:$I$88,5,0)</f>
        <v>4.4337866711430253E-14</v>
      </c>
      <c r="CA134" s="14">
        <f t="shared" si="147"/>
        <v>7.3222115536967035E-13</v>
      </c>
      <c r="CB134" s="22">
        <f t="shared" si="118"/>
        <v>1.3525069634579169E-12</v>
      </c>
      <c r="CC134" s="62">
        <f t="shared" si="119"/>
        <v>293.33333333333468</v>
      </c>
      <c r="CD134" s="62">
        <f ca="1">AVERAGE(OFFSET($CC$3,0,0,'Données projet'!$E$12+1,1))-AVERAGE(OFFSET($H$3,0,0,'Données projet'!$E$12+1,1))</f>
        <v>217.32600829266818</v>
      </c>
      <c r="CE134" s="62">
        <f t="shared" si="148"/>
        <v>208.79744153433245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projet'!$B$12,Paramètres!$A$1:$I$88,7,0))</f>
        <v>0</v>
      </c>
      <c r="CI134" s="17">
        <f>IF(ISNA(VLOOKUP(A134,'Données projet'!$A$113:$I$133,6,0)),0%,VLOOKUP(A134,'Données projet'!$A$113:$I$133,6,0)*VLOOKUP('Données projet'!$B$12,Paramètres!$A$1:$I$88,7,0))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projet'!$B$12,Paramètres!$A$1:$I$88,3,0)*0.475*44/12</f>
        <v>0</v>
      </c>
      <c r="CL134" s="23">
        <f>EXP(-LN(2)/25)*CL133+(1-EXP(-LN(2)/25))/(LN(2)/25)*Calculateur!CG134*Calculateur!CI134*VLOOKUP('Données projet'!$B$12,Paramètres!$A$1:$I$88,3,0)*0.475*44/12</f>
        <v>0</v>
      </c>
      <c r="CM134" s="23">
        <f>EXP(-LN(2)/2)*CM133+(1-EXP(-LN(2)/2))/(LN(2)/2)*CG134*CJ134*VLOOKUP('Données projet'!$B$12,Paramètres!$A$1:$I$88,3,0)*0.475*44/12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-3.4106051316484809E-13</v>
      </c>
      <c r="CU134" s="18">
        <f>CT134*VLOOKUP('Données projet'!$B$13,Paramètres!$A$1:$I$88,3,0)*VLOOKUP('Données projet'!$B$13,Paramètres!$A$1:$I$88,5,0)</f>
        <v>-1.9065282685915009E-13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302.20483575440988</v>
      </c>
      <c r="CZ134" s="62">
        <f t="shared" si="150"/>
        <v>275.32862097158687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projet'!$B$13,Paramètres!$A$1:$I$88,7,0))</f>
        <v>0</v>
      </c>
      <c r="DD134" s="17">
        <f>IF(ISNA(VLOOKUP(A134,'Données projet'!$A$139:$I$159,6,0)),0%,VLOOKUP(A134,'Données projet'!$A$139:$I$159,6,0)*VLOOKUP('Données projet'!$B$13,Paramètres!$A$1:$I$88,7,0))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projet'!$B$13,Paramètres!$A$1:$I$88,3,0)*0.475*44/12</f>
        <v>0</v>
      </c>
      <c r="DG134" s="23">
        <f>EXP(-LN(2)/25)*DG133+(1-EXP(-LN(2)/25))/(LN(2)/25)*Calculateur!DB134*Calculateur!DD134*VLOOKUP('Données projet'!$B$13,Paramètres!$A$1:$I$88,3,0)*0.475*44/12</f>
        <v>0.84056990942505772</v>
      </c>
      <c r="DH134" s="23">
        <f>EXP(-LN(2)/2)*DH133+(1-EXP(-LN(2)/2))/(LN(2)/2)*DB134*DE134*VLOOKUP('Données projet'!$B$13,Paramètres!$A$1:$I$88,3,0)*0.475*44/12</f>
        <v>4.2586482560872517E-15</v>
      </c>
      <c r="DI134" s="24">
        <f t="shared" si="123"/>
        <v>0.84056990942506193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projet'!$B$14,Paramètres!$A$1:$I$88,3,0)*VLOOKUP('Données projet'!$B$14,Paramètres!$A$1:$I$88,5,0)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projet'!$B$14,Paramètres!$A$1:$I$88,7,0))</f>
        <v>0</v>
      </c>
      <c r="DY134" s="17">
        <f>IF(ISNA(VLOOKUP(A134,'Données projet'!$A$165:$I$185,6,0)),0%,VLOOKUP(A134,'Données projet'!$A$165:$I$185,6,0)*VLOOKUP('Données projet'!$B$14,Paramètres!$A$1:$I$88,7,0))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projet'!$B$14,Paramètres!$A$1:$I$88,3,0)*0.475*44/12</f>
        <v>#N/A</v>
      </c>
      <c r="EB134" s="23" t="e">
        <f>EXP(-LN(2)/25)*EB133+(1-EXP(-LN(2)/25))/(LN(2)/25)*Calculateur!DW134*Calculateur!DY134*VLOOKUP('Données projet'!$B$14,Paramètres!$A$1:$I$88,3,0)*0.475*44/12</f>
        <v>#N/A</v>
      </c>
      <c r="EC134" s="23" t="e">
        <f>EXP(-LN(2)/2)*EC133+(1-EXP(-LN(2)/2))/(LN(2)/2)*DW134*DZ134*VLOOKUP('Données projet'!$B$14,Paramètres!$A$1:$I$88,3,0)*0.475*44/12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projet'!$B$15,Paramètres!$A$1:$I$88,3,0)*VLOOKUP('Données projet'!$B$15,Paramètres!$A$1:$I$88,5,0)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projet'!$B$15,Paramètres!$A$1:$I$88,7,0))</f>
        <v>0</v>
      </c>
      <c r="ET134" s="17">
        <f>IF(ISNA(VLOOKUP(A134,'Données projet'!$A$191:$I$211,6,0)),0%,VLOOKUP(A134,'Données projet'!$A$191:$I$211,6,0)*VLOOKUP('Données projet'!$B$15,Paramètres!$A$1:$I$88,7,0))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projet'!$B$15,Paramètres!$A$1:$I$88,3,0)*0.475*44/12</f>
        <v>#N/A</v>
      </c>
      <c r="EW134" s="23" t="e">
        <f>EXP(-LN(2)/25)*EW133+(1-EXP(-LN(2)/25))/(LN(2)/25)*Calculateur!ER134*Calculateur!ET134*VLOOKUP('Données projet'!$B$15,Paramètres!$A$1:$I$88,3,0)*0.475*44/12</f>
        <v>#N/A</v>
      </c>
      <c r="EX134" s="23" t="e">
        <f>EXP(-LN(2)/2)*EX133+(1-EXP(-LN(2)/2))/(LN(2)/2)*ER134*EU134*VLOOKUP('Données projet'!$B$15,Paramètres!$A$1:$I$88,3,0)*0.475*44/12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projet'!$B$16,Paramètres!$A$1:$I$88,3,0)*VLOOKUP('Données projet'!$B$16,Paramètres!$A$1:$I$88,5,0)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projet'!$B$16,Paramètres!$A$1:$I$88,7,0))</f>
        <v>0</v>
      </c>
      <c r="FO134" s="17">
        <f>IF(ISNA(VLOOKUP(A134,'Données projet'!$A$217:$I$237,6,0)),0%,VLOOKUP(A134,'Données projet'!$A$217:$I$237,6,0)*VLOOKUP('Données projet'!$B$16,Paramètres!$A$1:$I$88,7,0))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projet'!$B$16,Paramètres!$A$1:$I$88,3,0)*0.475*44/12</f>
        <v>#N/A</v>
      </c>
      <c r="FR134" s="23" t="e">
        <f>EXP(-LN(2)/25)*FR133+(1-EXP(-LN(2)/25))/(LN(2)/25)*Calculateur!FM134*Calculateur!FO134*VLOOKUP('Données projet'!$B$16,Paramètres!$A$1:$I$88,3,0)*0.475*44/12</f>
        <v>#N/A</v>
      </c>
      <c r="FS134" s="23" t="e">
        <f>EXP(-LN(2)/2)*FS133+(1-EXP(-LN(2)/2))/(LN(2)/2)*FM134*FP134*VLOOKUP('Données projet'!$B$16,Paramètres!$A$1:$I$88,3,0)*0.475*44/12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projet'!$B$17,Paramètres!$A$1:$I$88,3,0)*VLOOKUP('Données projet'!$B$17,Paramètres!$A$1:$I$88,5,0)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projet'!$B$17,Paramètres!$A$1:$I$88,7,0))</f>
        <v>0</v>
      </c>
      <c r="GJ134" s="17">
        <f>IF(ISNA(VLOOKUP(A134,'Données projet'!$A$243:$I$263,6,0)),0%,VLOOKUP(A134,'Données projet'!$A$243:$I$263,6,0)*VLOOKUP('Données projet'!$B$17,Paramètres!$A$1:$I$88,7,0))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projet'!$B$17,Paramètres!$A$1:$I$88,3,0)*0.475*44/12</f>
        <v>#N/A</v>
      </c>
      <c r="GM134" s="23" t="e">
        <f>EXP(-LN(2)/25)*GM133+(1-EXP(-LN(2)/25))/(LN(2)/25)*Calculateur!GH134*Calculateur!GJ134*VLOOKUP('Données projet'!$B$17,Paramètres!$A$1:$I$88,3,0)*0.475*44/12</f>
        <v>#N/A</v>
      </c>
      <c r="GN134" s="23" t="e">
        <f>EXP(-LN(2)/2)*GN133+(1-EXP(-LN(2)/2))/(LN(2)/2)*GH134*GK134*VLOOKUP('Données projet'!$B$17,Paramètres!$A$1:$I$88,3,0)*0.475*44/12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projet'!$B$18,Paramètres!$A$1:$I$88,3,0)*VLOOKUP('Données projet'!$B$18,Paramètres!$A$1:$I$88,5,0)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projet'!$B$18,Paramètres!$A$1:$I$88,7,0))</f>
        <v>0</v>
      </c>
      <c r="HE134" s="17">
        <f>IF(ISNA(VLOOKUP(A134,'Données projet'!$A$269:$I$289,6,0)),0%,VLOOKUP(A134,'Données projet'!$A$269:$I$289,6,0)*VLOOKUP('Données projet'!$B$18,Paramètres!$A$1:$I$88,7,0))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projet'!$B$18,Paramètres!$A$1:$I$88,3,0)*0.475*44/12</f>
        <v>#N/A</v>
      </c>
      <c r="HH134" s="23" t="e">
        <f>EXP(-LN(2)/25)*HH133+(1-EXP(-LN(2)/25))/(LN(2)/25)*Calculateur!HC134*Calculateur!HE134*VLOOKUP('Données projet'!$B$18,Paramètres!$A$1:$I$88,3,0)*0.475*44/12</f>
        <v>#N/A</v>
      </c>
      <c r="HI134" s="23" t="e">
        <f>EXP(-LN(2)/2)*HI133+(1-EXP(-LN(2)/2))/(LN(2)/2)*HC134*HF134*VLOOKUP('Données projet'!$B$18,Paramètres!$A$1:$I$88,3,0)*0.475*44/12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projet'!$B$9,Paramètres!$A$1:$I$88,3,0)*VLOOKUP('Données projet'!$B$9,Paramètres!$A$1:$I$88,5,0)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175.05987582828078</v>
      </c>
      <c r="T135" s="62">
        <f t="shared" si="142"/>
        <v>268.54782308462387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projet'!$B$9,Paramètres!$A$1:$I$88,7,0))</f>
        <v>0</v>
      </c>
      <c r="X135" s="17">
        <f>IF(ISNA(VLOOKUP(A135,'Données projet'!$A$35:$I$55,6,0)),0%,VLOOKUP(A135,'Données projet'!$A$35:$I$55,6,0)*VLOOKUP('Données projet'!$B$9,Paramètres!$A$1:$I$88,7,0))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projet'!$B$9,Paramètres!$A$1:$I$88,3,0)*0.475*44/12</f>
        <v>0</v>
      </c>
      <c r="AA135" s="23">
        <f>EXP(-LN(2)/25)*AA134+(1-EXP(-LN(2)/25))/(LN(2)/25)*Calculateur!V135*Calculateur!X135*VLOOKUP('Données projet'!$B$9,Paramètres!$A$1:$I$88,3,0)*0.475*44/12</f>
        <v>0.6087570000343675</v>
      </c>
      <c r="AB135" s="23">
        <f>EXP(-LN(2)/2)*AB134+(1-EXP(-LN(2)/2))/(LN(2)/2)*V135*Y135*VLOOKUP('Données projet'!$B$9,Paramètres!$A$1:$I$88,3,0)*0.475*44/12</f>
        <v>7.3358296686118146E-15</v>
      </c>
      <c r="AC135" s="24">
        <f t="shared" si="111"/>
        <v>0.60875700003437483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9</v>
      </c>
      <c r="AI135" s="14">
        <f>IF('Données projet'!$A$62&gt;35,AI134+AH135-AQ134,IF(A135&lt;'Données projet'!$A$62,$AF$205^A135,IF(A135='Données projet'!$A$62,'Données projet'!$B$62,AI134+AH135-AQ134)))</f>
        <v>987.99999999999898</v>
      </c>
      <c r="AJ135" s="14">
        <f>AI135*VLOOKUP('Données projet'!$B$10,Paramètres!$A$1:$I$88,3,0)*VLOOKUP('Données projet'!$B$10,Paramètres!$A$1:$I$88,5,0)</f>
        <v>475.2279999999995</v>
      </c>
      <c r="AK135" s="14">
        <f t="shared" si="143"/>
        <v>106.87169332047816</v>
      </c>
      <c r="AL135" s="22">
        <f t="shared" si="112"/>
        <v>1013.8236325331651</v>
      </c>
      <c r="AM135" s="62">
        <f t="shared" si="113"/>
        <v>1307.1569658664985</v>
      </c>
      <c r="AN135" s="62">
        <f ca="1">AVERAGE(OFFSET($AM$3,0,0,'Données projet'!$E$10+1,1))-AVERAGE(OFFSET($H$3,0,0,'Données projet'!$E$10+1,1))</f>
        <v>576.61210817354549</v>
      </c>
      <c r="AO135" s="62">
        <f t="shared" si="144"/>
        <v>343.9428747444544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projet'!$B$10,Paramètres!$A$1:$I$88,7,0))</f>
        <v>0</v>
      </c>
      <c r="AS135" s="17">
        <f>IF(ISNA(VLOOKUP(A135,'Données projet'!$A$61:$I$81,6,0)),0%,VLOOKUP(A135,'Données projet'!$A$61:$I$81,6,0)*VLOOKUP('Données projet'!$B$10,Paramètres!$A$1:$I$88,7,0))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projet'!$B$10,Paramètres!$A$1:$I$88,3,0)*0.475*44/12</f>
        <v>0</v>
      </c>
      <c r="AV135" s="23">
        <f>EXP(-LN(2)/25)*AV134+(1-EXP(-LN(2)/25))/(LN(2)/25)*Calculateur!AQ135*Calculateur!AS135*VLOOKUP('Données projet'!$B$10,Paramètres!$A$1:$I$88,3,0)*0.475*44/12</f>
        <v>0.33483850668787118</v>
      </c>
      <c r="AW135" s="23">
        <f>EXP(-LN(2)/2)*AW134+(1-EXP(-LN(2)/2))/(LN(2)/2)*AQ135*AT135*VLOOKUP('Données projet'!$B$10,Paramètres!$A$1:$I$88,3,0)*0.475*44/12</f>
        <v>5.2240170759802912E-15</v>
      </c>
      <c r="AX135" s="23">
        <f t="shared" si="114"/>
        <v>0.3348385066878764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-5.6843418860808015E-14</v>
      </c>
      <c r="BE135" s="14">
        <f>BD135*VLOOKUP('Données projet'!$B$11,Paramètres!$A$1:$I$88,3,0)*VLOOKUP('Données projet'!$B$11,Paramètres!$A$1:$I$88,5,0)</f>
        <v>-4.5224624045658861E-14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298.38448036212861</v>
      </c>
      <c r="BJ135" s="62">
        <f t="shared" si="146"/>
        <v>270.4445531106897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projet'!$B$11,Paramètres!$A$1:$I$88,7,0))</f>
        <v>0</v>
      </c>
      <c r="BN135" s="17">
        <f>IF(ISNA(VLOOKUP(A135,'Données projet'!$A$87:$I$107,6,0)),0%,VLOOKUP(A135,'Données projet'!$A$87:$I$107,6,0)*VLOOKUP('Données projet'!$B$11,Paramètres!$A$1:$I$88,7,0))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projet'!$B$11,Paramètres!$A$1:$I$88,3,0)*0.475*44/12</f>
        <v>0</v>
      </c>
      <c r="BQ135" s="23">
        <f>EXP(-LN(2)/25)*BQ134+(1-EXP(-LN(2)/25))/(LN(2)/25)*Calculateur!BL135*Calculateur!BN135*VLOOKUP('Données projet'!$B$11,Paramètres!$A$1:$I$88,3,0)*0.475*44/12</f>
        <v>0</v>
      </c>
      <c r="BR135" s="23">
        <f>EXP(-LN(2)/2)*BR134+(1-EXP(-LN(2)/2))/(LN(2)/2)*BL135*BO135*VLOOKUP('Données projet'!$B$11,Paramètres!$A$1:$I$88,3,0)*0.475*44/12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5.6843418860808015E-14</v>
      </c>
      <c r="BZ135" s="14">
        <f>BY135*VLOOKUP('Données projet'!$B$12,Paramètres!$A$1:$I$88,3,0)*VLOOKUP('Données projet'!$B$12,Paramètres!$A$1:$I$88,5,0)</f>
        <v>4.4337866711430253E-14</v>
      </c>
      <c r="CA135" s="14">
        <f t="shared" si="147"/>
        <v>7.3222115536967035E-13</v>
      </c>
      <c r="CB135" s="22">
        <f t="shared" si="118"/>
        <v>1.3525069634579169E-12</v>
      </c>
      <c r="CC135" s="62">
        <f t="shared" si="119"/>
        <v>293.33333333333468</v>
      </c>
      <c r="CD135" s="62">
        <f ca="1">AVERAGE(OFFSET($CC$3,0,0,'Données projet'!$E$12+1,1))-AVERAGE(OFFSET($H$3,0,0,'Données projet'!$E$12+1,1))</f>
        <v>217.32600829266818</v>
      </c>
      <c r="CE135" s="62">
        <f t="shared" si="148"/>
        <v>208.79744153433245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projet'!$B$12,Paramètres!$A$1:$I$88,7,0))</f>
        <v>0</v>
      </c>
      <c r="CI135" s="17">
        <f>IF(ISNA(VLOOKUP(A135,'Données projet'!$A$113:$I$133,6,0)),0%,VLOOKUP(A135,'Données projet'!$A$113:$I$133,6,0)*VLOOKUP('Données projet'!$B$12,Paramètres!$A$1:$I$88,7,0))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projet'!$B$12,Paramètres!$A$1:$I$88,3,0)*0.475*44/12</f>
        <v>0</v>
      </c>
      <c r="CL135" s="23">
        <f>EXP(-LN(2)/25)*CL134+(1-EXP(-LN(2)/25))/(LN(2)/25)*Calculateur!CG135*Calculateur!CI135*VLOOKUP('Données projet'!$B$12,Paramètres!$A$1:$I$88,3,0)*0.475*44/12</f>
        <v>0</v>
      </c>
      <c r="CM135" s="23">
        <f>EXP(-LN(2)/2)*CM134+(1-EXP(-LN(2)/2))/(LN(2)/2)*CG135*CJ135*VLOOKUP('Données projet'!$B$12,Paramètres!$A$1:$I$88,3,0)*0.475*44/12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-3.4106051316484809E-13</v>
      </c>
      <c r="CU135" s="18">
        <f>CT135*VLOOKUP('Données projet'!$B$13,Paramètres!$A$1:$I$88,3,0)*VLOOKUP('Données projet'!$B$13,Paramètres!$A$1:$I$88,5,0)</f>
        <v>-1.9065282685915009E-13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302.20483575440988</v>
      </c>
      <c r="CZ135" s="62">
        <f t="shared" si="150"/>
        <v>275.32862097158687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projet'!$B$13,Paramètres!$A$1:$I$88,7,0))</f>
        <v>0</v>
      </c>
      <c r="DD135" s="17">
        <f>IF(ISNA(VLOOKUP(A135,'Données projet'!$A$139:$I$159,6,0)),0%,VLOOKUP(A135,'Données projet'!$A$139:$I$159,6,0)*VLOOKUP('Données projet'!$B$13,Paramètres!$A$1:$I$88,7,0))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projet'!$B$13,Paramètres!$A$1:$I$88,3,0)*0.475*44/12</f>
        <v>0</v>
      </c>
      <c r="DG135" s="23">
        <f>EXP(-LN(2)/25)*DG134+(1-EXP(-LN(2)/25))/(LN(2)/25)*Calculateur!DB135*Calculateur!DD135*VLOOKUP('Données projet'!$B$13,Paramètres!$A$1:$I$88,3,0)*0.475*44/12</f>
        <v>0.81758448104817916</v>
      </c>
      <c r="DH135" s="23">
        <f>EXP(-LN(2)/2)*DH134+(1-EXP(-LN(2)/2))/(LN(2)/2)*DB135*DE135*VLOOKUP('Données projet'!$B$13,Paramètres!$A$1:$I$88,3,0)*0.475*44/12</f>
        <v>3.0113190605675605E-15</v>
      </c>
      <c r="DI135" s="24">
        <f t="shared" si="123"/>
        <v>0.81758448104818215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projet'!$B$14,Paramètres!$A$1:$I$88,3,0)*VLOOKUP('Données projet'!$B$14,Paramètres!$A$1:$I$88,5,0)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projet'!$B$14,Paramètres!$A$1:$I$88,7,0))</f>
        <v>0</v>
      </c>
      <c r="DY135" s="17">
        <f>IF(ISNA(VLOOKUP(A135,'Données projet'!$A$165:$I$185,6,0)),0%,VLOOKUP(A135,'Données projet'!$A$165:$I$185,6,0)*VLOOKUP('Données projet'!$B$14,Paramètres!$A$1:$I$88,7,0))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projet'!$B$14,Paramètres!$A$1:$I$88,3,0)*0.475*44/12</f>
        <v>#N/A</v>
      </c>
      <c r="EB135" s="23" t="e">
        <f>EXP(-LN(2)/25)*EB134+(1-EXP(-LN(2)/25))/(LN(2)/25)*Calculateur!DW135*Calculateur!DY135*VLOOKUP('Données projet'!$B$14,Paramètres!$A$1:$I$88,3,0)*0.475*44/12</f>
        <v>#N/A</v>
      </c>
      <c r="EC135" s="23" t="e">
        <f>EXP(-LN(2)/2)*EC134+(1-EXP(-LN(2)/2))/(LN(2)/2)*DW135*DZ135*VLOOKUP('Données projet'!$B$14,Paramètres!$A$1:$I$88,3,0)*0.475*44/12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projet'!$B$15,Paramètres!$A$1:$I$88,3,0)*VLOOKUP('Données projet'!$B$15,Paramètres!$A$1:$I$88,5,0)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projet'!$B$15,Paramètres!$A$1:$I$88,7,0))</f>
        <v>0</v>
      </c>
      <c r="ET135" s="17">
        <f>IF(ISNA(VLOOKUP(A135,'Données projet'!$A$191:$I$211,6,0)),0%,VLOOKUP(A135,'Données projet'!$A$191:$I$211,6,0)*VLOOKUP('Données projet'!$B$15,Paramètres!$A$1:$I$88,7,0))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projet'!$B$15,Paramètres!$A$1:$I$88,3,0)*0.475*44/12</f>
        <v>#N/A</v>
      </c>
      <c r="EW135" s="23" t="e">
        <f>EXP(-LN(2)/25)*EW134+(1-EXP(-LN(2)/25))/(LN(2)/25)*Calculateur!ER135*Calculateur!ET135*VLOOKUP('Données projet'!$B$15,Paramètres!$A$1:$I$88,3,0)*0.475*44/12</f>
        <v>#N/A</v>
      </c>
      <c r="EX135" s="23" t="e">
        <f>EXP(-LN(2)/2)*EX134+(1-EXP(-LN(2)/2))/(LN(2)/2)*ER135*EU135*VLOOKUP('Données projet'!$B$15,Paramètres!$A$1:$I$88,3,0)*0.475*44/12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projet'!$B$16,Paramètres!$A$1:$I$88,3,0)*VLOOKUP('Données projet'!$B$16,Paramètres!$A$1:$I$88,5,0)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projet'!$B$16,Paramètres!$A$1:$I$88,7,0))</f>
        <v>0</v>
      </c>
      <c r="FO135" s="17">
        <f>IF(ISNA(VLOOKUP(A135,'Données projet'!$A$217:$I$237,6,0)),0%,VLOOKUP(A135,'Données projet'!$A$217:$I$237,6,0)*VLOOKUP('Données projet'!$B$16,Paramètres!$A$1:$I$88,7,0))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projet'!$B$16,Paramètres!$A$1:$I$88,3,0)*0.475*44/12</f>
        <v>#N/A</v>
      </c>
      <c r="FR135" s="23" t="e">
        <f>EXP(-LN(2)/25)*FR134+(1-EXP(-LN(2)/25))/(LN(2)/25)*Calculateur!FM135*Calculateur!FO135*VLOOKUP('Données projet'!$B$16,Paramètres!$A$1:$I$88,3,0)*0.475*44/12</f>
        <v>#N/A</v>
      </c>
      <c r="FS135" s="23" t="e">
        <f>EXP(-LN(2)/2)*FS134+(1-EXP(-LN(2)/2))/(LN(2)/2)*FM135*FP135*VLOOKUP('Données projet'!$B$16,Paramètres!$A$1:$I$88,3,0)*0.475*44/12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projet'!$B$17,Paramètres!$A$1:$I$88,3,0)*VLOOKUP('Données projet'!$B$17,Paramètres!$A$1:$I$88,5,0)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projet'!$B$17,Paramètres!$A$1:$I$88,7,0))</f>
        <v>0</v>
      </c>
      <c r="GJ135" s="17">
        <f>IF(ISNA(VLOOKUP(A135,'Données projet'!$A$243:$I$263,6,0)),0%,VLOOKUP(A135,'Données projet'!$A$243:$I$263,6,0)*VLOOKUP('Données projet'!$B$17,Paramètres!$A$1:$I$88,7,0))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projet'!$B$17,Paramètres!$A$1:$I$88,3,0)*0.475*44/12</f>
        <v>#N/A</v>
      </c>
      <c r="GM135" s="23" t="e">
        <f>EXP(-LN(2)/25)*GM134+(1-EXP(-LN(2)/25))/(LN(2)/25)*Calculateur!GH135*Calculateur!GJ135*VLOOKUP('Données projet'!$B$17,Paramètres!$A$1:$I$88,3,0)*0.475*44/12</f>
        <v>#N/A</v>
      </c>
      <c r="GN135" s="23" t="e">
        <f>EXP(-LN(2)/2)*GN134+(1-EXP(-LN(2)/2))/(LN(2)/2)*GH135*GK135*VLOOKUP('Données projet'!$B$17,Paramètres!$A$1:$I$88,3,0)*0.475*44/12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projet'!$B$18,Paramètres!$A$1:$I$88,3,0)*VLOOKUP('Données projet'!$B$18,Paramètres!$A$1:$I$88,5,0)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projet'!$B$18,Paramètres!$A$1:$I$88,7,0))</f>
        <v>0</v>
      </c>
      <c r="HE135" s="17">
        <f>IF(ISNA(VLOOKUP(A135,'Données projet'!$A$269:$I$289,6,0)),0%,VLOOKUP(A135,'Données projet'!$A$269:$I$289,6,0)*VLOOKUP('Données projet'!$B$18,Paramètres!$A$1:$I$88,7,0))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projet'!$B$18,Paramètres!$A$1:$I$88,3,0)*0.475*44/12</f>
        <v>#N/A</v>
      </c>
      <c r="HH135" s="23" t="e">
        <f>EXP(-LN(2)/25)*HH134+(1-EXP(-LN(2)/25))/(LN(2)/25)*Calculateur!HC135*Calculateur!HE135*VLOOKUP('Données projet'!$B$18,Paramètres!$A$1:$I$88,3,0)*0.475*44/12</f>
        <v>#N/A</v>
      </c>
      <c r="HI135" s="23" t="e">
        <f>EXP(-LN(2)/2)*HI134+(1-EXP(-LN(2)/2))/(LN(2)/2)*HC135*HF135*VLOOKUP('Données projet'!$B$18,Paramètres!$A$1:$I$88,3,0)*0.475*44/12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projet'!$B$9,Paramètres!$A$1:$I$88,3,0)*VLOOKUP('Données projet'!$B$9,Paramètres!$A$1:$I$88,5,0)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175.05987582828078</v>
      </c>
      <c r="T136" s="62">
        <f t="shared" si="142"/>
        <v>268.54782308462387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projet'!$B$9,Paramètres!$A$1:$I$88,7,0))</f>
        <v>0</v>
      </c>
      <c r="X136" s="17">
        <f>IF(ISNA(VLOOKUP(A136,'Données projet'!$A$35:$I$55,6,0)),0%,VLOOKUP(A136,'Données projet'!$A$35:$I$55,6,0)*VLOOKUP('Données projet'!$B$9,Paramètres!$A$1:$I$88,7,0))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projet'!$B$9,Paramètres!$A$1:$I$88,3,0)*0.475*44/12</f>
        <v>0</v>
      </c>
      <c r="AA136" s="23">
        <f>EXP(-LN(2)/25)*AA135+(1-EXP(-LN(2)/25))/(LN(2)/25)*Calculateur!V136*Calculateur!X136*VLOOKUP('Données projet'!$B$9,Paramètres!$A$1:$I$88,3,0)*0.475*44/12</f>
        <v>0.5921105078552884</v>
      </c>
      <c r="AB136" s="23">
        <f>EXP(-LN(2)/2)*AB135+(1-EXP(-LN(2)/2))/(LN(2)/2)*V136*Y136*VLOOKUP('Données projet'!$B$9,Paramètres!$A$1:$I$88,3,0)*0.475*44/12</f>
        <v>5.1872149043048779E-15</v>
      </c>
      <c r="AC136" s="24">
        <f t="shared" si="111"/>
        <v>0.59211050785529362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9</v>
      </c>
      <c r="AI136" s="14">
        <f>IF('Données projet'!$A$62&gt;35,AI135+AH136-AQ135,IF(A136&lt;'Données projet'!$A$62,$AF$205^A136,IF(A136='Données projet'!$A$62,'Données projet'!$B$62,AI135+AH136-AQ135)))</f>
        <v>996.99999999999898</v>
      </c>
      <c r="AJ136" s="14">
        <f>AI136*VLOOKUP('Données projet'!$B$10,Paramètres!$A$1:$I$88,3,0)*VLOOKUP('Données projet'!$B$10,Paramètres!$A$1:$I$88,5,0)</f>
        <v>479.55699999999956</v>
      </c>
      <c r="AK136" s="14">
        <f t="shared" si="143"/>
        <v>107.73144777046849</v>
      </c>
      <c r="AL136" s="22">
        <f t="shared" si="112"/>
        <v>1022.860713200232</v>
      </c>
      <c r="AM136" s="62">
        <f t="shared" si="113"/>
        <v>1316.1940465335654</v>
      </c>
      <c r="AN136" s="62">
        <f ca="1">AVERAGE(OFFSET($AM$3,0,0,'Données projet'!$E$10+1,1))-AVERAGE(OFFSET($H$3,0,0,'Données projet'!$E$10+1,1))</f>
        <v>576.61210817354549</v>
      </c>
      <c r="AO136" s="62">
        <f t="shared" si="144"/>
        <v>343.9428747444544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projet'!$B$10,Paramètres!$A$1:$I$88,7,0))</f>
        <v>0</v>
      </c>
      <c r="AS136" s="17">
        <f>IF(ISNA(VLOOKUP(A136,'Données projet'!$A$61:$I$81,6,0)),0%,VLOOKUP(A136,'Données projet'!$A$61:$I$81,6,0)*VLOOKUP('Données projet'!$B$10,Paramètres!$A$1:$I$88,7,0))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projet'!$B$10,Paramètres!$A$1:$I$88,3,0)*0.475*44/12</f>
        <v>0</v>
      </c>
      <c r="AV136" s="23">
        <f>EXP(-LN(2)/25)*AV135+(1-EXP(-LN(2)/25))/(LN(2)/25)*Calculateur!AQ136*Calculateur!AS136*VLOOKUP('Données projet'!$B$10,Paramètres!$A$1:$I$88,3,0)*0.475*44/12</f>
        <v>0.32568233011409958</v>
      </c>
      <c r="AW136" s="23">
        <f>EXP(-LN(2)/2)*AW135+(1-EXP(-LN(2)/2))/(LN(2)/2)*AQ136*AT136*VLOOKUP('Données projet'!$B$10,Paramètres!$A$1:$I$88,3,0)*0.475*44/12</f>
        <v>3.6939378994599835E-15</v>
      </c>
      <c r="AX136" s="23">
        <f t="shared" si="114"/>
        <v>0.3256823301141033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-5.6843418860808015E-14</v>
      </c>
      <c r="BE136" s="14">
        <f>BD136*VLOOKUP('Données projet'!$B$11,Paramètres!$A$1:$I$88,3,0)*VLOOKUP('Données projet'!$B$11,Paramètres!$A$1:$I$88,5,0)</f>
        <v>-4.5224624045658861E-14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298.38448036212861</v>
      </c>
      <c r="BJ136" s="62">
        <f t="shared" si="146"/>
        <v>270.4445531106897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projet'!$B$11,Paramètres!$A$1:$I$88,7,0))</f>
        <v>0</v>
      </c>
      <c r="BN136" s="17">
        <f>IF(ISNA(VLOOKUP(A136,'Données projet'!$A$87:$I$107,6,0)),0%,VLOOKUP(A136,'Données projet'!$A$87:$I$107,6,0)*VLOOKUP('Données projet'!$B$11,Paramètres!$A$1:$I$88,7,0))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projet'!$B$11,Paramètres!$A$1:$I$88,3,0)*0.475*44/12</f>
        <v>0</v>
      </c>
      <c r="BQ136" s="23">
        <f>EXP(-LN(2)/25)*BQ135+(1-EXP(-LN(2)/25))/(LN(2)/25)*Calculateur!BL136*Calculateur!BN136*VLOOKUP('Données projet'!$B$11,Paramètres!$A$1:$I$88,3,0)*0.475*44/12</f>
        <v>0</v>
      </c>
      <c r="BR136" s="23">
        <f>EXP(-LN(2)/2)*BR135+(1-EXP(-LN(2)/2))/(LN(2)/2)*BL136*BO136*VLOOKUP('Données projet'!$B$11,Paramètres!$A$1:$I$88,3,0)*0.475*44/12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5.6843418860808015E-14</v>
      </c>
      <c r="BZ136" s="14">
        <f>BY136*VLOOKUP('Données projet'!$B$12,Paramètres!$A$1:$I$88,3,0)*VLOOKUP('Données projet'!$B$12,Paramètres!$A$1:$I$88,5,0)</f>
        <v>4.4337866711430253E-14</v>
      </c>
      <c r="CA136" s="14">
        <f t="shared" si="147"/>
        <v>7.3222115536967035E-13</v>
      </c>
      <c r="CB136" s="22">
        <f t="shared" si="118"/>
        <v>1.3525069634579169E-12</v>
      </c>
      <c r="CC136" s="62">
        <f t="shared" si="119"/>
        <v>293.33333333333468</v>
      </c>
      <c r="CD136" s="62">
        <f ca="1">AVERAGE(OFFSET($CC$3,0,0,'Données projet'!$E$12+1,1))-AVERAGE(OFFSET($H$3,0,0,'Données projet'!$E$12+1,1))</f>
        <v>217.32600829266818</v>
      </c>
      <c r="CE136" s="62">
        <f t="shared" si="148"/>
        <v>208.79744153433245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projet'!$B$12,Paramètres!$A$1:$I$88,7,0))</f>
        <v>0</v>
      </c>
      <c r="CI136" s="17">
        <f>IF(ISNA(VLOOKUP(A136,'Données projet'!$A$113:$I$133,6,0)),0%,VLOOKUP(A136,'Données projet'!$A$113:$I$133,6,0)*VLOOKUP('Données projet'!$B$12,Paramètres!$A$1:$I$88,7,0))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projet'!$B$12,Paramètres!$A$1:$I$88,3,0)*0.475*44/12</f>
        <v>0</v>
      </c>
      <c r="CL136" s="23">
        <f>EXP(-LN(2)/25)*CL135+(1-EXP(-LN(2)/25))/(LN(2)/25)*Calculateur!CG136*Calculateur!CI136*VLOOKUP('Données projet'!$B$12,Paramètres!$A$1:$I$88,3,0)*0.475*44/12</f>
        <v>0</v>
      </c>
      <c r="CM136" s="23">
        <f>EXP(-LN(2)/2)*CM135+(1-EXP(-LN(2)/2))/(LN(2)/2)*CG136*CJ136*VLOOKUP('Données projet'!$B$12,Paramètres!$A$1:$I$88,3,0)*0.475*44/12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-3.4106051316484809E-13</v>
      </c>
      <c r="CU136" s="18">
        <f>CT136*VLOOKUP('Données projet'!$B$13,Paramètres!$A$1:$I$88,3,0)*VLOOKUP('Données projet'!$B$13,Paramètres!$A$1:$I$88,5,0)</f>
        <v>-1.9065282685915009E-13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302.20483575440988</v>
      </c>
      <c r="CZ136" s="62">
        <f t="shared" si="150"/>
        <v>275.32862097158687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projet'!$B$13,Paramètres!$A$1:$I$88,7,0))</f>
        <v>0</v>
      </c>
      <c r="DD136" s="17">
        <f>IF(ISNA(VLOOKUP(A136,'Données projet'!$A$139:$I$159,6,0)),0%,VLOOKUP(A136,'Données projet'!$A$139:$I$159,6,0)*VLOOKUP('Données projet'!$B$13,Paramètres!$A$1:$I$88,7,0))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projet'!$B$13,Paramètres!$A$1:$I$88,3,0)*0.475*44/12</f>
        <v>0</v>
      </c>
      <c r="DG136" s="23">
        <f>EXP(-LN(2)/25)*DG135+(1-EXP(-LN(2)/25))/(LN(2)/25)*Calculateur!DB136*Calculateur!DD136*VLOOKUP('Données projet'!$B$13,Paramètres!$A$1:$I$88,3,0)*0.475*44/12</f>
        <v>0.79522759041901747</v>
      </c>
      <c r="DH136" s="23">
        <f>EXP(-LN(2)/2)*DH135+(1-EXP(-LN(2)/2))/(LN(2)/2)*DB136*DE136*VLOOKUP('Données projet'!$B$13,Paramètres!$A$1:$I$88,3,0)*0.475*44/12</f>
        <v>2.1293241280436258E-15</v>
      </c>
      <c r="DI136" s="24">
        <f t="shared" si="123"/>
        <v>0.79522759041901958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projet'!$B$14,Paramètres!$A$1:$I$88,3,0)*VLOOKUP('Données projet'!$B$14,Paramètres!$A$1:$I$88,5,0)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projet'!$B$14,Paramètres!$A$1:$I$88,7,0))</f>
        <v>0</v>
      </c>
      <c r="DY136" s="17">
        <f>IF(ISNA(VLOOKUP(A136,'Données projet'!$A$165:$I$185,6,0)),0%,VLOOKUP(A136,'Données projet'!$A$165:$I$185,6,0)*VLOOKUP('Données projet'!$B$14,Paramètres!$A$1:$I$88,7,0))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projet'!$B$14,Paramètres!$A$1:$I$88,3,0)*0.475*44/12</f>
        <v>#N/A</v>
      </c>
      <c r="EB136" s="23" t="e">
        <f>EXP(-LN(2)/25)*EB135+(1-EXP(-LN(2)/25))/(LN(2)/25)*Calculateur!DW136*Calculateur!DY136*VLOOKUP('Données projet'!$B$14,Paramètres!$A$1:$I$88,3,0)*0.475*44/12</f>
        <v>#N/A</v>
      </c>
      <c r="EC136" s="23" t="e">
        <f>EXP(-LN(2)/2)*EC135+(1-EXP(-LN(2)/2))/(LN(2)/2)*DW136*DZ136*VLOOKUP('Données projet'!$B$14,Paramètres!$A$1:$I$88,3,0)*0.475*44/12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projet'!$B$15,Paramètres!$A$1:$I$88,3,0)*VLOOKUP('Données projet'!$B$15,Paramètres!$A$1:$I$88,5,0)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projet'!$B$15,Paramètres!$A$1:$I$88,7,0))</f>
        <v>0</v>
      </c>
      <c r="ET136" s="17">
        <f>IF(ISNA(VLOOKUP(A136,'Données projet'!$A$191:$I$211,6,0)),0%,VLOOKUP(A136,'Données projet'!$A$191:$I$211,6,0)*VLOOKUP('Données projet'!$B$15,Paramètres!$A$1:$I$88,7,0))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projet'!$B$15,Paramètres!$A$1:$I$88,3,0)*0.475*44/12</f>
        <v>#N/A</v>
      </c>
      <c r="EW136" s="23" t="e">
        <f>EXP(-LN(2)/25)*EW135+(1-EXP(-LN(2)/25))/(LN(2)/25)*Calculateur!ER136*Calculateur!ET136*VLOOKUP('Données projet'!$B$15,Paramètres!$A$1:$I$88,3,0)*0.475*44/12</f>
        <v>#N/A</v>
      </c>
      <c r="EX136" s="23" t="e">
        <f>EXP(-LN(2)/2)*EX135+(1-EXP(-LN(2)/2))/(LN(2)/2)*ER136*EU136*VLOOKUP('Données projet'!$B$15,Paramètres!$A$1:$I$88,3,0)*0.475*44/12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projet'!$B$16,Paramètres!$A$1:$I$88,3,0)*VLOOKUP('Données projet'!$B$16,Paramètres!$A$1:$I$88,5,0)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projet'!$B$16,Paramètres!$A$1:$I$88,7,0))</f>
        <v>0</v>
      </c>
      <c r="FO136" s="17">
        <f>IF(ISNA(VLOOKUP(A136,'Données projet'!$A$217:$I$237,6,0)),0%,VLOOKUP(A136,'Données projet'!$A$217:$I$237,6,0)*VLOOKUP('Données projet'!$B$16,Paramètres!$A$1:$I$88,7,0))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projet'!$B$16,Paramètres!$A$1:$I$88,3,0)*0.475*44/12</f>
        <v>#N/A</v>
      </c>
      <c r="FR136" s="23" t="e">
        <f>EXP(-LN(2)/25)*FR135+(1-EXP(-LN(2)/25))/(LN(2)/25)*Calculateur!FM136*Calculateur!FO136*VLOOKUP('Données projet'!$B$16,Paramètres!$A$1:$I$88,3,0)*0.475*44/12</f>
        <v>#N/A</v>
      </c>
      <c r="FS136" s="23" t="e">
        <f>EXP(-LN(2)/2)*FS135+(1-EXP(-LN(2)/2))/(LN(2)/2)*FM136*FP136*VLOOKUP('Données projet'!$B$16,Paramètres!$A$1:$I$88,3,0)*0.475*44/12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projet'!$B$17,Paramètres!$A$1:$I$88,3,0)*VLOOKUP('Données projet'!$B$17,Paramètres!$A$1:$I$88,5,0)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projet'!$B$17,Paramètres!$A$1:$I$88,7,0))</f>
        <v>0</v>
      </c>
      <c r="GJ136" s="17">
        <f>IF(ISNA(VLOOKUP(A136,'Données projet'!$A$243:$I$263,6,0)),0%,VLOOKUP(A136,'Données projet'!$A$243:$I$263,6,0)*VLOOKUP('Données projet'!$B$17,Paramètres!$A$1:$I$88,7,0))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projet'!$B$17,Paramètres!$A$1:$I$88,3,0)*0.475*44/12</f>
        <v>#N/A</v>
      </c>
      <c r="GM136" s="23" t="e">
        <f>EXP(-LN(2)/25)*GM135+(1-EXP(-LN(2)/25))/(LN(2)/25)*Calculateur!GH136*Calculateur!GJ136*VLOOKUP('Données projet'!$B$17,Paramètres!$A$1:$I$88,3,0)*0.475*44/12</f>
        <v>#N/A</v>
      </c>
      <c r="GN136" s="23" t="e">
        <f>EXP(-LN(2)/2)*GN135+(1-EXP(-LN(2)/2))/(LN(2)/2)*GH136*GK136*VLOOKUP('Données projet'!$B$17,Paramètres!$A$1:$I$88,3,0)*0.475*44/12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projet'!$B$18,Paramètres!$A$1:$I$88,3,0)*VLOOKUP('Données projet'!$B$18,Paramètres!$A$1:$I$88,5,0)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projet'!$B$18,Paramètres!$A$1:$I$88,7,0))</f>
        <v>0</v>
      </c>
      <c r="HE136" s="17">
        <f>IF(ISNA(VLOOKUP(A136,'Données projet'!$A$269:$I$289,6,0)),0%,VLOOKUP(A136,'Données projet'!$A$269:$I$289,6,0)*VLOOKUP('Données projet'!$B$18,Paramètres!$A$1:$I$88,7,0))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projet'!$B$18,Paramètres!$A$1:$I$88,3,0)*0.475*44/12</f>
        <v>#N/A</v>
      </c>
      <c r="HH136" s="23" t="e">
        <f>EXP(-LN(2)/25)*HH135+(1-EXP(-LN(2)/25))/(LN(2)/25)*Calculateur!HC136*Calculateur!HE136*VLOOKUP('Données projet'!$B$18,Paramètres!$A$1:$I$88,3,0)*0.475*44/12</f>
        <v>#N/A</v>
      </c>
      <c r="HI136" s="23" t="e">
        <f>EXP(-LN(2)/2)*HI135+(1-EXP(-LN(2)/2))/(LN(2)/2)*HC136*HF136*VLOOKUP('Données projet'!$B$18,Paramètres!$A$1:$I$88,3,0)*0.475*44/12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projet'!$B$9,Paramètres!$A$1:$I$88,3,0)*VLOOKUP('Données projet'!$B$9,Paramètres!$A$1:$I$88,5,0)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175.05987582828078</v>
      </c>
      <c r="T137" s="62">
        <f t="shared" si="142"/>
        <v>268.54782308462387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projet'!$B$9,Paramètres!$A$1:$I$88,7,0))</f>
        <v>0</v>
      </c>
      <c r="X137" s="17">
        <f>IF(ISNA(VLOOKUP(A137,'Données projet'!$A$35:$I$55,6,0)),0%,VLOOKUP(A137,'Données projet'!$A$35:$I$55,6,0)*VLOOKUP('Données projet'!$B$9,Paramètres!$A$1:$I$88,7,0))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projet'!$B$9,Paramètres!$A$1:$I$88,3,0)*0.475*44/12</f>
        <v>0</v>
      </c>
      <c r="AA137" s="23">
        <f>EXP(-LN(2)/25)*AA136+(1-EXP(-LN(2)/25))/(LN(2)/25)*Calculateur!V137*Calculateur!X137*VLOOKUP('Données projet'!$B$9,Paramètres!$A$1:$I$88,3,0)*0.475*44/12</f>
        <v>0.57591921488024722</v>
      </c>
      <c r="AB137" s="23">
        <f>EXP(-LN(2)/2)*AB136+(1-EXP(-LN(2)/2))/(LN(2)/2)*V137*Y137*VLOOKUP('Données projet'!$B$9,Paramètres!$A$1:$I$88,3,0)*0.475*44/12</f>
        <v>3.6679148343059073E-15</v>
      </c>
      <c r="AC137" s="24">
        <f t="shared" si="111"/>
        <v>0.57591921488025088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9</v>
      </c>
      <c r="AI137" s="14">
        <f>IF('Données projet'!$A$62&gt;35,AI136+AH137-AQ136,IF(A137&lt;'Données projet'!$A$62,$AF$205^A137,IF(A137='Données projet'!$A$62,'Données projet'!$B$62,AI136+AH137-AQ136)))</f>
        <v>1005.999999999999</v>
      </c>
      <c r="AJ137" s="14">
        <f>AI137*VLOOKUP('Données projet'!$B$10,Paramètres!$A$1:$I$88,3,0)*VLOOKUP('Données projet'!$B$10,Paramètres!$A$1:$I$88,5,0)</f>
        <v>483.88599999999951</v>
      </c>
      <c r="AK137" s="14">
        <f t="shared" si="143"/>
        <v>108.59029929301288</v>
      </c>
      <c r="AL137" s="22">
        <f t="shared" si="112"/>
        <v>1031.8962212686633</v>
      </c>
      <c r="AM137" s="62">
        <f t="shared" si="113"/>
        <v>1325.2295546019966</v>
      </c>
      <c r="AN137" s="62">
        <f ca="1">AVERAGE(OFFSET($AM$3,0,0,'Données projet'!$E$10+1,1))-AVERAGE(OFFSET($H$3,0,0,'Données projet'!$E$10+1,1))</f>
        <v>576.61210817354549</v>
      </c>
      <c r="AO137" s="62">
        <f t="shared" si="144"/>
        <v>343.9428747444544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projet'!$B$10,Paramètres!$A$1:$I$88,7,0))</f>
        <v>0</v>
      </c>
      <c r="AS137" s="17">
        <f>IF(ISNA(VLOOKUP(A137,'Données projet'!$A$61:$I$81,6,0)),0%,VLOOKUP(A137,'Données projet'!$A$61:$I$81,6,0)*VLOOKUP('Données projet'!$B$10,Paramètres!$A$1:$I$88,7,0))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projet'!$B$10,Paramètres!$A$1:$I$88,3,0)*0.475*44/12</f>
        <v>0</v>
      </c>
      <c r="AV137" s="23">
        <f>EXP(-LN(2)/25)*AV136+(1-EXP(-LN(2)/25))/(LN(2)/25)*Calculateur!AQ137*Calculateur!AS137*VLOOKUP('Données projet'!$B$10,Paramètres!$A$1:$I$88,3,0)*0.475*44/12</f>
        <v>0.31677652967024017</v>
      </c>
      <c r="AW137" s="23">
        <f>EXP(-LN(2)/2)*AW136+(1-EXP(-LN(2)/2))/(LN(2)/2)*AQ137*AT137*VLOOKUP('Données projet'!$B$10,Paramètres!$A$1:$I$88,3,0)*0.475*44/12</f>
        <v>2.6120085379901456E-15</v>
      </c>
      <c r="AX137" s="23">
        <f t="shared" si="114"/>
        <v>0.31677652967024278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-5.6843418860808015E-14</v>
      </c>
      <c r="BE137" s="14">
        <f>BD137*VLOOKUP('Données projet'!$B$11,Paramètres!$A$1:$I$88,3,0)*VLOOKUP('Données projet'!$B$11,Paramètres!$A$1:$I$88,5,0)</f>
        <v>-4.5224624045658861E-14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298.38448036212861</v>
      </c>
      <c r="BJ137" s="62">
        <f t="shared" si="146"/>
        <v>270.4445531106897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projet'!$B$11,Paramètres!$A$1:$I$88,7,0))</f>
        <v>0</v>
      </c>
      <c r="BN137" s="17">
        <f>IF(ISNA(VLOOKUP(A137,'Données projet'!$A$87:$I$107,6,0)),0%,VLOOKUP(A137,'Données projet'!$A$87:$I$107,6,0)*VLOOKUP('Données projet'!$B$11,Paramètres!$A$1:$I$88,7,0))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projet'!$B$11,Paramètres!$A$1:$I$88,3,0)*0.475*44/12</f>
        <v>0</v>
      </c>
      <c r="BQ137" s="23">
        <f>EXP(-LN(2)/25)*BQ136+(1-EXP(-LN(2)/25))/(LN(2)/25)*Calculateur!BL137*Calculateur!BN137*VLOOKUP('Données projet'!$B$11,Paramètres!$A$1:$I$88,3,0)*0.475*44/12</f>
        <v>0</v>
      </c>
      <c r="BR137" s="23">
        <f>EXP(-LN(2)/2)*BR136+(1-EXP(-LN(2)/2))/(LN(2)/2)*BL137*BO137*VLOOKUP('Données projet'!$B$11,Paramètres!$A$1:$I$88,3,0)*0.475*44/12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5.6843418860808015E-14</v>
      </c>
      <c r="BZ137" s="14">
        <f>BY137*VLOOKUP('Données projet'!$B$12,Paramètres!$A$1:$I$88,3,0)*VLOOKUP('Données projet'!$B$12,Paramètres!$A$1:$I$88,5,0)</f>
        <v>4.4337866711430253E-14</v>
      </c>
      <c r="CA137" s="14">
        <f t="shared" si="147"/>
        <v>7.3222115536967035E-13</v>
      </c>
      <c r="CB137" s="22">
        <f t="shared" si="118"/>
        <v>1.3525069634579169E-12</v>
      </c>
      <c r="CC137" s="62">
        <f t="shared" si="119"/>
        <v>293.33333333333468</v>
      </c>
      <c r="CD137" s="62">
        <f ca="1">AVERAGE(OFFSET($CC$3,0,0,'Données projet'!$E$12+1,1))-AVERAGE(OFFSET($H$3,0,0,'Données projet'!$E$12+1,1))</f>
        <v>217.32600829266818</v>
      </c>
      <c r="CE137" s="62">
        <f t="shared" si="148"/>
        <v>208.79744153433245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projet'!$B$12,Paramètres!$A$1:$I$88,7,0))</f>
        <v>0</v>
      </c>
      <c r="CI137" s="17">
        <f>IF(ISNA(VLOOKUP(A137,'Données projet'!$A$113:$I$133,6,0)),0%,VLOOKUP(A137,'Données projet'!$A$113:$I$133,6,0)*VLOOKUP('Données projet'!$B$12,Paramètres!$A$1:$I$88,7,0))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projet'!$B$12,Paramètres!$A$1:$I$88,3,0)*0.475*44/12</f>
        <v>0</v>
      </c>
      <c r="CL137" s="23">
        <f>EXP(-LN(2)/25)*CL136+(1-EXP(-LN(2)/25))/(LN(2)/25)*Calculateur!CG137*Calculateur!CI137*VLOOKUP('Données projet'!$B$12,Paramètres!$A$1:$I$88,3,0)*0.475*44/12</f>
        <v>0</v>
      </c>
      <c r="CM137" s="23">
        <f>EXP(-LN(2)/2)*CM136+(1-EXP(-LN(2)/2))/(LN(2)/2)*CG137*CJ137*VLOOKUP('Données projet'!$B$12,Paramètres!$A$1:$I$88,3,0)*0.475*44/12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-3.4106051316484809E-13</v>
      </c>
      <c r="CU137" s="18">
        <f>CT137*VLOOKUP('Données projet'!$B$13,Paramètres!$A$1:$I$88,3,0)*VLOOKUP('Données projet'!$B$13,Paramètres!$A$1:$I$88,5,0)</f>
        <v>-1.9065282685915009E-13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302.20483575440988</v>
      </c>
      <c r="CZ137" s="62">
        <f t="shared" si="150"/>
        <v>275.32862097158687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projet'!$B$13,Paramètres!$A$1:$I$88,7,0))</f>
        <v>0</v>
      </c>
      <c r="DD137" s="17">
        <f>IF(ISNA(VLOOKUP(A137,'Données projet'!$A$139:$I$159,6,0)),0%,VLOOKUP(A137,'Données projet'!$A$139:$I$159,6,0)*VLOOKUP('Données projet'!$B$13,Paramètres!$A$1:$I$88,7,0))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projet'!$B$13,Paramètres!$A$1:$I$88,3,0)*0.475*44/12</f>
        <v>0</v>
      </c>
      <c r="DG137" s="23">
        <f>EXP(-LN(2)/25)*DG136+(1-EXP(-LN(2)/25))/(LN(2)/25)*Calculateur!DB137*Calculateur!DD137*VLOOKUP('Données projet'!$B$13,Paramètres!$A$1:$I$88,3,0)*0.475*44/12</f>
        <v>0.77348205013980798</v>
      </c>
      <c r="DH137" s="23">
        <f>EXP(-LN(2)/2)*DH136+(1-EXP(-LN(2)/2))/(LN(2)/2)*DB137*DE137*VLOOKUP('Données projet'!$B$13,Paramètres!$A$1:$I$88,3,0)*0.475*44/12</f>
        <v>1.5056595302837803E-15</v>
      </c>
      <c r="DI137" s="24">
        <f t="shared" si="123"/>
        <v>0.77348205013980953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projet'!$B$14,Paramètres!$A$1:$I$88,3,0)*VLOOKUP('Données projet'!$B$14,Paramètres!$A$1:$I$88,5,0)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projet'!$B$14,Paramètres!$A$1:$I$88,7,0))</f>
        <v>0</v>
      </c>
      <c r="DY137" s="17">
        <f>IF(ISNA(VLOOKUP(A137,'Données projet'!$A$165:$I$185,6,0)),0%,VLOOKUP(A137,'Données projet'!$A$165:$I$185,6,0)*VLOOKUP('Données projet'!$B$14,Paramètres!$A$1:$I$88,7,0))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projet'!$B$14,Paramètres!$A$1:$I$88,3,0)*0.475*44/12</f>
        <v>#N/A</v>
      </c>
      <c r="EB137" s="23" t="e">
        <f>EXP(-LN(2)/25)*EB136+(1-EXP(-LN(2)/25))/(LN(2)/25)*Calculateur!DW137*Calculateur!DY137*VLOOKUP('Données projet'!$B$14,Paramètres!$A$1:$I$88,3,0)*0.475*44/12</f>
        <v>#N/A</v>
      </c>
      <c r="EC137" s="23" t="e">
        <f>EXP(-LN(2)/2)*EC136+(1-EXP(-LN(2)/2))/(LN(2)/2)*DW137*DZ137*VLOOKUP('Données projet'!$B$14,Paramètres!$A$1:$I$88,3,0)*0.475*44/12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projet'!$B$15,Paramètres!$A$1:$I$88,3,0)*VLOOKUP('Données projet'!$B$15,Paramètres!$A$1:$I$88,5,0)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projet'!$B$15,Paramètres!$A$1:$I$88,7,0))</f>
        <v>0</v>
      </c>
      <c r="ET137" s="17">
        <f>IF(ISNA(VLOOKUP(A137,'Données projet'!$A$191:$I$211,6,0)),0%,VLOOKUP(A137,'Données projet'!$A$191:$I$211,6,0)*VLOOKUP('Données projet'!$B$15,Paramètres!$A$1:$I$88,7,0))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projet'!$B$15,Paramètres!$A$1:$I$88,3,0)*0.475*44/12</f>
        <v>#N/A</v>
      </c>
      <c r="EW137" s="23" t="e">
        <f>EXP(-LN(2)/25)*EW136+(1-EXP(-LN(2)/25))/(LN(2)/25)*Calculateur!ER137*Calculateur!ET137*VLOOKUP('Données projet'!$B$15,Paramètres!$A$1:$I$88,3,0)*0.475*44/12</f>
        <v>#N/A</v>
      </c>
      <c r="EX137" s="23" t="e">
        <f>EXP(-LN(2)/2)*EX136+(1-EXP(-LN(2)/2))/(LN(2)/2)*ER137*EU137*VLOOKUP('Données projet'!$B$15,Paramètres!$A$1:$I$88,3,0)*0.475*44/12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projet'!$B$16,Paramètres!$A$1:$I$88,3,0)*VLOOKUP('Données projet'!$B$16,Paramètres!$A$1:$I$88,5,0)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projet'!$B$16,Paramètres!$A$1:$I$88,7,0))</f>
        <v>0</v>
      </c>
      <c r="FO137" s="17">
        <f>IF(ISNA(VLOOKUP(A137,'Données projet'!$A$217:$I$237,6,0)),0%,VLOOKUP(A137,'Données projet'!$A$217:$I$237,6,0)*VLOOKUP('Données projet'!$B$16,Paramètres!$A$1:$I$88,7,0))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projet'!$B$16,Paramètres!$A$1:$I$88,3,0)*0.475*44/12</f>
        <v>#N/A</v>
      </c>
      <c r="FR137" s="23" t="e">
        <f>EXP(-LN(2)/25)*FR136+(1-EXP(-LN(2)/25))/(LN(2)/25)*Calculateur!FM137*Calculateur!FO137*VLOOKUP('Données projet'!$B$16,Paramètres!$A$1:$I$88,3,0)*0.475*44/12</f>
        <v>#N/A</v>
      </c>
      <c r="FS137" s="23" t="e">
        <f>EXP(-LN(2)/2)*FS136+(1-EXP(-LN(2)/2))/(LN(2)/2)*FM137*FP137*VLOOKUP('Données projet'!$B$16,Paramètres!$A$1:$I$88,3,0)*0.475*44/12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projet'!$B$17,Paramètres!$A$1:$I$88,3,0)*VLOOKUP('Données projet'!$B$17,Paramètres!$A$1:$I$88,5,0)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projet'!$B$17,Paramètres!$A$1:$I$88,7,0))</f>
        <v>0</v>
      </c>
      <c r="GJ137" s="17">
        <f>IF(ISNA(VLOOKUP(A137,'Données projet'!$A$243:$I$263,6,0)),0%,VLOOKUP(A137,'Données projet'!$A$243:$I$263,6,0)*VLOOKUP('Données projet'!$B$17,Paramètres!$A$1:$I$88,7,0))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projet'!$B$17,Paramètres!$A$1:$I$88,3,0)*0.475*44/12</f>
        <v>#N/A</v>
      </c>
      <c r="GM137" s="23" t="e">
        <f>EXP(-LN(2)/25)*GM136+(1-EXP(-LN(2)/25))/(LN(2)/25)*Calculateur!GH137*Calculateur!GJ137*VLOOKUP('Données projet'!$B$17,Paramètres!$A$1:$I$88,3,0)*0.475*44/12</f>
        <v>#N/A</v>
      </c>
      <c r="GN137" s="23" t="e">
        <f>EXP(-LN(2)/2)*GN136+(1-EXP(-LN(2)/2))/(LN(2)/2)*GH137*GK137*VLOOKUP('Données projet'!$B$17,Paramètres!$A$1:$I$88,3,0)*0.475*44/12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projet'!$B$18,Paramètres!$A$1:$I$88,3,0)*VLOOKUP('Données projet'!$B$18,Paramètres!$A$1:$I$88,5,0)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projet'!$B$18,Paramètres!$A$1:$I$88,7,0))</f>
        <v>0</v>
      </c>
      <c r="HE137" s="17">
        <f>IF(ISNA(VLOOKUP(A137,'Données projet'!$A$269:$I$289,6,0)),0%,VLOOKUP(A137,'Données projet'!$A$269:$I$289,6,0)*VLOOKUP('Données projet'!$B$18,Paramètres!$A$1:$I$88,7,0))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projet'!$B$18,Paramètres!$A$1:$I$88,3,0)*0.475*44/12</f>
        <v>#N/A</v>
      </c>
      <c r="HH137" s="23" t="e">
        <f>EXP(-LN(2)/25)*HH136+(1-EXP(-LN(2)/25))/(LN(2)/25)*Calculateur!HC137*Calculateur!HE137*VLOOKUP('Données projet'!$B$18,Paramètres!$A$1:$I$88,3,0)*0.475*44/12</f>
        <v>#N/A</v>
      </c>
      <c r="HI137" s="23" t="e">
        <f>EXP(-LN(2)/2)*HI136+(1-EXP(-LN(2)/2))/(LN(2)/2)*HC137*HF137*VLOOKUP('Données projet'!$B$18,Paramètres!$A$1:$I$88,3,0)*0.475*44/12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projet'!$B$9,Paramètres!$A$1:$I$88,3,0)*VLOOKUP('Données projet'!$B$9,Paramètres!$A$1:$I$88,5,0)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175.05987582828078</v>
      </c>
      <c r="T138" s="62">
        <f t="shared" si="142"/>
        <v>268.54782308462387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projet'!$B$9,Paramètres!$A$1:$I$88,7,0))</f>
        <v>0</v>
      </c>
      <c r="X138" s="17">
        <f>IF(ISNA(VLOOKUP(A138,'Données projet'!$A$35:$I$55,6,0)),0%,VLOOKUP(A138,'Données projet'!$A$35:$I$55,6,0)*VLOOKUP('Données projet'!$B$9,Paramètres!$A$1:$I$88,7,0))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projet'!$B$9,Paramètres!$A$1:$I$88,3,0)*0.475*44/12</f>
        <v>0</v>
      </c>
      <c r="AA138" s="23">
        <f>EXP(-LN(2)/25)*AA137+(1-EXP(-LN(2)/25))/(LN(2)/25)*Calculateur!V138*Calculateur!X138*VLOOKUP('Données projet'!$B$9,Paramètres!$A$1:$I$88,3,0)*0.475*44/12</f>
        <v>0.56017067366307161</v>
      </c>
      <c r="AB138" s="23">
        <f>EXP(-LN(2)/2)*AB137+(1-EXP(-LN(2)/2))/(LN(2)/2)*V138*Y138*VLOOKUP('Données projet'!$B$9,Paramètres!$A$1:$I$88,3,0)*0.475*44/12</f>
        <v>2.5936074521524389E-15</v>
      </c>
      <c r="AC138" s="24">
        <f t="shared" si="111"/>
        <v>0.56017067366307416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>
        <f>VLOOKUP(A138,'Données projet'!$A$61:$I$81,2,0)</f>
        <v>1015</v>
      </c>
      <c r="AG138" s="13">
        <f>VLOOKUP(A138,'Données projet'!$A$61:$I$81,9,0)</f>
        <v>9</v>
      </c>
      <c r="AH138" s="13">
        <f t="array" ref="AH138">INDEX(AG:AG,MIN(IF(ISNUMBER(AG138:AG334),ROW(AG138:AG334),"")))</f>
        <v>9</v>
      </c>
      <c r="AI138" s="14">
        <f>IF('Données projet'!$A$62&gt;35,AI137+AH138-AQ137,IF(A138&lt;'Données projet'!$A$62,$AF$205^A138,IF(A138='Données projet'!$A$62,'Données projet'!$B$62,AI137+AH138-AQ137)))</f>
        <v>1014.999999999999</v>
      </c>
      <c r="AJ138" s="14">
        <f>AI138*VLOOKUP('Données projet'!$B$10,Paramètres!$A$1:$I$88,3,0)*VLOOKUP('Données projet'!$B$10,Paramètres!$A$1:$I$88,5,0)</f>
        <v>488.21499999999952</v>
      </c>
      <c r="AK138" s="14">
        <f t="shared" si="143"/>
        <v>109.4482569018038</v>
      </c>
      <c r="AL138" s="22">
        <f t="shared" si="112"/>
        <v>1040.9301724373074</v>
      </c>
      <c r="AM138" s="62">
        <f t="shared" si="113"/>
        <v>1334.2635057706407</v>
      </c>
      <c r="AN138" s="62">
        <f ca="1">AVERAGE(OFFSET($AM$3,0,0,'Données projet'!$E$10+1,1))-AVERAGE(OFFSET($H$3,0,0,'Données projet'!$E$10+1,1))</f>
        <v>576.61210817354549</v>
      </c>
      <c r="AO138" s="62">
        <f t="shared" si="144"/>
        <v>343.9428747444544</v>
      </c>
      <c r="AP138" s="16">
        <f>IF(ISNA(VLOOKUP(A138,'Données projet'!$A$61:$I$81,3,0)),0,VLOOKUP(A138,'Données projet'!$A$61:$I$81,3,0))</f>
        <v>8</v>
      </c>
      <c r="AQ138" s="16">
        <f>IF(ISNA(VLOOKUP(A138,'Données projet'!$A$61:$I$81,4,0)),0,VLOOKUP(A138,'Données projet'!$A$61:$I$81,4,0))</f>
        <v>102</v>
      </c>
      <c r="AR138" s="17">
        <f>IF(ISNA(VLOOKUP(A138,'Données projet'!$A$61:$I$81,5,0)),0%,VLOOKUP(A138,'Données projet'!$A$61:$I$81,5,0)*VLOOKUP('Données projet'!$B$10,Paramètres!$A$1:$I$88,7,0))</f>
        <v>0</v>
      </c>
      <c r="AS138" s="17">
        <f>IF(ISNA(VLOOKUP(A138,'Données projet'!$A$61:$I$81,6,0)),0%,VLOOKUP(A138,'Données projet'!$A$61:$I$81,6,0)*VLOOKUP('Données projet'!$B$10,Paramètres!$A$1:$I$88,7,0))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projet'!$B$10,Paramètres!$A$1:$I$88,3,0)*0.475*44/12</f>
        <v>0</v>
      </c>
      <c r="AV138" s="23">
        <f>EXP(-LN(2)/25)*AV137+(1-EXP(-LN(2)/25))/(LN(2)/25)*Calculateur!AQ138*Calculateur!AS138*VLOOKUP('Données projet'!$B$10,Paramètres!$A$1:$I$88,3,0)*0.475*44/12</f>
        <v>0.30811425880785376</v>
      </c>
      <c r="AW138" s="23">
        <f>EXP(-LN(2)/2)*AW137+(1-EXP(-LN(2)/2))/(LN(2)/2)*AQ138*AT138*VLOOKUP('Données projet'!$B$10,Paramètres!$A$1:$I$88,3,0)*0.475*44/12</f>
        <v>1.8469689497299918E-15</v>
      </c>
      <c r="AX138" s="23">
        <f t="shared" si="114"/>
        <v>0.30811425880785559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-5.6843418860808015E-14</v>
      </c>
      <c r="BE138" s="14">
        <f>BD138*VLOOKUP('Données projet'!$B$11,Paramètres!$A$1:$I$88,3,0)*VLOOKUP('Données projet'!$B$11,Paramètres!$A$1:$I$88,5,0)</f>
        <v>-4.5224624045658861E-14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298.38448036212861</v>
      </c>
      <c r="BJ138" s="62">
        <f t="shared" si="146"/>
        <v>270.4445531106897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projet'!$B$11,Paramètres!$A$1:$I$88,7,0))</f>
        <v>0</v>
      </c>
      <c r="BN138" s="17">
        <f>IF(ISNA(VLOOKUP(A138,'Données projet'!$A$87:$I$107,6,0)),0%,VLOOKUP(A138,'Données projet'!$A$87:$I$107,6,0)*VLOOKUP('Données projet'!$B$11,Paramètres!$A$1:$I$88,7,0))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projet'!$B$11,Paramètres!$A$1:$I$88,3,0)*0.475*44/12</f>
        <v>0</v>
      </c>
      <c r="BQ138" s="23">
        <f>EXP(-LN(2)/25)*BQ137+(1-EXP(-LN(2)/25))/(LN(2)/25)*Calculateur!BL138*Calculateur!BN138*VLOOKUP('Données projet'!$B$11,Paramètres!$A$1:$I$88,3,0)*0.475*44/12</f>
        <v>0</v>
      </c>
      <c r="BR138" s="23">
        <f>EXP(-LN(2)/2)*BR137+(1-EXP(-LN(2)/2))/(LN(2)/2)*BL138*BO138*VLOOKUP('Données projet'!$B$11,Paramètres!$A$1:$I$88,3,0)*0.475*44/12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5.6843418860808015E-14</v>
      </c>
      <c r="BZ138" s="14">
        <f>BY138*VLOOKUP('Données projet'!$B$12,Paramètres!$A$1:$I$88,3,0)*VLOOKUP('Données projet'!$B$12,Paramètres!$A$1:$I$88,5,0)</f>
        <v>4.4337866711430253E-14</v>
      </c>
      <c r="CA138" s="14">
        <f t="shared" si="147"/>
        <v>7.3222115536967035E-13</v>
      </c>
      <c r="CB138" s="22">
        <f t="shared" si="118"/>
        <v>1.3525069634579169E-12</v>
      </c>
      <c r="CC138" s="62">
        <f t="shared" si="119"/>
        <v>293.33333333333468</v>
      </c>
      <c r="CD138" s="62">
        <f ca="1">AVERAGE(OFFSET($CC$3,0,0,'Données projet'!$E$12+1,1))-AVERAGE(OFFSET($H$3,0,0,'Données projet'!$E$12+1,1))</f>
        <v>217.32600829266818</v>
      </c>
      <c r="CE138" s="62">
        <f t="shared" si="148"/>
        <v>208.79744153433245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projet'!$B$12,Paramètres!$A$1:$I$88,7,0))</f>
        <v>0</v>
      </c>
      <c r="CI138" s="17">
        <f>IF(ISNA(VLOOKUP(A138,'Données projet'!$A$113:$I$133,6,0)),0%,VLOOKUP(A138,'Données projet'!$A$113:$I$133,6,0)*VLOOKUP('Données projet'!$B$12,Paramètres!$A$1:$I$88,7,0))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projet'!$B$12,Paramètres!$A$1:$I$88,3,0)*0.475*44/12</f>
        <v>0</v>
      </c>
      <c r="CL138" s="23">
        <f>EXP(-LN(2)/25)*CL137+(1-EXP(-LN(2)/25))/(LN(2)/25)*Calculateur!CG138*Calculateur!CI138*VLOOKUP('Données projet'!$B$12,Paramètres!$A$1:$I$88,3,0)*0.475*44/12</f>
        <v>0</v>
      </c>
      <c r="CM138" s="23">
        <f>EXP(-LN(2)/2)*CM137+(1-EXP(-LN(2)/2))/(LN(2)/2)*CG138*CJ138*VLOOKUP('Données projet'!$B$12,Paramètres!$A$1:$I$88,3,0)*0.475*44/12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-3.4106051316484809E-13</v>
      </c>
      <c r="CU138" s="18">
        <f>CT138*VLOOKUP('Données projet'!$B$13,Paramètres!$A$1:$I$88,3,0)*VLOOKUP('Données projet'!$B$13,Paramètres!$A$1:$I$88,5,0)</f>
        <v>-1.9065282685915009E-13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302.20483575440988</v>
      </c>
      <c r="CZ138" s="62">
        <f t="shared" si="150"/>
        <v>275.32862097158687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projet'!$B$13,Paramètres!$A$1:$I$88,7,0))</f>
        <v>0</v>
      </c>
      <c r="DD138" s="17">
        <f>IF(ISNA(VLOOKUP(A138,'Données projet'!$A$139:$I$159,6,0)),0%,VLOOKUP(A138,'Données projet'!$A$139:$I$159,6,0)*VLOOKUP('Données projet'!$B$13,Paramètres!$A$1:$I$88,7,0))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projet'!$B$13,Paramètres!$A$1:$I$88,3,0)*0.475*44/12</f>
        <v>0</v>
      </c>
      <c r="DG138" s="23">
        <f>EXP(-LN(2)/25)*DG137+(1-EXP(-LN(2)/25))/(LN(2)/25)*Calculateur!DB138*Calculateur!DD138*VLOOKUP('Données projet'!$B$13,Paramètres!$A$1:$I$88,3,0)*0.475*44/12</f>
        <v>0.75233114280308178</v>
      </c>
      <c r="DH138" s="23">
        <f>EXP(-LN(2)/2)*DH137+(1-EXP(-LN(2)/2))/(LN(2)/2)*DB138*DE138*VLOOKUP('Données projet'!$B$13,Paramètres!$A$1:$I$88,3,0)*0.475*44/12</f>
        <v>1.0646620640218129E-15</v>
      </c>
      <c r="DI138" s="24">
        <f t="shared" si="123"/>
        <v>0.75233114280308289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projet'!$B$14,Paramètres!$A$1:$I$88,3,0)*VLOOKUP('Données projet'!$B$14,Paramètres!$A$1:$I$88,5,0)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projet'!$B$14,Paramètres!$A$1:$I$88,7,0))</f>
        <v>0</v>
      </c>
      <c r="DY138" s="17">
        <f>IF(ISNA(VLOOKUP(A138,'Données projet'!$A$165:$I$185,6,0)),0%,VLOOKUP(A138,'Données projet'!$A$165:$I$185,6,0)*VLOOKUP('Données projet'!$B$14,Paramètres!$A$1:$I$88,7,0))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projet'!$B$14,Paramètres!$A$1:$I$88,3,0)*0.475*44/12</f>
        <v>#N/A</v>
      </c>
      <c r="EB138" s="23" t="e">
        <f>EXP(-LN(2)/25)*EB137+(1-EXP(-LN(2)/25))/(LN(2)/25)*Calculateur!DW138*Calculateur!DY138*VLOOKUP('Données projet'!$B$14,Paramètres!$A$1:$I$88,3,0)*0.475*44/12</f>
        <v>#N/A</v>
      </c>
      <c r="EC138" s="23" t="e">
        <f>EXP(-LN(2)/2)*EC137+(1-EXP(-LN(2)/2))/(LN(2)/2)*DW138*DZ138*VLOOKUP('Données projet'!$B$14,Paramètres!$A$1:$I$88,3,0)*0.475*44/12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projet'!$B$15,Paramètres!$A$1:$I$88,3,0)*VLOOKUP('Données projet'!$B$15,Paramètres!$A$1:$I$88,5,0)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projet'!$B$15,Paramètres!$A$1:$I$88,7,0))</f>
        <v>0</v>
      </c>
      <c r="ET138" s="17">
        <f>IF(ISNA(VLOOKUP(A138,'Données projet'!$A$191:$I$211,6,0)),0%,VLOOKUP(A138,'Données projet'!$A$191:$I$211,6,0)*VLOOKUP('Données projet'!$B$15,Paramètres!$A$1:$I$88,7,0))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projet'!$B$15,Paramètres!$A$1:$I$88,3,0)*0.475*44/12</f>
        <v>#N/A</v>
      </c>
      <c r="EW138" s="23" t="e">
        <f>EXP(-LN(2)/25)*EW137+(1-EXP(-LN(2)/25))/(LN(2)/25)*Calculateur!ER138*Calculateur!ET138*VLOOKUP('Données projet'!$B$15,Paramètres!$A$1:$I$88,3,0)*0.475*44/12</f>
        <v>#N/A</v>
      </c>
      <c r="EX138" s="23" t="e">
        <f>EXP(-LN(2)/2)*EX137+(1-EXP(-LN(2)/2))/(LN(2)/2)*ER138*EU138*VLOOKUP('Données projet'!$B$15,Paramètres!$A$1:$I$88,3,0)*0.475*44/12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projet'!$B$16,Paramètres!$A$1:$I$88,3,0)*VLOOKUP('Données projet'!$B$16,Paramètres!$A$1:$I$88,5,0)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projet'!$B$16,Paramètres!$A$1:$I$88,7,0))</f>
        <v>0</v>
      </c>
      <c r="FO138" s="17">
        <f>IF(ISNA(VLOOKUP(A138,'Données projet'!$A$217:$I$237,6,0)),0%,VLOOKUP(A138,'Données projet'!$A$217:$I$237,6,0)*VLOOKUP('Données projet'!$B$16,Paramètres!$A$1:$I$88,7,0))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projet'!$B$16,Paramètres!$A$1:$I$88,3,0)*0.475*44/12</f>
        <v>#N/A</v>
      </c>
      <c r="FR138" s="23" t="e">
        <f>EXP(-LN(2)/25)*FR137+(1-EXP(-LN(2)/25))/(LN(2)/25)*Calculateur!FM138*Calculateur!FO138*VLOOKUP('Données projet'!$B$16,Paramètres!$A$1:$I$88,3,0)*0.475*44/12</f>
        <v>#N/A</v>
      </c>
      <c r="FS138" s="23" t="e">
        <f>EXP(-LN(2)/2)*FS137+(1-EXP(-LN(2)/2))/(LN(2)/2)*FM138*FP138*VLOOKUP('Données projet'!$B$16,Paramètres!$A$1:$I$88,3,0)*0.475*44/12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projet'!$B$17,Paramètres!$A$1:$I$88,3,0)*VLOOKUP('Données projet'!$B$17,Paramètres!$A$1:$I$88,5,0)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projet'!$B$17,Paramètres!$A$1:$I$88,7,0))</f>
        <v>0</v>
      </c>
      <c r="GJ138" s="17">
        <f>IF(ISNA(VLOOKUP(A138,'Données projet'!$A$243:$I$263,6,0)),0%,VLOOKUP(A138,'Données projet'!$A$243:$I$263,6,0)*VLOOKUP('Données projet'!$B$17,Paramètres!$A$1:$I$88,7,0))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projet'!$B$17,Paramètres!$A$1:$I$88,3,0)*0.475*44/12</f>
        <v>#N/A</v>
      </c>
      <c r="GM138" s="23" t="e">
        <f>EXP(-LN(2)/25)*GM137+(1-EXP(-LN(2)/25))/(LN(2)/25)*Calculateur!GH138*Calculateur!GJ138*VLOOKUP('Données projet'!$B$17,Paramètres!$A$1:$I$88,3,0)*0.475*44/12</f>
        <v>#N/A</v>
      </c>
      <c r="GN138" s="23" t="e">
        <f>EXP(-LN(2)/2)*GN137+(1-EXP(-LN(2)/2))/(LN(2)/2)*GH138*GK138*VLOOKUP('Données projet'!$B$17,Paramètres!$A$1:$I$88,3,0)*0.475*44/12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projet'!$B$18,Paramètres!$A$1:$I$88,3,0)*VLOOKUP('Données projet'!$B$18,Paramètres!$A$1:$I$88,5,0)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projet'!$B$18,Paramètres!$A$1:$I$88,7,0))</f>
        <v>0</v>
      </c>
      <c r="HE138" s="17">
        <f>IF(ISNA(VLOOKUP(A138,'Données projet'!$A$269:$I$289,6,0)),0%,VLOOKUP(A138,'Données projet'!$A$269:$I$289,6,0)*VLOOKUP('Données projet'!$B$18,Paramètres!$A$1:$I$88,7,0))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projet'!$B$18,Paramètres!$A$1:$I$88,3,0)*0.475*44/12</f>
        <v>#N/A</v>
      </c>
      <c r="HH138" s="23" t="e">
        <f>EXP(-LN(2)/25)*HH137+(1-EXP(-LN(2)/25))/(LN(2)/25)*Calculateur!HC138*Calculateur!HE138*VLOOKUP('Données projet'!$B$18,Paramètres!$A$1:$I$88,3,0)*0.475*44/12</f>
        <v>#N/A</v>
      </c>
      <c r="HI138" s="23" t="e">
        <f>EXP(-LN(2)/2)*HI137+(1-EXP(-LN(2)/2))/(LN(2)/2)*HC138*HF138*VLOOKUP('Données projet'!$B$18,Paramètres!$A$1:$I$88,3,0)*0.475*44/12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projet'!$B$9,Paramètres!$A$1:$I$88,3,0)*VLOOKUP('Données projet'!$B$9,Paramètres!$A$1:$I$88,5,0)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175.05987582828078</v>
      </c>
      <c r="T139" s="62">
        <f t="shared" si="142"/>
        <v>268.54782308462387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projet'!$B$9,Paramètres!$A$1:$I$88,7,0))</f>
        <v>0</v>
      </c>
      <c r="X139" s="17">
        <f>IF(ISNA(VLOOKUP(A139,'Données projet'!$A$35:$I$55,6,0)),0%,VLOOKUP(A139,'Données projet'!$A$35:$I$55,6,0)*VLOOKUP('Données projet'!$B$9,Paramètres!$A$1:$I$88,7,0))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projet'!$B$9,Paramètres!$A$1:$I$88,3,0)*0.475*44/12</f>
        <v>0</v>
      </c>
      <c r="AA139" s="23">
        <f>EXP(-LN(2)/25)*AA138+(1-EXP(-LN(2)/25))/(LN(2)/25)*Calculateur!V139*Calculateur!X139*VLOOKUP('Données projet'!$B$9,Paramètres!$A$1:$I$88,3,0)*0.475*44/12</f>
        <v>0.54485277713365943</v>
      </c>
      <c r="AB139" s="23">
        <f>EXP(-LN(2)/2)*AB138+(1-EXP(-LN(2)/2))/(LN(2)/2)*V139*Y139*VLOOKUP('Données projet'!$B$9,Paramètres!$A$1:$I$88,3,0)*0.475*44/12</f>
        <v>1.8339574171529537E-15</v>
      </c>
      <c r="AC139" s="24">
        <f t="shared" si="111"/>
        <v>0.54485277713366131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7.9333333333333336</v>
      </c>
      <c r="AI139" s="14">
        <f>IF('Données projet'!$A$62&gt;35,AI138+AH139-AQ138,IF(A139&lt;'Données projet'!$A$62,$AF$205^A139,IF(A139='Données projet'!$A$62,'Données projet'!$B$62,AI138+AH139-AQ138)))</f>
        <v>920.93333333333226</v>
      </c>
      <c r="AJ139" s="14">
        <f>AI139*VLOOKUP('Données projet'!$B$10,Paramètres!$A$1:$I$88,3,0)*VLOOKUP('Données projet'!$B$10,Paramètres!$A$1:$I$88,5,0)</f>
        <v>442.96893333333287</v>
      </c>
      <c r="AK139" s="14">
        <f t="shared" si="143"/>
        <v>100.43555535949866</v>
      </c>
      <c r="AL139" s="22">
        <f t="shared" si="112"/>
        <v>946.42948447334845</v>
      </c>
      <c r="AM139" s="62">
        <f t="shared" si="113"/>
        <v>1239.7628178066818</v>
      </c>
      <c r="AN139" s="62">
        <f ca="1">AVERAGE(OFFSET($AM$3,0,0,'Données projet'!$E$10+1,1))-AVERAGE(OFFSET($H$3,0,0,'Données projet'!$E$10+1,1))</f>
        <v>576.61210817354549</v>
      </c>
      <c r="AO139" s="62">
        <f t="shared" si="144"/>
        <v>343.9428747444544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projet'!$B$10,Paramètres!$A$1:$I$88,7,0))</f>
        <v>0</v>
      </c>
      <c r="AS139" s="17">
        <f>IF(ISNA(VLOOKUP(A139,'Données projet'!$A$61:$I$81,6,0)),0%,VLOOKUP(A139,'Données projet'!$A$61:$I$81,6,0)*VLOOKUP('Données projet'!$B$10,Paramètres!$A$1:$I$88,7,0))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projet'!$B$10,Paramètres!$A$1:$I$88,3,0)*0.475*44/12</f>
        <v>0</v>
      </c>
      <c r="AV139" s="23">
        <f>EXP(-LN(2)/25)*AV138+(1-EXP(-LN(2)/25))/(LN(2)/25)*Calculateur!AQ139*Calculateur!AS139*VLOOKUP('Données projet'!$B$10,Paramètres!$A$1:$I$88,3,0)*0.475*44/12</f>
        <v>0.29968885819772834</v>
      </c>
      <c r="AW139" s="23">
        <f>EXP(-LN(2)/2)*AW138+(1-EXP(-LN(2)/2))/(LN(2)/2)*AQ139*AT139*VLOOKUP('Données projet'!$B$10,Paramètres!$A$1:$I$88,3,0)*0.475*44/12</f>
        <v>1.3060042689950728E-15</v>
      </c>
      <c r="AX139" s="23">
        <f t="shared" si="114"/>
        <v>0.29968885819772967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-5.6843418860808015E-14</v>
      </c>
      <c r="BE139" s="14">
        <f>BD139*VLOOKUP('Données projet'!$B$11,Paramètres!$A$1:$I$88,3,0)*VLOOKUP('Données projet'!$B$11,Paramètres!$A$1:$I$88,5,0)</f>
        <v>-4.5224624045658861E-14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298.38448036212861</v>
      </c>
      <c r="BJ139" s="62">
        <f t="shared" si="146"/>
        <v>270.4445531106897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projet'!$B$11,Paramètres!$A$1:$I$88,7,0))</f>
        <v>0</v>
      </c>
      <c r="BN139" s="17">
        <f>IF(ISNA(VLOOKUP(A139,'Données projet'!$A$87:$I$107,6,0)),0%,VLOOKUP(A139,'Données projet'!$A$87:$I$107,6,0)*VLOOKUP('Données projet'!$B$11,Paramètres!$A$1:$I$88,7,0))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projet'!$B$11,Paramètres!$A$1:$I$88,3,0)*0.475*44/12</f>
        <v>0</v>
      </c>
      <c r="BQ139" s="23">
        <f>EXP(-LN(2)/25)*BQ138+(1-EXP(-LN(2)/25))/(LN(2)/25)*Calculateur!BL139*Calculateur!BN139*VLOOKUP('Données projet'!$B$11,Paramètres!$A$1:$I$88,3,0)*0.475*44/12</f>
        <v>0</v>
      </c>
      <c r="BR139" s="23">
        <f>EXP(-LN(2)/2)*BR138+(1-EXP(-LN(2)/2))/(LN(2)/2)*BL139*BO139*VLOOKUP('Données projet'!$B$11,Paramètres!$A$1:$I$88,3,0)*0.475*44/12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5.6843418860808015E-14</v>
      </c>
      <c r="BZ139" s="14">
        <f>BY139*VLOOKUP('Données projet'!$B$12,Paramètres!$A$1:$I$88,3,0)*VLOOKUP('Données projet'!$B$12,Paramètres!$A$1:$I$88,5,0)</f>
        <v>4.4337866711430253E-14</v>
      </c>
      <c r="CA139" s="14">
        <f t="shared" si="147"/>
        <v>7.3222115536967035E-13</v>
      </c>
      <c r="CB139" s="22">
        <f t="shared" si="118"/>
        <v>1.3525069634579169E-12</v>
      </c>
      <c r="CC139" s="62">
        <f t="shared" si="119"/>
        <v>293.33333333333468</v>
      </c>
      <c r="CD139" s="62">
        <f ca="1">AVERAGE(OFFSET($CC$3,0,0,'Données projet'!$E$12+1,1))-AVERAGE(OFFSET($H$3,0,0,'Données projet'!$E$12+1,1))</f>
        <v>217.32600829266818</v>
      </c>
      <c r="CE139" s="62">
        <f t="shared" si="148"/>
        <v>208.79744153433245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projet'!$B$12,Paramètres!$A$1:$I$88,7,0))</f>
        <v>0</v>
      </c>
      <c r="CI139" s="17">
        <f>IF(ISNA(VLOOKUP(A139,'Données projet'!$A$113:$I$133,6,0)),0%,VLOOKUP(A139,'Données projet'!$A$113:$I$133,6,0)*VLOOKUP('Données projet'!$B$12,Paramètres!$A$1:$I$88,7,0))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projet'!$B$12,Paramètres!$A$1:$I$88,3,0)*0.475*44/12</f>
        <v>0</v>
      </c>
      <c r="CL139" s="23">
        <f>EXP(-LN(2)/25)*CL138+(1-EXP(-LN(2)/25))/(LN(2)/25)*Calculateur!CG139*Calculateur!CI139*VLOOKUP('Données projet'!$B$12,Paramètres!$A$1:$I$88,3,0)*0.475*44/12</f>
        <v>0</v>
      </c>
      <c r="CM139" s="23">
        <f>EXP(-LN(2)/2)*CM138+(1-EXP(-LN(2)/2))/(LN(2)/2)*CG139*CJ139*VLOOKUP('Données projet'!$B$12,Paramètres!$A$1:$I$88,3,0)*0.475*44/12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-3.4106051316484809E-13</v>
      </c>
      <c r="CU139" s="18">
        <f>CT139*VLOOKUP('Données projet'!$B$13,Paramètres!$A$1:$I$88,3,0)*VLOOKUP('Données projet'!$B$13,Paramètres!$A$1:$I$88,5,0)</f>
        <v>-1.9065282685915009E-13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302.20483575440988</v>
      </c>
      <c r="CZ139" s="62">
        <f t="shared" si="150"/>
        <v>275.32862097158687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projet'!$B$13,Paramètres!$A$1:$I$88,7,0))</f>
        <v>0</v>
      </c>
      <c r="DD139" s="17">
        <f>IF(ISNA(VLOOKUP(A139,'Données projet'!$A$139:$I$159,6,0)),0%,VLOOKUP(A139,'Données projet'!$A$139:$I$159,6,0)*VLOOKUP('Données projet'!$B$13,Paramètres!$A$1:$I$88,7,0))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projet'!$B$13,Paramètres!$A$1:$I$88,3,0)*0.475*44/12</f>
        <v>0</v>
      </c>
      <c r="DG139" s="23">
        <f>EXP(-LN(2)/25)*DG138+(1-EXP(-LN(2)/25))/(LN(2)/25)*Calculateur!DB139*Calculateur!DD139*VLOOKUP('Données projet'!$B$13,Paramètres!$A$1:$I$88,3,0)*0.475*44/12</f>
        <v>0.73175860813975613</v>
      </c>
      <c r="DH139" s="23">
        <f>EXP(-LN(2)/2)*DH138+(1-EXP(-LN(2)/2))/(LN(2)/2)*DB139*DE139*VLOOKUP('Données projet'!$B$13,Paramètres!$A$1:$I$88,3,0)*0.475*44/12</f>
        <v>7.5282976514189013E-16</v>
      </c>
      <c r="DI139" s="24">
        <f t="shared" si="123"/>
        <v>0.73175860813975691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projet'!$B$14,Paramètres!$A$1:$I$88,3,0)*VLOOKUP('Données projet'!$B$14,Paramètres!$A$1:$I$88,5,0)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projet'!$B$14,Paramètres!$A$1:$I$88,7,0))</f>
        <v>0</v>
      </c>
      <c r="DY139" s="17">
        <f>IF(ISNA(VLOOKUP(A139,'Données projet'!$A$165:$I$185,6,0)),0%,VLOOKUP(A139,'Données projet'!$A$165:$I$185,6,0)*VLOOKUP('Données projet'!$B$14,Paramètres!$A$1:$I$88,7,0))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projet'!$B$14,Paramètres!$A$1:$I$88,3,0)*0.475*44/12</f>
        <v>#N/A</v>
      </c>
      <c r="EB139" s="23" t="e">
        <f>EXP(-LN(2)/25)*EB138+(1-EXP(-LN(2)/25))/(LN(2)/25)*Calculateur!DW139*Calculateur!DY139*VLOOKUP('Données projet'!$B$14,Paramètres!$A$1:$I$88,3,0)*0.475*44/12</f>
        <v>#N/A</v>
      </c>
      <c r="EC139" s="23" t="e">
        <f>EXP(-LN(2)/2)*EC138+(1-EXP(-LN(2)/2))/(LN(2)/2)*DW139*DZ139*VLOOKUP('Données projet'!$B$14,Paramètres!$A$1:$I$88,3,0)*0.475*44/12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projet'!$B$15,Paramètres!$A$1:$I$88,3,0)*VLOOKUP('Données projet'!$B$15,Paramètres!$A$1:$I$88,5,0)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projet'!$B$15,Paramètres!$A$1:$I$88,7,0))</f>
        <v>0</v>
      </c>
      <c r="ET139" s="17">
        <f>IF(ISNA(VLOOKUP(A139,'Données projet'!$A$191:$I$211,6,0)),0%,VLOOKUP(A139,'Données projet'!$A$191:$I$211,6,0)*VLOOKUP('Données projet'!$B$15,Paramètres!$A$1:$I$88,7,0))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projet'!$B$15,Paramètres!$A$1:$I$88,3,0)*0.475*44/12</f>
        <v>#N/A</v>
      </c>
      <c r="EW139" s="23" t="e">
        <f>EXP(-LN(2)/25)*EW138+(1-EXP(-LN(2)/25))/(LN(2)/25)*Calculateur!ER139*Calculateur!ET139*VLOOKUP('Données projet'!$B$15,Paramètres!$A$1:$I$88,3,0)*0.475*44/12</f>
        <v>#N/A</v>
      </c>
      <c r="EX139" s="23" t="e">
        <f>EXP(-LN(2)/2)*EX138+(1-EXP(-LN(2)/2))/(LN(2)/2)*ER139*EU139*VLOOKUP('Données projet'!$B$15,Paramètres!$A$1:$I$88,3,0)*0.475*44/12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projet'!$B$16,Paramètres!$A$1:$I$88,3,0)*VLOOKUP('Données projet'!$B$16,Paramètres!$A$1:$I$88,5,0)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projet'!$B$16,Paramètres!$A$1:$I$88,7,0))</f>
        <v>0</v>
      </c>
      <c r="FO139" s="17">
        <f>IF(ISNA(VLOOKUP(A139,'Données projet'!$A$217:$I$237,6,0)),0%,VLOOKUP(A139,'Données projet'!$A$217:$I$237,6,0)*VLOOKUP('Données projet'!$B$16,Paramètres!$A$1:$I$88,7,0))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projet'!$B$16,Paramètres!$A$1:$I$88,3,0)*0.475*44/12</f>
        <v>#N/A</v>
      </c>
      <c r="FR139" s="23" t="e">
        <f>EXP(-LN(2)/25)*FR138+(1-EXP(-LN(2)/25))/(LN(2)/25)*Calculateur!FM139*Calculateur!FO139*VLOOKUP('Données projet'!$B$16,Paramètres!$A$1:$I$88,3,0)*0.475*44/12</f>
        <v>#N/A</v>
      </c>
      <c r="FS139" s="23" t="e">
        <f>EXP(-LN(2)/2)*FS138+(1-EXP(-LN(2)/2))/(LN(2)/2)*FM139*FP139*VLOOKUP('Données projet'!$B$16,Paramètres!$A$1:$I$88,3,0)*0.475*44/12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projet'!$B$17,Paramètres!$A$1:$I$88,3,0)*VLOOKUP('Données projet'!$B$17,Paramètres!$A$1:$I$88,5,0)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projet'!$B$17,Paramètres!$A$1:$I$88,7,0))</f>
        <v>0</v>
      </c>
      <c r="GJ139" s="17">
        <f>IF(ISNA(VLOOKUP(A139,'Données projet'!$A$243:$I$263,6,0)),0%,VLOOKUP(A139,'Données projet'!$A$243:$I$263,6,0)*VLOOKUP('Données projet'!$B$17,Paramètres!$A$1:$I$88,7,0))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projet'!$B$17,Paramètres!$A$1:$I$88,3,0)*0.475*44/12</f>
        <v>#N/A</v>
      </c>
      <c r="GM139" s="23" t="e">
        <f>EXP(-LN(2)/25)*GM138+(1-EXP(-LN(2)/25))/(LN(2)/25)*Calculateur!GH139*Calculateur!GJ139*VLOOKUP('Données projet'!$B$17,Paramètres!$A$1:$I$88,3,0)*0.475*44/12</f>
        <v>#N/A</v>
      </c>
      <c r="GN139" s="23" t="e">
        <f>EXP(-LN(2)/2)*GN138+(1-EXP(-LN(2)/2))/(LN(2)/2)*GH139*GK139*VLOOKUP('Données projet'!$B$17,Paramètres!$A$1:$I$88,3,0)*0.475*44/12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projet'!$B$18,Paramètres!$A$1:$I$88,3,0)*VLOOKUP('Données projet'!$B$18,Paramètres!$A$1:$I$88,5,0)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projet'!$B$18,Paramètres!$A$1:$I$88,7,0))</f>
        <v>0</v>
      </c>
      <c r="HE139" s="17">
        <f>IF(ISNA(VLOOKUP(A139,'Données projet'!$A$269:$I$289,6,0)),0%,VLOOKUP(A139,'Données projet'!$A$269:$I$289,6,0)*VLOOKUP('Données projet'!$B$18,Paramètres!$A$1:$I$88,7,0))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projet'!$B$18,Paramètres!$A$1:$I$88,3,0)*0.475*44/12</f>
        <v>#N/A</v>
      </c>
      <c r="HH139" s="23" t="e">
        <f>EXP(-LN(2)/25)*HH138+(1-EXP(-LN(2)/25))/(LN(2)/25)*Calculateur!HC139*Calculateur!HE139*VLOOKUP('Données projet'!$B$18,Paramètres!$A$1:$I$88,3,0)*0.475*44/12</f>
        <v>#N/A</v>
      </c>
      <c r="HI139" s="23" t="e">
        <f>EXP(-LN(2)/2)*HI138+(1-EXP(-LN(2)/2))/(LN(2)/2)*HC139*HF139*VLOOKUP('Données projet'!$B$18,Paramètres!$A$1:$I$88,3,0)*0.475*44/12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projet'!$B$9,Paramètres!$A$1:$I$88,3,0)*VLOOKUP('Données projet'!$B$9,Paramètres!$A$1:$I$88,5,0)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175.05987582828078</v>
      </c>
      <c r="T140" s="62">
        <f t="shared" si="142"/>
        <v>268.54782308462387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projet'!$B$9,Paramètres!$A$1:$I$88,7,0))</f>
        <v>0</v>
      </c>
      <c r="X140" s="17">
        <f>IF(ISNA(VLOOKUP(A140,'Données projet'!$A$35:$I$55,6,0)),0%,VLOOKUP(A140,'Données projet'!$A$35:$I$55,6,0)*VLOOKUP('Données projet'!$B$9,Paramètres!$A$1:$I$88,7,0))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projet'!$B$9,Paramètres!$A$1:$I$88,3,0)*0.475*44/12</f>
        <v>0</v>
      </c>
      <c r="AA140" s="23">
        <f>EXP(-LN(2)/25)*AA139+(1-EXP(-LN(2)/25))/(LN(2)/25)*Calculateur!V140*Calculateur!X140*VLOOKUP('Données projet'!$B$9,Paramètres!$A$1:$I$88,3,0)*0.475*44/12</f>
        <v>0.5299537492903772</v>
      </c>
      <c r="AB140" s="23">
        <f>EXP(-LN(2)/2)*AB139+(1-EXP(-LN(2)/2))/(LN(2)/2)*V140*Y140*VLOOKUP('Données projet'!$B$9,Paramètres!$A$1:$I$88,3,0)*0.475*44/12</f>
        <v>1.2968037260762195E-15</v>
      </c>
      <c r="AC140" s="24">
        <f t="shared" si="111"/>
        <v>0.52995374929037853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7.9333333333333336</v>
      </c>
      <c r="AI140" s="14">
        <f>IF('Données projet'!$A$62&gt;35,AI139+AH140-AQ139,IF(A140&lt;'Données projet'!$A$62,$AF$205^A140,IF(A140='Données projet'!$A$62,'Données projet'!$B$62,AI139+AH140-AQ139)))</f>
        <v>928.86666666666554</v>
      </c>
      <c r="AJ140" s="14">
        <f>AI140*VLOOKUP('Données projet'!$B$10,Paramètres!$A$1:$I$88,3,0)*VLOOKUP('Données projet'!$B$10,Paramètres!$A$1:$I$88,5,0)</f>
        <v>446.78486666666612</v>
      </c>
      <c r="AK140" s="14">
        <f t="shared" si="143"/>
        <v>101.19966135010098</v>
      </c>
      <c r="AL140" s="22">
        <f t="shared" si="112"/>
        <v>954.4063862958692</v>
      </c>
      <c r="AM140" s="62">
        <f t="shared" si="113"/>
        <v>1247.7397196292025</v>
      </c>
      <c r="AN140" s="62">
        <f ca="1">AVERAGE(OFFSET($AM$3,0,0,'Données projet'!$E$10+1,1))-AVERAGE(OFFSET($H$3,0,0,'Données projet'!$E$10+1,1))</f>
        <v>576.61210817354549</v>
      </c>
      <c r="AO140" s="62">
        <f t="shared" si="144"/>
        <v>343.9428747444544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projet'!$B$10,Paramètres!$A$1:$I$88,7,0))</f>
        <v>0</v>
      </c>
      <c r="AS140" s="17">
        <f>IF(ISNA(VLOOKUP(A140,'Données projet'!$A$61:$I$81,6,0)),0%,VLOOKUP(A140,'Données projet'!$A$61:$I$81,6,0)*VLOOKUP('Données projet'!$B$10,Paramètres!$A$1:$I$88,7,0))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projet'!$B$10,Paramètres!$A$1:$I$88,3,0)*0.475*44/12</f>
        <v>0</v>
      </c>
      <c r="AV140" s="23">
        <f>EXP(-LN(2)/25)*AV139+(1-EXP(-LN(2)/25))/(LN(2)/25)*Calculateur!AQ140*Calculateur!AS140*VLOOKUP('Données projet'!$B$10,Paramètres!$A$1:$I$88,3,0)*0.475*44/12</f>
        <v>0.29149385061035937</v>
      </c>
      <c r="AW140" s="23">
        <f>EXP(-LN(2)/2)*AW139+(1-EXP(-LN(2)/2))/(LN(2)/2)*AQ140*AT140*VLOOKUP('Données projet'!$B$10,Paramètres!$A$1:$I$88,3,0)*0.475*44/12</f>
        <v>9.2348447486499588E-16</v>
      </c>
      <c r="AX140" s="23">
        <f t="shared" si="114"/>
        <v>0.29149385061036032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-5.6843418860808015E-14</v>
      </c>
      <c r="BE140" s="14">
        <f>BD140*VLOOKUP('Données projet'!$B$11,Paramètres!$A$1:$I$88,3,0)*VLOOKUP('Données projet'!$B$11,Paramètres!$A$1:$I$88,5,0)</f>
        <v>-4.5224624045658861E-14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298.38448036212861</v>
      </c>
      <c r="BJ140" s="62">
        <f t="shared" si="146"/>
        <v>270.4445531106897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projet'!$B$11,Paramètres!$A$1:$I$88,7,0))</f>
        <v>0</v>
      </c>
      <c r="BN140" s="17">
        <f>IF(ISNA(VLOOKUP(A140,'Données projet'!$A$87:$I$107,6,0)),0%,VLOOKUP(A140,'Données projet'!$A$87:$I$107,6,0)*VLOOKUP('Données projet'!$B$11,Paramètres!$A$1:$I$88,7,0))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projet'!$B$11,Paramètres!$A$1:$I$88,3,0)*0.475*44/12</f>
        <v>0</v>
      </c>
      <c r="BQ140" s="23">
        <f>EXP(-LN(2)/25)*BQ139+(1-EXP(-LN(2)/25))/(LN(2)/25)*Calculateur!BL140*Calculateur!BN140*VLOOKUP('Données projet'!$B$11,Paramètres!$A$1:$I$88,3,0)*0.475*44/12</f>
        <v>0</v>
      </c>
      <c r="BR140" s="23">
        <f>EXP(-LN(2)/2)*BR139+(1-EXP(-LN(2)/2))/(LN(2)/2)*BL140*BO140*VLOOKUP('Données projet'!$B$11,Paramètres!$A$1:$I$88,3,0)*0.475*44/12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5.6843418860808015E-14</v>
      </c>
      <c r="BZ140" s="14">
        <f>BY140*VLOOKUP('Données projet'!$B$12,Paramètres!$A$1:$I$88,3,0)*VLOOKUP('Données projet'!$B$12,Paramètres!$A$1:$I$88,5,0)</f>
        <v>4.4337866711430253E-14</v>
      </c>
      <c r="CA140" s="14">
        <f t="shared" si="147"/>
        <v>7.3222115536967035E-13</v>
      </c>
      <c r="CB140" s="22">
        <f t="shared" si="118"/>
        <v>1.3525069634579169E-12</v>
      </c>
      <c r="CC140" s="62">
        <f t="shared" si="119"/>
        <v>293.33333333333468</v>
      </c>
      <c r="CD140" s="62">
        <f ca="1">AVERAGE(OFFSET($CC$3,0,0,'Données projet'!$E$12+1,1))-AVERAGE(OFFSET($H$3,0,0,'Données projet'!$E$12+1,1))</f>
        <v>217.32600829266818</v>
      </c>
      <c r="CE140" s="62">
        <f t="shared" si="148"/>
        <v>208.79744153433245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projet'!$B$12,Paramètres!$A$1:$I$88,7,0))</f>
        <v>0</v>
      </c>
      <c r="CI140" s="17">
        <f>IF(ISNA(VLOOKUP(A140,'Données projet'!$A$113:$I$133,6,0)),0%,VLOOKUP(A140,'Données projet'!$A$113:$I$133,6,0)*VLOOKUP('Données projet'!$B$12,Paramètres!$A$1:$I$88,7,0))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projet'!$B$12,Paramètres!$A$1:$I$88,3,0)*0.475*44/12</f>
        <v>0</v>
      </c>
      <c r="CL140" s="23">
        <f>EXP(-LN(2)/25)*CL139+(1-EXP(-LN(2)/25))/(LN(2)/25)*Calculateur!CG140*Calculateur!CI140*VLOOKUP('Données projet'!$B$12,Paramètres!$A$1:$I$88,3,0)*0.475*44/12</f>
        <v>0</v>
      </c>
      <c r="CM140" s="23">
        <f>EXP(-LN(2)/2)*CM139+(1-EXP(-LN(2)/2))/(LN(2)/2)*CG140*CJ140*VLOOKUP('Données projet'!$B$12,Paramètres!$A$1:$I$88,3,0)*0.475*44/12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-3.4106051316484809E-13</v>
      </c>
      <c r="CU140" s="18">
        <f>CT140*VLOOKUP('Données projet'!$B$13,Paramètres!$A$1:$I$88,3,0)*VLOOKUP('Données projet'!$B$13,Paramètres!$A$1:$I$88,5,0)</f>
        <v>-1.9065282685915009E-13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302.20483575440988</v>
      </c>
      <c r="CZ140" s="62">
        <f t="shared" si="150"/>
        <v>275.32862097158687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projet'!$B$13,Paramètres!$A$1:$I$88,7,0))</f>
        <v>0</v>
      </c>
      <c r="DD140" s="17">
        <f>IF(ISNA(VLOOKUP(A140,'Données projet'!$A$139:$I$159,6,0)),0%,VLOOKUP(A140,'Données projet'!$A$139:$I$159,6,0)*VLOOKUP('Données projet'!$B$13,Paramètres!$A$1:$I$88,7,0))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projet'!$B$13,Paramètres!$A$1:$I$88,3,0)*0.475*44/12</f>
        <v>0</v>
      </c>
      <c r="DG140" s="23">
        <f>EXP(-LN(2)/25)*DG139+(1-EXP(-LN(2)/25))/(LN(2)/25)*Calculateur!DB140*Calculateur!DD140*VLOOKUP('Données projet'!$B$13,Paramètres!$A$1:$I$88,3,0)*0.475*44/12</f>
        <v>0.71174863051866177</v>
      </c>
      <c r="DH140" s="23">
        <f>EXP(-LN(2)/2)*DH139+(1-EXP(-LN(2)/2))/(LN(2)/2)*DB140*DE140*VLOOKUP('Données projet'!$B$13,Paramètres!$A$1:$I$88,3,0)*0.475*44/12</f>
        <v>5.3233103201090646E-16</v>
      </c>
      <c r="DI140" s="24">
        <f t="shared" si="123"/>
        <v>0.71174863051866233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projet'!$B$14,Paramètres!$A$1:$I$88,3,0)*VLOOKUP('Données projet'!$B$14,Paramètres!$A$1:$I$88,5,0)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projet'!$B$14,Paramètres!$A$1:$I$88,7,0))</f>
        <v>0</v>
      </c>
      <c r="DY140" s="17">
        <f>IF(ISNA(VLOOKUP(A140,'Données projet'!$A$165:$I$185,6,0)),0%,VLOOKUP(A140,'Données projet'!$A$165:$I$185,6,0)*VLOOKUP('Données projet'!$B$14,Paramètres!$A$1:$I$88,7,0))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projet'!$B$14,Paramètres!$A$1:$I$88,3,0)*0.475*44/12</f>
        <v>#N/A</v>
      </c>
      <c r="EB140" s="23" t="e">
        <f>EXP(-LN(2)/25)*EB139+(1-EXP(-LN(2)/25))/(LN(2)/25)*Calculateur!DW140*Calculateur!DY140*VLOOKUP('Données projet'!$B$14,Paramètres!$A$1:$I$88,3,0)*0.475*44/12</f>
        <v>#N/A</v>
      </c>
      <c r="EC140" s="23" t="e">
        <f>EXP(-LN(2)/2)*EC139+(1-EXP(-LN(2)/2))/(LN(2)/2)*DW140*DZ140*VLOOKUP('Données projet'!$B$14,Paramètres!$A$1:$I$88,3,0)*0.475*44/12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projet'!$B$15,Paramètres!$A$1:$I$88,3,0)*VLOOKUP('Données projet'!$B$15,Paramètres!$A$1:$I$88,5,0)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projet'!$B$15,Paramètres!$A$1:$I$88,7,0))</f>
        <v>0</v>
      </c>
      <c r="ET140" s="17">
        <f>IF(ISNA(VLOOKUP(A140,'Données projet'!$A$191:$I$211,6,0)),0%,VLOOKUP(A140,'Données projet'!$A$191:$I$211,6,0)*VLOOKUP('Données projet'!$B$15,Paramètres!$A$1:$I$88,7,0))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projet'!$B$15,Paramètres!$A$1:$I$88,3,0)*0.475*44/12</f>
        <v>#N/A</v>
      </c>
      <c r="EW140" s="23" t="e">
        <f>EXP(-LN(2)/25)*EW139+(1-EXP(-LN(2)/25))/(LN(2)/25)*Calculateur!ER140*Calculateur!ET140*VLOOKUP('Données projet'!$B$15,Paramètres!$A$1:$I$88,3,0)*0.475*44/12</f>
        <v>#N/A</v>
      </c>
      <c r="EX140" s="23" t="e">
        <f>EXP(-LN(2)/2)*EX139+(1-EXP(-LN(2)/2))/(LN(2)/2)*ER140*EU140*VLOOKUP('Données projet'!$B$15,Paramètres!$A$1:$I$88,3,0)*0.475*44/12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projet'!$B$16,Paramètres!$A$1:$I$88,3,0)*VLOOKUP('Données projet'!$B$16,Paramètres!$A$1:$I$88,5,0)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projet'!$B$16,Paramètres!$A$1:$I$88,7,0))</f>
        <v>0</v>
      </c>
      <c r="FO140" s="17">
        <f>IF(ISNA(VLOOKUP(A140,'Données projet'!$A$217:$I$237,6,0)),0%,VLOOKUP(A140,'Données projet'!$A$217:$I$237,6,0)*VLOOKUP('Données projet'!$B$16,Paramètres!$A$1:$I$88,7,0))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projet'!$B$16,Paramètres!$A$1:$I$88,3,0)*0.475*44/12</f>
        <v>#N/A</v>
      </c>
      <c r="FR140" s="23" t="e">
        <f>EXP(-LN(2)/25)*FR139+(1-EXP(-LN(2)/25))/(LN(2)/25)*Calculateur!FM140*Calculateur!FO140*VLOOKUP('Données projet'!$B$16,Paramètres!$A$1:$I$88,3,0)*0.475*44/12</f>
        <v>#N/A</v>
      </c>
      <c r="FS140" s="23" t="e">
        <f>EXP(-LN(2)/2)*FS139+(1-EXP(-LN(2)/2))/(LN(2)/2)*FM140*FP140*VLOOKUP('Données projet'!$B$16,Paramètres!$A$1:$I$88,3,0)*0.475*44/12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projet'!$B$17,Paramètres!$A$1:$I$88,3,0)*VLOOKUP('Données projet'!$B$17,Paramètres!$A$1:$I$88,5,0)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projet'!$B$17,Paramètres!$A$1:$I$88,7,0))</f>
        <v>0</v>
      </c>
      <c r="GJ140" s="17">
        <f>IF(ISNA(VLOOKUP(A140,'Données projet'!$A$243:$I$263,6,0)),0%,VLOOKUP(A140,'Données projet'!$A$243:$I$263,6,0)*VLOOKUP('Données projet'!$B$17,Paramètres!$A$1:$I$88,7,0))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projet'!$B$17,Paramètres!$A$1:$I$88,3,0)*0.475*44/12</f>
        <v>#N/A</v>
      </c>
      <c r="GM140" s="23" t="e">
        <f>EXP(-LN(2)/25)*GM139+(1-EXP(-LN(2)/25))/(LN(2)/25)*Calculateur!GH140*Calculateur!GJ140*VLOOKUP('Données projet'!$B$17,Paramètres!$A$1:$I$88,3,0)*0.475*44/12</f>
        <v>#N/A</v>
      </c>
      <c r="GN140" s="23" t="e">
        <f>EXP(-LN(2)/2)*GN139+(1-EXP(-LN(2)/2))/(LN(2)/2)*GH140*GK140*VLOOKUP('Données projet'!$B$17,Paramètres!$A$1:$I$88,3,0)*0.475*44/12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projet'!$B$18,Paramètres!$A$1:$I$88,3,0)*VLOOKUP('Données projet'!$B$18,Paramètres!$A$1:$I$88,5,0)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projet'!$B$18,Paramètres!$A$1:$I$88,7,0))</f>
        <v>0</v>
      </c>
      <c r="HE140" s="17">
        <f>IF(ISNA(VLOOKUP(A140,'Données projet'!$A$269:$I$289,6,0)),0%,VLOOKUP(A140,'Données projet'!$A$269:$I$289,6,0)*VLOOKUP('Données projet'!$B$18,Paramètres!$A$1:$I$88,7,0))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projet'!$B$18,Paramètres!$A$1:$I$88,3,0)*0.475*44/12</f>
        <v>#N/A</v>
      </c>
      <c r="HH140" s="23" t="e">
        <f>EXP(-LN(2)/25)*HH139+(1-EXP(-LN(2)/25))/(LN(2)/25)*Calculateur!HC140*Calculateur!HE140*VLOOKUP('Données projet'!$B$18,Paramètres!$A$1:$I$88,3,0)*0.475*44/12</f>
        <v>#N/A</v>
      </c>
      <c r="HI140" s="23" t="e">
        <f>EXP(-LN(2)/2)*HI139+(1-EXP(-LN(2)/2))/(LN(2)/2)*HC140*HF140*VLOOKUP('Données projet'!$B$18,Paramètres!$A$1:$I$88,3,0)*0.475*44/12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projet'!$B$9,Paramètres!$A$1:$I$88,3,0)*VLOOKUP('Données projet'!$B$9,Paramètres!$A$1:$I$88,5,0)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175.05987582828078</v>
      </c>
      <c r="T141" s="62">
        <f t="shared" si="142"/>
        <v>268.54782308462387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projet'!$B$9,Paramètres!$A$1:$I$88,7,0))</f>
        <v>0</v>
      </c>
      <c r="X141" s="17">
        <f>IF(ISNA(VLOOKUP(A141,'Données projet'!$A$35:$I$55,6,0)),0%,VLOOKUP(A141,'Données projet'!$A$35:$I$55,6,0)*VLOOKUP('Données projet'!$B$9,Paramètres!$A$1:$I$88,7,0))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projet'!$B$9,Paramètres!$A$1:$I$88,3,0)*0.475*44/12</f>
        <v>0</v>
      </c>
      <c r="AA141" s="23">
        <f>EXP(-LN(2)/25)*AA140+(1-EXP(-LN(2)/25))/(LN(2)/25)*Calculateur!V141*Calculateur!X141*VLOOKUP('Données projet'!$B$9,Paramètres!$A$1:$I$88,3,0)*0.475*44/12</f>
        <v>0.51546213614697534</v>
      </c>
      <c r="AB141" s="23">
        <f>EXP(-LN(2)/2)*AB140+(1-EXP(-LN(2)/2))/(LN(2)/2)*V141*Y141*VLOOKUP('Données projet'!$B$9,Paramètres!$A$1:$I$88,3,0)*0.475*44/12</f>
        <v>9.1697870857647683E-16</v>
      </c>
      <c r="AC141" s="24">
        <f t="shared" si="111"/>
        <v>0.51546213614697622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7.9333333333333336</v>
      </c>
      <c r="AI141" s="14">
        <f>IF('Données projet'!$A$62&gt;35,AI140+AH141-AQ140,IF(A141&lt;'Données projet'!$A$62,$AF$205^A141,IF(A141='Données projet'!$A$62,'Données projet'!$B$62,AI140+AH141-AQ140)))</f>
        <v>936.79999999999882</v>
      </c>
      <c r="AJ141" s="14">
        <f>AI141*VLOOKUP('Données projet'!$B$10,Paramètres!$A$1:$I$88,3,0)*VLOOKUP('Données projet'!$B$10,Paramètres!$A$1:$I$88,5,0)</f>
        <v>450.60079999999942</v>
      </c>
      <c r="AK141" s="14">
        <f t="shared" si="143"/>
        <v>101.96300806652033</v>
      </c>
      <c r="AL141" s="22">
        <f t="shared" si="112"/>
        <v>962.38196571585513</v>
      </c>
      <c r="AM141" s="62">
        <f t="shared" si="113"/>
        <v>1255.7152990491884</v>
      </c>
      <c r="AN141" s="62">
        <f ca="1">AVERAGE(OFFSET($AM$3,0,0,'Données projet'!$E$10+1,1))-AVERAGE(OFFSET($H$3,0,0,'Données projet'!$E$10+1,1))</f>
        <v>576.61210817354549</v>
      </c>
      <c r="AO141" s="62">
        <f t="shared" si="144"/>
        <v>343.9428747444544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projet'!$B$10,Paramètres!$A$1:$I$88,7,0))</f>
        <v>0</v>
      </c>
      <c r="AS141" s="17">
        <f>IF(ISNA(VLOOKUP(A141,'Données projet'!$A$61:$I$81,6,0)),0%,VLOOKUP(A141,'Données projet'!$A$61:$I$81,6,0)*VLOOKUP('Données projet'!$B$10,Paramètres!$A$1:$I$88,7,0))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projet'!$B$10,Paramètres!$A$1:$I$88,3,0)*0.475*44/12</f>
        <v>0</v>
      </c>
      <c r="AV141" s="23">
        <f>EXP(-LN(2)/25)*AV140+(1-EXP(-LN(2)/25))/(LN(2)/25)*Calculateur!AQ141*Calculateur!AS141*VLOOKUP('Données projet'!$B$10,Paramètres!$A$1:$I$88,3,0)*0.475*44/12</f>
        <v>0.28352293593642369</v>
      </c>
      <c r="AW141" s="23">
        <f>EXP(-LN(2)/2)*AW140+(1-EXP(-LN(2)/2))/(LN(2)/2)*AQ141*AT141*VLOOKUP('Données projet'!$B$10,Paramètres!$A$1:$I$88,3,0)*0.475*44/12</f>
        <v>6.530021344975364E-16</v>
      </c>
      <c r="AX141" s="23">
        <f t="shared" si="114"/>
        <v>0.28352293593642436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-5.6843418860808015E-14</v>
      </c>
      <c r="BE141" s="14">
        <f>BD141*VLOOKUP('Données projet'!$B$11,Paramètres!$A$1:$I$88,3,0)*VLOOKUP('Données projet'!$B$11,Paramètres!$A$1:$I$88,5,0)</f>
        <v>-4.5224624045658861E-14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298.38448036212861</v>
      </c>
      <c r="BJ141" s="62">
        <f t="shared" si="146"/>
        <v>270.4445531106897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projet'!$B$11,Paramètres!$A$1:$I$88,7,0))</f>
        <v>0</v>
      </c>
      <c r="BN141" s="17">
        <f>IF(ISNA(VLOOKUP(A141,'Données projet'!$A$87:$I$107,6,0)),0%,VLOOKUP(A141,'Données projet'!$A$87:$I$107,6,0)*VLOOKUP('Données projet'!$B$11,Paramètres!$A$1:$I$88,7,0))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projet'!$B$11,Paramètres!$A$1:$I$88,3,0)*0.475*44/12</f>
        <v>0</v>
      </c>
      <c r="BQ141" s="23">
        <f>EXP(-LN(2)/25)*BQ140+(1-EXP(-LN(2)/25))/(LN(2)/25)*Calculateur!BL141*Calculateur!BN141*VLOOKUP('Données projet'!$B$11,Paramètres!$A$1:$I$88,3,0)*0.475*44/12</f>
        <v>0</v>
      </c>
      <c r="BR141" s="23">
        <f>EXP(-LN(2)/2)*BR140+(1-EXP(-LN(2)/2))/(LN(2)/2)*BL141*BO141*VLOOKUP('Données projet'!$B$11,Paramètres!$A$1:$I$88,3,0)*0.475*44/12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5.6843418860808015E-14</v>
      </c>
      <c r="BZ141" s="14">
        <f>BY141*VLOOKUP('Données projet'!$B$12,Paramètres!$A$1:$I$88,3,0)*VLOOKUP('Données projet'!$B$12,Paramètres!$A$1:$I$88,5,0)</f>
        <v>4.4337866711430253E-14</v>
      </c>
      <c r="CA141" s="14">
        <f t="shared" si="147"/>
        <v>7.3222115536967035E-13</v>
      </c>
      <c r="CB141" s="22">
        <f t="shared" si="118"/>
        <v>1.3525069634579169E-12</v>
      </c>
      <c r="CC141" s="62">
        <f t="shared" si="119"/>
        <v>293.33333333333468</v>
      </c>
      <c r="CD141" s="62">
        <f ca="1">AVERAGE(OFFSET($CC$3,0,0,'Données projet'!$E$12+1,1))-AVERAGE(OFFSET($H$3,0,0,'Données projet'!$E$12+1,1))</f>
        <v>217.32600829266818</v>
      </c>
      <c r="CE141" s="62">
        <f t="shared" si="148"/>
        <v>208.79744153433245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projet'!$B$12,Paramètres!$A$1:$I$88,7,0))</f>
        <v>0</v>
      </c>
      <c r="CI141" s="17">
        <f>IF(ISNA(VLOOKUP(A141,'Données projet'!$A$113:$I$133,6,0)),0%,VLOOKUP(A141,'Données projet'!$A$113:$I$133,6,0)*VLOOKUP('Données projet'!$B$12,Paramètres!$A$1:$I$88,7,0))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projet'!$B$12,Paramètres!$A$1:$I$88,3,0)*0.475*44/12</f>
        <v>0</v>
      </c>
      <c r="CL141" s="23">
        <f>EXP(-LN(2)/25)*CL140+(1-EXP(-LN(2)/25))/(LN(2)/25)*Calculateur!CG141*Calculateur!CI141*VLOOKUP('Données projet'!$B$12,Paramètres!$A$1:$I$88,3,0)*0.475*44/12</f>
        <v>0</v>
      </c>
      <c r="CM141" s="23">
        <f>EXP(-LN(2)/2)*CM140+(1-EXP(-LN(2)/2))/(LN(2)/2)*CG141*CJ141*VLOOKUP('Données projet'!$B$12,Paramètres!$A$1:$I$88,3,0)*0.475*44/12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-3.4106051316484809E-13</v>
      </c>
      <c r="CU141" s="18">
        <f>CT141*VLOOKUP('Données projet'!$B$13,Paramètres!$A$1:$I$88,3,0)*VLOOKUP('Données projet'!$B$13,Paramètres!$A$1:$I$88,5,0)</f>
        <v>-1.9065282685915009E-13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302.20483575440988</v>
      </c>
      <c r="CZ141" s="62">
        <f t="shared" si="150"/>
        <v>275.32862097158687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projet'!$B$13,Paramètres!$A$1:$I$88,7,0))</f>
        <v>0</v>
      </c>
      <c r="DD141" s="17">
        <f>IF(ISNA(VLOOKUP(A141,'Données projet'!$A$139:$I$159,6,0)),0%,VLOOKUP(A141,'Données projet'!$A$139:$I$159,6,0)*VLOOKUP('Données projet'!$B$13,Paramètres!$A$1:$I$88,7,0))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projet'!$B$13,Paramètres!$A$1:$I$88,3,0)*0.475*44/12</f>
        <v>0</v>
      </c>
      <c r="DG141" s="23">
        <f>EXP(-LN(2)/25)*DG140+(1-EXP(-LN(2)/25))/(LN(2)/25)*Calculateur!DB141*Calculateur!DD141*VLOOKUP('Données projet'!$B$13,Paramètres!$A$1:$I$88,3,0)*0.475*44/12</f>
        <v>0.69228582678789519</v>
      </c>
      <c r="DH141" s="23">
        <f>EXP(-LN(2)/2)*DH140+(1-EXP(-LN(2)/2))/(LN(2)/2)*DB141*DE141*VLOOKUP('Données projet'!$B$13,Paramètres!$A$1:$I$88,3,0)*0.475*44/12</f>
        <v>3.7641488257094507E-16</v>
      </c>
      <c r="DI141" s="24">
        <f t="shared" si="123"/>
        <v>0.69228582678789552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projet'!$B$14,Paramètres!$A$1:$I$88,3,0)*VLOOKUP('Données projet'!$B$14,Paramètres!$A$1:$I$88,5,0)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projet'!$B$14,Paramètres!$A$1:$I$88,7,0))</f>
        <v>0</v>
      </c>
      <c r="DY141" s="17">
        <f>IF(ISNA(VLOOKUP(A141,'Données projet'!$A$165:$I$185,6,0)),0%,VLOOKUP(A141,'Données projet'!$A$165:$I$185,6,0)*VLOOKUP('Données projet'!$B$14,Paramètres!$A$1:$I$88,7,0))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projet'!$B$14,Paramètres!$A$1:$I$88,3,0)*0.475*44/12</f>
        <v>#N/A</v>
      </c>
      <c r="EB141" s="23" t="e">
        <f>EXP(-LN(2)/25)*EB140+(1-EXP(-LN(2)/25))/(LN(2)/25)*Calculateur!DW141*Calculateur!DY141*VLOOKUP('Données projet'!$B$14,Paramètres!$A$1:$I$88,3,0)*0.475*44/12</f>
        <v>#N/A</v>
      </c>
      <c r="EC141" s="23" t="e">
        <f>EXP(-LN(2)/2)*EC140+(1-EXP(-LN(2)/2))/(LN(2)/2)*DW141*DZ141*VLOOKUP('Données projet'!$B$14,Paramètres!$A$1:$I$88,3,0)*0.475*44/12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projet'!$B$15,Paramètres!$A$1:$I$88,3,0)*VLOOKUP('Données projet'!$B$15,Paramètres!$A$1:$I$88,5,0)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projet'!$B$15,Paramètres!$A$1:$I$88,7,0))</f>
        <v>0</v>
      </c>
      <c r="ET141" s="17">
        <f>IF(ISNA(VLOOKUP(A141,'Données projet'!$A$191:$I$211,6,0)),0%,VLOOKUP(A141,'Données projet'!$A$191:$I$211,6,0)*VLOOKUP('Données projet'!$B$15,Paramètres!$A$1:$I$88,7,0))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projet'!$B$15,Paramètres!$A$1:$I$88,3,0)*0.475*44/12</f>
        <v>#N/A</v>
      </c>
      <c r="EW141" s="23" t="e">
        <f>EXP(-LN(2)/25)*EW140+(1-EXP(-LN(2)/25))/(LN(2)/25)*Calculateur!ER141*Calculateur!ET141*VLOOKUP('Données projet'!$B$15,Paramètres!$A$1:$I$88,3,0)*0.475*44/12</f>
        <v>#N/A</v>
      </c>
      <c r="EX141" s="23" t="e">
        <f>EXP(-LN(2)/2)*EX140+(1-EXP(-LN(2)/2))/(LN(2)/2)*ER141*EU141*VLOOKUP('Données projet'!$B$15,Paramètres!$A$1:$I$88,3,0)*0.475*44/12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projet'!$B$16,Paramètres!$A$1:$I$88,3,0)*VLOOKUP('Données projet'!$B$16,Paramètres!$A$1:$I$88,5,0)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projet'!$B$16,Paramètres!$A$1:$I$88,7,0))</f>
        <v>0</v>
      </c>
      <c r="FO141" s="17">
        <f>IF(ISNA(VLOOKUP(A141,'Données projet'!$A$217:$I$237,6,0)),0%,VLOOKUP(A141,'Données projet'!$A$217:$I$237,6,0)*VLOOKUP('Données projet'!$B$16,Paramètres!$A$1:$I$88,7,0))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projet'!$B$16,Paramètres!$A$1:$I$88,3,0)*0.475*44/12</f>
        <v>#N/A</v>
      </c>
      <c r="FR141" s="23" t="e">
        <f>EXP(-LN(2)/25)*FR140+(1-EXP(-LN(2)/25))/(LN(2)/25)*Calculateur!FM141*Calculateur!FO141*VLOOKUP('Données projet'!$B$16,Paramètres!$A$1:$I$88,3,0)*0.475*44/12</f>
        <v>#N/A</v>
      </c>
      <c r="FS141" s="23" t="e">
        <f>EXP(-LN(2)/2)*FS140+(1-EXP(-LN(2)/2))/(LN(2)/2)*FM141*FP141*VLOOKUP('Données projet'!$B$16,Paramètres!$A$1:$I$88,3,0)*0.475*44/12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projet'!$B$17,Paramètres!$A$1:$I$88,3,0)*VLOOKUP('Données projet'!$B$17,Paramètres!$A$1:$I$88,5,0)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projet'!$B$17,Paramètres!$A$1:$I$88,7,0))</f>
        <v>0</v>
      </c>
      <c r="GJ141" s="17">
        <f>IF(ISNA(VLOOKUP(A141,'Données projet'!$A$243:$I$263,6,0)),0%,VLOOKUP(A141,'Données projet'!$A$243:$I$263,6,0)*VLOOKUP('Données projet'!$B$17,Paramètres!$A$1:$I$88,7,0))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projet'!$B$17,Paramètres!$A$1:$I$88,3,0)*0.475*44/12</f>
        <v>#N/A</v>
      </c>
      <c r="GM141" s="23" t="e">
        <f>EXP(-LN(2)/25)*GM140+(1-EXP(-LN(2)/25))/(LN(2)/25)*Calculateur!GH141*Calculateur!GJ141*VLOOKUP('Données projet'!$B$17,Paramètres!$A$1:$I$88,3,0)*0.475*44/12</f>
        <v>#N/A</v>
      </c>
      <c r="GN141" s="23" t="e">
        <f>EXP(-LN(2)/2)*GN140+(1-EXP(-LN(2)/2))/(LN(2)/2)*GH141*GK141*VLOOKUP('Données projet'!$B$17,Paramètres!$A$1:$I$88,3,0)*0.475*44/12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projet'!$B$18,Paramètres!$A$1:$I$88,3,0)*VLOOKUP('Données projet'!$B$18,Paramètres!$A$1:$I$88,5,0)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projet'!$B$18,Paramètres!$A$1:$I$88,7,0))</f>
        <v>0</v>
      </c>
      <c r="HE141" s="17">
        <f>IF(ISNA(VLOOKUP(A141,'Données projet'!$A$269:$I$289,6,0)),0%,VLOOKUP(A141,'Données projet'!$A$269:$I$289,6,0)*VLOOKUP('Données projet'!$B$18,Paramètres!$A$1:$I$88,7,0))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projet'!$B$18,Paramètres!$A$1:$I$88,3,0)*0.475*44/12</f>
        <v>#N/A</v>
      </c>
      <c r="HH141" s="23" t="e">
        <f>EXP(-LN(2)/25)*HH140+(1-EXP(-LN(2)/25))/(LN(2)/25)*Calculateur!HC141*Calculateur!HE141*VLOOKUP('Données projet'!$B$18,Paramètres!$A$1:$I$88,3,0)*0.475*44/12</f>
        <v>#N/A</v>
      </c>
      <c r="HI141" s="23" t="e">
        <f>EXP(-LN(2)/2)*HI140+(1-EXP(-LN(2)/2))/(LN(2)/2)*HC141*HF141*VLOOKUP('Données projet'!$B$18,Paramètres!$A$1:$I$88,3,0)*0.475*44/12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projet'!$B$9,Paramètres!$A$1:$I$88,3,0)*VLOOKUP('Données projet'!$B$9,Paramètres!$A$1:$I$88,5,0)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175.05987582828078</v>
      </c>
      <c r="T142" s="62">
        <f t="shared" si="142"/>
        <v>268.54782308462387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projet'!$B$9,Paramètres!$A$1:$I$88,7,0))</f>
        <v>0</v>
      </c>
      <c r="X142" s="17">
        <f>IF(ISNA(VLOOKUP(A142,'Données projet'!$A$35:$I$55,6,0)),0%,VLOOKUP(A142,'Données projet'!$A$35:$I$55,6,0)*VLOOKUP('Données projet'!$B$9,Paramètres!$A$1:$I$88,7,0))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projet'!$B$9,Paramètres!$A$1:$I$88,3,0)*0.475*44/12</f>
        <v>0</v>
      </c>
      <c r="AA142" s="23">
        <f>EXP(-LN(2)/25)*AA141+(1-EXP(-LN(2)/25))/(LN(2)/25)*Calculateur!V142*Calculateur!X142*VLOOKUP('Données projet'!$B$9,Paramètres!$A$1:$I$88,3,0)*0.475*44/12</f>
        <v>0.50136679692706065</v>
      </c>
      <c r="AB142" s="23">
        <f>EXP(-LN(2)/2)*AB141+(1-EXP(-LN(2)/2))/(LN(2)/2)*V142*Y142*VLOOKUP('Données projet'!$B$9,Paramètres!$A$1:$I$88,3,0)*0.475*44/12</f>
        <v>6.4840186303810974E-16</v>
      </c>
      <c r="AC142" s="24">
        <f t="shared" si="111"/>
        <v>0.50136679692706132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7.9333333333333336</v>
      </c>
      <c r="AI142" s="14">
        <f>IF('Données projet'!$A$62&gt;35,AI141+AH142-AQ141,IF(A142&lt;'Données projet'!$A$62,$AF$205^A142,IF(A142='Données projet'!$A$62,'Données projet'!$B$62,AI141+AH142-AQ141)))</f>
        <v>944.7333333333321</v>
      </c>
      <c r="AJ142" s="14">
        <f>AI142*VLOOKUP('Données projet'!$B$10,Paramètres!$A$1:$I$88,3,0)*VLOOKUP('Données projet'!$B$10,Paramètres!$A$1:$I$88,5,0)</f>
        <v>454.41673333333273</v>
      </c>
      <c r="AK142" s="14">
        <f t="shared" si="143"/>
        <v>102.72560268378579</v>
      </c>
      <c r="AL142" s="22">
        <f t="shared" si="112"/>
        <v>970.35623522981484</v>
      </c>
      <c r="AM142" s="62">
        <f t="shared" si="113"/>
        <v>1263.6895685631482</v>
      </c>
      <c r="AN142" s="62">
        <f ca="1">AVERAGE(OFFSET($AM$3,0,0,'Données projet'!$E$10+1,1))-AVERAGE(OFFSET($H$3,0,0,'Données projet'!$E$10+1,1))</f>
        <v>576.61210817354549</v>
      </c>
      <c r="AO142" s="62">
        <f t="shared" si="144"/>
        <v>343.9428747444544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projet'!$B$10,Paramètres!$A$1:$I$88,7,0))</f>
        <v>0</v>
      </c>
      <c r="AS142" s="17">
        <f>IF(ISNA(VLOOKUP(A142,'Données projet'!$A$61:$I$81,6,0)),0%,VLOOKUP(A142,'Données projet'!$A$61:$I$81,6,0)*VLOOKUP('Données projet'!$B$10,Paramètres!$A$1:$I$88,7,0))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projet'!$B$10,Paramètres!$A$1:$I$88,3,0)*0.475*44/12</f>
        <v>0</v>
      </c>
      <c r="AV142" s="23">
        <f>EXP(-LN(2)/25)*AV141+(1-EXP(-LN(2)/25))/(LN(2)/25)*Calculateur!AQ142*Calculateur!AS142*VLOOKUP('Données projet'!$B$10,Paramètres!$A$1:$I$88,3,0)*0.475*44/12</f>
        <v>0.27576998634341898</v>
      </c>
      <c r="AW142" s="23">
        <f>EXP(-LN(2)/2)*AW141+(1-EXP(-LN(2)/2))/(LN(2)/2)*AQ142*AT142*VLOOKUP('Données projet'!$B$10,Paramètres!$A$1:$I$88,3,0)*0.475*44/12</f>
        <v>4.6174223743249794E-16</v>
      </c>
      <c r="AX142" s="23">
        <f t="shared" si="114"/>
        <v>0.27576998634341943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-5.6843418860808015E-14</v>
      </c>
      <c r="BE142" s="14">
        <f>BD142*VLOOKUP('Données projet'!$B$11,Paramètres!$A$1:$I$88,3,0)*VLOOKUP('Données projet'!$B$11,Paramètres!$A$1:$I$88,5,0)</f>
        <v>-4.5224624045658861E-14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298.38448036212861</v>
      </c>
      <c r="BJ142" s="62">
        <f t="shared" si="146"/>
        <v>270.4445531106897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projet'!$B$11,Paramètres!$A$1:$I$88,7,0))</f>
        <v>0</v>
      </c>
      <c r="BN142" s="17">
        <f>IF(ISNA(VLOOKUP(A142,'Données projet'!$A$87:$I$107,6,0)),0%,VLOOKUP(A142,'Données projet'!$A$87:$I$107,6,0)*VLOOKUP('Données projet'!$B$11,Paramètres!$A$1:$I$88,7,0))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projet'!$B$11,Paramètres!$A$1:$I$88,3,0)*0.475*44/12</f>
        <v>0</v>
      </c>
      <c r="BQ142" s="23">
        <f>EXP(-LN(2)/25)*BQ141+(1-EXP(-LN(2)/25))/(LN(2)/25)*Calculateur!BL142*Calculateur!BN142*VLOOKUP('Données projet'!$B$11,Paramètres!$A$1:$I$88,3,0)*0.475*44/12</f>
        <v>0</v>
      </c>
      <c r="BR142" s="23">
        <f>EXP(-LN(2)/2)*BR141+(1-EXP(-LN(2)/2))/(LN(2)/2)*BL142*BO142*VLOOKUP('Données projet'!$B$11,Paramètres!$A$1:$I$88,3,0)*0.475*44/12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5.6843418860808015E-14</v>
      </c>
      <c r="BZ142" s="14">
        <f>BY142*VLOOKUP('Données projet'!$B$12,Paramètres!$A$1:$I$88,3,0)*VLOOKUP('Données projet'!$B$12,Paramètres!$A$1:$I$88,5,0)</f>
        <v>4.4337866711430253E-14</v>
      </c>
      <c r="CA142" s="14">
        <f t="shared" si="147"/>
        <v>7.3222115536967035E-13</v>
      </c>
      <c r="CB142" s="22">
        <f t="shared" si="118"/>
        <v>1.3525069634579169E-12</v>
      </c>
      <c r="CC142" s="62">
        <f t="shared" si="119"/>
        <v>293.33333333333468</v>
      </c>
      <c r="CD142" s="62">
        <f ca="1">AVERAGE(OFFSET($CC$3,0,0,'Données projet'!$E$12+1,1))-AVERAGE(OFFSET($H$3,0,0,'Données projet'!$E$12+1,1))</f>
        <v>217.32600829266818</v>
      </c>
      <c r="CE142" s="62">
        <f t="shared" si="148"/>
        <v>208.79744153433245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projet'!$B$12,Paramètres!$A$1:$I$88,7,0))</f>
        <v>0</v>
      </c>
      <c r="CI142" s="17">
        <f>IF(ISNA(VLOOKUP(A142,'Données projet'!$A$113:$I$133,6,0)),0%,VLOOKUP(A142,'Données projet'!$A$113:$I$133,6,0)*VLOOKUP('Données projet'!$B$12,Paramètres!$A$1:$I$88,7,0))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projet'!$B$12,Paramètres!$A$1:$I$88,3,0)*0.475*44/12</f>
        <v>0</v>
      </c>
      <c r="CL142" s="23">
        <f>EXP(-LN(2)/25)*CL141+(1-EXP(-LN(2)/25))/(LN(2)/25)*Calculateur!CG142*Calculateur!CI142*VLOOKUP('Données projet'!$B$12,Paramètres!$A$1:$I$88,3,0)*0.475*44/12</f>
        <v>0</v>
      </c>
      <c r="CM142" s="23">
        <f>EXP(-LN(2)/2)*CM141+(1-EXP(-LN(2)/2))/(LN(2)/2)*CG142*CJ142*VLOOKUP('Données projet'!$B$12,Paramètres!$A$1:$I$88,3,0)*0.475*44/12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-3.4106051316484809E-13</v>
      </c>
      <c r="CU142" s="18">
        <f>CT142*VLOOKUP('Données projet'!$B$13,Paramètres!$A$1:$I$88,3,0)*VLOOKUP('Données projet'!$B$13,Paramètres!$A$1:$I$88,5,0)</f>
        <v>-1.9065282685915009E-13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302.20483575440988</v>
      </c>
      <c r="CZ142" s="62">
        <f t="shared" si="150"/>
        <v>275.32862097158687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projet'!$B$13,Paramètres!$A$1:$I$88,7,0))</f>
        <v>0</v>
      </c>
      <c r="DD142" s="17">
        <f>IF(ISNA(VLOOKUP(A142,'Données projet'!$A$139:$I$159,6,0)),0%,VLOOKUP(A142,'Données projet'!$A$139:$I$159,6,0)*VLOOKUP('Données projet'!$B$13,Paramètres!$A$1:$I$88,7,0))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projet'!$B$13,Paramètres!$A$1:$I$88,3,0)*0.475*44/12</f>
        <v>0</v>
      </c>
      <c r="DG142" s="23">
        <f>EXP(-LN(2)/25)*DG141+(1-EXP(-LN(2)/25))/(LN(2)/25)*Calculateur!DB142*Calculateur!DD142*VLOOKUP('Données projet'!$B$13,Paramètres!$A$1:$I$88,3,0)*0.475*44/12</f>
        <v>0.67335523444865075</v>
      </c>
      <c r="DH142" s="23">
        <f>EXP(-LN(2)/2)*DH141+(1-EXP(-LN(2)/2))/(LN(2)/2)*DB142*DE142*VLOOKUP('Données projet'!$B$13,Paramètres!$A$1:$I$88,3,0)*0.475*44/12</f>
        <v>2.6616551600545323E-16</v>
      </c>
      <c r="DI142" s="24">
        <f t="shared" si="123"/>
        <v>0.67335523444865097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projet'!$B$14,Paramètres!$A$1:$I$88,3,0)*VLOOKUP('Données projet'!$B$14,Paramètres!$A$1:$I$88,5,0)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projet'!$B$14,Paramètres!$A$1:$I$88,7,0))</f>
        <v>0</v>
      </c>
      <c r="DY142" s="17">
        <f>IF(ISNA(VLOOKUP(A142,'Données projet'!$A$165:$I$185,6,0)),0%,VLOOKUP(A142,'Données projet'!$A$165:$I$185,6,0)*VLOOKUP('Données projet'!$B$14,Paramètres!$A$1:$I$88,7,0))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projet'!$B$14,Paramètres!$A$1:$I$88,3,0)*0.475*44/12</f>
        <v>#N/A</v>
      </c>
      <c r="EB142" s="23" t="e">
        <f>EXP(-LN(2)/25)*EB141+(1-EXP(-LN(2)/25))/(LN(2)/25)*Calculateur!DW142*Calculateur!DY142*VLOOKUP('Données projet'!$B$14,Paramètres!$A$1:$I$88,3,0)*0.475*44/12</f>
        <v>#N/A</v>
      </c>
      <c r="EC142" s="23" t="e">
        <f>EXP(-LN(2)/2)*EC141+(1-EXP(-LN(2)/2))/(LN(2)/2)*DW142*DZ142*VLOOKUP('Données projet'!$B$14,Paramètres!$A$1:$I$88,3,0)*0.475*44/12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projet'!$B$15,Paramètres!$A$1:$I$88,3,0)*VLOOKUP('Données projet'!$B$15,Paramètres!$A$1:$I$88,5,0)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projet'!$B$15,Paramètres!$A$1:$I$88,7,0))</f>
        <v>0</v>
      </c>
      <c r="ET142" s="17">
        <f>IF(ISNA(VLOOKUP(A142,'Données projet'!$A$191:$I$211,6,0)),0%,VLOOKUP(A142,'Données projet'!$A$191:$I$211,6,0)*VLOOKUP('Données projet'!$B$15,Paramètres!$A$1:$I$88,7,0))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projet'!$B$15,Paramètres!$A$1:$I$88,3,0)*0.475*44/12</f>
        <v>#N/A</v>
      </c>
      <c r="EW142" s="23" t="e">
        <f>EXP(-LN(2)/25)*EW141+(1-EXP(-LN(2)/25))/(LN(2)/25)*Calculateur!ER142*Calculateur!ET142*VLOOKUP('Données projet'!$B$15,Paramètres!$A$1:$I$88,3,0)*0.475*44/12</f>
        <v>#N/A</v>
      </c>
      <c r="EX142" s="23" t="e">
        <f>EXP(-LN(2)/2)*EX141+(1-EXP(-LN(2)/2))/(LN(2)/2)*ER142*EU142*VLOOKUP('Données projet'!$B$15,Paramètres!$A$1:$I$88,3,0)*0.475*44/12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projet'!$B$16,Paramètres!$A$1:$I$88,3,0)*VLOOKUP('Données projet'!$B$16,Paramètres!$A$1:$I$88,5,0)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projet'!$B$16,Paramètres!$A$1:$I$88,7,0))</f>
        <v>0</v>
      </c>
      <c r="FO142" s="17">
        <f>IF(ISNA(VLOOKUP(A142,'Données projet'!$A$217:$I$237,6,0)),0%,VLOOKUP(A142,'Données projet'!$A$217:$I$237,6,0)*VLOOKUP('Données projet'!$B$16,Paramètres!$A$1:$I$88,7,0))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projet'!$B$16,Paramètres!$A$1:$I$88,3,0)*0.475*44/12</f>
        <v>#N/A</v>
      </c>
      <c r="FR142" s="23" t="e">
        <f>EXP(-LN(2)/25)*FR141+(1-EXP(-LN(2)/25))/(LN(2)/25)*Calculateur!FM142*Calculateur!FO142*VLOOKUP('Données projet'!$B$16,Paramètres!$A$1:$I$88,3,0)*0.475*44/12</f>
        <v>#N/A</v>
      </c>
      <c r="FS142" s="23" t="e">
        <f>EXP(-LN(2)/2)*FS141+(1-EXP(-LN(2)/2))/(LN(2)/2)*FM142*FP142*VLOOKUP('Données projet'!$B$16,Paramètres!$A$1:$I$88,3,0)*0.475*44/12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projet'!$B$17,Paramètres!$A$1:$I$88,3,0)*VLOOKUP('Données projet'!$B$17,Paramètres!$A$1:$I$88,5,0)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projet'!$B$17,Paramètres!$A$1:$I$88,7,0))</f>
        <v>0</v>
      </c>
      <c r="GJ142" s="17">
        <f>IF(ISNA(VLOOKUP(A142,'Données projet'!$A$243:$I$263,6,0)),0%,VLOOKUP(A142,'Données projet'!$A$243:$I$263,6,0)*VLOOKUP('Données projet'!$B$17,Paramètres!$A$1:$I$88,7,0))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projet'!$B$17,Paramètres!$A$1:$I$88,3,0)*0.475*44/12</f>
        <v>#N/A</v>
      </c>
      <c r="GM142" s="23" t="e">
        <f>EXP(-LN(2)/25)*GM141+(1-EXP(-LN(2)/25))/(LN(2)/25)*Calculateur!GH142*Calculateur!GJ142*VLOOKUP('Données projet'!$B$17,Paramètres!$A$1:$I$88,3,0)*0.475*44/12</f>
        <v>#N/A</v>
      </c>
      <c r="GN142" s="23" t="e">
        <f>EXP(-LN(2)/2)*GN141+(1-EXP(-LN(2)/2))/(LN(2)/2)*GH142*GK142*VLOOKUP('Données projet'!$B$17,Paramètres!$A$1:$I$88,3,0)*0.475*44/12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projet'!$B$18,Paramètres!$A$1:$I$88,3,0)*VLOOKUP('Données projet'!$B$18,Paramètres!$A$1:$I$88,5,0)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projet'!$B$18,Paramètres!$A$1:$I$88,7,0))</f>
        <v>0</v>
      </c>
      <c r="HE142" s="17">
        <f>IF(ISNA(VLOOKUP(A142,'Données projet'!$A$269:$I$289,6,0)),0%,VLOOKUP(A142,'Données projet'!$A$269:$I$289,6,0)*VLOOKUP('Données projet'!$B$18,Paramètres!$A$1:$I$88,7,0))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projet'!$B$18,Paramètres!$A$1:$I$88,3,0)*0.475*44/12</f>
        <v>#N/A</v>
      </c>
      <c r="HH142" s="23" t="e">
        <f>EXP(-LN(2)/25)*HH141+(1-EXP(-LN(2)/25))/(LN(2)/25)*Calculateur!HC142*Calculateur!HE142*VLOOKUP('Données projet'!$B$18,Paramètres!$A$1:$I$88,3,0)*0.475*44/12</f>
        <v>#N/A</v>
      </c>
      <c r="HI142" s="23" t="e">
        <f>EXP(-LN(2)/2)*HI141+(1-EXP(-LN(2)/2))/(LN(2)/2)*HC142*HF142*VLOOKUP('Données projet'!$B$18,Paramètres!$A$1:$I$88,3,0)*0.475*44/12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projet'!$B$9,Paramètres!$A$1:$I$88,3,0)*VLOOKUP('Données projet'!$B$9,Paramètres!$A$1:$I$88,5,0)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175.05987582828078</v>
      </c>
      <c r="T143" s="62">
        <f t="shared" si="142"/>
        <v>268.54782308462387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projet'!$B$9,Paramètres!$A$1:$I$88,7,0))</f>
        <v>0</v>
      </c>
      <c r="X143" s="17">
        <f>IF(ISNA(VLOOKUP(A143,'Données projet'!$A$35:$I$55,6,0)),0%,VLOOKUP(A143,'Données projet'!$A$35:$I$55,6,0)*VLOOKUP('Données projet'!$B$9,Paramètres!$A$1:$I$88,7,0))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projet'!$B$9,Paramètres!$A$1:$I$88,3,0)*0.475*44/12</f>
        <v>0</v>
      </c>
      <c r="AA143" s="23">
        <f>EXP(-LN(2)/25)*AA142+(1-EXP(-LN(2)/25))/(LN(2)/25)*Calculateur!V143*Calculateur!X143*VLOOKUP('Données projet'!$B$9,Paramètres!$A$1:$I$88,3,0)*0.475*44/12</f>
        <v>0.4876568954993562</v>
      </c>
      <c r="AB143" s="23">
        <f>EXP(-LN(2)/2)*AB142+(1-EXP(-LN(2)/2))/(LN(2)/2)*V143*Y143*VLOOKUP('Données projet'!$B$9,Paramètres!$A$1:$I$88,3,0)*0.475*44/12</f>
        <v>4.5848935428823841E-16</v>
      </c>
      <c r="AC143" s="24">
        <f t="shared" si="111"/>
        <v>0.48765689549935665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7.9333333333333336</v>
      </c>
      <c r="AI143" s="14">
        <f>IF('Données projet'!$A$62&gt;35,AI142+AH143-AQ142,IF(A143&lt;'Données projet'!$A$62,$AF$205^A143,IF(A143='Données projet'!$A$62,'Données projet'!$B$62,AI142+AH143-AQ142)))</f>
        <v>952.66666666666538</v>
      </c>
      <c r="AJ143" s="14">
        <f>AI143*VLOOKUP('Données projet'!$B$10,Paramètres!$A$1:$I$88,3,0)*VLOOKUP('Données projet'!$B$10,Paramètres!$A$1:$I$88,5,0)</f>
        <v>458.23266666666603</v>
      </c>
      <c r="AK143" s="14">
        <f t="shared" si="143"/>
        <v>103.48745224946757</v>
      </c>
      <c r="AL143" s="22">
        <f t="shared" si="112"/>
        <v>978.32920711226598</v>
      </c>
      <c r="AM143" s="62">
        <f t="shared" si="113"/>
        <v>1271.6625404455992</v>
      </c>
      <c r="AN143" s="62">
        <f ca="1">AVERAGE(OFFSET($AM$3,0,0,'Données projet'!$E$10+1,1))-AVERAGE(OFFSET($H$3,0,0,'Données projet'!$E$10+1,1))</f>
        <v>576.61210817354549</v>
      </c>
      <c r="AO143" s="62">
        <f t="shared" si="144"/>
        <v>343.9428747444544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projet'!$B$10,Paramètres!$A$1:$I$88,7,0))</f>
        <v>0</v>
      </c>
      <c r="AS143" s="17">
        <f>IF(ISNA(VLOOKUP(A143,'Données projet'!$A$61:$I$81,6,0)),0%,VLOOKUP(A143,'Données projet'!$A$61:$I$81,6,0)*VLOOKUP('Données projet'!$B$10,Paramètres!$A$1:$I$88,7,0))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projet'!$B$10,Paramètres!$A$1:$I$88,3,0)*0.475*44/12</f>
        <v>0</v>
      </c>
      <c r="AV143" s="23">
        <f>EXP(-LN(2)/25)*AV142+(1-EXP(-LN(2)/25))/(LN(2)/25)*Calculateur!AQ143*Calculateur!AS143*VLOOKUP('Données projet'!$B$10,Paramètres!$A$1:$I$88,3,0)*0.475*44/12</f>
        <v>0.26822904156474486</v>
      </c>
      <c r="AW143" s="23">
        <f>EXP(-LN(2)/2)*AW142+(1-EXP(-LN(2)/2))/(LN(2)/2)*AQ143*AT143*VLOOKUP('Données projet'!$B$10,Paramètres!$A$1:$I$88,3,0)*0.475*44/12</f>
        <v>3.265010672487682E-16</v>
      </c>
      <c r="AX143" s="23">
        <f t="shared" si="114"/>
        <v>0.2682290415647452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-5.6843418860808015E-14</v>
      </c>
      <c r="BE143" s="14">
        <f>BD143*VLOOKUP('Données projet'!$B$11,Paramètres!$A$1:$I$88,3,0)*VLOOKUP('Données projet'!$B$11,Paramètres!$A$1:$I$88,5,0)</f>
        <v>-4.5224624045658861E-14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298.38448036212861</v>
      </c>
      <c r="BJ143" s="62">
        <f t="shared" si="146"/>
        <v>270.4445531106897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projet'!$B$11,Paramètres!$A$1:$I$88,7,0))</f>
        <v>0</v>
      </c>
      <c r="BN143" s="17">
        <f>IF(ISNA(VLOOKUP(A143,'Données projet'!$A$87:$I$107,6,0)),0%,VLOOKUP(A143,'Données projet'!$A$87:$I$107,6,0)*VLOOKUP('Données projet'!$B$11,Paramètres!$A$1:$I$88,7,0))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projet'!$B$11,Paramètres!$A$1:$I$88,3,0)*0.475*44/12</f>
        <v>0</v>
      </c>
      <c r="BQ143" s="23">
        <f>EXP(-LN(2)/25)*BQ142+(1-EXP(-LN(2)/25))/(LN(2)/25)*Calculateur!BL143*Calculateur!BN143*VLOOKUP('Données projet'!$B$11,Paramètres!$A$1:$I$88,3,0)*0.475*44/12</f>
        <v>0</v>
      </c>
      <c r="BR143" s="23">
        <f>EXP(-LN(2)/2)*BR142+(1-EXP(-LN(2)/2))/(LN(2)/2)*BL143*BO143*VLOOKUP('Données projet'!$B$11,Paramètres!$A$1:$I$88,3,0)*0.475*44/12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5.6843418860808015E-14</v>
      </c>
      <c r="BZ143" s="14">
        <f>BY143*VLOOKUP('Données projet'!$B$12,Paramètres!$A$1:$I$88,3,0)*VLOOKUP('Données projet'!$B$12,Paramètres!$A$1:$I$88,5,0)</f>
        <v>4.4337866711430253E-14</v>
      </c>
      <c r="CA143" s="14">
        <f t="shared" si="147"/>
        <v>7.3222115536967035E-13</v>
      </c>
      <c r="CB143" s="22">
        <f t="shared" si="118"/>
        <v>1.3525069634579169E-12</v>
      </c>
      <c r="CC143" s="62">
        <f t="shared" si="119"/>
        <v>293.33333333333468</v>
      </c>
      <c r="CD143" s="62">
        <f ca="1">AVERAGE(OFFSET($CC$3,0,0,'Données projet'!$E$12+1,1))-AVERAGE(OFFSET($H$3,0,0,'Données projet'!$E$12+1,1))</f>
        <v>217.32600829266818</v>
      </c>
      <c r="CE143" s="62">
        <f t="shared" si="148"/>
        <v>208.79744153433245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projet'!$B$12,Paramètres!$A$1:$I$88,7,0))</f>
        <v>0</v>
      </c>
      <c r="CI143" s="17">
        <f>IF(ISNA(VLOOKUP(A143,'Données projet'!$A$113:$I$133,6,0)),0%,VLOOKUP(A143,'Données projet'!$A$113:$I$133,6,0)*VLOOKUP('Données projet'!$B$12,Paramètres!$A$1:$I$88,7,0))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projet'!$B$12,Paramètres!$A$1:$I$88,3,0)*0.475*44/12</f>
        <v>0</v>
      </c>
      <c r="CL143" s="23">
        <f>EXP(-LN(2)/25)*CL142+(1-EXP(-LN(2)/25))/(LN(2)/25)*Calculateur!CG143*Calculateur!CI143*VLOOKUP('Données projet'!$B$12,Paramètres!$A$1:$I$88,3,0)*0.475*44/12</f>
        <v>0</v>
      </c>
      <c r="CM143" s="23">
        <f>EXP(-LN(2)/2)*CM142+(1-EXP(-LN(2)/2))/(LN(2)/2)*CG143*CJ143*VLOOKUP('Données projet'!$B$12,Paramètres!$A$1:$I$88,3,0)*0.475*44/12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-3.4106051316484809E-13</v>
      </c>
      <c r="CU143" s="18">
        <f>CT143*VLOOKUP('Données projet'!$B$13,Paramètres!$A$1:$I$88,3,0)*VLOOKUP('Données projet'!$B$13,Paramètres!$A$1:$I$88,5,0)</f>
        <v>-1.9065282685915009E-13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302.20483575440988</v>
      </c>
      <c r="CZ143" s="62">
        <f t="shared" si="150"/>
        <v>275.32862097158687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projet'!$B$13,Paramètres!$A$1:$I$88,7,0))</f>
        <v>0</v>
      </c>
      <c r="DD143" s="17">
        <f>IF(ISNA(VLOOKUP(A143,'Données projet'!$A$139:$I$159,6,0)),0%,VLOOKUP(A143,'Données projet'!$A$139:$I$159,6,0)*VLOOKUP('Données projet'!$B$13,Paramètres!$A$1:$I$88,7,0))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projet'!$B$13,Paramètres!$A$1:$I$88,3,0)*0.475*44/12</f>
        <v>0</v>
      </c>
      <c r="DG143" s="23">
        <f>EXP(-LN(2)/25)*DG142+(1-EXP(-LN(2)/25))/(LN(2)/25)*Calculateur!DB143*Calculateur!DD143*VLOOKUP('Données projet'!$B$13,Paramètres!$A$1:$I$88,3,0)*0.475*44/12</f>
        <v>0.65494230015243959</v>
      </c>
      <c r="DH143" s="23">
        <f>EXP(-LN(2)/2)*DH142+(1-EXP(-LN(2)/2))/(LN(2)/2)*DB143*DE143*VLOOKUP('Données projet'!$B$13,Paramètres!$A$1:$I$88,3,0)*0.475*44/12</f>
        <v>1.8820744128547253E-16</v>
      </c>
      <c r="DI143" s="24">
        <f t="shared" si="123"/>
        <v>0.65494230015243982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projet'!$B$14,Paramètres!$A$1:$I$88,3,0)*VLOOKUP('Données projet'!$B$14,Paramètres!$A$1:$I$88,5,0)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projet'!$B$14,Paramètres!$A$1:$I$88,7,0))</f>
        <v>0</v>
      </c>
      <c r="DY143" s="17">
        <f>IF(ISNA(VLOOKUP(A143,'Données projet'!$A$165:$I$185,6,0)),0%,VLOOKUP(A143,'Données projet'!$A$165:$I$185,6,0)*VLOOKUP('Données projet'!$B$14,Paramètres!$A$1:$I$88,7,0))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projet'!$B$14,Paramètres!$A$1:$I$88,3,0)*0.475*44/12</f>
        <v>#N/A</v>
      </c>
      <c r="EB143" s="23" t="e">
        <f>EXP(-LN(2)/25)*EB142+(1-EXP(-LN(2)/25))/(LN(2)/25)*Calculateur!DW143*Calculateur!DY143*VLOOKUP('Données projet'!$B$14,Paramètres!$A$1:$I$88,3,0)*0.475*44/12</f>
        <v>#N/A</v>
      </c>
      <c r="EC143" s="23" t="e">
        <f>EXP(-LN(2)/2)*EC142+(1-EXP(-LN(2)/2))/(LN(2)/2)*DW143*DZ143*VLOOKUP('Données projet'!$B$14,Paramètres!$A$1:$I$88,3,0)*0.475*44/12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projet'!$B$15,Paramètres!$A$1:$I$88,3,0)*VLOOKUP('Données projet'!$B$15,Paramètres!$A$1:$I$88,5,0)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projet'!$B$15,Paramètres!$A$1:$I$88,7,0))</f>
        <v>0</v>
      </c>
      <c r="ET143" s="17">
        <f>IF(ISNA(VLOOKUP(A143,'Données projet'!$A$191:$I$211,6,0)),0%,VLOOKUP(A143,'Données projet'!$A$191:$I$211,6,0)*VLOOKUP('Données projet'!$B$15,Paramètres!$A$1:$I$88,7,0))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projet'!$B$15,Paramètres!$A$1:$I$88,3,0)*0.475*44/12</f>
        <v>#N/A</v>
      </c>
      <c r="EW143" s="23" t="e">
        <f>EXP(-LN(2)/25)*EW142+(1-EXP(-LN(2)/25))/(LN(2)/25)*Calculateur!ER143*Calculateur!ET143*VLOOKUP('Données projet'!$B$15,Paramètres!$A$1:$I$88,3,0)*0.475*44/12</f>
        <v>#N/A</v>
      </c>
      <c r="EX143" s="23" t="e">
        <f>EXP(-LN(2)/2)*EX142+(1-EXP(-LN(2)/2))/(LN(2)/2)*ER143*EU143*VLOOKUP('Données projet'!$B$15,Paramètres!$A$1:$I$88,3,0)*0.475*44/12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projet'!$B$16,Paramètres!$A$1:$I$88,3,0)*VLOOKUP('Données projet'!$B$16,Paramètres!$A$1:$I$88,5,0)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projet'!$B$16,Paramètres!$A$1:$I$88,7,0))</f>
        <v>0</v>
      </c>
      <c r="FO143" s="17">
        <f>IF(ISNA(VLOOKUP(A143,'Données projet'!$A$217:$I$237,6,0)),0%,VLOOKUP(A143,'Données projet'!$A$217:$I$237,6,0)*VLOOKUP('Données projet'!$B$16,Paramètres!$A$1:$I$88,7,0))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projet'!$B$16,Paramètres!$A$1:$I$88,3,0)*0.475*44/12</f>
        <v>#N/A</v>
      </c>
      <c r="FR143" s="23" t="e">
        <f>EXP(-LN(2)/25)*FR142+(1-EXP(-LN(2)/25))/(LN(2)/25)*Calculateur!FM143*Calculateur!FO143*VLOOKUP('Données projet'!$B$16,Paramètres!$A$1:$I$88,3,0)*0.475*44/12</f>
        <v>#N/A</v>
      </c>
      <c r="FS143" s="23" t="e">
        <f>EXP(-LN(2)/2)*FS142+(1-EXP(-LN(2)/2))/(LN(2)/2)*FM143*FP143*VLOOKUP('Données projet'!$B$16,Paramètres!$A$1:$I$88,3,0)*0.475*44/12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projet'!$B$17,Paramètres!$A$1:$I$88,3,0)*VLOOKUP('Données projet'!$B$17,Paramètres!$A$1:$I$88,5,0)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projet'!$B$17,Paramètres!$A$1:$I$88,7,0))</f>
        <v>0</v>
      </c>
      <c r="GJ143" s="17">
        <f>IF(ISNA(VLOOKUP(A143,'Données projet'!$A$243:$I$263,6,0)),0%,VLOOKUP(A143,'Données projet'!$A$243:$I$263,6,0)*VLOOKUP('Données projet'!$B$17,Paramètres!$A$1:$I$88,7,0))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projet'!$B$17,Paramètres!$A$1:$I$88,3,0)*0.475*44/12</f>
        <v>#N/A</v>
      </c>
      <c r="GM143" s="23" t="e">
        <f>EXP(-LN(2)/25)*GM142+(1-EXP(-LN(2)/25))/(LN(2)/25)*Calculateur!GH143*Calculateur!GJ143*VLOOKUP('Données projet'!$B$17,Paramètres!$A$1:$I$88,3,0)*0.475*44/12</f>
        <v>#N/A</v>
      </c>
      <c r="GN143" s="23" t="e">
        <f>EXP(-LN(2)/2)*GN142+(1-EXP(-LN(2)/2))/(LN(2)/2)*GH143*GK143*VLOOKUP('Données projet'!$B$17,Paramètres!$A$1:$I$88,3,0)*0.475*44/12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projet'!$B$18,Paramètres!$A$1:$I$88,3,0)*VLOOKUP('Données projet'!$B$18,Paramètres!$A$1:$I$88,5,0)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projet'!$B$18,Paramètres!$A$1:$I$88,7,0))</f>
        <v>0</v>
      </c>
      <c r="HE143" s="17">
        <f>IF(ISNA(VLOOKUP(A143,'Données projet'!$A$269:$I$289,6,0)),0%,VLOOKUP(A143,'Données projet'!$A$269:$I$289,6,0)*VLOOKUP('Données projet'!$B$18,Paramètres!$A$1:$I$88,7,0))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projet'!$B$18,Paramètres!$A$1:$I$88,3,0)*0.475*44/12</f>
        <v>#N/A</v>
      </c>
      <c r="HH143" s="23" t="e">
        <f>EXP(-LN(2)/25)*HH142+(1-EXP(-LN(2)/25))/(LN(2)/25)*Calculateur!HC143*Calculateur!HE143*VLOOKUP('Données projet'!$B$18,Paramètres!$A$1:$I$88,3,0)*0.475*44/12</f>
        <v>#N/A</v>
      </c>
      <c r="HI143" s="23" t="e">
        <f>EXP(-LN(2)/2)*HI142+(1-EXP(-LN(2)/2))/(LN(2)/2)*HC143*HF143*VLOOKUP('Données projet'!$B$18,Paramètres!$A$1:$I$88,3,0)*0.475*44/12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projet'!$B$9,Paramètres!$A$1:$I$88,3,0)*VLOOKUP('Données projet'!$B$9,Paramètres!$A$1:$I$88,5,0)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175.05987582828078</v>
      </c>
      <c r="T144" s="62">
        <f t="shared" si="142"/>
        <v>268.54782308462387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projet'!$B$9,Paramètres!$A$1:$I$88,7,0))</f>
        <v>0</v>
      </c>
      <c r="X144" s="17">
        <f>IF(ISNA(VLOOKUP(A144,'Données projet'!$A$35:$I$55,6,0)),0%,VLOOKUP(A144,'Données projet'!$A$35:$I$55,6,0)*VLOOKUP('Données projet'!$B$9,Paramètres!$A$1:$I$88,7,0))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projet'!$B$9,Paramètres!$A$1:$I$88,3,0)*0.475*44/12</f>
        <v>0</v>
      </c>
      <c r="AA144" s="23">
        <f>EXP(-LN(2)/25)*AA143+(1-EXP(-LN(2)/25))/(LN(2)/25)*Calculateur!V144*Calculateur!X144*VLOOKUP('Données projet'!$B$9,Paramètres!$A$1:$I$88,3,0)*0.475*44/12</f>
        <v>0.47432189204716474</v>
      </c>
      <c r="AB144" s="23">
        <f>EXP(-LN(2)/2)*AB143+(1-EXP(-LN(2)/2))/(LN(2)/2)*V144*Y144*VLOOKUP('Données projet'!$B$9,Paramètres!$A$1:$I$88,3,0)*0.475*44/12</f>
        <v>3.2420093151905487E-16</v>
      </c>
      <c r="AC144" s="24">
        <f t="shared" si="111"/>
        <v>0.47432189204716507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7.9333333333333336</v>
      </c>
      <c r="AI144" s="14">
        <f>IF('Données projet'!$A$62&gt;35,AI143+AH144-AQ143,IF(A144&lt;'Données projet'!$A$62,$AF$205^A144,IF(A144='Données projet'!$A$62,'Données projet'!$B$62,AI143+AH144-AQ143)))</f>
        <v>960.59999999999866</v>
      </c>
      <c r="AJ144" s="14">
        <f>AI144*VLOOKUP('Données projet'!$B$10,Paramètres!$A$1:$I$88,3,0)*VLOOKUP('Données projet'!$B$10,Paramètres!$A$1:$I$88,5,0)</f>
        <v>462.0485999999994</v>
      </c>
      <c r="AK144" s="14">
        <f t="shared" si="143"/>
        <v>104.24856368698282</v>
      </c>
      <c r="AL144" s="22">
        <f t="shared" si="112"/>
        <v>986.30089342149392</v>
      </c>
      <c r="AM144" s="62">
        <f t="shared" si="113"/>
        <v>1279.6342267548273</v>
      </c>
      <c r="AN144" s="62">
        <f ca="1">AVERAGE(OFFSET($AM$3,0,0,'Données projet'!$E$10+1,1))-AVERAGE(OFFSET($H$3,0,0,'Données projet'!$E$10+1,1))</f>
        <v>576.61210817354549</v>
      </c>
      <c r="AO144" s="62">
        <f t="shared" si="144"/>
        <v>343.9428747444544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projet'!$B$10,Paramètres!$A$1:$I$88,7,0))</f>
        <v>0</v>
      </c>
      <c r="AS144" s="17">
        <f>IF(ISNA(VLOOKUP(A144,'Données projet'!$A$61:$I$81,6,0)),0%,VLOOKUP(A144,'Données projet'!$A$61:$I$81,6,0)*VLOOKUP('Données projet'!$B$10,Paramètres!$A$1:$I$88,7,0))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projet'!$B$10,Paramètres!$A$1:$I$88,3,0)*0.475*44/12</f>
        <v>0</v>
      </c>
      <c r="AV144" s="23">
        <f>EXP(-LN(2)/25)*AV143+(1-EXP(-LN(2)/25))/(LN(2)/25)*Calculateur!AQ144*Calculateur!AS144*VLOOKUP('Données projet'!$B$10,Paramètres!$A$1:$I$88,3,0)*0.475*44/12</f>
        <v>0.26089430431760469</v>
      </c>
      <c r="AW144" s="23">
        <f>EXP(-LN(2)/2)*AW143+(1-EXP(-LN(2)/2))/(LN(2)/2)*AQ144*AT144*VLOOKUP('Données projet'!$B$10,Paramètres!$A$1:$I$88,3,0)*0.475*44/12</f>
        <v>2.3087111871624897E-16</v>
      </c>
      <c r="AX144" s="23">
        <f t="shared" si="114"/>
        <v>0.26089430431760491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-5.6843418860808015E-14</v>
      </c>
      <c r="BE144" s="14">
        <f>BD144*VLOOKUP('Données projet'!$B$11,Paramètres!$A$1:$I$88,3,0)*VLOOKUP('Données projet'!$B$11,Paramètres!$A$1:$I$88,5,0)</f>
        <v>-4.5224624045658861E-14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298.38448036212861</v>
      </c>
      <c r="BJ144" s="62">
        <f t="shared" si="146"/>
        <v>270.4445531106897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projet'!$B$11,Paramètres!$A$1:$I$88,7,0))</f>
        <v>0</v>
      </c>
      <c r="BN144" s="17">
        <f>IF(ISNA(VLOOKUP(A144,'Données projet'!$A$87:$I$107,6,0)),0%,VLOOKUP(A144,'Données projet'!$A$87:$I$107,6,0)*VLOOKUP('Données projet'!$B$11,Paramètres!$A$1:$I$88,7,0))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projet'!$B$11,Paramètres!$A$1:$I$88,3,0)*0.475*44/12</f>
        <v>0</v>
      </c>
      <c r="BQ144" s="23">
        <f>EXP(-LN(2)/25)*BQ143+(1-EXP(-LN(2)/25))/(LN(2)/25)*Calculateur!BL144*Calculateur!BN144*VLOOKUP('Données projet'!$B$11,Paramètres!$A$1:$I$88,3,0)*0.475*44/12</f>
        <v>0</v>
      </c>
      <c r="BR144" s="23">
        <f>EXP(-LN(2)/2)*BR143+(1-EXP(-LN(2)/2))/(LN(2)/2)*BL144*BO144*VLOOKUP('Données projet'!$B$11,Paramètres!$A$1:$I$88,3,0)*0.475*44/12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5.6843418860808015E-14</v>
      </c>
      <c r="BZ144" s="14">
        <f>BY144*VLOOKUP('Données projet'!$B$12,Paramètres!$A$1:$I$88,3,0)*VLOOKUP('Données projet'!$B$12,Paramètres!$A$1:$I$88,5,0)</f>
        <v>4.4337866711430253E-14</v>
      </c>
      <c r="CA144" s="14">
        <f t="shared" si="147"/>
        <v>7.3222115536967035E-13</v>
      </c>
      <c r="CB144" s="22">
        <f t="shared" si="118"/>
        <v>1.3525069634579169E-12</v>
      </c>
      <c r="CC144" s="62">
        <f t="shared" si="119"/>
        <v>293.33333333333468</v>
      </c>
      <c r="CD144" s="62">
        <f ca="1">AVERAGE(OFFSET($CC$3,0,0,'Données projet'!$E$12+1,1))-AVERAGE(OFFSET($H$3,0,0,'Données projet'!$E$12+1,1))</f>
        <v>217.32600829266818</v>
      </c>
      <c r="CE144" s="62">
        <f t="shared" si="148"/>
        <v>208.79744153433245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projet'!$B$12,Paramètres!$A$1:$I$88,7,0))</f>
        <v>0</v>
      </c>
      <c r="CI144" s="17">
        <f>IF(ISNA(VLOOKUP(A144,'Données projet'!$A$113:$I$133,6,0)),0%,VLOOKUP(A144,'Données projet'!$A$113:$I$133,6,0)*VLOOKUP('Données projet'!$B$12,Paramètres!$A$1:$I$88,7,0))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projet'!$B$12,Paramètres!$A$1:$I$88,3,0)*0.475*44/12</f>
        <v>0</v>
      </c>
      <c r="CL144" s="23">
        <f>EXP(-LN(2)/25)*CL143+(1-EXP(-LN(2)/25))/(LN(2)/25)*Calculateur!CG144*Calculateur!CI144*VLOOKUP('Données projet'!$B$12,Paramètres!$A$1:$I$88,3,0)*0.475*44/12</f>
        <v>0</v>
      </c>
      <c r="CM144" s="23">
        <f>EXP(-LN(2)/2)*CM143+(1-EXP(-LN(2)/2))/(LN(2)/2)*CG144*CJ144*VLOOKUP('Données projet'!$B$12,Paramètres!$A$1:$I$88,3,0)*0.475*44/12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-3.4106051316484809E-13</v>
      </c>
      <c r="CU144" s="18">
        <f>CT144*VLOOKUP('Données projet'!$B$13,Paramètres!$A$1:$I$88,3,0)*VLOOKUP('Données projet'!$B$13,Paramètres!$A$1:$I$88,5,0)</f>
        <v>-1.9065282685915009E-13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302.20483575440988</v>
      </c>
      <c r="CZ144" s="62">
        <f t="shared" si="150"/>
        <v>275.32862097158687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projet'!$B$13,Paramètres!$A$1:$I$88,7,0))</f>
        <v>0</v>
      </c>
      <c r="DD144" s="17">
        <f>IF(ISNA(VLOOKUP(A144,'Données projet'!$A$139:$I$159,6,0)),0%,VLOOKUP(A144,'Données projet'!$A$139:$I$159,6,0)*VLOOKUP('Données projet'!$B$13,Paramètres!$A$1:$I$88,7,0))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projet'!$B$13,Paramètres!$A$1:$I$88,3,0)*0.475*44/12</f>
        <v>0</v>
      </c>
      <c r="DG144" s="23">
        <f>EXP(-LN(2)/25)*DG143+(1-EXP(-LN(2)/25))/(LN(2)/25)*Calculateur!DB144*Calculateur!DD144*VLOOKUP('Données projet'!$B$13,Paramètres!$A$1:$I$88,3,0)*0.475*44/12</f>
        <v>0.63703286851285246</v>
      </c>
      <c r="DH144" s="23">
        <f>EXP(-LN(2)/2)*DH143+(1-EXP(-LN(2)/2))/(LN(2)/2)*DB144*DE144*VLOOKUP('Données projet'!$B$13,Paramètres!$A$1:$I$88,3,0)*0.475*44/12</f>
        <v>1.3308275800272662E-16</v>
      </c>
      <c r="DI144" s="24">
        <f t="shared" si="123"/>
        <v>0.63703286851285257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projet'!$B$14,Paramètres!$A$1:$I$88,3,0)*VLOOKUP('Données projet'!$B$14,Paramètres!$A$1:$I$88,5,0)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projet'!$B$14,Paramètres!$A$1:$I$88,7,0))</f>
        <v>0</v>
      </c>
      <c r="DY144" s="17">
        <f>IF(ISNA(VLOOKUP(A144,'Données projet'!$A$165:$I$185,6,0)),0%,VLOOKUP(A144,'Données projet'!$A$165:$I$185,6,0)*VLOOKUP('Données projet'!$B$14,Paramètres!$A$1:$I$88,7,0))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projet'!$B$14,Paramètres!$A$1:$I$88,3,0)*0.475*44/12</f>
        <v>#N/A</v>
      </c>
      <c r="EB144" s="23" t="e">
        <f>EXP(-LN(2)/25)*EB143+(1-EXP(-LN(2)/25))/(LN(2)/25)*Calculateur!DW144*Calculateur!DY144*VLOOKUP('Données projet'!$B$14,Paramètres!$A$1:$I$88,3,0)*0.475*44/12</f>
        <v>#N/A</v>
      </c>
      <c r="EC144" s="23" t="e">
        <f>EXP(-LN(2)/2)*EC143+(1-EXP(-LN(2)/2))/(LN(2)/2)*DW144*DZ144*VLOOKUP('Données projet'!$B$14,Paramètres!$A$1:$I$88,3,0)*0.475*44/12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projet'!$B$15,Paramètres!$A$1:$I$88,3,0)*VLOOKUP('Données projet'!$B$15,Paramètres!$A$1:$I$88,5,0)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projet'!$B$15,Paramètres!$A$1:$I$88,7,0))</f>
        <v>0</v>
      </c>
      <c r="ET144" s="17">
        <f>IF(ISNA(VLOOKUP(A144,'Données projet'!$A$191:$I$211,6,0)),0%,VLOOKUP(A144,'Données projet'!$A$191:$I$211,6,0)*VLOOKUP('Données projet'!$B$15,Paramètres!$A$1:$I$88,7,0))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projet'!$B$15,Paramètres!$A$1:$I$88,3,0)*0.475*44/12</f>
        <v>#N/A</v>
      </c>
      <c r="EW144" s="23" t="e">
        <f>EXP(-LN(2)/25)*EW143+(1-EXP(-LN(2)/25))/(LN(2)/25)*Calculateur!ER144*Calculateur!ET144*VLOOKUP('Données projet'!$B$15,Paramètres!$A$1:$I$88,3,0)*0.475*44/12</f>
        <v>#N/A</v>
      </c>
      <c r="EX144" s="23" t="e">
        <f>EXP(-LN(2)/2)*EX143+(1-EXP(-LN(2)/2))/(LN(2)/2)*ER144*EU144*VLOOKUP('Données projet'!$B$15,Paramètres!$A$1:$I$88,3,0)*0.475*44/12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projet'!$B$16,Paramètres!$A$1:$I$88,3,0)*VLOOKUP('Données projet'!$B$16,Paramètres!$A$1:$I$88,5,0)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projet'!$B$16,Paramètres!$A$1:$I$88,7,0))</f>
        <v>0</v>
      </c>
      <c r="FO144" s="17">
        <f>IF(ISNA(VLOOKUP(A144,'Données projet'!$A$217:$I$237,6,0)),0%,VLOOKUP(A144,'Données projet'!$A$217:$I$237,6,0)*VLOOKUP('Données projet'!$B$16,Paramètres!$A$1:$I$88,7,0))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projet'!$B$16,Paramètres!$A$1:$I$88,3,0)*0.475*44/12</f>
        <v>#N/A</v>
      </c>
      <c r="FR144" s="23" t="e">
        <f>EXP(-LN(2)/25)*FR143+(1-EXP(-LN(2)/25))/(LN(2)/25)*Calculateur!FM144*Calculateur!FO144*VLOOKUP('Données projet'!$B$16,Paramètres!$A$1:$I$88,3,0)*0.475*44/12</f>
        <v>#N/A</v>
      </c>
      <c r="FS144" s="23" t="e">
        <f>EXP(-LN(2)/2)*FS143+(1-EXP(-LN(2)/2))/(LN(2)/2)*FM144*FP144*VLOOKUP('Données projet'!$B$16,Paramètres!$A$1:$I$88,3,0)*0.475*44/12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projet'!$B$17,Paramètres!$A$1:$I$88,3,0)*VLOOKUP('Données projet'!$B$17,Paramètres!$A$1:$I$88,5,0)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projet'!$B$17,Paramètres!$A$1:$I$88,7,0))</f>
        <v>0</v>
      </c>
      <c r="GJ144" s="17">
        <f>IF(ISNA(VLOOKUP(A144,'Données projet'!$A$243:$I$263,6,0)),0%,VLOOKUP(A144,'Données projet'!$A$243:$I$263,6,0)*VLOOKUP('Données projet'!$B$17,Paramètres!$A$1:$I$88,7,0))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projet'!$B$17,Paramètres!$A$1:$I$88,3,0)*0.475*44/12</f>
        <v>#N/A</v>
      </c>
      <c r="GM144" s="23" t="e">
        <f>EXP(-LN(2)/25)*GM143+(1-EXP(-LN(2)/25))/(LN(2)/25)*Calculateur!GH144*Calculateur!GJ144*VLOOKUP('Données projet'!$B$17,Paramètres!$A$1:$I$88,3,0)*0.475*44/12</f>
        <v>#N/A</v>
      </c>
      <c r="GN144" s="23" t="e">
        <f>EXP(-LN(2)/2)*GN143+(1-EXP(-LN(2)/2))/(LN(2)/2)*GH144*GK144*VLOOKUP('Données projet'!$B$17,Paramètres!$A$1:$I$88,3,0)*0.475*44/12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projet'!$B$18,Paramètres!$A$1:$I$88,3,0)*VLOOKUP('Données projet'!$B$18,Paramètres!$A$1:$I$88,5,0)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projet'!$B$18,Paramètres!$A$1:$I$88,7,0))</f>
        <v>0</v>
      </c>
      <c r="HE144" s="17">
        <f>IF(ISNA(VLOOKUP(A144,'Données projet'!$A$269:$I$289,6,0)),0%,VLOOKUP(A144,'Données projet'!$A$269:$I$289,6,0)*VLOOKUP('Données projet'!$B$18,Paramètres!$A$1:$I$88,7,0))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projet'!$B$18,Paramètres!$A$1:$I$88,3,0)*0.475*44/12</f>
        <v>#N/A</v>
      </c>
      <c r="HH144" s="23" t="e">
        <f>EXP(-LN(2)/25)*HH143+(1-EXP(-LN(2)/25))/(LN(2)/25)*Calculateur!HC144*Calculateur!HE144*VLOOKUP('Données projet'!$B$18,Paramètres!$A$1:$I$88,3,0)*0.475*44/12</f>
        <v>#N/A</v>
      </c>
      <c r="HI144" s="23" t="e">
        <f>EXP(-LN(2)/2)*HI143+(1-EXP(-LN(2)/2))/(LN(2)/2)*HC144*HF144*VLOOKUP('Données projet'!$B$18,Paramètres!$A$1:$I$88,3,0)*0.475*44/12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projet'!$B$9,Paramètres!$A$1:$I$88,3,0)*VLOOKUP('Données projet'!$B$9,Paramètres!$A$1:$I$88,5,0)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175.05987582828078</v>
      </c>
      <c r="T145" s="62">
        <f t="shared" si="142"/>
        <v>268.54782308462387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projet'!$B$9,Paramètres!$A$1:$I$88,7,0))</f>
        <v>0</v>
      </c>
      <c r="X145" s="17">
        <f>IF(ISNA(VLOOKUP(A145,'Données projet'!$A$35:$I$55,6,0)),0%,VLOOKUP(A145,'Données projet'!$A$35:$I$55,6,0)*VLOOKUP('Données projet'!$B$9,Paramètres!$A$1:$I$88,7,0))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projet'!$B$9,Paramètres!$A$1:$I$88,3,0)*0.475*44/12</f>
        <v>0</v>
      </c>
      <c r="AA145" s="23">
        <f>EXP(-LN(2)/25)*AA144+(1-EXP(-LN(2)/25))/(LN(2)/25)*Calculateur!V145*Calculateur!X145*VLOOKUP('Données projet'!$B$9,Paramètres!$A$1:$I$88,3,0)*0.475*44/12</f>
        <v>0.46135153496563081</v>
      </c>
      <c r="AB145" s="23">
        <f>EXP(-LN(2)/2)*AB144+(1-EXP(-LN(2)/2))/(LN(2)/2)*V145*Y145*VLOOKUP('Données projet'!$B$9,Paramètres!$A$1:$I$88,3,0)*0.475*44/12</f>
        <v>2.2924467714411921E-16</v>
      </c>
      <c r="AC145" s="24">
        <f t="shared" si="111"/>
        <v>0.46135153496563103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7.9333333333333336</v>
      </c>
      <c r="AI145" s="14">
        <f>IF('Données projet'!$A$62&gt;35,AI144+AH145-AQ144,IF(A145&lt;'Données projet'!$A$62,$AF$205^A145,IF(A145='Données projet'!$A$62,'Données projet'!$B$62,AI144+AH145-AQ144)))</f>
        <v>968.53333333333194</v>
      </c>
      <c r="AJ145" s="14">
        <f>AI145*VLOOKUP('Données projet'!$B$10,Paramètres!$A$1:$I$88,3,0)*VLOOKUP('Données projet'!$B$10,Paramètres!$A$1:$I$88,5,0)</f>
        <v>465.86453333333264</v>
      </c>
      <c r="AK145" s="14">
        <f t="shared" si="143"/>
        <v>105.00894379879034</v>
      </c>
      <c r="AL145" s="22">
        <f t="shared" si="112"/>
        <v>994.27130600511418</v>
      </c>
      <c r="AM145" s="62">
        <f t="shared" si="113"/>
        <v>1287.6046393384474</v>
      </c>
      <c r="AN145" s="62">
        <f ca="1">AVERAGE(OFFSET($AM$3,0,0,'Données projet'!$E$10+1,1))-AVERAGE(OFFSET($H$3,0,0,'Données projet'!$E$10+1,1))</f>
        <v>576.61210817354549</v>
      </c>
      <c r="AO145" s="62">
        <f t="shared" si="144"/>
        <v>343.9428747444544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projet'!$B$10,Paramètres!$A$1:$I$88,7,0))</f>
        <v>0</v>
      </c>
      <c r="AS145" s="17">
        <f>IF(ISNA(VLOOKUP(A145,'Données projet'!$A$61:$I$81,6,0)),0%,VLOOKUP(A145,'Données projet'!$A$61:$I$81,6,0)*VLOOKUP('Données projet'!$B$10,Paramètres!$A$1:$I$88,7,0))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projet'!$B$10,Paramètres!$A$1:$I$88,3,0)*0.475*44/12</f>
        <v>0</v>
      </c>
      <c r="AV145" s="23">
        <f>EXP(-LN(2)/25)*AV144+(1-EXP(-LN(2)/25))/(LN(2)/25)*Calculateur!AQ145*Calculateur!AS145*VLOOKUP('Données projet'!$B$10,Paramètres!$A$1:$I$88,3,0)*0.475*44/12</f>
        <v>0.2537601358462046</v>
      </c>
      <c r="AW145" s="23">
        <f>EXP(-LN(2)/2)*AW144+(1-EXP(-LN(2)/2))/(LN(2)/2)*AQ145*AT145*VLOOKUP('Données projet'!$B$10,Paramètres!$A$1:$I$88,3,0)*0.475*44/12</f>
        <v>1.632505336243841E-16</v>
      </c>
      <c r="AX145" s="23">
        <f t="shared" si="114"/>
        <v>0.25376013584620477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-5.6843418860808015E-14</v>
      </c>
      <c r="BE145" s="14">
        <f>BD145*VLOOKUP('Données projet'!$B$11,Paramètres!$A$1:$I$88,3,0)*VLOOKUP('Données projet'!$B$11,Paramètres!$A$1:$I$88,5,0)</f>
        <v>-4.5224624045658861E-14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298.38448036212861</v>
      </c>
      <c r="BJ145" s="62">
        <f t="shared" si="146"/>
        <v>270.4445531106897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projet'!$B$11,Paramètres!$A$1:$I$88,7,0))</f>
        <v>0</v>
      </c>
      <c r="BN145" s="17">
        <f>IF(ISNA(VLOOKUP(A145,'Données projet'!$A$87:$I$107,6,0)),0%,VLOOKUP(A145,'Données projet'!$A$87:$I$107,6,0)*VLOOKUP('Données projet'!$B$11,Paramètres!$A$1:$I$88,7,0))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projet'!$B$11,Paramètres!$A$1:$I$88,3,0)*0.475*44/12</f>
        <v>0</v>
      </c>
      <c r="BQ145" s="23">
        <f>EXP(-LN(2)/25)*BQ144+(1-EXP(-LN(2)/25))/(LN(2)/25)*Calculateur!BL145*Calculateur!BN145*VLOOKUP('Données projet'!$B$11,Paramètres!$A$1:$I$88,3,0)*0.475*44/12</f>
        <v>0</v>
      </c>
      <c r="BR145" s="23">
        <f>EXP(-LN(2)/2)*BR144+(1-EXP(-LN(2)/2))/(LN(2)/2)*BL145*BO145*VLOOKUP('Données projet'!$B$11,Paramètres!$A$1:$I$88,3,0)*0.475*44/12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5.6843418860808015E-14</v>
      </c>
      <c r="BZ145" s="14">
        <f>BY145*VLOOKUP('Données projet'!$B$12,Paramètres!$A$1:$I$88,3,0)*VLOOKUP('Données projet'!$B$12,Paramètres!$A$1:$I$88,5,0)</f>
        <v>4.4337866711430253E-14</v>
      </c>
      <c r="CA145" s="14">
        <f t="shared" si="147"/>
        <v>7.3222115536967035E-13</v>
      </c>
      <c r="CB145" s="22">
        <f t="shared" si="118"/>
        <v>1.3525069634579169E-12</v>
      </c>
      <c r="CC145" s="62">
        <f t="shared" si="119"/>
        <v>293.33333333333468</v>
      </c>
      <c r="CD145" s="62">
        <f ca="1">AVERAGE(OFFSET($CC$3,0,0,'Données projet'!$E$12+1,1))-AVERAGE(OFFSET($H$3,0,0,'Données projet'!$E$12+1,1))</f>
        <v>217.32600829266818</v>
      </c>
      <c r="CE145" s="62">
        <f t="shared" si="148"/>
        <v>208.79744153433245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projet'!$B$12,Paramètres!$A$1:$I$88,7,0))</f>
        <v>0</v>
      </c>
      <c r="CI145" s="17">
        <f>IF(ISNA(VLOOKUP(A145,'Données projet'!$A$113:$I$133,6,0)),0%,VLOOKUP(A145,'Données projet'!$A$113:$I$133,6,0)*VLOOKUP('Données projet'!$B$12,Paramètres!$A$1:$I$88,7,0))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projet'!$B$12,Paramètres!$A$1:$I$88,3,0)*0.475*44/12</f>
        <v>0</v>
      </c>
      <c r="CL145" s="23">
        <f>EXP(-LN(2)/25)*CL144+(1-EXP(-LN(2)/25))/(LN(2)/25)*Calculateur!CG145*Calculateur!CI145*VLOOKUP('Données projet'!$B$12,Paramètres!$A$1:$I$88,3,0)*0.475*44/12</f>
        <v>0</v>
      </c>
      <c r="CM145" s="23">
        <f>EXP(-LN(2)/2)*CM144+(1-EXP(-LN(2)/2))/(LN(2)/2)*CG145*CJ145*VLOOKUP('Données projet'!$B$12,Paramètres!$A$1:$I$88,3,0)*0.475*44/12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-3.4106051316484809E-13</v>
      </c>
      <c r="CU145" s="18">
        <f>CT145*VLOOKUP('Données projet'!$B$13,Paramètres!$A$1:$I$88,3,0)*VLOOKUP('Données projet'!$B$13,Paramètres!$A$1:$I$88,5,0)</f>
        <v>-1.9065282685915009E-13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302.20483575440988</v>
      </c>
      <c r="CZ145" s="62">
        <f t="shared" si="150"/>
        <v>275.32862097158687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projet'!$B$13,Paramètres!$A$1:$I$88,7,0))</f>
        <v>0</v>
      </c>
      <c r="DD145" s="17">
        <f>IF(ISNA(VLOOKUP(A145,'Données projet'!$A$139:$I$159,6,0)),0%,VLOOKUP(A145,'Données projet'!$A$139:$I$159,6,0)*VLOOKUP('Données projet'!$B$13,Paramètres!$A$1:$I$88,7,0))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projet'!$B$13,Paramètres!$A$1:$I$88,3,0)*0.475*44/12</f>
        <v>0</v>
      </c>
      <c r="DG145" s="23">
        <f>EXP(-LN(2)/25)*DG144+(1-EXP(-LN(2)/25))/(LN(2)/25)*Calculateur!DB145*Calculateur!DD145*VLOOKUP('Données projet'!$B$13,Paramètres!$A$1:$I$88,3,0)*0.475*44/12</f>
        <v>0.61961317122326587</v>
      </c>
      <c r="DH145" s="23">
        <f>EXP(-LN(2)/2)*DH144+(1-EXP(-LN(2)/2))/(LN(2)/2)*DB145*DE145*VLOOKUP('Données projet'!$B$13,Paramètres!$A$1:$I$88,3,0)*0.475*44/12</f>
        <v>9.4103720642736267E-17</v>
      </c>
      <c r="DI145" s="24">
        <f t="shared" si="123"/>
        <v>0.61961317122326598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projet'!$B$14,Paramètres!$A$1:$I$88,3,0)*VLOOKUP('Données projet'!$B$14,Paramètres!$A$1:$I$88,5,0)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projet'!$B$14,Paramètres!$A$1:$I$88,7,0))</f>
        <v>0</v>
      </c>
      <c r="DY145" s="17">
        <f>IF(ISNA(VLOOKUP(A145,'Données projet'!$A$165:$I$185,6,0)),0%,VLOOKUP(A145,'Données projet'!$A$165:$I$185,6,0)*VLOOKUP('Données projet'!$B$14,Paramètres!$A$1:$I$88,7,0))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projet'!$B$14,Paramètres!$A$1:$I$88,3,0)*0.475*44/12</f>
        <v>#N/A</v>
      </c>
      <c r="EB145" s="23" t="e">
        <f>EXP(-LN(2)/25)*EB144+(1-EXP(-LN(2)/25))/(LN(2)/25)*Calculateur!DW145*Calculateur!DY145*VLOOKUP('Données projet'!$B$14,Paramètres!$A$1:$I$88,3,0)*0.475*44/12</f>
        <v>#N/A</v>
      </c>
      <c r="EC145" s="23" t="e">
        <f>EXP(-LN(2)/2)*EC144+(1-EXP(-LN(2)/2))/(LN(2)/2)*DW145*DZ145*VLOOKUP('Données projet'!$B$14,Paramètres!$A$1:$I$88,3,0)*0.475*44/12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projet'!$B$15,Paramètres!$A$1:$I$88,3,0)*VLOOKUP('Données projet'!$B$15,Paramètres!$A$1:$I$88,5,0)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projet'!$B$15,Paramètres!$A$1:$I$88,7,0))</f>
        <v>0</v>
      </c>
      <c r="ET145" s="17">
        <f>IF(ISNA(VLOOKUP(A145,'Données projet'!$A$191:$I$211,6,0)),0%,VLOOKUP(A145,'Données projet'!$A$191:$I$211,6,0)*VLOOKUP('Données projet'!$B$15,Paramètres!$A$1:$I$88,7,0))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projet'!$B$15,Paramètres!$A$1:$I$88,3,0)*0.475*44/12</f>
        <v>#N/A</v>
      </c>
      <c r="EW145" s="23" t="e">
        <f>EXP(-LN(2)/25)*EW144+(1-EXP(-LN(2)/25))/(LN(2)/25)*Calculateur!ER145*Calculateur!ET145*VLOOKUP('Données projet'!$B$15,Paramètres!$A$1:$I$88,3,0)*0.475*44/12</f>
        <v>#N/A</v>
      </c>
      <c r="EX145" s="23" t="e">
        <f>EXP(-LN(2)/2)*EX144+(1-EXP(-LN(2)/2))/(LN(2)/2)*ER145*EU145*VLOOKUP('Données projet'!$B$15,Paramètres!$A$1:$I$88,3,0)*0.475*44/12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projet'!$B$16,Paramètres!$A$1:$I$88,3,0)*VLOOKUP('Données projet'!$B$16,Paramètres!$A$1:$I$88,5,0)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projet'!$B$16,Paramètres!$A$1:$I$88,7,0))</f>
        <v>0</v>
      </c>
      <c r="FO145" s="17">
        <f>IF(ISNA(VLOOKUP(A145,'Données projet'!$A$217:$I$237,6,0)),0%,VLOOKUP(A145,'Données projet'!$A$217:$I$237,6,0)*VLOOKUP('Données projet'!$B$16,Paramètres!$A$1:$I$88,7,0))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projet'!$B$16,Paramètres!$A$1:$I$88,3,0)*0.475*44/12</f>
        <v>#N/A</v>
      </c>
      <c r="FR145" s="23" t="e">
        <f>EXP(-LN(2)/25)*FR144+(1-EXP(-LN(2)/25))/(LN(2)/25)*Calculateur!FM145*Calculateur!FO145*VLOOKUP('Données projet'!$B$16,Paramètres!$A$1:$I$88,3,0)*0.475*44/12</f>
        <v>#N/A</v>
      </c>
      <c r="FS145" s="23" t="e">
        <f>EXP(-LN(2)/2)*FS144+(1-EXP(-LN(2)/2))/(LN(2)/2)*FM145*FP145*VLOOKUP('Données projet'!$B$16,Paramètres!$A$1:$I$88,3,0)*0.475*44/12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projet'!$B$17,Paramètres!$A$1:$I$88,3,0)*VLOOKUP('Données projet'!$B$17,Paramètres!$A$1:$I$88,5,0)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projet'!$B$17,Paramètres!$A$1:$I$88,7,0))</f>
        <v>0</v>
      </c>
      <c r="GJ145" s="17">
        <f>IF(ISNA(VLOOKUP(A145,'Données projet'!$A$243:$I$263,6,0)),0%,VLOOKUP(A145,'Données projet'!$A$243:$I$263,6,0)*VLOOKUP('Données projet'!$B$17,Paramètres!$A$1:$I$88,7,0))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projet'!$B$17,Paramètres!$A$1:$I$88,3,0)*0.475*44/12</f>
        <v>#N/A</v>
      </c>
      <c r="GM145" s="23" t="e">
        <f>EXP(-LN(2)/25)*GM144+(1-EXP(-LN(2)/25))/(LN(2)/25)*Calculateur!GH145*Calculateur!GJ145*VLOOKUP('Données projet'!$B$17,Paramètres!$A$1:$I$88,3,0)*0.475*44/12</f>
        <v>#N/A</v>
      </c>
      <c r="GN145" s="23" t="e">
        <f>EXP(-LN(2)/2)*GN144+(1-EXP(-LN(2)/2))/(LN(2)/2)*GH145*GK145*VLOOKUP('Données projet'!$B$17,Paramètres!$A$1:$I$88,3,0)*0.475*44/12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projet'!$B$18,Paramètres!$A$1:$I$88,3,0)*VLOOKUP('Données projet'!$B$18,Paramètres!$A$1:$I$88,5,0)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projet'!$B$18,Paramètres!$A$1:$I$88,7,0))</f>
        <v>0</v>
      </c>
      <c r="HE145" s="17">
        <f>IF(ISNA(VLOOKUP(A145,'Données projet'!$A$269:$I$289,6,0)),0%,VLOOKUP(A145,'Données projet'!$A$269:$I$289,6,0)*VLOOKUP('Données projet'!$B$18,Paramètres!$A$1:$I$88,7,0))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projet'!$B$18,Paramètres!$A$1:$I$88,3,0)*0.475*44/12</f>
        <v>#N/A</v>
      </c>
      <c r="HH145" s="23" t="e">
        <f>EXP(-LN(2)/25)*HH144+(1-EXP(-LN(2)/25))/(LN(2)/25)*Calculateur!HC145*Calculateur!HE145*VLOOKUP('Données projet'!$B$18,Paramètres!$A$1:$I$88,3,0)*0.475*44/12</f>
        <v>#N/A</v>
      </c>
      <c r="HI145" s="23" t="e">
        <f>EXP(-LN(2)/2)*HI144+(1-EXP(-LN(2)/2))/(LN(2)/2)*HC145*HF145*VLOOKUP('Données projet'!$B$18,Paramètres!$A$1:$I$88,3,0)*0.475*44/12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projet'!$B$9,Paramètres!$A$1:$I$88,3,0)*VLOOKUP('Données projet'!$B$9,Paramètres!$A$1:$I$88,5,0)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175.05987582828078</v>
      </c>
      <c r="T146" s="62">
        <f t="shared" si="142"/>
        <v>268.54782308462387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projet'!$B$9,Paramètres!$A$1:$I$88,7,0))</f>
        <v>0</v>
      </c>
      <c r="X146" s="17">
        <f>IF(ISNA(VLOOKUP(A146,'Données projet'!$A$35:$I$55,6,0)),0%,VLOOKUP(A146,'Données projet'!$A$35:$I$55,6,0)*VLOOKUP('Données projet'!$B$9,Paramètres!$A$1:$I$88,7,0))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projet'!$B$9,Paramètres!$A$1:$I$88,3,0)*0.475*44/12</f>
        <v>0</v>
      </c>
      <c r="AA146" s="23">
        <f>EXP(-LN(2)/25)*AA145+(1-EXP(-LN(2)/25))/(LN(2)/25)*Calculateur!V146*Calculateur!X146*VLOOKUP('Données projet'!$B$9,Paramètres!$A$1:$I$88,3,0)*0.475*44/12</f>
        <v>0.44873585298057284</v>
      </c>
      <c r="AB146" s="23">
        <f>EXP(-LN(2)/2)*AB145+(1-EXP(-LN(2)/2))/(LN(2)/2)*V146*Y146*VLOOKUP('Données projet'!$B$9,Paramètres!$A$1:$I$88,3,0)*0.475*44/12</f>
        <v>1.6210046575952743E-16</v>
      </c>
      <c r="AC146" s="24">
        <f t="shared" si="111"/>
        <v>0.448735852980573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7.9333333333333336</v>
      </c>
      <c r="AI146" s="14">
        <f>IF('Données projet'!$A$62&gt;35,AI145+AH146-AQ145,IF(A146&lt;'Données projet'!$A$62,$AF$205^A146,IF(A146='Données projet'!$A$62,'Données projet'!$B$62,AI145+AH146-AQ145)))</f>
        <v>976.46666666666522</v>
      </c>
      <c r="AJ146" s="14">
        <f>AI146*VLOOKUP('Données projet'!$B$10,Paramètres!$A$1:$I$88,3,0)*VLOOKUP('Données projet'!$B$10,Paramètres!$A$1:$I$88,5,0)</f>
        <v>469.68046666666601</v>
      </c>
      <c r="AK146" s="14">
        <f t="shared" si="143"/>
        <v>105.76859926947614</v>
      </c>
      <c r="AL146" s="22">
        <f t="shared" si="112"/>
        <v>1002.2404565054475</v>
      </c>
      <c r="AM146" s="62">
        <f t="shared" si="113"/>
        <v>1295.5737898387808</v>
      </c>
      <c r="AN146" s="62">
        <f ca="1">AVERAGE(OFFSET($AM$3,0,0,'Données projet'!$E$10+1,1))-AVERAGE(OFFSET($H$3,0,0,'Données projet'!$E$10+1,1))</f>
        <v>576.61210817354549</v>
      </c>
      <c r="AO146" s="62">
        <f t="shared" si="144"/>
        <v>343.9428747444544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projet'!$B$10,Paramètres!$A$1:$I$88,7,0))</f>
        <v>0</v>
      </c>
      <c r="AS146" s="17">
        <f>IF(ISNA(VLOOKUP(A146,'Données projet'!$A$61:$I$81,6,0)),0%,VLOOKUP(A146,'Données projet'!$A$61:$I$81,6,0)*VLOOKUP('Données projet'!$B$10,Paramètres!$A$1:$I$88,7,0))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projet'!$B$10,Paramètres!$A$1:$I$88,3,0)*0.475*44/12</f>
        <v>0</v>
      </c>
      <c r="AV146" s="23">
        <f>EXP(-LN(2)/25)*AV145+(1-EXP(-LN(2)/25))/(LN(2)/25)*Calculateur!AQ146*Calculateur!AS146*VLOOKUP('Données projet'!$B$10,Paramètres!$A$1:$I$88,3,0)*0.475*44/12</f>
        <v>0.24682105158682457</v>
      </c>
      <c r="AW146" s="23">
        <f>EXP(-LN(2)/2)*AW145+(1-EXP(-LN(2)/2))/(LN(2)/2)*AQ146*AT146*VLOOKUP('Données projet'!$B$10,Paramètres!$A$1:$I$88,3,0)*0.475*44/12</f>
        <v>1.1543555935812448E-16</v>
      </c>
      <c r="AX146" s="23">
        <f t="shared" si="114"/>
        <v>0.24682105158682469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-5.6843418860808015E-14</v>
      </c>
      <c r="BE146" s="14">
        <f>BD146*VLOOKUP('Données projet'!$B$11,Paramètres!$A$1:$I$88,3,0)*VLOOKUP('Données projet'!$B$11,Paramètres!$A$1:$I$88,5,0)</f>
        <v>-4.5224624045658861E-14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298.38448036212861</v>
      </c>
      <c r="BJ146" s="62">
        <f t="shared" si="146"/>
        <v>270.4445531106897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projet'!$B$11,Paramètres!$A$1:$I$88,7,0))</f>
        <v>0</v>
      </c>
      <c r="BN146" s="17">
        <f>IF(ISNA(VLOOKUP(A146,'Données projet'!$A$87:$I$107,6,0)),0%,VLOOKUP(A146,'Données projet'!$A$87:$I$107,6,0)*VLOOKUP('Données projet'!$B$11,Paramètres!$A$1:$I$88,7,0))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projet'!$B$11,Paramètres!$A$1:$I$88,3,0)*0.475*44/12</f>
        <v>0</v>
      </c>
      <c r="BQ146" s="23">
        <f>EXP(-LN(2)/25)*BQ145+(1-EXP(-LN(2)/25))/(LN(2)/25)*Calculateur!BL146*Calculateur!BN146*VLOOKUP('Données projet'!$B$11,Paramètres!$A$1:$I$88,3,0)*0.475*44/12</f>
        <v>0</v>
      </c>
      <c r="BR146" s="23">
        <f>EXP(-LN(2)/2)*BR145+(1-EXP(-LN(2)/2))/(LN(2)/2)*BL146*BO146*VLOOKUP('Données projet'!$B$11,Paramètres!$A$1:$I$88,3,0)*0.475*44/12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5.6843418860808015E-14</v>
      </c>
      <c r="BZ146" s="14">
        <f>BY146*VLOOKUP('Données projet'!$B$12,Paramètres!$A$1:$I$88,3,0)*VLOOKUP('Données projet'!$B$12,Paramètres!$A$1:$I$88,5,0)</f>
        <v>4.4337866711430253E-14</v>
      </c>
      <c r="CA146" s="14">
        <f t="shared" si="147"/>
        <v>7.3222115536967035E-13</v>
      </c>
      <c r="CB146" s="22">
        <f t="shared" si="118"/>
        <v>1.3525069634579169E-12</v>
      </c>
      <c r="CC146" s="62">
        <f t="shared" si="119"/>
        <v>293.33333333333468</v>
      </c>
      <c r="CD146" s="62">
        <f ca="1">AVERAGE(OFFSET($CC$3,0,0,'Données projet'!$E$12+1,1))-AVERAGE(OFFSET($H$3,0,0,'Données projet'!$E$12+1,1))</f>
        <v>217.32600829266818</v>
      </c>
      <c r="CE146" s="62">
        <f t="shared" si="148"/>
        <v>208.79744153433245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projet'!$B$12,Paramètres!$A$1:$I$88,7,0))</f>
        <v>0</v>
      </c>
      <c r="CI146" s="17">
        <f>IF(ISNA(VLOOKUP(A146,'Données projet'!$A$113:$I$133,6,0)),0%,VLOOKUP(A146,'Données projet'!$A$113:$I$133,6,0)*VLOOKUP('Données projet'!$B$12,Paramètres!$A$1:$I$88,7,0))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projet'!$B$12,Paramètres!$A$1:$I$88,3,0)*0.475*44/12</f>
        <v>0</v>
      </c>
      <c r="CL146" s="23">
        <f>EXP(-LN(2)/25)*CL145+(1-EXP(-LN(2)/25))/(LN(2)/25)*Calculateur!CG146*Calculateur!CI146*VLOOKUP('Données projet'!$B$12,Paramètres!$A$1:$I$88,3,0)*0.475*44/12</f>
        <v>0</v>
      </c>
      <c r="CM146" s="23">
        <f>EXP(-LN(2)/2)*CM145+(1-EXP(-LN(2)/2))/(LN(2)/2)*CG146*CJ146*VLOOKUP('Données projet'!$B$12,Paramètres!$A$1:$I$88,3,0)*0.475*44/12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-3.4106051316484809E-13</v>
      </c>
      <c r="CU146" s="18">
        <f>CT146*VLOOKUP('Données projet'!$B$13,Paramètres!$A$1:$I$88,3,0)*VLOOKUP('Données projet'!$B$13,Paramètres!$A$1:$I$88,5,0)</f>
        <v>-1.9065282685915009E-13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302.20483575440988</v>
      </c>
      <c r="CZ146" s="62">
        <f t="shared" si="150"/>
        <v>275.32862097158687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projet'!$B$13,Paramètres!$A$1:$I$88,7,0))</f>
        <v>0</v>
      </c>
      <c r="DD146" s="17">
        <f>IF(ISNA(VLOOKUP(A146,'Données projet'!$A$139:$I$159,6,0)),0%,VLOOKUP(A146,'Données projet'!$A$139:$I$159,6,0)*VLOOKUP('Données projet'!$B$13,Paramètres!$A$1:$I$88,7,0))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projet'!$B$13,Paramètres!$A$1:$I$88,3,0)*0.475*44/12</f>
        <v>0</v>
      </c>
      <c r="DG146" s="23">
        <f>EXP(-LN(2)/25)*DG145+(1-EXP(-LN(2)/25))/(LN(2)/25)*Calculateur!DB146*Calculateur!DD146*VLOOKUP('Données projet'!$B$13,Paramètres!$A$1:$I$88,3,0)*0.475*44/12</f>
        <v>0.60266981647212514</v>
      </c>
      <c r="DH146" s="23">
        <f>EXP(-LN(2)/2)*DH145+(1-EXP(-LN(2)/2))/(LN(2)/2)*DB146*DE146*VLOOKUP('Données projet'!$B$13,Paramètres!$A$1:$I$88,3,0)*0.475*44/12</f>
        <v>6.6541379001363308E-17</v>
      </c>
      <c r="DI146" s="24">
        <f t="shared" si="123"/>
        <v>0.60266981647212525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projet'!$B$14,Paramètres!$A$1:$I$88,3,0)*VLOOKUP('Données projet'!$B$14,Paramètres!$A$1:$I$88,5,0)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projet'!$B$14,Paramètres!$A$1:$I$88,7,0))</f>
        <v>0</v>
      </c>
      <c r="DY146" s="17">
        <f>IF(ISNA(VLOOKUP(A146,'Données projet'!$A$165:$I$185,6,0)),0%,VLOOKUP(A146,'Données projet'!$A$165:$I$185,6,0)*VLOOKUP('Données projet'!$B$14,Paramètres!$A$1:$I$88,7,0))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projet'!$B$14,Paramètres!$A$1:$I$88,3,0)*0.475*44/12</f>
        <v>#N/A</v>
      </c>
      <c r="EB146" s="23" t="e">
        <f>EXP(-LN(2)/25)*EB145+(1-EXP(-LN(2)/25))/(LN(2)/25)*Calculateur!DW146*Calculateur!DY146*VLOOKUP('Données projet'!$B$14,Paramètres!$A$1:$I$88,3,0)*0.475*44/12</f>
        <v>#N/A</v>
      </c>
      <c r="EC146" s="23" t="e">
        <f>EXP(-LN(2)/2)*EC145+(1-EXP(-LN(2)/2))/(LN(2)/2)*DW146*DZ146*VLOOKUP('Données projet'!$B$14,Paramètres!$A$1:$I$88,3,0)*0.475*44/12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projet'!$B$15,Paramètres!$A$1:$I$88,3,0)*VLOOKUP('Données projet'!$B$15,Paramètres!$A$1:$I$88,5,0)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projet'!$B$15,Paramètres!$A$1:$I$88,7,0))</f>
        <v>0</v>
      </c>
      <c r="ET146" s="17">
        <f>IF(ISNA(VLOOKUP(A146,'Données projet'!$A$191:$I$211,6,0)),0%,VLOOKUP(A146,'Données projet'!$A$191:$I$211,6,0)*VLOOKUP('Données projet'!$B$15,Paramètres!$A$1:$I$88,7,0))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projet'!$B$15,Paramètres!$A$1:$I$88,3,0)*0.475*44/12</f>
        <v>#N/A</v>
      </c>
      <c r="EW146" s="23" t="e">
        <f>EXP(-LN(2)/25)*EW145+(1-EXP(-LN(2)/25))/(LN(2)/25)*Calculateur!ER146*Calculateur!ET146*VLOOKUP('Données projet'!$B$15,Paramètres!$A$1:$I$88,3,0)*0.475*44/12</f>
        <v>#N/A</v>
      </c>
      <c r="EX146" s="23" t="e">
        <f>EXP(-LN(2)/2)*EX145+(1-EXP(-LN(2)/2))/(LN(2)/2)*ER146*EU146*VLOOKUP('Données projet'!$B$15,Paramètres!$A$1:$I$88,3,0)*0.475*44/12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projet'!$B$16,Paramètres!$A$1:$I$88,3,0)*VLOOKUP('Données projet'!$B$16,Paramètres!$A$1:$I$88,5,0)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projet'!$B$16,Paramètres!$A$1:$I$88,7,0))</f>
        <v>0</v>
      </c>
      <c r="FO146" s="17">
        <f>IF(ISNA(VLOOKUP(A146,'Données projet'!$A$217:$I$237,6,0)),0%,VLOOKUP(A146,'Données projet'!$A$217:$I$237,6,0)*VLOOKUP('Données projet'!$B$16,Paramètres!$A$1:$I$88,7,0))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projet'!$B$16,Paramètres!$A$1:$I$88,3,0)*0.475*44/12</f>
        <v>#N/A</v>
      </c>
      <c r="FR146" s="23" t="e">
        <f>EXP(-LN(2)/25)*FR145+(1-EXP(-LN(2)/25))/(LN(2)/25)*Calculateur!FM146*Calculateur!FO146*VLOOKUP('Données projet'!$B$16,Paramètres!$A$1:$I$88,3,0)*0.475*44/12</f>
        <v>#N/A</v>
      </c>
      <c r="FS146" s="23" t="e">
        <f>EXP(-LN(2)/2)*FS145+(1-EXP(-LN(2)/2))/(LN(2)/2)*FM146*FP146*VLOOKUP('Données projet'!$B$16,Paramètres!$A$1:$I$88,3,0)*0.475*44/12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projet'!$B$17,Paramètres!$A$1:$I$88,3,0)*VLOOKUP('Données projet'!$B$17,Paramètres!$A$1:$I$88,5,0)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projet'!$B$17,Paramètres!$A$1:$I$88,7,0))</f>
        <v>0</v>
      </c>
      <c r="GJ146" s="17">
        <f>IF(ISNA(VLOOKUP(A146,'Données projet'!$A$243:$I$263,6,0)),0%,VLOOKUP(A146,'Données projet'!$A$243:$I$263,6,0)*VLOOKUP('Données projet'!$B$17,Paramètres!$A$1:$I$88,7,0))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projet'!$B$17,Paramètres!$A$1:$I$88,3,0)*0.475*44/12</f>
        <v>#N/A</v>
      </c>
      <c r="GM146" s="23" t="e">
        <f>EXP(-LN(2)/25)*GM145+(1-EXP(-LN(2)/25))/(LN(2)/25)*Calculateur!GH146*Calculateur!GJ146*VLOOKUP('Données projet'!$B$17,Paramètres!$A$1:$I$88,3,0)*0.475*44/12</f>
        <v>#N/A</v>
      </c>
      <c r="GN146" s="23" t="e">
        <f>EXP(-LN(2)/2)*GN145+(1-EXP(-LN(2)/2))/(LN(2)/2)*GH146*GK146*VLOOKUP('Données projet'!$B$17,Paramètres!$A$1:$I$88,3,0)*0.475*44/12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projet'!$B$18,Paramètres!$A$1:$I$88,3,0)*VLOOKUP('Données projet'!$B$18,Paramètres!$A$1:$I$88,5,0)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projet'!$B$18,Paramètres!$A$1:$I$88,7,0))</f>
        <v>0</v>
      </c>
      <c r="HE146" s="17">
        <f>IF(ISNA(VLOOKUP(A146,'Données projet'!$A$269:$I$289,6,0)),0%,VLOOKUP(A146,'Données projet'!$A$269:$I$289,6,0)*VLOOKUP('Données projet'!$B$18,Paramètres!$A$1:$I$88,7,0))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projet'!$B$18,Paramètres!$A$1:$I$88,3,0)*0.475*44/12</f>
        <v>#N/A</v>
      </c>
      <c r="HH146" s="23" t="e">
        <f>EXP(-LN(2)/25)*HH145+(1-EXP(-LN(2)/25))/(LN(2)/25)*Calculateur!HC146*Calculateur!HE146*VLOOKUP('Données projet'!$B$18,Paramètres!$A$1:$I$88,3,0)*0.475*44/12</f>
        <v>#N/A</v>
      </c>
      <c r="HI146" s="23" t="e">
        <f>EXP(-LN(2)/2)*HI145+(1-EXP(-LN(2)/2))/(LN(2)/2)*HC146*HF146*VLOOKUP('Données projet'!$B$18,Paramètres!$A$1:$I$88,3,0)*0.475*44/12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projet'!$B$9,Paramètres!$A$1:$I$88,3,0)*VLOOKUP('Données projet'!$B$9,Paramètres!$A$1:$I$88,5,0)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175.05987582828078</v>
      </c>
      <c r="T147" s="62">
        <f t="shared" si="142"/>
        <v>268.54782308462387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projet'!$B$9,Paramètres!$A$1:$I$88,7,0))</f>
        <v>0</v>
      </c>
      <c r="X147" s="17">
        <f>IF(ISNA(VLOOKUP(A147,'Données projet'!$A$35:$I$55,6,0)),0%,VLOOKUP(A147,'Données projet'!$A$35:$I$55,6,0)*VLOOKUP('Données projet'!$B$9,Paramètres!$A$1:$I$88,7,0))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projet'!$B$9,Paramètres!$A$1:$I$88,3,0)*0.475*44/12</f>
        <v>0</v>
      </c>
      <c r="AA147" s="23">
        <f>EXP(-LN(2)/25)*AA146+(1-EXP(-LN(2)/25))/(LN(2)/25)*Calculateur!V147*Calculateur!X147*VLOOKUP('Données projet'!$B$9,Paramètres!$A$1:$I$88,3,0)*0.475*44/12</f>
        <v>0.43646514748282617</v>
      </c>
      <c r="AB147" s="23">
        <f>EXP(-LN(2)/2)*AB146+(1-EXP(-LN(2)/2))/(LN(2)/2)*V147*Y147*VLOOKUP('Données projet'!$B$9,Paramètres!$A$1:$I$88,3,0)*0.475*44/12</f>
        <v>1.146223385720596E-16</v>
      </c>
      <c r="AC147" s="24">
        <f t="shared" si="111"/>
        <v>0.43646514748282628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7.9333333333333336</v>
      </c>
      <c r="AI147" s="14">
        <f>IF('Données projet'!$A$62&gt;35,AI146+AH147-AQ146,IF(A147&lt;'Données projet'!$A$62,$AF$205^A147,IF(A147='Données projet'!$A$62,'Données projet'!$B$62,AI146+AH147-AQ146)))</f>
        <v>984.3999999999985</v>
      </c>
      <c r="AJ147" s="14">
        <f>AI147*VLOOKUP('Données projet'!$B$10,Paramètres!$A$1:$I$88,3,0)*VLOOKUP('Données projet'!$B$10,Paramètres!$A$1:$I$88,5,0)</f>
        <v>473.49639999999931</v>
      </c>
      <c r="AK147" s="14">
        <f t="shared" si="143"/>
        <v>106.5275366687372</v>
      </c>
      <c r="AL147" s="22">
        <f t="shared" si="112"/>
        <v>1010.208356364716</v>
      </c>
      <c r="AM147" s="62">
        <f t="shared" si="113"/>
        <v>1303.5416896980494</v>
      </c>
      <c r="AN147" s="62">
        <f ca="1">AVERAGE(OFFSET($AM$3,0,0,'Données projet'!$E$10+1,1))-AVERAGE(OFFSET($H$3,0,0,'Données projet'!$E$10+1,1))</f>
        <v>576.61210817354549</v>
      </c>
      <c r="AO147" s="62">
        <f t="shared" si="144"/>
        <v>343.9428747444544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projet'!$B$10,Paramètres!$A$1:$I$88,7,0))</f>
        <v>0</v>
      </c>
      <c r="AS147" s="17">
        <f>IF(ISNA(VLOOKUP(A147,'Données projet'!$A$61:$I$81,6,0)),0%,VLOOKUP(A147,'Données projet'!$A$61:$I$81,6,0)*VLOOKUP('Données projet'!$B$10,Paramètres!$A$1:$I$88,7,0))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projet'!$B$10,Paramètres!$A$1:$I$88,3,0)*0.475*44/12</f>
        <v>0</v>
      </c>
      <c r="AV147" s="23">
        <f>EXP(-LN(2)/25)*AV146+(1-EXP(-LN(2)/25))/(LN(2)/25)*Calculateur!AQ147*Calculateur!AS147*VLOOKUP('Données projet'!$B$10,Paramètres!$A$1:$I$88,3,0)*0.475*44/12</f>
        <v>0.24007171695142787</v>
      </c>
      <c r="AW147" s="23">
        <f>EXP(-LN(2)/2)*AW146+(1-EXP(-LN(2)/2))/(LN(2)/2)*AQ147*AT147*VLOOKUP('Données projet'!$B$10,Paramètres!$A$1:$I$88,3,0)*0.475*44/12</f>
        <v>8.162526681219205E-17</v>
      </c>
      <c r="AX147" s="23">
        <f t="shared" si="114"/>
        <v>0.24007171695142795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-5.6843418860808015E-14</v>
      </c>
      <c r="BE147" s="14">
        <f>BD147*VLOOKUP('Données projet'!$B$11,Paramètres!$A$1:$I$88,3,0)*VLOOKUP('Données projet'!$B$11,Paramètres!$A$1:$I$88,5,0)</f>
        <v>-4.5224624045658861E-14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298.38448036212861</v>
      </c>
      <c r="BJ147" s="62">
        <f t="shared" si="146"/>
        <v>270.4445531106897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projet'!$B$11,Paramètres!$A$1:$I$88,7,0))</f>
        <v>0</v>
      </c>
      <c r="BN147" s="17">
        <f>IF(ISNA(VLOOKUP(A147,'Données projet'!$A$87:$I$107,6,0)),0%,VLOOKUP(A147,'Données projet'!$A$87:$I$107,6,0)*VLOOKUP('Données projet'!$B$11,Paramètres!$A$1:$I$88,7,0))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projet'!$B$11,Paramètres!$A$1:$I$88,3,0)*0.475*44/12</f>
        <v>0</v>
      </c>
      <c r="BQ147" s="23">
        <f>EXP(-LN(2)/25)*BQ146+(1-EXP(-LN(2)/25))/(LN(2)/25)*Calculateur!BL147*Calculateur!BN147*VLOOKUP('Données projet'!$B$11,Paramètres!$A$1:$I$88,3,0)*0.475*44/12</f>
        <v>0</v>
      </c>
      <c r="BR147" s="23">
        <f>EXP(-LN(2)/2)*BR146+(1-EXP(-LN(2)/2))/(LN(2)/2)*BL147*BO147*VLOOKUP('Données projet'!$B$11,Paramètres!$A$1:$I$88,3,0)*0.475*44/12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5.6843418860808015E-14</v>
      </c>
      <c r="BZ147" s="14">
        <f>BY147*VLOOKUP('Données projet'!$B$12,Paramètres!$A$1:$I$88,3,0)*VLOOKUP('Données projet'!$B$12,Paramètres!$A$1:$I$88,5,0)</f>
        <v>4.4337866711430253E-14</v>
      </c>
      <c r="CA147" s="14">
        <f t="shared" si="147"/>
        <v>7.3222115536967035E-13</v>
      </c>
      <c r="CB147" s="22">
        <f t="shared" si="118"/>
        <v>1.3525069634579169E-12</v>
      </c>
      <c r="CC147" s="62">
        <f t="shared" si="119"/>
        <v>293.33333333333468</v>
      </c>
      <c r="CD147" s="62">
        <f ca="1">AVERAGE(OFFSET($CC$3,0,0,'Données projet'!$E$12+1,1))-AVERAGE(OFFSET($H$3,0,0,'Données projet'!$E$12+1,1))</f>
        <v>217.32600829266818</v>
      </c>
      <c r="CE147" s="62">
        <f t="shared" si="148"/>
        <v>208.79744153433245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projet'!$B$12,Paramètres!$A$1:$I$88,7,0))</f>
        <v>0</v>
      </c>
      <c r="CI147" s="17">
        <f>IF(ISNA(VLOOKUP(A147,'Données projet'!$A$113:$I$133,6,0)),0%,VLOOKUP(A147,'Données projet'!$A$113:$I$133,6,0)*VLOOKUP('Données projet'!$B$12,Paramètres!$A$1:$I$88,7,0))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projet'!$B$12,Paramètres!$A$1:$I$88,3,0)*0.475*44/12</f>
        <v>0</v>
      </c>
      <c r="CL147" s="23">
        <f>EXP(-LN(2)/25)*CL146+(1-EXP(-LN(2)/25))/(LN(2)/25)*Calculateur!CG147*Calculateur!CI147*VLOOKUP('Données projet'!$B$12,Paramètres!$A$1:$I$88,3,0)*0.475*44/12</f>
        <v>0</v>
      </c>
      <c r="CM147" s="23">
        <f>EXP(-LN(2)/2)*CM146+(1-EXP(-LN(2)/2))/(LN(2)/2)*CG147*CJ147*VLOOKUP('Données projet'!$B$12,Paramètres!$A$1:$I$88,3,0)*0.475*44/12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-3.4106051316484809E-13</v>
      </c>
      <c r="CU147" s="18">
        <f>CT147*VLOOKUP('Données projet'!$B$13,Paramètres!$A$1:$I$88,3,0)*VLOOKUP('Données projet'!$B$13,Paramètres!$A$1:$I$88,5,0)</f>
        <v>-1.9065282685915009E-13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302.20483575440988</v>
      </c>
      <c r="CZ147" s="62">
        <f t="shared" si="150"/>
        <v>275.32862097158687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projet'!$B$13,Paramètres!$A$1:$I$88,7,0))</f>
        <v>0</v>
      </c>
      <c r="DD147" s="17">
        <f>IF(ISNA(VLOOKUP(A147,'Données projet'!$A$139:$I$159,6,0)),0%,VLOOKUP(A147,'Données projet'!$A$139:$I$159,6,0)*VLOOKUP('Données projet'!$B$13,Paramètres!$A$1:$I$88,7,0))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projet'!$B$13,Paramètres!$A$1:$I$88,3,0)*0.475*44/12</f>
        <v>0</v>
      </c>
      <c r="DG147" s="23">
        <f>EXP(-LN(2)/25)*DG146+(1-EXP(-LN(2)/25))/(LN(2)/25)*Calculateur!DB147*Calculateur!DD147*VLOOKUP('Données projet'!$B$13,Paramètres!$A$1:$I$88,3,0)*0.475*44/12</f>
        <v>0.58618977864766664</v>
      </c>
      <c r="DH147" s="23">
        <f>EXP(-LN(2)/2)*DH146+(1-EXP(-LN(2)/2))/(LN(2)/2)*DB147*DE147*VLOOKUP('Données projet'!$B$13,Paramètres!$A$1:$I$88,3,0)*0.475*44/12</f>
        <v>4.7051860321368133E-17</v>
      </c>
      <c r="DI147" s="24">
        <f t="shared" si="123"/>
        <v>0.58618977864766664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projet'!$B$14,Paramètres!$A$1:$I$88,3,0)*VLOOKUP('Données projet'!$B$14,Paramètres!$A$1:$I$88,5,0)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projet'!$B$14,Paramètres!$A$1:$I$88,7,0))</f>
        <v>0</v>
      </c>
      <c r="DY147" s="17">
        <f>IF(ISNA(VLOOKUP(A147,'Données projet'!$A$165:$I$185,6,0)),0%,VLOOKUP(A147,'Données projet'!$A$165:$I$185,6,0)*VLOOKUP('Données projet'!$B$14,Paramètres!$A$1:$I$88,7,0))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projet'!$B$14,Paramètres!$A$1:$I$88,3,0)*0.475*44/12</f>
        <v>#N/A</v>
      </c>
      <c r="EB147" s="23" t="e">
        <f>EXP(-LN(2)/25)*EB146+(1-EXP(-LN(2)/25))/(LN(2)/25)*Calculateur!DW147*Calculateur!DY147*VLOOKUP('Données projet'!$B$14,Paramètres!$A$1:$I$88,3,0)*0.475*44/12</f>
        <v>#N/A</v>
      </c>
      <c r="EC147" s="23" t="e">
        <f>EXP(-LN(2)/2)*EC146+(1-EXP(-LN(2)/2))/(LN(2)/2)*DW147*DZ147*VLOOKUP('Données projet'!$B$14,Paramètres!$A$1:$I$88,3,0)*0.475*44/12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projet'!$B$15,Paramètres!$A$1:$I$88,3,0)*VLOOKUP('Données projet'!$B$15,Paramètres!$A$1:$I$88,5,0)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projet'!$B$15,Paramètres!$A$1:$I$88,7,0))</f>
        <v>0</v>
      </c>
      <c r="ET147" s="17">
        <f>IF(ISNA(VLOOKUP(A147,'Données projet'!$A$191:$I$211,6,0)),0%,VLOOKUP(A147,'Données projet'!$A$191:$I$211,6,0)*VLOOKUP('Données projet'!$B$15,Paramètres!$A$1:$I$88,7,0))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projet'!$B$15,Paramètres!$A$1:$I$88,3,0)*0.475*44/12</f>
        <v>#N/A</v>
      </c>
      <c r="EW147" s="23" t="e">
        <f>EXP(-LN(2)/25)*EW146+(1-EXP(-LN(2)/25))/(LN(2)/25)*Calculateur!ER147*Calculateur!ET147*VLOOKUP('Données projet'!$B$15,Paramètres!$A$1:$I$88,3,0)*0.475*44/12</f>
        <v>#N/A</v>
      </c>
      <c r="EX147" s="23" t="e">
        <f>EXP(-LN(2)/2)*EX146+(1-EXP(-LN(2)/2))/(LN(2)/2)*ER147*EU147*VLOOKUP('Données projet'!$B$15,Paramètres!$A$1:$I$88,3,0)*0.475*44/12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projet'!$B$16,Paramètres!$A$1:$I$88,3,0)*VLOOKUP('Données projet'!$B$16,Paramètres!$A$1:$I$88,5,0)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projet'!$B$16,Paramètres!$A$1:$I$88,7,0))</f>
        <v>0</v>
      </c>
      <c r="FO147" s="17">
        <f>IF(ISNA(VLOOKUP(A147,'Données projet'!$A$217:$I$237,6,0)),0%,VLOOKUP(A147,'Données projet'!$A$217:$I$237,6,0)*VLOOKUP('Données projet'!$B$16,Paramètres!$A$1:$I$88,7,0))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projet'!$B$16,Paramètres!$A$1:$I$88,3,0)*0.475*44/12</f>
        <v>#N/A</v>
      </c>
      <c r="FR147" s="23" t="e">
        <f>EXP(-LN(2)/25)*FR146+(1-EXP(-LN(2)/25))/(LN(2)/25)*Calculateur!FM147*Calculateur!FO147*VLOOKUP('Données projet'!$B$16,Paramètres!$A$1:$I$88,3,0)*0.475*44/12</f>
        <v>#N/A</v>
      </c>
      <c r="FS147" s="23" t="e">
        <f>EXP(-LN(2)/2)*FS146+(1-EXP(-LN(2)/2))/(LN(2)/2)*FM147*FP147*VLOOKUP('Données projet'!$B$16,Paramètres!$A$1:$I$88,3,0)*0.475*44/12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projet'!$B$17,Paramètres!$A$1:$I$88,3,0)*VLOOKUP('Données projet'!$B$17,Paramètres!$A$1:$I$88,5,0)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projet'!$B$17,Paramètres!$A$1:$I$88,7,0))</f>
        <v>0</v>
      </c>
      <c r="GJ147" s="17">
        <f>IF(ISNA(VLOOKUP(A147,'Données projet'!$A$243:$I$263,6,0)),0%,VLOOKUP(A147,'Données projet'!$A$243:$I$263,6,0)*VLOOKUP('Données projet'!$B$17,Paramètres!$A$1:$I$88,7,0))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projet'!$B$17,Paramètres!$A$1:$I$88,3,0)*0.475*44/12</f>
        <v>#N/A</v>
      </c>
      <c r="GM147" s="23" t="e">
        <f>EXP(-LN(2)/25)*GM146+(1-EXP(-LN(2)/25))/(LN(2)/25)*Calculateur!GH147*Calculateur!GJ147*VLOOKUP('Données projet'!$B$17,Paramètres!$A$1:$I$88,3,0)*0.475*44/12</f>
        <v>#N/A</v>
      </c>
      <c r="GN147" s="23" t="e">
        <f>EXP(-LN(2)/2)*GN146+(1-EXP(-LN(2)/2))/(LN(2)/2)*GH147*GK147*VLOOKUP('Données projet'!$B$17,Paramètres!$A$1:$I$88,3,0)*0.475*44/12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projet'!$B$18,Paramètres!$A$1:$I$88,3,0)*VLOOKUP('Données projet'!$B$18,Paramètres!$A$1:$I$88,5,0)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projet'!$B$18,Paramètres!$A$1:$I$88,7,0))</f>
        <v>0</v>
      </c>
      <c r="HE147" s="17">
        <f>IF(ISNA(VLOOKUP(A147,'Données projet'!$A$269:$I$289,6,0)),0%,VLOOKUP(A147,'Données projet'!$A$269:$I$289,6,0)*VLOOKUP('Données projet'!$B$18,Paramètres!$A$1:$I$88,7,0))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projet'!$B$18,Paramètres!$A$1:$I$88,3,0)*0.475*44/12</f>
        <v>#N/A</v>
      </c>
      <c r="HH147" s="23" t="e">
        <f>EXP(-LN(2)/25)*HH146+(1-EXP(-LN(2)/25))/(LN(2)/25)*Calculateur!HC147*Calculateur!HE147*VLOOKUP('Données projet'!$B$18,Paramètres!$A$1:$I$88,3,0)*0.475*44/12</f>
        <v>#N/A</v>
      </c>
      <c r="HI147" s="23" t="e">
        <f>EXP(-LN(2)/2)*HI146+(1-EXP(-LN(2)/2))/(LN(2)/2)*HC147*HF147*VLOOKUP('Données projet'!$B$18,Paramètres!$A$1:$I$88,3,0)*0.475*44/12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projet'!$B$9,Paramètres!$A$1:$I$88,3,0)*VLOOKUP('Données projet'!$B$9,Paramètres!$A$1:$I$88,5,0)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175.05987582828078</v>
      </c>
      <c r="T148" s="62">
        <f t="shared" si="142"/>
        <v>268.54782308462387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projet'!$B$9,Paramètres!$A$1:$I$88,7,0))</f>
        <v>0</v>
      </c>
      <c r="X148" s="17">
        <f>IF(ISNA(VLOOKUP(A148,'Données projet'!$A$35:$I$55,6,0)),0%,VLOOKUP(A148,'Données projet'!$A$35:$I$55,6,0)*VLOOKUP('Données projet'!$B$9,Paramètres!$A$1:$I$88,7,0))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projet'!$B$9,Paramètres!$A$1:$I$88,3,0)*0.475*44/12</f>
        <v>0</v>
      </c>
      <c r="AA148" s="23">
        <f>EXP(-LN(2)/25)*AA147+(1-EXP(-LN(2)/25))/(LN(2)/25)*Calculateur!V148*Calculateur!X148*VLOOKUP('Données projet'!$B$9,Paramètres!$A$1:$I$88,3,0)*0.475*44/12</f>
        <v>0.42452998507220374</v>
      </c>
      <c r="AB148" s="23">
        <f>EXP(-LN(2)/2)*AB147+(1-EXP(-LN(2)/2))/(LN(2)/2)*V148*Y148*VLOOKUP('Données projet'!$B$9,Paramètres!$A$1:$I$88,3,0)*0.475*44/12</f>
        <v>8.1050232879763717E-17</v>
      </c>
      <c r="AC148" s="24">
        <f t="shared" si="111"/>
        <v>0.4245299850722038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7.9333333333333336</v>
      </c>
      <c r="AI148" s="14">
        <f>IF('Données projet'!$A$62&gt;35,AI147+AH148-AQ147,IF(A148&lt;'Données projet'!$A$62,$AF$205^A148,IF(A148='Données projet'!$A$62,'Données projet'!$B$62,AI147+AH148-AQ147)))</f>
        <v>992.33333333333178</v>
      </c>
      <c r="AJ148" s="14">
        <f>AI148*VLOOKUP('Données projet'!$B$10,Paramètres!$A$1:$I$88,3,0)*VLOOKUP('Données projet'!$B$10,Paramètres!$A$1:$I$88,5,0)</f>
        <v>477.31233333333256</v>
      </c>
      <c r="AK148" s="14">
        <f t="shared" si="143"/>
        <v>107.28576245426538</v>
      </c>
      <c r="AL148" s="22">
        <f t="shared" si="112"/>
        <v>1018.1750168300663</v>
      </c>
      <c r="AM148" s="62">
        <f t="shared" si="113"/>
        <v>1311.5083501633997</v>
      </c>
      <c r="AN148" s="62">
        <f ca="1">AVERAGE(OFFSET($AM$3,0,0,'Données projet'!$E$10+1,1))-AVERAGE(OFFSET($H$3,0,0,'Données projet'!$E$10+1,1))</f>
        <v>576.61210817354549</v>
      </c>
      <c r="AO148" s="62">
        <f t="shared" si="144"/>
        <v>343.9428747444544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projet'!$B$10,Paramètres!$A$1:$I$88,7,0))</f>
        <v>0</v>
      </c>
      <c r="AS148" s="17">
        <f>IF(ISNA(VLOOKUP(A148,'Données projet'!$A$61:$I$81,6,0)),0%,VLOOKUP(A148,'Données projet'!$A$61:$I$81,6,0)*VLOOKUP('Données projet'!$B$10,Paramètres!$A$1:$I$88,7,0))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projet'!$B$10,Paramètres!$A$1:$I$88,3,0)*0.475*44/12</f>
        <v>0</v>
      </c>
      <c r="AV148" s="23">
        <f>EXP(-LN(2)/25)*AV147+(1-EXP(-LN(2)/25))/(LN(2)/25)*Calculateur!AQ148*Calculateur!AS148*VLOOKUP('Données projet'!$B$10,Paramètres!$A$1:$I$88,3,0)*0.475*44/12</f>
        <v>0.23350694322656818</v>
      </c>
      <c r="AW148" s="23">
        <f>EXP(-LN(2)/2)*AW147+(1-EXP(-LN(2)/2))/(LN(2)/2)*AQ148*AT148*VLOOKUP('Données projet'!$B$10,Paramètres!$A$1:$I$88,3,0)*0.475*44/12</f>
        <v>5.7717779679062242E-17</v>
      </c>
      <c r="AX148" s="23">
        <f t="shared" si="114"/>
        <v>0.23350694322656823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-5.6843418860808015E-14</v>
      </c>
      <c r="BE148" s="14">
        <f>BD148*VLOOKUP('Données projet'!$B$11,Paramètres!$A$1:$I$88,3,0)*VLOOKUP('Données projet'!$B$11,Paramètres!$A$1:$I$88,5,0)</f>
        <v>-4.5224624045658861E-14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298.38448036212861</v>
      </c>
      <c r="BJ148" s="62">
        <f t="shared" si="146"/>
        <v>270.4445531106897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projet'!$B$11,Paramètres!$A$1:$I$88,7,0))</f>
        <v>0</v>
      </c>
      <c r="BN148" s="17">
        <f>IF(ISNA(VLOOKUP(A148,'Données projet'!$A$87:$I$107,6,0)),0%,VLOOKUP(A148,'Données projet'!$A$87:$I$107,6,0)*VLOOKUP('Données projet'!$B$11,Paramètres!$A$1:$I$88,7,0))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projet'!$B$11,Paramètres!$A$1:$I$88,3,0)*0.475*44/12</f>
        <v>0</v>
      </c>
      <c r="BQ148" s="23">
        <f>EXP(-LN(2)/25)*BQ147+(1-EXP(-LN(2)/25))/(LN(2)/25)*Calculateur!BL148*Calculateur!BN148*VLOOKUP('Données projet'!$B$11,Paramètres!$A$1:$I$88,3,0)*0.475*44/12</f>
        <v>0</v>
      </c>
      <c r="BR148" s="23">
        <f>EXP(-LN(2)/2)*BR147+(1-EXP(-LN(2)/2))/(LN(2)/2)*BL148*BO148*VLOOKUP('Données projet'!$B$11,Paramètres!$A$1:$I$88,3,0)*0.475*44/12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5.6843418860808015E-14</v>
      </c>
      <c r="BZ148" s="14">
        <f>BY148*VLOOKUP('Données projet'!$B$12,Paramètres!$A$1:$I$88,3,0)*VLOOKUP('Données projet'!$B$12,Paramètres!$A$1:$I$88,5,0)</f>
        <v>4.4337866711430253E-14</v>
      </c>
      <c r="CA148" s="14">
        <f t="shared" si="147"/>
        <v>7.3222115536967035E-13</v>
      </c>
      <c r="CB148" s="22">
        <f t="shared" si="118"/>
        <v>1.3525069634579169E-12</v>
      </c>
      <c r="CC148" s="62">
        <f t="shared" si="119"/>
        <v>293.33333333333468</v>
      </c>
      <c r="CD148" s="62">
        <f ca="1">AVERAGE(OFFSET($CC$3,0,0,'Données projet'!$E$12+1,1))-AVERAGE(OFFSET($H$3,0,0,'Données projet'!$E$12+1,1))</f>
        <v>217.32600829266818</v>
      </c>
      <c r="CE148" s="62">
        <f t="shared" si="148"/>
        <v>208.79744153433245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projet'!$B$12,Paramètres!$A$1:$I$88,7,0))</f>
        <v>0</v>
      </c>
      <c r="CI148" s="17">
        <f>IF(ISNA(VLOOKUP(A148,'Données projet'!$A$113:$I$133,6,0)),0%,VLOOKUP(A148,'Données projet'!$A$113:$I$133,6,0)*VLOOKUP('Données projet'!$B$12,Paramètres!$A$1:$I$88,7,0))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projet'!$B$12,Paramètres!$A$1:$I$88,3,0)*0.475*44/12</f>
        <v>0</v>
      </c>
      <c r="CL148" s="23">
        <f>EXP(-LN(2)/25)*CL147+(1-EXP(-LN(2)/25))/(LN(2)/25)*Calculateur!CG148*Calculateur!CI148*VLOOKUP('Données projet'!$B$12,Paramètres!$A$1:$I$88,3,0)*0.475*44/12</f>
        <v>0</v>
      </c>
      <c r="CM148" s="23">
        <f>EXP(-LN(2)/2)*CM147+(1-EXP(-LN(2)/2))/(LN(2)/2)*CG148*CJ148*VLOOKUP('Données projet'!$B$12,Paramètres!$A$1:$I$88,3,0)*0.475*44/12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-3.4106051316484809E-13</v>
      </c>
      <c r="CU148" s="18">
        <f>CT148*VLOOKUP('Données projet'!$B$13,Paramètres!$A$1:$I$88,3,0)*VLOOKUP('Données projet'!$B$13,Paramètres!$A$1:$I$88,5,0)</f>
        <v>-1.9065282685915009E-13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302.20483575440988</v>
      </c>
      <c r="CZ148" s="62">
        <f t="shared" si="150"/>
        <v>275.32862097158687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projet'!$B$13,Paramètres!$A$1:$I$88,7,0))</f>
        <v>0</v>
      </c>
      <c r="DD148" s="17">
        <f>IF(ISNA(VLOOKUP(A148,'Données projet'!$A$139:$I$159,6,0)),0%,VLOOKUP(A148,'Données projet'!$A$139:$I$159,6,0)*VLOOKUP('Données projet'!$B$13,Paramètres!$A$1:$I$88,7,0))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projet'!$B$13,Paramètres!$A$1:$I$88,3,0)*0.475*44/12</f>
        <v>0</v>
      </c>
      <c r="DG148" s="23">
        <f>EXP(-LN(2)/25)*DG147+(1-EXP(-LN(2)/25))/(LN(2)/25)*Calculateur!DB148*Calculateur!DD148*VLOOKUP('Données projet'!$B$13,Paramètres!$A$1:$I$88,3,0)*0.475*44/12</f>
        <v>0.57016038832416549</v>
      </c>
      <c r="DH148" s="23">
        <f>EXP(-LN(2)/2)*DH147+(1-EXP(-LN(2)/2))/(LN(2)/2)*DB148*DE148*VLOOKUP('Données projet'!$B$13,Paramètres!$A$1:$I$88,3,0)*0.475*44/12</f>
        <v>3.3270689500681654E-17</v>
      </c>
      <c r="DI148" s="24">
        <f t="shared" si="123"/>
        <v>0.57016038832416549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projet'!$B$14,Paramètres!$A$1:$I$88,3,0)*VLOOKUP('Données projet'!$B$14,Paramètres!$A$1:$I$88,5,0)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projet'!$B$14,Paramètres!$A$1:$I$88,7,0))</f>
        <v>0</v>
      </c>
      <c r="DY148" s="17">
        <f>IF(ISNA(VLOOKUP(A148,'Données projet'!$A$165:$I$185,6,0)),0%,VLOOKUP(A148,'Données projet'!$A$165:$I$185,6,0)*VLOOKUP('Données projet'!$B$14,Paramètres!$A$1:$I$88,7,0))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projet'!$B$14,Paramètres!$A$1:$I$88,3,0)*0.475*44/12</f>
        <v>#N/A</v>
      </c>
      <c r="EB148" s="23" t="e">
        <f>EXP(-LN(2)/25)*EB147+(1-EXP(-LN(2)/25))/(LN(2)/25)*Calculateur!DW148*Calculateur!DY148*VLOOKUP('Données projet'!$B$14,Paramètres!$A$1:$I$88,3,0)*0.475*44/12</f>
        <v>#N/A</v>
      </c>
      <c r="EC148" s="23" t="e">
        <f>EXP(-LN(2)/2)*EC147+(1-EXP(-LN(2)/2))/(LN(2)/2)*DW148*DZ148*VLOOKUP('Données projet'!$B$14,Paramètres!$A$1:$I$88,3,0)*0.475*44/12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projet'!$B$15,Paramètres!$A$1:$I$88,3,0)*VLOOKUP('Données projet'!$B$15,Paramètres!$A$1:$I$88,5,0)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projet'!$B$15,Paramètres!$A$1:$I$88,7,0))</f>
        <v>0</v>
      </c>
      <c r="ET148" s="17">
        <f>IF(ISNA(VLOOKUP(A148,'Données projet'!$A$191:$I$211,6,0)),0%,VLOOKUP(A148,'Données projet'!$A$191:$I$211,6,0)*VLOOKUP('Données projet'!$B$15,Paramètres!$A$1:$I$88,7,0))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projet'!$B$15,Paramètres!$A$1:$I$88,3,0)*0.475*44/12</f>
        <v>#N/A</v>
      </c>
      <c r="EW148" s="23" t="e">
        <f>EXP(-LN(2)/25)*EW147+(1-EXP(-LN(2)/25))/(LN(2)/25)*Calculateur!ER148*Calculateur!ET148*VLOOKUP('Données projet'!$B$15,Paramètres!$A$1:$I$88,3,0)*0.475*44/12</f>
        <v>#N/A</v>
      </c>
      <c r="EX148" s="23" t="e">
        <f>EXP(-LN(2)/2)*EX147+(1-EXP(-LN(2)/2))/(LN(2)/2)*ER148*EU148*VLOOKUP('Données projet'!$B$15,Paramètres!$A$1:$I$88,3,0)*0.475*44/12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projet'!$B$16,Paramètres!$A$1:$I$88,3,0)*VLOOKUP('Données projet'!$B$16,Paramètres!$A$1:$I$88,5,0)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projet'!$B$16,Paramètres!$A$1:$I$88,7,0))</f>
        <v>0</v>
      </c>
      <c r="FO148" s="17">
        <f>IF(ISNA(VLOOKUP(A148,'Données projet'!$A$217:$I$237,6,0)),0%,VLOOKUP(A148,'Données projet'!$A$217:$I$237,6,0)*VLOOKUP('Données projet'!$B$16,Paramètres!$A$1:$I$88,7,0))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projet'!$B$16,Paramètres!$A$1:$I$88,3,0)*0.475*44/12</f>
        <v>#N/A</v>
      </c>
      <c r="FR148" s="23" t="e">
        <f>EXP(-LN(2)/25)*FR147+(1-EXP(-LN(2)/25))/(LN(2)/25)*Calculateur!FM148*Calculateur!FO148*VLOOKUP('Données projet'!$B$16,Paramètres!$A$1:$I$88,3,0)*0.475*44/12</f>
        <v>#N/A</v>
      </c>
      <c r="FS148" s="23" t="e">
        <f>EXP(-LN(2)/2)*FS147+(1-EXP(-LN(2)/2))/(LN(2)/2)*FM148*FP148*VLOOKUP('Données projet'!$B$16,Paramètres!$A$1:$I$88,3,0)*0.475*44/12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projet'!$B$17,Paramètres!$A$1:$I$88,3,0)*VLOOKUP('Données projet'!$B$17,Paramètres!$A$1:$I$88,5,0)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projet'!$B$17,Paramètres!$A$1:$I$88,7,0))</f>
        <v>0</v>
      </c>
      <c r="GJ148" s="17">
        <f>IF(ISNA(VLOOKUP(A148,'Données projet'!$A$243:$I$263,6,0)),0%,VLOOKUP(A148,'Données projet'!$A$243:$I$263,6,0)*VLOOKUP('Données projet'!$B$17,Paramètres!$A$1:$I$88,7,0))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projet'!$B$17,Paramètres!$A$1:$I$88,3,0)*0.475*44/12</f>
        <v>#N/A</v>
      </c>
      <c r="GM148" s="23" t="e">
        <f>EXP(-LN(2)/25)*GM147+(1-EXP(-LN(2)/25))/(LN(2)/25)*Calculateur!GH148*Calculateur!GJ148*VLOOKUP('Données projet'!$B$17,Paramètres!$A$1:$I$88,3,0)*0.475*44/12</f>
        <v>#N/A</v>
      </c>
      <c r="GN148" s="23" t="e">
        <f>EXP(-LN(2)/2)*GN147+(1-EXP(-LN(2)/2))/(LN(2)/2)*GH148*GK148*VLOOKUP('Données projet'!$B$17,Paramètres!$A$1:$I$88,3,0)*0.475*44/12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projet'!$B$18,Paramètres!$A$1:$I$88,3,0)*VLOOKUP('Données projet'!$B$18,Paramètres!$A$1:$I$88,5,0)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projet'!$B$18,Paramètres!$A$1:$I$88,7,0))</f>
        <v>0</v>
      </c>
      <c r="HE148" s="17">
        <f>IF(ISNA(VLOOKUP(A148,'Données projet'!$A$269:$I$289,6,0)),0%,VLOOKUP(A148,'Données projet'!$A$269:$I$289,6,0)*VLOOKUP('Données projet'!$B$18,Paramètres!$A$1:$I$88,7,0))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projet'!$B$18,Paramètres!$A$1:$I$88,3,0)*0.475*44/12</f>
        <v>#N/A</v>
      </c>
      <c r="HH148" s="23" t="e">
        <f>EXP(-LN(2)/25)*HH147+(1-EXP(-LN(2)/25))/(LN(2)/25)*Calculateur!HC148*Calculateur!HE148*VLOOKUP('Données projet'!$B$18,Paramètres!$A$1:$I$88,3,0)*0.475*44/12</f>
        <v>#N/A</v>
      </c>
      <c r="HI148" s="23" t="e">
        <f>EXP(-LN(2)/2)*HI147+(1-EXP(-LN(2)/2))/(LN(2)/2)*HC148*HF148*VLOOKUP('Données projet'!$B$18,Paramètres!$A$1:$I$88,3,0)*0.475*44/12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projet'!$B$9,Paramètres!$A$1:$I$88,3,0)*VLOOKUP('Données projet'!$B$9,Paramètres!$A$1:$I$88,5,0)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175.05987582828078</v>
      </c>
      <c r="T149" s="62">
        <f t="shared" si="142"/>
        <v>268.54782308462387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projet'!$B$9,Paramètres!$A$1:$I$88,7,0))</f>
        <v>0</v>
      </c>
      <c r="X149" s="17">
        <f>IF(ISNA(VLOOKUP(A149,'Données projet'!$A$35:$I$55,6,0)),0%,VLOOKUP(A149,'Données projet'!$A$35:$I$55,6,0)*VLOOKUP('Données projet'!$B$9,Paramètres!$A$1:$I$88,7,0))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projet'!$B$9,Paramètres!$A$1:$I$88,3,0)*0.475*44/12</f>
        <v>0</v>
      </c>
      <c r="AA149" s="23">
        <f>EXP(-LN(2)/25)*AA148+(1-EXP(-LN(2)/25))/(LN(2)/25)*Calculateur!V149*Calculateur!X149*VLOOKUP('Données projet'!$B$9,Paramètres!$A$1:$I$88,3,0)*0.475*44/12</f>
        <v>0.41292119030534269</v>
      </c>
      <c r="AB149" s="23">
        <f>EXP(-LN(2)/2)*AB148+(1-EXP(-LN(2)/2))/(LN(2)/2)*V149*Y149*VLOOKUP('Données projet'!$B$9,Paramètres!$A$1:$I$88,3,0)*0.475*44/12</f>
        <v>5.7311169286029802E-17</v>
      </c>
      <c r="AC149" s="24">
        <f t="shared" si="111"/>
        <v>0.41292119030534274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7.9333333333333336</v>
      </c>
      <c r="AI149" s="14">
        <f>IF('Données projet'!$A$62&gt;35,AI148+AH149-AQ148,IF(A149&lt;'Données projet'!$A$62,$AF$205^A149,IF(A149='Données projet'!$A$62,'Données projet'!$B$62,AI148+AH149-AQ148)))</f>
        <v>1000.2666666666651</v>
      </c>
      <c r="AJ149" s="14">
        <f>AI149*VLOOKUP('Données projet'!$B$10,Paramètres!$A$1:$I$88,3,0)*VLOOKUP('Données projet'!$B$10,Paramètres!$A$1:$I$88,5,0)</f>
        <v>481.12826666666592</v>
      </c>
      <c r="AK149" s="14">
        <f t="shared" si="143"/>
        <v>108.04328297453696</v>
      </c>
      <c r="AL149" s="22">
        <f t="shared" si="112"/>
        <v>1026.1404489584284</v>
      </c>
      <c r="AM149" s="62">
        <f t="shared" si="113"/>
        <v>1319.4737822917616</v>
      </c>
      <c r="AN149" s="62">
        <f ca="1">AVERAGE(OFFSET($AM$3,0,0,'Données projet'!$E$10+1,1))-AVERAGE(OFFSET($H$3,0,0,'Données projet'!$E$10+1,1))</f>
        <v>576.61210817354549</v>
      </c>
      <c r="AO149" s="62">
        <f t="shared" si="144"/>
        <v>343.9428747444544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projet'!$B$10,Paramètres!$A$1:$I$88,7,0))</f>
        <v>0</v>
      </c>
      <c r="AS149" s="17">
        <f>IF(ISNA(VLOOKUP(A149,'Données projet'!$A$61:$I$81,6,0)),0%,VLOOKUP(A149,'Données projet'!$A$61:$I$81,6,0)*VLOOKUP('Données projet'!$B$10,Paramètres!$A$1:$I$88,7,0))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projet'!$B$10,Paramètres!$A$1:$I$88,3,0)*0.475*44/12</f>
        <v>0</v>
      </c>
      <c r="AV149" s="23">
        <f>EXP(-LN(2)/25)*AV148+(1-EXP(-LN(2)/25))/(LN(2)/25)*Calculateur!AQ149*Calculateur!AS149*VLOOKUP('Données projet'!$B$10,Paramètres!$A$1:$I$88,3,0)*0.475*44/12</f>
        <v>0.22712168358444121</v>
      </c>
      <c r="AW149" s="23">
        <f>EXP(-LN(2)/2)*AW148+(1-EXP(-LN(2)/2))/(LN(2)/2)*AQ149*AT149*VLOOKUP('Données projet'!$B$10,Paramètres!$A$1:$I$88,3,0)*0.475*44/12</f>
        <v>4.0812633406096025E-17</v>
      </c>
      <c r="AX149" s="23">
        <f t="shared" si="114"/>
        <v>0.22712168358444124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-5.6843418860808015E-14</v>
      </c>
      <c r="BE149" s="14">
        <f>BD149*VLOOKUP('Données projet'!$B$11,Paramètres!$A$1:$I$88,3,0)*VLOOKUP('Données projet'!$B$11,Paramètres!$A$1:$I$88,5,0)</f>
        <v>-4.5224624045658861E-14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298.38448036212861</v>
      </c>
      <c r="BJ149" s="62">
        <f t="shared" si="146"/>
        <v>270.4445531106897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projet'!$B$11,Paramètres!$A$1:$I$88,7,0))</f>
        <v>0</v>
      </c>
      <c r="BN149" s="17">
        <f>IF(ISNA(VLOOKUP(A149,'Données projet'!$A$87:$I$107,6,0)),0%,VLOOKUP(A149,'Données projet'!$A$87:$I$107,6,0)*VLOOKUP('Données projet'!$B$11,Paramètres!$A$1:$I$88,7,0))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projet'!$B$11,Paramètres!$A$1:$I$88,3,0)*0.475*44/12</f>
        <v>0</v>
      </c>
      <c r="BQ149" s="23">
        <f>EXP(-LN(2)/25)*BQ148+(1-EXP(-LN(2)/25))/(LN(2)/25)*Calculateur!BL149*Calculateur!BN149*VLOOKUP('Données projet'!$B$11,Paramètres!$A$1:$I$88,3,0)*0.475*44/12</f>
        <v>0</v>
      </c>
      <c r="BR149" s="23">
        <f>EXP(-LN(2)/2)*BR148+(1-EXP(-LN(2)/2))/(LN(2)/2)*BL149*BO149*VLOOKUP('Données projet'!$B$11,Paramètres!$A$1:$I$88,3,0)*0.475*44/12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5.6843418860808015E-14</v>
      </c>
      <c r="BZ149" s="14">
        <f>BY149*VLOOKUP('Données projet'!$B$12,Paramètres!$A$1:$I$88,3,0)*VLOOKUP('Données projet'!$B$12,Paramètres!$A$1:$I$88,5,0)</f>
        <v>4.4337866711430253E-14</v>
      </c>
      <c r="CA149" s="14">
        <f t="shared" si="147"/>
        <v>7.3222115536967035E-13</v>
      </c>
      <c r="CB149" s="22">
        <f t="shared" si="118"/>
        <v>1.3525069634579169E-12</v>
      </c>
      <c r="CC149" s="62">
        <f t="shared" si="119"/>
        <v>293.33333333333468</v>
      </c>
      <c r="CD149" s="62">
        <f ca="1">AVERAGE(OFFSET($CC$3,0,0,'Données projet'!$E$12+1,1))-AVERAGE(OFFSET($H$3,0,0,'Données projet'!$E$12+1,1))</f>
        <v>217.32600829266818</v>
      </c>
      <c r="CE149" s="62">
        <f t="shared" si="148"/>
        <v>208.79744153433245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projet'!$B$12,Paramètres!$A$1:$I$88,7,0))</f>
        <v>0</v>
      </c>
      <c r="CI149" s="17">
        <f>IF(ISNA(VLOOKUP(A149,'Données projet'!$A$113:$I$133,6,0)),0%,VLOOKUP(A149,'Données projet'!$A$113:$I$133,6,0)*VLOOKUP('Données projet'!$B$12,Paramètres!$A$1:$I$88,7,0))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projet'!$B$12,Paramètres!$A$1:$I$88,3,0)*0.475*44/12</f>
        <v>0</v>
      </c>
      <c r="CL149" s="23">
        <f>EXP(-LN(2)/25)*CL148+(1-EXP(-LN(2)/25))/(LN(2)/25)*Calculateur!CG149*Calculateur!CI149*VLOOKUP('Données projet'!$B$12,Paramètres!$A$1:$I$88,3,0)*0.475*44/12</f>
        <v>0</v>
      </c>
      <c r="CM149" s="23">
        <f>EXP(-LN(2)/2)*CM148+(1-EXP(-LN(2)/2))/(LN(2)/2)*CG149*CJ149*VLOOKUP('Données projet'!$B$12,Paramètres!$A$1:$I$88,3,0)*0.475*44/12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-3.4106051316484809E-13</v>
      </c>
      <c r="CU149" s="18">
        <f>CT149*VLOOKUP('Données projet'!$B$13,Paramètres!$A$1:$I$88,3,0)*VLOOKUP('Données projet'!$B$13,Paramètres!$A$1:$I$88,5,0)</f>
        <v>-1.9065282685915009E-13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302.20483575440988</v>
      </c>
      <c r="CZ149" s="62">
        <f t="shared" si="150"/>
        <v>275.32862097158687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projet'!$B$13,Paramètres!$A$1:$I$88,7,0))</f>
        <v>0</v>
      </c>
      <c r="DD149" s="17">
        <f>IF(ISNA(VLOOKUP(A149,'Données projet'!$A$139:$I$159,6,0)),0%,VLOOKUP(A149,'Données projet'!$A$139:$I$159,6,0)*VLOOKUP('Données projet'!$B$13,Paramètres!$A$1:$I$88,7,0))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projet'!$B$13,Paramètres!$A$1:$I$88,3,0)*0.475*44/12</f>
        <v>0</v>
      </c>
      <c r="DG149" s="23">
        <f>EXP(-LN(2)/25)*DG148+(1-EXP(-LN(2)/25))/(LN(2)/25)*Calculateur!DB149*Calculateur!DD149*VLOOKUP('Données projet'!$B$13,Paramètres!$A$1:$I$88,3,0)*0.475*44/12</f>
        <v>0.55456932252200952</v>
      </c>
      <c r="DH149" s="23">
        <f>EXP(-LN(2)/2)*DH148+(1-EXP(-LN(2)/2))/(LN(2)/2)*DB149*DE149*VLOOKUP('Données projet'!$B$13,Paramètres!$A$1:$I$88,3,0)*0.475*44/12</f>
        <v>2.3525930160684067E-17</v>
      </c>
      <c r="DI149" s="24">
        <f t="shared" si="123"/>
        <v>0.55456932252200952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projet'!$B$14,Paramètres!$A$1:$I$88,3,0)*VLOOKUP('Données projet'!$B$14,Paramètres!$A$1:$I$88,5,0)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projet'!$B$14,Paramètres!$A$1:$I$88,7,0))</f>
        <v>0</v>
      </c>
      <c r="DY149" s="17">
        <f>IF(ISNA(VLOOKUP(A149,'Données projet'!$A$165:$I$185,6,0)),0%,VLOOKUP(A149,'Données projet'!$A$165:$I$185,6,0)*VLOOKUP('Données projet'!$B$14,Paramètres!$A$1:$I$88,7,0))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projet'!$B$14,Paramètres!$A$1:$I$88,3,0)*0.475*44/12</f>
        <v>#N/A</v>
      </c>
      <c r="EB149" s="23" t="e">
        <f>EXP(-LN(2)/25)*EB148+(1-EXP(-LN(2)/25))/(LN(2)/25)*Calculateur!DW149*Calculateur!DY149*VLOOKUP('Données projet'!$B$14,Paramètres!$A$1:$I$88,3,0)*0.475*44/12</f>
        <v>#N/A</v>
      </c>
      <c r="EC149" s="23" t="e">
        <f>EXP(-LN(2)/2)*EC148+(1-EXP(-LN(2)/2))/(LN(2)/2)*DW149*DZ149*VLOOKUP('Données projet'!$B$14,Paramètres!$A$1:$I$88,3,0)*0.475*44/12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projet'!$B$15,Paramètres!$A$1:$I$88,3,0)*VLOOKUP('Données projet'!$B$15,Paramètres!$A$1:$I$88,5,0)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projet'!$B$15,Paramètres!$A$1:$I$88,7,0))</f>
        <v>0</v>
      </c>
      <c r="ET149" s="17">
        <f>IF(ISNA(VLOOKUP(A149,'Données projet'!$A$191:$I$211,6,0)),0%,VLOOKUP(A149,'Données projet'!$A$191:$I$211,6,0)*VLOOKUP('Données projet'!$B$15,Paramètres!$A$1:$I$88,7,0))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projet'!$B$15,Paramètres!$A$1:$I$88,3,0)*0.475*44/12</f>
        <v>#N/A</v>
      </c>
      <c r="EW149" s="23" t="e">
        <f>EXP(-LN(2)/25)*EW148+(1-EXP(-LN(2)/25))/(LN(2)/25)*Calculateur!ER149*Calculateur!ET149*VLOOKUP('Données projet'!$B$15,Paramètres!$A$1:$I$88,3,0)*0.475*44/12</f>
        <v>#N/A</v>
      </c>
      <c r="EX149" s="23" t="e">
        <f>EXP(-LN(2)/2)*EX148+(1-EXP(-LN(2)/2))/(LN(2)/2)*ER149*EU149*VLOOKUP('Données projet'!$B$15,Paramètres!$A$1:$I$88,3,0)*0.475*44/12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projet'!$B$16,Paramètres!$A$1:$I$88,3,0)*VLOOKUP('Données projet'!$B$16,Paramètres!$A$1:$I$88,5,0)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projet'!$B$16,Paramètres!$A$1:$I$88,7,0))</f>
        <v>0</v>
      </c>
      <c r="FO149" s="17">
        <f>IF(ISNA(VLOOKUP(A149,'Données projet'!$A$217:$I$237,6,0)),0%,VLOOKUP(A149,'Données projet'!$A$217:$I$237,6,0)*VLOOKUP('Données projet'!$B$16,Paramètres!$A$1:$I$88,7,0))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projet'!$B$16,Paramètres!$A$1:$I$88,3,0)*0.475*44/12</f>
        <v>#N/A</v>
      </c>
      <c r="FR149" s="23" t="e">
        <f>EXP(-LN(2)/25)*FR148+(1-EXP(-LN(2)/25))/(LN(2)/25)*Calculateur!FM149*Calculateur!FO149*VLOOKUP('Données projet'!$B$16,Paramètres!$A$1:$I$88,3,0)*0.475*44/12</f>
        <v>#N/A</v>
      </c>
      <c r="FS149" s="23" t="e">
        <f>EXP(-LN(2)/2)*FS148+(1-EXP(-LN(2)/2))/(LN(2)/2)*FM149*FP149*VLOOKUP('Données projet'!$B$16,Paramètres!$A$1:$I$88,3,0)*0.475*44/12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projet'!$B$17,Paramètres!$A$1:$I$88,3,0)*VLOOKUP('Données projet'!$B$17,Paramètres!$A$1:$I$88,5,0)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projet'!$B$17,Paramètres!$A$1:$I$88,7,0))</f>
        <v>0</v>
      </c>
      <c r="GJ149" s="17">
        <f>IF(ISNA(VLOOKUP(A149,'Données projet'!$A$243:$I$263,6,0)),0%,VLOOKUP(A149,'Données projet'!$A$243:$I$263,6,0)*VLOOKUP('Données projet'!$B$17,Paramètres!$A$1:$I$88,7,0))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projet'!$B$17,Paramètres!$A$1:$I$88,3,0)*0.475*44/12</f>
        <v>#N/A</v>
      </c>
      <c r="GM149" s="23" t="e">
        <f>EXP(-LN(2)/25)*GM148+(1-EXP(-LN(2)/25))/(LN(2)/25)*Calculateur!GH149*Calculateur!GJ149*VLOOKUP('Données projet'!$B$17,Paramètres!$A$1:$I$88,3,0)*0.475*44/12</f>
        <v>#N/A</v>
      </c>
      <c r="GN149" s="23" t="e">
        <f>EXP(-LN(2)/2)*GN148+(1-EXP(-LN(2)/2))/(LN(2)/2)*GH149*GK149*VLOOKUP('Données projet'!$B$17,Paramètres!$A$1:$I$88,3,0)*0.475*44/12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projet'!$B$18,Paramètres!$A$1:$I$88,3,0)*VLOOKUP('Données projet'!$B$18,Paramètres!$A$1:$I$88,5,0)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projet'!$B$18,Paramètres!$A$1:$I$88,7,0))</f>
        <v>0</v>
      </c>
      <c r="HE149" s="17">
        <f>IF(ISNA(VLOOKUP(A149,'Données projet'!$A$269:$I$289,6,0)),0%,VLOOKUP(A149,'Données projet'!$A$269:$I$289,6,0)*VLOOKUP('Données projet'!$B$18,Paramètres!$A$1:$I$88,7,0))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projet'!$B$18,Paramètres!$A$1:$I$88,3,0)*0.475*44/12</f>
        <v>#N/A</v>
      </c>
      <c r="HH149" s="23" t="e">
        <f>EXP(-LN(2)/25)*HH148+(1-EXP(-LN(2)/25))/(LN(2)/25)*Calculateur!HC149*Calculateur!HE149*VLOOKUP('Données projet'!$B$18,Paramètres!$A$1:$I$88,3,0)*0.475*44/12</f>
        <v>#N/A</v>
      </c>
      <c r="HI149" s="23" t="e">
        <f>EXP(-LN(2)/2)*HI148+(1-EXP(-LN(2)/2))/(LN(2)/2)*HC149*HF149*VLOOKUP('Données projet'!$B$18,Paramètres!$A$1:$I$88,3,0)*0.475*44/12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projet'!$B$9,Paramètres!$A$1:$I$88,3,0)*VLOOKUP('Données projet'!$B$9,Paramètres!$A$1:$I$88,5,0)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175.05987582828078</v>
      </c>
      <c r="T150" s="62">
        <f t="shared" si="142"/>
        <v>268.54782308462387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projet'!$B$9,Paramètres!$A$1:$I$88,7,0))</f>
        <v>0</v>
      </c>
      <c r="X150" s="17">
        <f>IF(ISNA(VLOOKUP(A150,'Données projet'!$A$35:$I$55,6,0)),0%,VLOOKUP(A150,'Données projet'!$A$35:$I$55,6,0)*VLOOKUP('Données projet'!$B$9,Paramètres!$A$1:$I$88,7,0))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projet'!$B$9,Paramètres!$A$1:$I$88,3,0)*0.475*44/12</f>
        <v>0</v>
      </c>
      <c r="AA150" s="23">
        <f>EXP(-LN(2)/25)*AA149+(1-EXP(-LN(2)/25))/(LN(2)/25)*Calculateur!V150*Calculateur!X150*VLOOKUP('Données projet'!$B$9,Paramètres!$A$1:$I$88,3,0)*0.475*44/12</f>
        <v>0.40162983864186141</v>
      </c>
      <c r="AB150" s="23">
        <f>EXP(-LN(2)/2)*AB149+(1-EXP(-LN(2)/2))/(LN(2)/2)*V150*Y150*VLOOKUP('Données projet'!$B$9,Paramètres!$A$1:$I$88,3,0)*0.475*44/12</f>
        <v>4.0525116439881859E-17</v>
      </c>
      <c r="AC150" s="24">
        <f t="shared" si="111"/>
        <v>0.40162983864186147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7.9333333333333336</v>
      </c>
      <c r="AI150" s="14">
        <f>IF('Données projet'!$A$62&gt;35,AI149+AH150-AQ149,IF(A150&lt;'Données projet'!$A$62,$AF$205^A150,IF(A150='Données projet'!$A$62,'Données projet'!$B$62,AI149+AH150-AQ149)))</f>
        <v>1008.1999999999983</v>
      </c>
      <c r="AJ150" s="14">
        <f>AI150*VLOOKUP('Données projet'!$B$10,Paramètres!$A$1:$I$88,3,0)*VLOOKUP('Données projet'!$B$10,Paramètres!$A$1:$I$88,5,0)</f>
        <v>484.94419999999917</v>
      </c>
      <c r="AK150" s="14">
        <f t="shared" si="143"/>
        <v>108.80010447151091</v>
      </c>
      <c r="AL150" s="22">
        <f t="shared" si="112"/>
        <v>1034.1046636212134</v>
      </c>
      <c r="AM150" s="62">
        <f t="shared" si="113"/>
        <v>1327.4379969545466</v>
      </c>
      <c r="AN150" s="62">
        <f ca="1">AVERAGE(OFFSET($AM$3,0,0,'Données projet'!$E$10+1,1))-AVERAGE(OFFSET($H$3,0,0,'Données projet'!$E$10+1,1))</f>
        <v>576.61210817354549</v>
      </c>
      <c r="AO150" s="62">
        <f t="shared" si="144"/>
        <v>343.9428747444544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projet'!$B$10,Paramètres!$A$1:$I$88,7,0))</f>
        <v>0</v>
      </c>
      <c r="AS150" s="17">
        <f>IF(ISNA(VLOOKUP(A150,'Données projet'!$A$61:$I$81,6,0)),0%,VLOOKUP(A150,'Données projet'!$A$61:$I$81,6,0)*VLOOKUP('Données projet'!$B$10,Paramètres!$A$1:$I$88,7,0))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projet'!$B$10,Paramètres!$A$1:$I$88,3,0)*0.475*44/12</f>
        <v>0</v>
      </c>
      <c r="AV150" s="23">
        <f>EXP(-LN(2)/25)*AV149+(1-EXP(-LN(2)/25))/(LN(2)/25)*Calculateur!AQ150*Calculateur!AS150*VLOOKUP('Données projet'!$B$10,Paramètres!$A$1:$I$88,3,0)*0.475*44/12</f>
        <v>0.22091102920301442</v>
      </c>
      <c r="AW150" s="23">
        <f>EXP(-LN(2)/2)*AW149+(1-EXP(-LN(2)/2))/(LN(2)/2)*AQ150*AT150*VLOOKUP('Données projet'!$B$10,Paramètres!$A$1:$I$88,3,0)*0.475*44/12</f>
        <v>2.8858889839531121E-17</v>
      </c>
      <c r="AX150" s="23">
        <f t="shared" si="114"/>
        <v>0.22091102920301445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-5.6843418860808015E-14</v>
      </c>
      <c r="BE150" s="14">
        <f>BD150*VLOOKUP('Données projet'!$B$11,Paramètres!$A$1:$I$88,3,0)*VLOOKUP('Données projet'!$B$11,Paramètres!$A$1:$I$88,5,0)</f>
        <v>-4.5224624045658861E-14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298.38448036212861</v>
      </c>
      <c r="BJ150" s="62">
        <f t="shared" si="146"/>
        <v>270.4445531106897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projet'!$B$11,Paramètres!$A$1:$I$88,7,0))</f>
        <v>0</v>
      </c>
      <c r="BN150" s="17">
        <f>IF(ISNA(VLOOKUP(A150,'Données projet'!$A$87:$I$107,6,0)),0%,VLOOKUP(A150,'Données projet'!$A$87:$I$107,6,0)*VLOOKUP('Données projet'!$B$11,Paramètres!$A$1:$I$88,7,0))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projet'!$B$11,Paramètres!$A$1:$I$88,3,0)*0.475*44/12</f>
        <v>0</v>
      </c>
      <c r="BQ150" s="23">
        <f>EXP(-LN(2)/25)*BQ149+(1-EXP(-LN(2)/25))/(LN(2)/25)*Calculateur!BL150*Calculateur!BN150*VLOOKUP('Données projet'!$B$11,Paramètres!$A$1:$I$88,3,0)*0.475*44/12</f>
        <v>0</v>
      </c>
      <c r="BR150" s="23">
        <f>EXP(-LN(2)/2)*BR149+(1-EXP(-LN(2)/2))/(LN(2)/2)*BL150*BO150*VLOOKUP('Données projet'!$B$11,Paramètres!$A$1:$I$88,3,0)*0.475*44/12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5.6843418860808015E-14</v>
      </c>
      <c r="BZ150" s="14">
        <f>BY150*VLOOKUP('Données projet'!$B$12,Paramètres!$A$1:$I$88,3,0)*VLOOKUP('Données projet'!$B$12,Paramètres!$A$1:$I$88,5,0)</f>
        <v>4.4337866711430253E-14</v>
      </c>
      <c r="CA150" s="14">
        <f t="shared" si="147"/>
        <v>7.3222115536967035E-13</v>
      </c>
      <c r="CB150" s="22">
        <f t="shared" si="118"/>
        <v>1.3525069634579169E-12</v>
      </c>
      <c r="CC150" s="62">
        <f t="shared" si="119"/>
        <v>293.33333333333468</v>
      </c>
      <c r="CD150" s="62">
        <f ca="1">AVERAGE(OFFSET($CC$3,0,0,'Données projet'!$E$12+1,1))-AVERAGE(OFFSET($H$3,0,0,'Données projet'!$E$12+1,1))</f>
        <v>217.32600829266818</v>
      </c>
      <c r="CE150" s="62">
        <f t="shared" si="148"/>
        <v>208.79744153433245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projet'!$B$12,Paramètres!$A$1:$I$88,7,0))</f>
        <v>0</v>
      </c>
      <c r="CI150" s="17">
        <f>IF(ISNA(VLOOKUP(A150,'Données projet'!$A$113:$I$133,6,0)),0%,VLOOKUP(A150,'Données projet'!$A$113:$I$133,6,0)*VLOOKUP('Données projet'!$B$12,Paramètres!$A$1:$I$88,7,0))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projet'!$B$12,Paramètres!$A$1:$I$88,3,0)*0.475*44/12</f>
        <v>0</v>
      </c>
      <c r="CL150" s="23">
        <f>EXP(-LN(2)/25)*CL149+(1-EXP(-LN(2)/25))/(LN(2)/25)*Calculateur!CG150*Calculateur!CI150*VLOOKUP('Données projet'!$B$12,Paramètres!$A$1:$I$88,3,0)*0.475*44/12</f>
        <v>0</v>
      </c>
      <c r="CM150" s="23">
        <f>EXP(-LN(2)/2)*CM149+(1-EXP(-LN(2)/2))/(LN(2)/2)*CG150*CJ150*VLOOKUP('Données projet'!$B$12,Paramètres!$A$1:$I$88,3,0)*0.475*44/12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-3.4106051316484809E-13</v>
      </c>
      <c r="CU150" s="18">
        <f>CT150*VLOOKUP('Données projet'!$B$13,Paramètres!$A$1:$I$88,3,0)*VLOOKUP('Données projet'!$B$13,Paramètres!$A$1:$I$88,5,0)</f>
        <v>-1.9065282685915009E-13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302.20483575440988</v>
      </c>
      <c r="CZ150" s="62">
        <f t="shared" si="150"/>
        <v>275.32862097158687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projet'!$B$13,Paramètres!$A$1:$I$88,7,0))</f>
        <v>0</v>
      </c>
      <c r="DD150" s="17">
        <f>IF(ISNA(VLOOKUP(A150,'Données projet'!$A$139:$I$159,6,0)),0%,VLOOKUP(A150,'Données projet'!$A$139:$I$159,6,0)*VLOOKUP('Données projet'!$B$13,Paramètres!$A$1:$I$88,7,0))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projet'!$B$13,Paramètres!$A$1:$I$88,3,0)*0.475*44/12</f>
        <v>0</v>
      </c>
      <c r="DG150" s="23">
        <f>EXP(-LN(2)/25)*DG149+(1-EXP(-LN(2)/25))/(LN(2)/25)*Calculateur!DB150*Calculateur!DD150*VLOOKUP('Données projet'!$B$13,Paramètres!$A$1:$I$88,3,0)*0.475*44/12</f>
        <v>0.53940459523411199</v>
      </c>
      <c r="DH150" s="23">
        <f>EXP(-LN(2)/2)*DH149+(1-EXP(-LN(2)/2))/(LN(2)/2)*DB150*DE150*VLOOKUP('Données projet'!$B$13,Paramètres!$A$1:$I$88,3,0)*0.475*44/12</f>
        <v>1.6635344750340827E-17</v>
      </c>
      <c r="DI150" s="24">
        <f t="shared" si="123"/>
        <v>0.53940459523411199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projet'!$B$14,Paramètres!$A$1:$I$88,3,0)*VLOOKUP('Données projet'!$B$14,Paramètres!$A$1:$I$88,5,0)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projet'!$B$14,Paramètres!$A$1:$I$88,7,0))</f>
        <v>0</v>
      </c>
      <c r="DY150" s="17">
        <f>IF(ISNA(VLOOKUP(A150,'Données projet'!$A$165:$I$185,6,0)),0%,VLOOKUP(A150,'Données projet'!$A$165:$I$185,6,0)*VLOOKUP('Données projet'!$B$14,Paramètres!$A$1:$I$88,7,0))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projet'!$B$14,Paramètres!$A$1:$I$88,3,0)*0.475*44/12</f>
        <v>#N/A</v>
      </c>
      <c r="EB150" s="23" t="e">
        <f>EXP(-LN(2)/25)*EB149+(1-EXP(-LN(2)/25))/(LN(2)/25)*Calculateur!DW150*Calculateur!DY150*VLOOKUP('Données projet'!$B$14,Paramètres!$A$1:$I$88,3,0)*0.475*44/12</f>
        <v>#N/A</v>
      </c>
      <c r="EC150" s="23" t="e">
        <f>EXP(-LN(2)/2)*EC149+(1-EXP(-LN(2)/2))/(LN(2)/2)*DW150*DZ150*VLOOKUP('Données projet'!$B$14,Paramètres!$A$1:$I$88,3,0)*0.475*44/12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projet'!$B$15,Paramètres!$A$1:$I$88,3,0)*VLOOKUP('Données projet'!$B$15,Paramètres!$A$1:$I$88,5,0)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projet'!$B$15,Paramètres!$A$1:$I$88,7,0))</f>
        <v>0</v>
      </c>
      <c r="ET150" s="17">
        <f>IF(ISNA(VLOOKUP(A150,'Données projet'!$A$191:$I$211,6,0)),0%,VLOOKUP(A150,'Données projet'!$A$191:$I$211,6,0)*VLOOKUP('Données projet'!$B$15,Paramètres!$A$1:$I$88,7,0))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projet'!$B$15,Paramètres!$A$1:$I$88,3,0)*0.475*44/12</f>
        <v>#N/A</v>
      </c>
      <c r="EW150" s="23" t="e">
        <f>EXP(-LN(2)/25)*EW149+(1-EXP(-LN(2)/25))/(LN(2)/25)*Calculateur!ER150*Calculateur!ET150*VLOOKUP('Données projet'!$B$15,Paramètres!$A$1:$I$88,3,0)*0.475*44/12</f>
        <v>#N/A</v>
      </c>
      <c r="EX150" s="23" t="e">
        <f>EXP(-LN(2)/2)*EX149+(1-EXP(-LN(2)/2))/(LN(2)/2)*ER150*EU150*VLOOKUP('Données projet'!$B$15,Paramètres!$A$1:$I$88,3,0)*0.475*44/12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projet'!$B$16,Paramètres!$A$1:$I$88,3,0)*VLOOKUP('Données projet'!$B$16,Paramètres!$A$1:$I$88,5,0)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projet'!$B$16,Paramètres!$A$1:$I$88,7,0))</f>
        <v>0</v>
      </c>
      <c r="FO150" s="17">
        <f>IF(ISNA(VLOOKUP(A150,'Données projet'!$A$217:$I$237,6,0)),0%,VLOOKUP(A150,'Données projet'!$A$217:$I$237,6,0)*VLOOKUP('Données projet'!$B$16,Paramètres!$A$1:$I$88,7,0))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projet'!$B$16,Paramètres!$A$1:$I$88,3,0)*0.475*44/12</f>
        <v>#N/A</v>
      </c>
      <c r="FR150" s="23" t="e">
        <f>EXP(-LN(2)/25)*FR149+(1-EXP(-LN(2)/25))/(LN(2)/25)*Calculateur!FM150*Calculateur!FO150*VLOOKUP('Données projet'!$B$16,Paramètres!$A$1:$I$88,3,0)*0.475*44/12</f>
        <v>#N/A</v>
      </c>
      <c r="FS150" s="23" t="e">
        <f>EXP(-LN(2)/2)*FS149+(1-EXP(-LN(2)/2))/(LN(2)/2)*FM150*FP150*VLOOKUP('Données projet'!$B$16,Paramètres!$A$1:$I$88,3,0)*0.475*44/12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projet'!$B$17,Paramètres!$A$1:$I$88,3,0)*VLOOKUP('Données projet'!$B$17,Paramètres!$A$1:$I$88,5,0)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projet'!$B$17,Paramètres!$A$1:$I$88,7,0))</f>
        <v>0</v>
      </c>
      <c r="GJ150" s="17">
        <f>IF(ISNA(VLOOKUP(A150,'Données projet'!$A$243:$I$263,6,0)),0%,VLOOKUP(A150,'Données projet'!$A$243:$I$263,6,0)*VLOOKUP('Données projet'!$B$17,Paramètres!$A$1:$I$88,7,0))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projet'!$B$17,Paramètres!$A$1:$I$88,3,0)*0.475*44/12</f>
        <v>#N/A</v>
      </c>
      <c r="GM150" s="23" t="e">
        <f>EXP(-LN(2)/25)*GM149+(1-EXP(-LN(2)/25))/(LN(2)/25)*Calculateur!GH150*Calculateur!GJ150*VLOOKUP('Données projet'!$B$17,Paramètres!$A$1:$I$88,3,0)*0.475*44/12</f>
        <v>#N/A</v>
      </c>
      <c r="GN150" s="23" t="e">
        <f>EXP(-LN(2)/2)*GN149+(1-EXP(-LN(2)/2))/(LN(2)/2)*GH150*GK150*VLOOKUP('Données projet'!$B$17,Paramètres!$A$1:$I$88,3,0)*0.475*44/12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projet'!$B$18,Paramètres!$A$1:$I$88,3,0)*VLOOKUP('Données projet'!$B$18,Paramètres!$A$1:$I$88,5,0)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projet'!$B$18,Paramètres!$A$1:$I$88,7,0))</f>
        <v>0</v>
      </c>
      <c r="HE150" s="17">
        <f>IF(ISNA(VLOOKUP(A150,'Données projet'!$A$269:$I$289,6,0)),0%,VLOOKUP(A150,'Données projet'!$A$269:$I$289,6,0)*VLOOKUP('Données projet'!$B$18,Paramètres!$A$1:$I$88,7,0))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projet'!$B$18,Paramètres!$A$1:$I$88,3,0)*0.475*44/12</f>
        <v>#N/A</v>
      </c>
      <c r="HH150" s="23" t="e">
        <f>EXP(-LN(2)/25)*HH149+(1-EXP(-LN(2)/25))/(LN(2)/25)*Calculateur!HC150*Calculateur!HE150*VLOOKUP('Données projet'!$B$18,Paramètres!$A$1:$I$88,3,0)*0.475*44/12</f>
        <v>#N/A</v>
      </c>
      <c r="HI150" s="23" t="e">
        <f>EXP(-LN(2)/2)*HI149+(1-EXP(-LN(2)/2))/(LN(2)/2)*HC150*HF150*VLOOKUP('Données projet'!$B$18,Paramètres!$A$1:$I$88,3,0)*0.475*44/12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projet'!$B$9,Paramètres!$A$1:$I$88,3,0)*VLOOKUP('Données projet'!$B$9,Paramètres!$A$1:$I$88,5,0)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175.05987582828078</v>
      </c>
      <c r="T151" s="62">
        <f t="shared" si="142"/>
        <v>268.54782308462387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projet'!$B$9,Paramètres!$A$1:$I$88,7,0))</f>
        <v>0</v>
      </c>
      <c r="X151" s="17">
        <f>IF(ISNA(VLOOKUP(A151,'Données projet'!$A$35:$I$55,6,0)),0%,VLOOKUP(A151,'Données projet'!$A$35:$I$55,6,0)*VLOOKUP('Données projet'!$B$9,Paramètres!$A$1:$I$88,7,0))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projet'!$B$9,Paramètres!$A$1:$I$88,3,0)*0.475*44/12</f>
        <v>0</v>
      </c>
      <c r="AA151" s="23">
        <f>EXP(-LN(2)/25)*AA150+(1-EXP(-LN(2)/25))/(LN(2)/25)*Calculateur!V151*Calculateur!X151*VLOOKUP('Données projet'!$B$9,Paramètres!$A$1:$I$88,3,0)*0.475*44/12</f>
        <v>0.39064724958340441</v>
      </c>
      <c r="AB151" s="23">
        <f>EXP(-LN(2)/2)*AB150+(1-EXP(-LN(2)/2))/(LN(2)/2)*V151*Y151*VLOOKUP('Données projet'!$B$9,Paramètres!$A$1:$I$88,3,0)*0.475*44/12</f>
        <v>2.8655584643014901E-17</v>
      </c>
      <c r="AC151" s="24">
        <f t="shared" si="111"/>
        <v>0.39064724958340447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7.9333333333333336</v>
      </c>
      <c r="AI151" s="14">
        <f>IF('Données projet'!$A$62&gt;35,AI150+AH151-AQ150,IF(A151&lt;'Données projet'!$A$62,$AF$205^A151,IF(A151='Données projet'!$A$62,'Données projet'!$B$62,AI150+AH151-AQ150)))</f>
        <v>1016.1333333333316</v>
      </c>
      <c r="AJ151" s="14">
        <f>AI151*VLOOKUP('Données projet'!$B$10,Paramètres!$A$1:$I$88,3,0)*VLOOKUP('Données projet'!$B$10,Paramètres!$A$1:$I$88,5,0)</f>
        <v>488.76013333333253</v>
      </c>
      <c r="AK151" s="14">
        <f t="shared" si="143"/>
        <v>109.55623308323989</v>
      </c>
      <c r="AL151" s="22">
        <f t="shared" si="112"/>
        <v>1042.0676715088637</v>
      </c>
      <c r="AM151" s="62">
        <f t="shared" si="113"/>
        <v>1335.4010048421969</v>
      </c>
      <c r="AN151" s="62">
        <f ca="1">AVERAGE(OFFSET($AM$3,0,0,'Données projet'!$E$10+1,1))-AVERAGE(OFFSET($H$3,0,0,'Données projet'!$E$10+1,1))</f>
        <v>576.61210817354549</v>
      </c>
      <c r="AO151" s="62">
        <f t="shared" si="144"/>
        <v>343.9428747444544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projet'!$B$10,Paramètres!$A$1:$I$88,7,0))</f>
        <v>0</v>
      </c>
      <c r="AS151" s="17">
        <f>IF(ISNA(VLOOKUP(A151,'Données projet'!$A$61:$I$81,6,0)),0%,VLOOKUP(A151,'Données projet'!$A$61:$I$81,6,0)*VLOOKUP('Données projet'!$B$10,Paramètres!$A$1:$I$88,7,0))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projet'!$B$10,Paramètres!$A$1:$I$88,3,0)*0.475*44/12</f>
        <v>0</v>
      </c>
      <c r="AV151" s="23">
        <f>EXP(-LN(2)/25)*AV150+(1-EXP(-LN(2)/25))/(LN(2)/25)*Calculateur!AQ151*Calculateur!AS151*VLOOKUP('Données projet'!$B$10,Paramètres!$A$1:$I$88,3,0)*0.475*44/12</f>
        <v>0.21487020549225186</v>
      </c>
      <c r="AW151" s="23">
        <f>EXP(-LN(2)/2)*AW150+(1-EXP(-LN(2)/2))/(LN(2)/2)*AQ151*AT151*VLOOKUP('Données projet'!$B$10,Paramètres!$A$1:$I$88,3,0)*0.475*44/12</f>
        <v>2.0406316703048012E-17</v>
      </c>
      <c r="AX151" s="23">
        <f t="shared" si="114"/>
        <v>0.21487020549225189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-5.6843418860808015E-14</v>
      </c>
      <c r="BE151" s="14">
        <f>BD151*VLOOKUP('Données projet'!$B$11,Paramètres!$A$1:$I$88,3,0)*VLOOKUP('Données projet'!$B$11,Paramètres!$A$1:$I$88,5,0)</f>
        <v>-4.5224624045658861E-14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298.38448036212861</v>
      </c>
      <c r="BJ151" s="62">
        <f t="shared" si="146"/>
        <v>270.4445531106897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projet'!$B$11,Paramètres!$A$1:$I$88,7,0))</f>
        <v>0</v>
      </c>
      <c r="BN151" s="17">
        <f>IF(ISNA(VLOOKUP(A151,'Données projet'!$A$87:$I$107,6,0)),0%,VLOOKUP(A151,'Données projet'!$A$87:$I$107,6,0)*VLOOKUP('Données projet'!$B$11,Paramètres!$A$1:$I$88,7,0))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projet'!$B$11,Paramètres!$A$1:$I$88,3,0)*0.475*44/12</f>
        <v>0</v>
      </c>
      <c r="BQ151" s="23">
        <f>EXP(-LN(2)/25)*BQ150+(1-EXP(-LN(2)/25))/(LN(2)/25)*Calculateur!BL151*Calculateur!BN151*VLOOKUP('Données projet'!$B$11,Paramètres!$A$1:$I$88,3,0)*0.475*44/12</f>
        <v>0</v>
      </c>
      <c r="BR151" s="23">
        <f>EXP(-LN(2)/2)*BR150+(1-EXP(-LN(2)/2))/(LN(2)/2)*BL151*BO151*VLOOKUP('Données projet'!$B$11,Paramètres!$A$1:$I$88,3,0)*0.475*44/12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5.6843418860808015E-14</v>
      </c>
      <c r="BZ151" s="14">
        <f>BY151*VLOOKUP('Données projet'!$B$12,Paramètres!$A$1:$I$88,3,0)*VLOOKUP('Données projet'!$B$12,Paramètres!$A$1:$I$88,5,0)</f>
        <v>4.4337866711430253E-14</v>
      </c>
      <c r="CA151" s="14">
        <f t="shared" si="147"/>
        <v>7.3222115536967035E-13</v>
      </c>
      <c r="CB151" s="22">
        <f t="shared" si="118"/>
        <v>1.3525069634579169E-12</v>
      </c>
      <c r="CC151" s="62">
        <f t="shared" si="119"/>
        <v>293.33333333333468</v>
      </c>
      <c r="CD151" s="62">
        <f ca="1">AVERAGE(OFFSET($CC$3,0,0,'Données projet'!$E$12+1,1))-AVERAGE(OFFSET($H$3,0,0,'Données projet'!$E$12+1,1))</f>
        <v>217.32600829266818</v>
      </c>
      <c r="CE151" s="62">
        <f t="shared" si="148"/>
        <v>208.79744153433245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projet'!$B$12,Paramètres!$A$1:$I$88,7,0))</f>
        <v>0</v>
      </c>
      <c r="CI151" s="17">
        <f>IF(ISNA(VLOOKUP(A151,'Données projet'!$A$113:$I$133,6,0)),0%,VLOOKUP(A151,'Données projet'!$A$113:$I$133,6,0)*VLOOKUP('Données projet'!$B$12,Paramètres!$A$1:$I$88,7,0))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projet'!$B$12,Paramètres!$A$1:$I$88,3,0)*0.475*44/12</f>
        <v>0</v>
      </c>
      <c r="CL151" s="23">
        <f>EXP(-LN(2)/25)*CL150+(1-EXP(-LN(2)/25))/(LN(2)/25)*Calculateur!CG151*Calculateur!CI151*VLOOKUP('Données projet'!$B$12,Paramètres!$A$1:$I$88,3,0)*0.475*44/12</f>
        <v>0</v>
      </c>
      <c r="CM151" s="23">
        <f>EXP(-LN(2)/2)*CM150+(1-EXP(-LN(2)/2))/(LN(2)/2)*CG151*CJ151*VLOOKUP('Données projet'!$B$12,Paramètres!$A$1:$I$88,3,0)*0.475*44/12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-3.4106051316484809E-13</v>
      </c>
      <c r="CU151" s="18">
        <f>CT151*VLOOKUP('Données projet'!$B$13,Paramètres!$A$1:$I$88,3,0)*VLOOKUP('Données projet'!$B$13,Paramètres!$A$1:$I$88,5,0)</f>
        <v>-1.9065282685915009E-13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302.20483575440988</v>
      </c>
      <c r="CZ151" s="62">
        <f t="shared" si="150"/>
        <v>275.32862097158687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projet'!$B$13,Paramètres!$A$1:$I$88,7,0))</f>
        <v>0</v>
      </c>
      <c r="DD151" s="17">
        <f>IF(ISNA(VLOOKUP(A151,'Données projet'!$A$139:$I$159,6,0)),0%,VLOOKUP(A151,'Données projet'!$A$139:$I$159,6,0)*VLOOKUP('Données projet'!$B$13,Paramètres!$A$1:$I$88,7,0))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projet'!$B$13,Paramètres!$A$1:$I$88,3,0)*0.475*44/12</f>
        <v>0</v>
      </c>
      <c r="DG151" s="23">
        <f>EXP(-LN(2)/25)*DG150+(1-EXP(-LN(2)/25))/(LN(2)/25)*Calculateur!DB151*Calculateur!DD151*VLOOKUP('Données projet'!$B$13,Paramètres!$A$1:$I$88,3,0)*0.475*44/12</f>
        <v>0.52465454821138036</v>
      </c>
      <c r="DH151" s="23">
        <f>EXP(-LN(2)/2)*DH150+(1-EXP(-LN(2)/2))/(LN(2)/2)*DB151*DE151*VLOOKUP('Données projet'!$B$13,Paramètres!$A$1:$I$88,3,0)*0.475*44/12</f>
        <v>1.1762965080342033E-17</v>
      </c>
      <c r="DI151" s="24">
        <f t="shared" si="123"/>
        <v>0.52465454821138036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projet'!$B$14,Paramètres!$A$1:$I$88,3,0)*VLOOKUP('Données projet'!$B$14,Paramètres!$A$1:$I$88,5,0)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projet'!$B$14,Paramètres!$A$1:$I$88,7,0))</f>
        <v>0</v>
      </c>
      <c r="DY151" s="17">
        <f>IF(ISNA(VLOOKUP(A151,'Données projet'!$A$165:$I$185,6,0)),0%,VLOOKUP(A151,'Données projet'!$A$165:$I$185,6,0)*VLOOKUP('Données projet'!$B$14,Paramètres!$A$1:$I$88,7,0))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projet'!$B$14,Paramètres!$A$1:$I$88,3,0)*0.475*44/12</f>
        <v>#N/A</v>
      </c>
      <c r="EB151" s="23" t="e">
        <f>EXP(-LN(2)/25)*EB150+(1-EXP(-LN(2)/25))/(LN(2)/25)*Calculateur!DW151*Calculateur!DY151*VLOOKUP('Données projet'!$B$14,Paramètres!$A$1:$I$88,3,0)*0.475*44/12</f>
        <v>#N/A</v>
      </c>
      <c r="EC151" s="23" t="e">
        <f>EXP(-LN(2)/2)*EC150+(1-EXP(-LN(2)/2))/(LN(2)/2)*DW151*DZ151*VLOOKUP('Données projet'!$B$14,Paramètres!$A$1:$I$88,3,0)*0.475*44/12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projet'!$B$15,Paramètres!$A$1:$I$88,3,0)*VLOOKUP('Données projet'!$B$15,Paramètres!$A$1:$I$88,5,0)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projet'!$B$15,Paramètres!$A$1:$I$88,7,0))</f>
        <v>0</v>
      </c>
      <c r="ET151" s="17">
        <f>IF(ISNA(VLOOKUP(A151,'Données projet'!$A$191:$I$211,6,0)),0%,VLOOKUP(A151,'Données projet'!$A$191:$I$211,6,0)*VLOOKUP('Données projet'!$B$15,Paramètres!$A$1:$I$88,7,0))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projet'!$B$15,Paramètres!$A$1:$I$88,3,0)*0.475*44/12</f>
        <v>#N/A</v>
      </c>
      <c r="EW151" s="23" t="e">
        <f>EXP(-LN(2)/25)*EW150+(1-EXP(-LN(2)/25))/(LN(2)/25)*Calculateur!ER151*Calculateur!ET151*VLOOKUP('Données projet'!$B$15,Paramètres!$A$1:$I$88,3,0)*0.475*44/12</f>
        <v>#N/A</v>
      </c>
      <c r="EX151" s="23" t="e">
        <f>EXP(-LN(2)/2)*EX150+(1-EXP(-LN(2)/2))/(LN(2)/2)*ER151*EU151*VLOOKUP('Données projet'!$B$15,Paramètres!$A$1:$I$88,3,0)*0.475*44/12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projet'!$B$16,Paramètres!$A$1:$I$88,3,0)*VLOOKUP('Données projet'!$B$16,Paramètres!$A$1:$I$88,5,0)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projet'!$B$16,Paramètres!$A$1:$I$88,7,0))</f>
        <v>0</v>
      </c>
      <c r="FO151" s="17">
        <f>IF(ISNA(VLOOKUP(A151,'Données projet'!$A$217:$I$237,6,0)),0%,VLOOKUP(A151,'Données projet'!$A$217:$I$237,6,0)*VLOOKUP('Données projet'!$B$16,Paramètres!$A$1:$I$88,7,0))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projet'!$B$16,Paramètres!$A$1:$I$88,3,0)*0.475*44/12</f>
        <v>#N/A</v>
      </c>
      <c r="FR151" s="23" t="e">
        <f>EXP(-LN(2)/25)*FR150+(1-EXP(-LN(2)/25))/(LN(2)/25)*Calculateur!FM151*Calculateur!FO151*VLOOKUP('Données projet'!$B$16,Paramètres!$A$1:$I$88,3,0)*0.475*44/12</f>
        <v>#N/A</v>
      </c>
      <c r="FS151" s="23" t="e">
        <f>EXP(-LN(2)/2)*FS150+(1-EXP(-LN(2)/2))/(LN(2)/2)*FM151*FP151*VLOOKUP('Données projet'!$B$16,Paramètres!$A$1:$I$88,3,0)*0.475*44/12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projet'!$B$17,Paramètres!$A$1:$I$88,3,0)*VLOOKUP('Données projet'!$B$17,Paramètres!$A$1:$I$88,5,0)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projet'!$B$17,Paramètres!$A$1:$I$88,7,0))</f>
        <v>0</v>
      </c>
      <c r="GJ151" s="17">
        <f>IF(ISNA(VLOOKUP(A151,'Données projet'!$A$243:$I$263,6,0)),0%,VLOOKUP(A151,'Données projet'!$A$243:$I$263,6,0)*VLOOKUP('Données projet'!$B$17,Paramètres!$A$1:$I$88,7,0))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projet'!$B$17,Paramètres!$A$1:$I$88,3,0)*0.475*44/12</f>
        <v>#N/A</v>
      </c>
      <c r="GM151" s="23" t="e">
        <f>EXP(-LN(2)/25)*GM150+(1-EXP(-LN(2)/25))/(LN(2)/25)*Calculateur!GH151*Calculateur!GJ151*VLOOKUP('Données projet'!$B$17,Paramètres!$A$1:$I$88,3,0)*0.475*44/12</f>
        <v>#N/A</v>
      </c>
      <c r="GN151" s="23" t="e">
        <f>EXP(-LN(2)/2)*GN150+(1-EXP(-LN(2)/2))/(LN(2)/2)*GH151*GK151*VLOOKUP('Données projet'!$B$17,Paramètres!$A$1:$I$88,3,0)*0.475*44/12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projet'!$B$18,Paramètres!$A$1:$I$88,3,0)*VLOOKUP('Données projet'!$B$18,Paramètres!$A$1:$I$88,5,0)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projet'!$B$18,Paramètres!$A$1:$I$88,7,0))</f>
        <v>0</v>
      </c>
      <c r="HE151" s="17">
        <f>IF(ISNA(VLOOKUP(A151,'Données projet'!$A$269:$I$289,6,0)),0%,VLOOKUP(A151,'Données projet'!$A$269:$I$289,6,0)*VLOOKUP('Données projet'!$B$18,Paramètres!$A$1:$I$88,7,0))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projet'!$B$18,Paramètres!$A$1:$I$88,3,0)*0.475*44/12</f>
        <v>#N/A</v>
      </c>
      <c r="HH151" s="23" t="e">
        <f>EXP(-LN(2)/25)*HH150+(1-EXP(-LN(2)/25))/(LN(2)/25)*Calculateur!HC151*Calculateur!HE151*VLOOKUP('Données projet'!$B$18,Paramètres!$A$1:$I$88,3,0)*0.475*44/12</f>
        <v>#N/A</v>
      </c>
      <c r="HI151" s="23" t="e">
        <f>EXP(-LN(2)/2)*HI150+(1-EXP(-LN(2)/2))/(LN(2)/2)*HC151*HF151*VLOOKUP('Données projet'!$B$18,Paramètres!$A$1:$I$88,3,0)*0.475*44/12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projet'!$B$9,Paramètres!$A$1:$I$88,3,0)*VLOOKUP('Données projet'!$B$9,Paramètres!$A$1:$I$88,5,0)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175.05987582828078</v>
      </c>
      <c r="T152" s="62">
        <f t="shared" si="142"/>
        <v>268.54782308462387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projet'!$B$9,Paramètres!$A$1:$I$88,7,0))</f>
        <v>0</v>
      </c>
      <c r="X152" s="17">
        <f>IF(ISNA(VLOOKUP(A152,'Données projet'!$A$35:$I$55,6,0)),0%,VLOOKUP(A152,'Données projet'!$A$35:$I$55,6,0)*VLOOKUP('Données projet'!$B$9,Paramètres!$A$1:$I$88,7,0))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projet'!$B$9,Paramètres!$A$1:$I$88,3,0)*0.475*44/12</f>
        <v>0</v>
      </c>
      <c r="AA152" s="23">
        <f>EXP(-LN(2)/25)*AA151+(1-EXP(-LN(2)/25))/(LN(2)/25)*Calculateur!V152*Calculateur!X152*VLOOKUP('Données projet'!$B$9,Paramètres!$A$1:$I$88,3,0)*0.475*44/12</f>
        <v>0.37996498000030021</v>
      </c>
      <c r="AB152" s="23">
        <f>EXP(-LN(2)/2)*AB151+(1-EXP(-LN(2)/2))/(LN(2)/2)*V152*Y152*VLOOKUP('Données projet'!$B$9,Paramètres!$A$1:$I$88,3,0)*0.475*44/12</f>
        <v>2.0262558219940929E-17</v>
      </c>
      <c r="AC152" s="24">
        <f t="shared" si="111"/>
        <v>0.37996498000030021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7.9333333333333336</v>
      </c>
      <c r="AI152" s="14">
        <f>IF('Données projet'!$A$62&gt;35,AI151+AH152-AQ151,IF(A152&lt;'Données projet'!$A$62,$AF$205^A152,IF(A152='Données projet'!$A$62,'Données projet'!$B$62,AI151+AH152-AQ151)))</f>
        <v>1024.066666666665</v>
      </c>
      <c r="AJ152" s="14">
        <f>AI152*VLOOKUP('Données projet'!$B$10,Paramètres!$A$1:$I$88,3,0)*VLOOKUP('Données projet'!$B$10,Paramètres!$A$1:$I$88,5,0)</f>
        <v>492.57606666666589</v>
      </c>
      <c r="AK152" s="14">
        <f t="shared" si="143"/>
        <v>110.3116748463972</v>
      </c>
      <c r="AL152" s="22">
        <f t="shared" si="112"/>
        <v>1050.0294831352514</v>
      </c>
      <c r="AM152" s="62">
        <f t="shared" si="113"/>
        <v>1343.3628164685847</v>
      </c>
      <c r="AN152" s="62">
        <f ca="1">AVERAGE(OFFSET($AM$3,0,0,'Données projet'!$E$10+1,1))-AVERAGE(OFFSET($H$3,0,0,'Données projet'!$E$10+1,1))</f>
        <v>576.61210817354549</v>
      </c>
      <c r="AO152" s="62">
        <f t="shared" si="144"/>
        <v>343.9428747444544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projet'!$B$10,Paramètres!$A$1:$I$88,7,0))</f>
        <v>0</v>
      </c>
      <c r="AS152" s="17">
        <f>IF(ISNA(VLOOKUP(A152,'Données projet'!$A$61:$I$81,6,0)),0%,VLOOKUP(A152,'Données projet'!$A$61:$I$81,6,0)*VLOOKUP('Données projet'!$B$10,Paramètres!$A$1:$I$88,7,0))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projet'!$B$10,Paramètres!$A$1:$I$88,3,0)*0.475*44/12</f>
        <v>0</v>
      </c>
      <c r="AV152" s="23">
        <f>EXP(-LN(2)/25)*AV151+(1-EXP(-LN(2)/25))/(LN(2)/25)*Calculateur!AQ152*Calculateur!AS152*VLOOKUP('Données projet'!$B$10,Paramètres!$A$1:$I$88,3,0)*0.475*44/12</f>
        <v>0.20899456842353323</v>
      </c>
      <c r="AW152" s="23">
        <f>EXP(-LN(2)/2)*AW151+(1-EXP(-LN(2)/2))/(LN(2)/2)*AQ152*AT152*VLOOKUP('Données projet'!$B$10,Paramètres!$A$1:$I$88,3,0)*0.475*44/12</f>
        <v>1.4429444919765561E-17</v>
      </c>
      <c r="AX152" s="23">
        <f t="shared" si="114"/>
        <v>0.20899456842353326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-5.6843418860808015E-14</v>
      </c>
      <c r="BE152" s="14">
        <f>BD152*VLOOKUP('Données projet'!$B$11,Paramètres!$A$1:$I$88,3,0)*VLOOKUP('Données projet'!$B$11,Paramètres!$A$1:$I$88,5,0)</f>
        <v>-4.5224624045658861E-14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298.38448036212861</v>
      </c>
      <c r="BJ152" s="62">
        <f t="shared" si="146"/>
        <v>270.4445531106897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projet'!$B$11,Paramètres!$A$1:$I$88,7,0))</f>
        <v>0</v>
      </c>
      <c r="BN152" s="17">
        <f>IF(ISNA(VLOOKUP(A152,'Données projet'!$A$87:$I$107,6,0)),0%,VLOOKUP(A152,'Données projet'!$A$87:$I$107,6,0)*VLOOKUP('Données projet'!$B$11,Paramètres!$A$1:$I$88,7,0))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projet'!$B$11,Paramètres!$A$1:$I$88,3,0)*0.475*44/12</f>
        <v>0</v>
      </c>
      <c r="BQ152" s="23">
        <f>EXP(-LN(2)/25)*BQ151+(1-EXP(-LN(2)/25))/(LN(2)/25)*Calculateur!BL152*Calculateur!BN152*VLOOKUP('Données projet'!$B$11,Paramètres!$A$1:$I$88,3,0)*0.475*44/12</f>
        <v>0</v>
      </c>
      <c r="BR152" s="23">
        <f>EXP(-LN(2)/2)*BR151+(1-EXP(-LN(2)/2))/(LN(2)/2)*BL152*BO152*VLOOKUP('Données projet'!$B$11,Paramètres!$A$1:$I$88,3,0)*0.475*44/12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5.6843418860808015E-14</v>
      </c>
      <c r="BZ152" s="14">
        <f>BY152*VLOOKUP('Données projet'!$B$12,Paramètres!$A$1:$I$88,3,0)*VLOOKUP('Données projet'!$B$12,Paramètres!$A$1:$I$88,5,0)</f>
        <v>4.4337866711430253E-14</v>
      </c>
      <c r="CA152" s="14">
        <f t="shared" si="147"/>
        <v>7.3222115536967035E-13</v>
      </c>
      <c r="CB152" s="22">
        <f t="shared" si="118"/>
        <v>1.3525069634579169E-12</v>
      </c>
      <c r="CC152" s="62">
        <f t="shared" si="119"/>
        <v>293.33333333333468</v>
      </c>
      <c r="CD152" s="62">
        <f ca="1">AVERAGE(OFFSET($CC$3,0,0,'Données projet'!$E$12+1,1))-AVERAGE(OFFSET($H$3,0,0,'Données projet'!$E$12+1,1))</f>
        <v>217.32600829266818</v>
      </c>
      <c r="CE152" s="62">
        <f t="shared" si="148"/>
        <v>208.79744153433245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projet'!$B$12,Paramètres!$A$1:$I$88,7,0))</f>
        <v>0</v>
      </c>
      <c r="CI152" s="17">
        <f>IF(ISNA(VLOOKUP(A152,'Données projet'!$A$113:$I$133,6,0)),0%,VLOOKUP(A152,'Données projet'!$A$113:$I$133,6,0)*VLOOKUP('Données projet'!$B$12,Paramètres!$A$1:$I$88,7,0))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projet'!$B$12,Paramètres!$A$1:$I$88,3,0)*0.475*44/12</f>
        <v>0</v>
      </c>
      <c r="CL152" s="23">
        <f>EXP(-LN(2)/25)*CL151+(1-EXP(-LN(2)/25))/(LN(2)/25)*Calculateur!CG152*Calculateur!CI152*VLOOKUP('Données projet'!$B$12,Paramètres!$A$1:$I$88,3,0)*0.475*44/12</f>
        <v>0</v>
      </c>
      <c r="CM152" s="23">
        <f>EXP(-LN(2)/2)*CM151+(1-EXP(-LN(2)/2))/(LN(2)/2)*CG152*CJ152*VLOOKUP('Données projet'!$B$12,Paramètres!$A$1:$I$88,3,0)*0.475*44/12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-3.4106051316484809E-13</v>
      </c>
      <c r="CU152" s="18">
        <f>CT152*VLOOKUP('Données projet'!$B$13,Paramètres!$A$1:$I$88,3,0)*VLOOKUP('Données projet'!$B$13,Paramètres!$A$1:$I$88,5,0)</f>
        <v>-1.9065282685915009E-13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302.20483575440988</v>
      </c>
      <c r="CZ152" s="62">
        <f t="shared" si="150"/>
        <v>275.32862097158687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projet'!$B$13,Paramètres!$A$1:$I$88,7,0))</f>
        <v>0</v>
      </c>
      <c r="DD152" s="17">
        <f>IF(ISNA(VLOOKUP(A152,'Données projet'!$A$139:$I$159,6,0)),0%,VLOOKUP(A152,'Données projet'!$A$139:$I$159,6,0)*VLOOKUP('Données projet'!$B$13,Paramètres!$A$1:$I$88,7,0))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projet'!$B$13,Paramètres!$A$1:$I$88,3,0)*0.475*44/12</f>
        <v>0</v>
      </c>
      <c r="DG152" s="23">
        <f>EXP(-LN(2)/25)*DG151+(1-EXP(-LN(2)/25))/(LN(2)/25)*Calculateur!DB152*Calculateur!DD152*VLOOKUP('Données projet'!$B$13,Paramètres!$A$1:$I$88,3,0)*0.475*44/12</f>
        <v>0.51030784200015655</v>
      </c>
      <c r="DH152" s="23">
        <f>EXP(-LN(2)/2)*DH151+(1-EXP(-LN(2)/2))/(LN(2)/2)*DB152*DE152*VLOOKUP('Données projet'!$B$13,Paramètres!$A$1:$I$88,3,0)*0.475*44/12</f>
        <v>8.3176723751704135E-18</v>
      </c>
      <c r="DI152" s="24">
        <f t="shared" si="123"/>
        <v>0.51030784200015655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projet'!$B$14,Paramètres!$A$1:$I$88,3,0)*VLOOKUP('Données projet'!$B$14,Paramètres!$A$1:$I$88,5,0)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projet'!$B$14,Paramètres!$A$1:$I$88,7,0))</f>
        <v>0</v>
      </c>
      <c r="DY152" s="17">
        <f>IF(ISNA(VLOOKUP(A152,'Données projet'!$A$165:$I$185,6,0)),0%,VLOOKUP(A152,'Données projet'!$A$165:$I$185,6,0)*VLOOKUP('Données projet'!$B$14,Paramètres!$A$1:$I$88,7,0))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projet'!$B$14,Paramètres!$A$1:$I$88,3,0)*0.475*44/12</f>
        <v>#N/A</v>
      </c>
      <c r="EB152" s="23" t="e">
        <f>EXP(-LN(2)/25)*EB151+(1-EXP(-LN(2)/25))/(LN(2)/25)*Calculateur!DW152*Calculateur!DY152*VLOOKUP('Données projet'!$B$14,Paramètres!$A$1:$I$88,3,0)*0.475*44/12</f>
        <v>#N/A</v>
      </c>
      <c r="EC152" s="23" t="e">
        <f>EXP(-LN(2)/2)*EC151+(1-EXP(-LN(2)/2))/(LN(2)/2)*DW152*DZ152*VLOOKUP('Données projet'!$B$14,Paramètres!$A$1:$I$88,3,0)*0.475*44/12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projet'!$B$15,Paramètres!$A$1:$I$88,3,0)*VLOOKUP('Données projet'!$B$15,Paramètres!$A$1:$I$88,5,0)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projet'!$B$15,Paramètres!$A$1:$I$88,7,0))</f>
        <v>0</v>
      </c>
      <c r="ET152" s="17">
        <f>IF(ISNA(VLOOKUP(A152,'Données projet'!$A$191:$I$211,6,0)),0%,VLOOKUP(A152,'Données projet'!$A$191:$I$211,6,0)*VLOOKUP('Données projet'!$B$15,Paramètres!$A$1:$I$88,7,0))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projet'!$B$15,Paramètres!$A$1:$I$88,3,0)*0.475*44/12</f>
        <v>#N/A</v>
      </c>
      <c r="EW152" s="23" t="e">
        <f>EXP(-LN(2)/25)*EW151+(1-EXP(-LN(2)/25))/(LN(2)/25)*Calculateur!ER152*Calculateur!ET152*VLOOKUP('Données projet'!$B$15,Paramètres!$A$1:$I$88,3,0)*0.475*44/12</f>
        <v>#N/A</v>
      </c>
      <c r="EX152" s="23" t="e">
        <f>EXP(-LN(2)/2)*EX151+(1-EXP(-LN(2)/2))/(LN(2)/2)*ER152*EU152*VLOOKUP('Données projet'!$B$15,Paramètres!$A$1:$I$88,3,0)*0.475*44/12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projet'!$B$16,Paramètres!$A$1:$I$88,3,0)*VLOOKUP('Données projet'!$B$16,Paramètres!$A$1:$I$88,5,0)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projet'!$B$16,Paramètres!$A$1:$I$88,7,0))</f>
        <v>0</v>
      </c>
      <c r="FO152" s="17">
        <f>IF(ISNA(VLOOKUP(A152,'Données projet'!$A$217:$I$237,6,0)),0%,VLOOKUP(A152,'Données projet'!$A$217:$I$237,6,0)*VLOOKUP('Données projet'!$B$16,Paramètres!$A$1:$I$88,7,0))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projet'!$B$16,Paramètres!$A$1:$I$88,3,0)*0.475*44/12</f>
        <v>#N/A</v>
      </c>
      <c r="FR152" s="23" t="e">
        <f>EXP(-LN(2)/25)*FR151+(1-EXP(-LN(2)/25))/(LN(2)/25)*Calculateur!FM152*Calculateur!FO152*VLOOKUP('Données projet'!$B$16,Paramètres!$A$1:$I$88,3,0)*0.475*44/12</f>
        <v>#N/A</v>
      </c>
      <c r="FS152" s="23" t="e">
        <f>EXP(-LN(2)/2)*FS151+(1-EXP(-LN(2)/2))/(LN(2)/2)*FM152*FP152*VLOOKUP('Données projet'!$B$16,Paramètres!$A$1:$I$88,3,0)*0.475*44/12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projet'!$B$17,Paramètres!$A$1:$I$88,3,0)*VLOOKUP('Données projet'!$B$17,Paramètres!$A$1:$I$88,5,0)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projet'!$B$17,Paramètres!$A$1:$I$88,7,0))</f>
        <v>0</v>
      </c>
      <c r="GJ152" s="17">
        <f>IF(ISNA(VLOOKUP(A152,'Données projet'!$A$243:$I$263,6,0)),0%,VLOOKUP(A152,'Données projet'!$A$243:$I$263,6,0)*VLOOKUP('Données projet'!$B$17,Paramètres!$A$1:$I$88,7,0))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projet'!$B$17,Paramètres!$A$1:$I$88,3,0)*0.475*44/12</f>
        <v>#N/A</v>
      </c>
      <c r="GM152" s="23" t="e">
        <f>EXP(-LN(2)/25)*GM151+(1-EXP(-LN(2)/25))/(LN(2)/25)*Calculateur!GH152*Calculateur!GJ152*VLOOKUP('Données projet'!$B$17,Paramètres!$A$1:$I$88,3,0)*0.475*44/12</f>
        <v>#N/A</v>
      </c>
      <c r="GN152" s="23" t="e">
        <f>EXP(-LN(2)/2)*GN151+(1-EXP(-LN(2)/2))/(LN(2)/2)*GH152*GK152*VLOOKUP('Données projet'!$B$17,Paramètres!$A$1:$I$88,3,0)*0.475*44/12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projet'!$B$18,Paramètres!$A$1:$I$88,3,0)*VLOOKUP('Données projet'!$B$18,Paramètres!$A$1:$I$88,5,0)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projet'!$B$18,Paramètres!$A$1:$I$88,7,0))</f>
        <v>0</v>
      </c>
      <c r="HE152" s="17">
        <f>IF(ISNA(VLOOKUP(A152,'Données projet'!$A$269:$I$289,6,0)),0%,VLOOKUP(A152,'Données projet'!$A$269:$I$289,6,0)*VLOOKUP('Données projet'!$B$18,Paramètres!$A$1:$I$88,7,0))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projet'!$B$18,Paramètres!$A$1:$I$88,3,0)*0.475*44/12</f>
        <v>#N/A</v>
      </c>
      <c r="HH152" s="23" t="e">
        <f>EXP(-LN(2)/25)*HH151+(1-EXP(-LN(2)/25))/(LN(2)/25)*Calculateur!HC152*Calculateur!HE152*VLOOKUP('Données projet'!$B$18,Paramètres!$A$1:$I$88,3,0)*0.475*44/12</f>
        <v>#N/A</v>
      </c>
      <c r="HI152" s="23" t="e">
        <f>EXP(-LN(2)/2)*HI151+(1-EXP(-LN(2)/2))/(LN(2)/2)*HC152*HF152*VLOOKUP('Données projet'!$B$18,Paramètres!$A$1:$I$88,3,0)*0.475*44/12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projet'!$B$9,Paramètres!$A$1:$I$88,3,0)*VLOOKUP('Données projet'!$B$9,Paramètres!$A$1:$I$88,5,0)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175.05987582828078</v>
      </c>
      <c r="T153" s="62">
        <f t="shared" si="142"/>
        <v>268.54782308462387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projet'!$B$9,Paramètres!$A$1:$I$88,7,0))</f>
        <v>0</v>
      </c>
      <c r="X153" s="17">
        <f>IF(ISNA(VLOOKUP(A153,'Données projet'!$A$35:$I$55,6,0)),0%,VLOOKUP(A153,'Données projet'!$A$35:$I$55,6,0)*VLOOKUP('Données projet'!$B$9,Paramètres!$A$1:$I$88,7,0))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projet'!$B$9,Paramètres!$A$1:$I$88,3,0)*0.475*44/12</f>
        <v>0</v>
      </c>
      <c r="AA153" s="23">
        <f>EXP(-LN(2)/25)*AA152+(1-EXP(-LN(2)/25))/(LN(2)/25)*Calculateur!V153*Calculateur!X153*VLOOKUP('Données projet'!$B$9,Paramètres!$A$1:$I$88,3,0)*0.475*44/12</f>
        <v>0.3695748176407021</v>
      </c>
      <c r="AB153" s="23">
        <f>EXP(-LN(2)/2)*AB152+(1-EXP(-LN(2)/2))/(LN(2)/2)*V153*Y153*VLOOKUP('Données projet'!$B$9,Paramètres!$A$1:$I$88,3,0)*0.475*44/12</f>
        <v>1.432779232150745E-17</v>
      </c>
      <c r="AC153" s="24">
        <f t="shared" si="111"/>
        <v>0.3695748176407021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1032</v>
      </c>
      <c r="AG153" s="13">
        <f>VLOOKUP(A153,'Données projet'!$A$61:$I$81,9,0)</f>
        <v>7.9333333333333336</v>
      </c>
      <c r="AH153" s="13">
        <f t="array" ref="AH153">INDEX(AG:AG,MIN(IF(ISNUMBER(AG153:AG349),ROW(AG153:AG349),"")))</f>
        <v>7.9333333333333336</v>
      </c>
      <c r="AI153" s="14">
        <f>IF('Données projet'!$A$62&gt;35,AI152+AH153-AQ152,IF(A153&lt;'Données projet'!$A$62,$AF$205^A153,IF(A153='Données projet'!$A$62,'Données projet'!$B$62,AI152+AH153-AQ152)))</f>
        <v>1031.9999999999984</v>
      </c>
      <c r="AJ153" s="14">
        <f>AI153*VLOOKUP('Données projet'!$B$10,Paramètres!$A$1:$I$88,3,0)*VLOOKUP('Données projet'!$B$10,Paramètres!$A$1:$I$88,5,0)</f>
        <v>496.39199999999926</v>
      </c>
      <c r="AK153" s="14">
        <f t="shared" si="143"/>
        <v>111.06643569872348</v>
      </c>
      <c r="AL153" s="22">
        <f t="shared" si="112"/>
        <v>1057.9901088419422</v>
      </c>
      <c r="AM153" s="62">
        <f t="shared" si="113"/>
        <v>1351.3234421752754</v>
      </c>
      <c r="AN153" s="62">
        <f ca="1">AVERAGE(OFFSET($AM$3,0,0,'Données projet'!$E$10+1,1))-AVERAGE(OFFSET($H$3,0,0,'Données projet'!$E$10+1,1))</f>
        <v>576.61210817354549</v>
      </c>
      <c r="AO153" s="62">
        <f t="shared" si="144"/>
        <v>343.9428747444544</v>
      </c>
      <c r="AP153" s="16">
        <f>IF(ISNA(VLOOKUP(A153,'Données projet'!$A$61:$I$81,3,0)),0,VLOOKUP(A153,'Données projet'!$A$61:$I$81,3,0))</f>
        <v>9</v>
      </c>
      <c r="AQ153" s="16">
        <f>IF(ISNA(VLOOKUP(A153,'Données projet'!$A$61:$I$81,4,0)),0,VLOOKUP(A153,'Données projet'!$A$61:$I$81,4,0))</f>
        <v>1032</v>
      </c>
      <c r="AR153" s="17">
        <f>IF(ISNA(VLOOKUP(A153,'Données projet'!$A$61:$I$81,5,0)),0%,VLOOKUP(A153,'Données projet'!$A$61:$I$81,5,0)*VLOOKUP('Données projet'!$B$10,Paramètres!$A$1:$I$88,7,0))</f>
        <v>0</v>
      </c>
      <c r="AS153" s="17">
        <f>IF(ISNA(VLOOKUP(A153,'Données projet'!$A$61:$I$81,6,0)),0%,VLOOKUP(A153,'Données projet'!$A$61:$I$81,6,0)*VLOOKUP('Données projet'!$B$10,Paramètres!$A$1:$I$88,7,0))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projet'!$B$10,Paramètres!$A$1:$I$88,3,0)*0.475*44/12</f>
        <v>0</v>
      </c>
      <c r="AV153" s="23">
        <f>EXP(-LN(2)/25)*AV152+(1-EXP(-LN(2)/25))/(LN(2)/25)*Calculateur!AQ153*Calculateur!AS153*VLOOKUP('Données projet'!$B$10,Paramètres!$A$1:$I$88,3,0)*0.475*44/12</f>
        <v>0.20327960095944503</v>
      </c>
      <c r="AW153" s="23">
        <f>EXP(-LN(2)/2)*AW152+(1-EXP(-LN(2)/2))/(LN(2)/2)*AQ153*AT153*VLOOKUP('Données projet'!$B$10,Paramètres!$A$1:$I$88,3,0)*0.475*44/12</f>
        <v>1.0203158351524006E-17</v>
      </c>
      <c r="AX153" s="23">
        <f t="shared" si="114"/>
        <v>0.20327960095944503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-5.6843418860808015E-14</v>
      </c>
      <c r="BE153" s="14">
        <f>BD153*VLOOKUP('Données projet'!$B$11,Paramètres!$A$1:$I$88,3,0)*VLOOKUP('Données projet'!$B$11,Paramètres!$A$1:$I$88,5,0)</f>
        <v>-4.5224624045658861E-14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298.38448036212861</v>
      </c>
      <c r="BJ153" s="62">
        <f t="shared" si="146"/>
        <v>270.4445531106897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projet'!$B$11,Paramètres!$A$1:$I$88,7,0))</f>
        <v>0</v>
      </c>
      <c r="BN153" s="17">
        <f>IF(ISNA(VLOOKUP(A153,'Données projet'!$A$87:$I$107,6,0)),0%,VLOOKUP(A153,'Données projet'!$A$87:$I$107,6,0)*VLOOKUP('Données projet'!$B$11,Paramètres!$A$1:$I$88,7,0))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projet'!$B$11,Paramètres!$A$1:$I$88,3,0)*0.475*44/12</f>
        <v>0</v>
      </c>
      <c r="BQ153" s="23">
        <f>EXP(-LN(2)/25)*BQ152+(1-EXP(-LN(2)/25))/(LN(2)/25)*Calculateur!BL153*Calculateur!BN153*VLOOKUP('Données projet'!$B$11,Paramètres!$A$1:$I$88,3,0)*0.475*44/12</f>
        <v>0</v>
      </c>
      <c r="BR153" s="23">
        <f>EXP(-LN(2)/2)*BR152+(1-EXP(-LN(2)/2))/(LN(2)/2)*BL153*BO153*VLOOKUP('Données projet'!$B$11,Paramètres!$A$1:$I$88,3,0)*0.475*44/12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5.6843418860808015E-14</v>
      </c>
      <c r="BZ153" s="14">
        <f>BY153*VLOOKUP('Données projet'!$B$12,Paramètres!$A$1:$I$88,3,0)*VLOOKUP('Données projet'!$B$12,Paramètres!$A$1:$I$88,5,0)</f>
        <v>4.4337866711430253E-14</v>
      </c>
      <c r="CA153" s="14">
        <f t="shared" si="147"/>
        <v>7.3222115536967035E-13</v>
      </c>
      <c r="CB153" s="22">
        <f t="shared" si="118"/>
        <v>1.3525069634579169E-12</v>
      </c>
      <c r="CC153" s="62">
        <f t="shared" si="119"/>
        <v>293.33333333333468</v>
      </c>
      <c r="CD153" s="62">
        <f ca="1">AVERAGE(OFFSET($CC$3,0,0,'Données projet'!$E$12+1,1))-AVERAGE(OFFSET($H$3,0,0,'Données projet'!$E$12+1,1))</f>
        <v>217.32600829266818</v>
      </c>
      <c r="CE153" s="62">
        <f t="shared" si="148"/>
        <v>208.79744153433245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projet'!$B$12,Paramètres!$A$1:$I$88,7,0))</f>
        <v>0</v>
      </c>
      <c r="CI153" s="17">
        <f>IF(ISNA(VLOOKUP(A153,'Données projet'!$A$113:$I$133,6,0)),0%,VLOOKUP(A153,'Données projet'!$A$113:$I$133,6,0)*VLOOKUP('Données projet'!$B$12,Paramètres!$A$1:$I$88,7,0))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projet'!$B$12,Paramètres!$A$1:$I$88,3,0)*0.475*44/12</f>
        <v>0</v>
      </c>
      <c r="CL153" s="23">
        <f>EXP(-LN(2)/25)*CL152+(1-EXP(-LN(2)/25))/(LN(2)/25)*Calculateur!CG153*Calculateur!CI153*VLOOKUP('Données projet'!$B$12,Paramètres!$A$1:$I$88,3,0)*0.475*44/12</f>
        <v>0</v>
      </c>
      <c r="CM153" s="23">
        <f>EXP(-LN(2)/2)*CM152+(1-EXP(-LN(2)/2))/(LN(2)/2)*CG153*CJ153*VLOOKUP('Données projet'!$B$12,Paramètres!$A$1:$I$88,3,0)*0.475*44/12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-3.4106051316484809E-13</v>
      </c>
      <c r="CU153" s="18">
        <f>CT153*VLOOKUP('Données projet'!$B$13,Paramètres!$A$1:$I$88,3,0)*VLOOKUP('Données projet'!$B$13,Paramètres!$A$1:$I$88,5,0)</f>
        <v>-1.9065282685915009E-13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302.20483575440988</v>
      </c>
      <c r="CZ153" s="62">
        <f t="shared" si="150"/>
        <v>275.32862097158687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projet'!$B$13,Paramètres!$A$1:$I$88,7,0))</f>
        <v>0</v>
      </c>
      <c r="DD153" s="17">
        <f>IF(ISNA(VLOOKUP(A153,'Données projet'!$A$139:$I$159,6,0)),0%,VLOOKUP(A153,'Données projet'!$A$139:$I$159,6,0)*VLOOKUP('Données projet'!$B$13,Paramètres!$A$1:$I$88,7,0))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projet'!$B$13,Paramètres!$A$1:$I$88,3,0)*0.475*44/12</f>
        <v>0</v>
      </c>
      <c r="DG153" s="23">
        <f>EXP(-LN(2)/25)*DG152+(1-EXP(-LN(2)/25))/(LN(2)/25)*Calculateur!DB153*Calculateur!DD153*VLOOKUP('Données projet'!$B$13,Paramètres!$A$1:$I$88,3,0)*0.475*44/12</f>
        <v>0.49635344722473917</v>
      </c>
      <c r="DH153" s="23">
        <f>EXP(-LN(2)/2)*DH152+(1-EXP(-LN(2)/2))/(LN(2)/2)*DB153*DE153*VLOOKUP('Données projet'!$B$13,Paramètres!$A$1:$I$88,3,0)*0.475*44/12</f>
        <v>5.8814825401710167E-18</v>
      </c>
      <c r="DI153" s="24">
        <f t="shared" si="123"/>
        <v>0.49635344722473917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projet'!$B$14,Paramètres!$A$1:$I$88,3,0)*VLOOKUP('Données projet'!$B$14,Paramètres!$A$1:$I$88,5,0)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projet'!$B$14,Paramètres!$A$1:$I$88,7,0))</f>
        <v>0</v>
      </c>
      <c r="DY153" s="17">
        <f>IF(ISNA(VLOOKUP(A153,'Données projet'!$A$165:$I$185,6,0)),0%,VLOOKUP(A153,'Données projet'!$A$165:$I$185,6,0)*VLOOKUP('Données projet'!$B$14,Paramètres!$A$1:$I$88,7,0))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projet'!$B$14,Paramètres!$A$1:$I$88,3,0)*0.475*44/12</f>
        <v>#N/A</v>
      </c>
      <c r="EB153" s="23" t="e">
        <f>EXP(-LN(2)/25)*EB152+(1-EXP(-LN(2)/25))/(LN(2)/25)*Calculateur!DW153*Calculateur!DY153*VLOOKUP('Données projet'!$B$14,Paramètres!$A$1:$I$88,3,0)*0.475*44/12</f>
        <v>#N/A</v>
      </c>
      <c r="EC153" s="23" t="e">
        <f>EXP(-LN(2)/2)*EC152+(1-EXP(-LN(2)/2))/(LN(2)/2)*DW153*DZ153*VLOOKUP('Données projet'!$B$14,Paramètres!$A$1:$I$88,3,0)*0.475*44/12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projet'!$B$15,Paramètres!$A$1:$I$88,3,0)*VLOOKUP('Données projet'!$B$15,Paramètres!$A$1:$I$88,5,0)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projet'!$B$15,Paramètres!$A$1:$I$88,7,0))</f>
        <v>0</v>
      </c>
      <c r="ET153" s="17">
        <f>IF(ISNA(VLOOKUP(A153,'Données projet'!$A$191:$I$211,6,0)),0%,VLOOKUP(A153,'Données projet'!$A$191:$I$211,6,0)*VLOOKUP('Données projet'!$B$15,Paramètres!$A$1:$I$88,7,0))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projet'!$B$15,Paramètres!$A$1:$I$88,3,0)*0.475*44/12</f>
        <v>#N/A</v>
      </c>
      <c r="EW153" s="23" t="e">
        <f>EXP(-LN(2)/25)*EW152+(1-EXP(-LN(2)/25))/(LN(2)/25)*Calculateur!ER153*Calculateur!ET153*VLOOKUP('Données projet'!$B$15,Paramètres!$A$1:$I$88,3,0)*0.475*44/12</f>
        <v>#N/A</v>
      </c>
      <c r="EX153" s="23" t="e">
        <f>EXP(-LN(2)/2)*EX152+(1-EXP(-LN(2)/2))/(LN(2)/2)*ER153*EU153*VLOOKUP('Données projet'!$B$15,Paramètres!$A$1:$I$88,3,0)*0.475*44/12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projet'!$B$16,Paramètres!$A$1:$I$88,3,0)*VLOOKUP('Données projet'!$B$16,Paramètres!$A$1:$I$88,5,0)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projet'!$B$16,Paramètres!$A$1:$I$88,7,0))</f>
        <v>0</v>
      </c>
      <c r="FO153" s="17">
        <f>IF(ISNA(VLOOKUP(A153,'Données projet'!$A$217:$I$237,6,0)),0%,VLOOKUP(A153,'Données projet'!$A$217:$I$237,6,0)*VLOOKUP('Données projet'!$B$16,Paramètres!$A$1:$I$88,7,0))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projet'!$B$16,Paramètres!$A$1:$I$88,3,0)*0.475*44/12</f>
        <v>#N/A</v>
      </c>
      <c r="FR153" s="23" t="e">
        <f>EXP(-LN(2)/25)*FR152+(1-EXP(-LN(2)/25))/(LN(2)/25)*Calculateur!FM153*Calculateur!FO153*VLOOKUP('Données projet'!$B$16,Paramètres!$A$1:$I$88,3,0)*0.475*44/12</f>
        <v>#N/A</v>
      </c>
      <c r="FS153" s="23" t="e">
        <f>EXP(-LN(2)/2)*FS152+(1-EXP(-LN(2)/2))/(LN(2)/2)*FM153*FP153*VLOOKUP('Données projet'!$B$16,Paramètres!$A$1:$I$88,3,0)*0.475*44/12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projet'!$B$17,Paramètres!$A$1:$I$88,3,0)*VLOOKUP('Données projet'!$B$17,Paramètres!$A$1:$I$88,5,0)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projet'!$B$17,Paramètres!$A$1:$I$88,7,0))</f>
        <v>0</v>
      </c>
      <c r="GJ153" s="17">
        <f>IF(ISNA(VLOOKUP(A153,'Données projet'!$A$243:$I$263,6,0)),0%,VLOOKUP(A153,'Données projet'!$A$243:$I$263,6,0)*VLOOKUP('Données projet'!$B$17,Paramètres!$A$1:$I$88,7,0))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projet'!$B$17,Paramètres!$A$1:$I$88,3,0)*0.475*44/12</f>
        <v>#N/A</v>
      </c>
      <c r="GM153" s="23" t="e">
        <f>EXP(-LN(2)/25)*GM152+(1-EXP(-LN(2)/25))/(LN(2)/25)*Calculateur!GH153*Calculateur!GJ153*VLOOKUP('Données projet'!$B$17,Paramètres!$A$1:$I$88,3,0)*0.475*44/12</f>
        <v>#N/A</v>
      </c>
      <c r="GN153" s="23" t="e">
        <f>EXP(-LN(2)/2)*GN152+(1-EXP(-LN(2)/2))/(LN(2)/2)*GH153*GK153*VLOOKUP('Données projet'!$B$17,Paramètres!$A$1:$I$88,3,0)*0.475*44/12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projet'!$B$18,Paramètres!$A$1:$I$88,3,0)*VLOOKUP('Données projet'!$B$18,Paramètres!$A$1:$I$88,5,0)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projet'!$B$18,Paramètres!$A$1:$I$88,7,0))</f>
        <v>0</v>
      </c>
      <c r="HE153" s="17">
        <f>IF(ISNA(VLOOKUP(A153,'Données projet'!$A$269:$I$289,6,0)),0%,VLOOKUP(A153,'Données projet'!$A$269:$I$289,6,0)*VLOOKUP('Données projet'!$B$18,Paramètres!$A$1:$I$88,7,0))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projet'!$B$18,Paramètres!$A$1:$I$88,3,0)*0.475*44/12</f>
        <v>#N/A</v>
      </c>
      <c r="HH153" s="23" t="e">
        <f>EXP(-LN(2)/25)*HH152+(1-EXP(-LN(2)/25))/(LN(2)/25)*Calculateur!HC153*Calculateur!HE153*VLOOKUP('Données projet'!$B$18,Paramètres!$A$1:$I$88,3,0)*0.475*44/12</f>
        <v>#N/A</v>
      </c>
      <c r="HI153" s="23" t="e">
        <f>EXP(-LN(2)/2)*HI152+(1-EXP(-LN(2)/2))/(LN(2)/2)*HC153*HF153*VLOOKUP('Données projet'!$B$18,Paramètres!$A$1:$I$88,3,0)*0.475*44/12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projet'!$B$9,Paramètres!$A$1:$I$88,3,0)*VLOOKUP('Données projet'!$B$9,Paramètres!$A$1:$I$88,5,0)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175.05987582828078</v>
      </c>
      <c r="T154" s="62">
        <f t="shared" si="142"/>
        <v>268.54782308462387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projet'!$B$9,Paramètres!$A$1:$I$88,7,0))</f>
        <v>0</v>
      </c>
      <c r="X154" s="17">
        <f>IF(ISNA(VLOOKUP(A154,'Données projet'!$A$35:$I$55,6,0)),0%,VLOOKUP(A154,'Données projet'!$A$35:$I$55,6,0)*VLOOKUP('Données projet'!$B$9,Paramètres!$A$1:$I$88,7,0))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projet'!$B$9,Paramètres!$A$1:$I$88,3,0)*0.475*44/12</f>
        <v>0</v>
      </c>
      <c r="AA154" s="23">
        <f>EXP(-LN(2)/25)*AA153+(1-EXP(-LN(2)/25))/(LN(2)/25)*Calculateur!V154*Calculateur!X154*VLOOKUP('Données projet'!$B$9,Paramètres!$A$1:$I$88,3,0)*0.475*44/12</f>
        <v>0.35946877481722211</v>
      </c>
      <c r="AB154" s="23">
        <f>EXP(-LN(2)/2)*AB153+(1-EXP(-LN(2)/2))/(LN(2)/2)*V154*Y154*VLOOKUP('Données projet'!$B$9,Paramètres!$A$1:$I$88,3,0)*0.475*44/12</f>
        <v>1.0131279109970465E-17</v>
      </c>
      <c r="AC154" s="24">
        <f t="shared" ref="AC154:AC203" si="163">SUM(Z154:AB154)</f>
        <v>0.35946877481722211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-1.5916157281026244E-12</v>
      </c>
      <c r="AJ154" s="14">
        <f>AI154*VLOOKUP('Données projet'!$B$10,Paramètres!$A$1:$I$88,3,0)*VLOOKUP('Données projet'!$B$10,Paramètres!$A$1:$I$88,5,0)</f>
        <v>-7.6556716521736234E-13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576.61210817354549</v>
      </c>
      <c r="AO154" s="62">
        <f t="shared" si="144"/>
        <v>343.9428747444544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projet'!$B$10,Paramètres!$A$1:$I$88,7,0))</f>
        <v>0</v>
      </c>
      <c r="AS154" s="17">
        <f>IF(ISNA(VLOOKUP(A154,'Données projet'!$A$61:$I$81,6,0)),0%,VLOOKUP(A154,'Données projet'!$A$61:$I$81,6,0)*VLOOKUP('Données projet'!$B$10,Paramètres!$A$1:$I$88,7,0))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projet'!$B$10,Paramètres!$A$1:$I$88,3,0)*0.475*44/12</f>
        <v>0</v>
      </c>
      <c r="AV154" s="23">
        <f>EXP(-LN(2)/25)*AV153+(1-EXP(-LN(2)/25))/(LN(2)/25)*Calculateur!AQ154*Calculateur!AS154*VLOOKUP('Données projet'!$B$10,Paramètres!$A$1:$I$88,3,0)*0.475*44/12</f>
        <v>0.19772090958119939</v>
      </c>
      <c r="AW154" s="23">
        <f>EXP(-LN(2)/2)*AW153+(1-EXP(-LN(2)/2))/(LN(2)/2)*AQ154*AT154*VLOOKUP('Données projet'!$B$10,Paramètres!$A$1:$I$88,3,0)*0.475*44/12</f>
        <v>7.2147224598827803E-18</v>
      </c>
      <c r="AX154" s="23">
        <f t="shared" ref="AX154:AX203" si="166">SUM(AU154:AW154)</f>
        <v>0.19772090958119939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-5.6843418860808015E-14</v>
      </c>
      <c r="BE154" s="14">
        <f>BD154*VLOOKUP('Données projet'!$B$11,Paramètres!$A$1:$I$88,3,0)*VLOOKUP('Données projet'!$B$11,Paramètres!$A$1:$I$88,5,0)</f>
        <v>-4.5224624045658861E-14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298.38448036212861</v>
      </c>
      <c r="BJ154" s="62">
        <f t="shared" si="146"/>
        <v>270.4445531106897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projet'!$B$11,Paramètres!$A$1:$I$88,7,0))</f>
        <v>0</v>
      </c>
      <c r="BN154" s="17">
        <f>IF(ISNA(VLOOKUP(A154,'Données projet'!$A$87:$I$107,6,0)),0%,VLOOKUP(A154,'Données projet'!$A$87:$I$107,6,0)*VLOOKUP('Données projet'!$B$11,Paramètres!$A$1:$I$88,7,0))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projet'!$B$11,Paramètres!$A$1:$I$88,3,0)*0.475*44/12</f>
        <v>0</v>
      </c>
      <c r="BQ154" s="23">
        <f>EXP(-LN(2)/25)*BQ153+(1-EXP(-LN(2)/25))/(LN(2)/25)*Calculateur!BL154*Calculateur!BN154*VLOOKUP('Données projet'!$B$11,Paramètres!$A$1:$I$88,3,0)*0.475*44/12</f>
        <v>0</v>
      </c>
      <c r="BR154" s="23">
        <f>EXP(-LN(2)/2)*BR153+(1-EXP(-LN(2)/2))/(LN(2)/2)*BL154*BO154*VLOOKUP('Données projet'!$B$11,Paramètres!$A$1:$I$88,3,0)*0.475*44/12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5.6843418860808015E-14</v>
      </c>
      <c r="BZ154" s="14">
        <f>BY154*VLOOKUP('Données projet'!$B$12,Paramètres!$A$1:$I$88,3,0)*VLOOKUP('Données projet'!$B$12,Paramètres!$A$1:$I$88,5,0)</f>
        <v>4.4337866711430253E-14</v>
      </c>
      <c r="CA154" s="14">
        <f t="shared" ref="CA154:CA203" si="170">EXP(-1.0587+0.8836*LN(BZ154)+0.284)</f>
        <v>7.3222115536967035E-13</v>
      </c>
      <c r="CB154" s="22">
        <f t="shared" ref="CB154:CB203" si="171">(BZ154+CA154)*0.475*44/12</f>
        <v>1.3525069634579169E-12</v>
      </c>
      <c r="CC154" s="62">
        <f t="shared" si="119"/>
        <v>293.33333333333468</v>
      </c>
      <c r="CD154" s="62">
        <f ca="1">AVERAGE(OFFSET($CC$3,0,0,'Données projet'!$E$12+1,1))-AVERAGE(OFFSET($H$3,0,0,'Données projet'!$E$12+1,1))</f>
        <v>217.32600829266818</v>
      </c>
      <c r="CE154" s="62">
        <f t="shared" si="148"/>
        <v>208.79744153433245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projet'!$B$12,Paramètres!$A$1:$I$88,7,0))</f>
        <v>0</v>
      </c>
      <c r="CI154" s="17">
        <f>IF(ISNA(VLOOKUP(A154,'Données projet'!$A$113:$I$133,6,0)),0%,VLOOKUP(A154,'Données projet'!$A$113:$I$133,6,0)*VLOOKUP('Données projet'!$B$12,Paramètres!$A$1:$I$88,7,0))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projet'!$B$12,Paramètres!$A$1:$I$88,3,0)*0.475*44/12</f>
        <v>0</v>
      </c>
      <c r="CL154" s="23">
        <f>EXP(-LN(2)/25)*CL153+(1-EXP(-LN(2)/25))/(LN(2)/25)*Calculateur!CG154*Calculateur!CI154*VLOOKUP('Données projet'!$B$12,Paramètres!$A$1:$I$88,3,0)*0.475*44/12</f>
        <v>0</v>
      </c>
      <c r="CM154" s="23">
        <f>EXP(-LN(2)/2)*CM153+(1-EXP(-LN(2)/2))/(LN(2)/2)*CG154*CJ154*VLOOKUP('Données projet'!$B$12,Paramètres!$A$1:$I$88,3,0)*0.475*44/12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-3.4106051316484809E-13</v>
      </c>
      <c r="CU154" s="18">
        <f>CT154*VLOOKUP('Données projet'!$B$13,Paramètres!$A$1:$I$88,3,0)*VLOOKUP('Données projet'!$B$13,Paramètres!$A$1:$I$88,5,0)</f>
        <v>-1.9065282685915009E-13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302.20483575440988</v>
      </c>
      <c r="CZ154" s="62">
        <f t="shared" si="150"/>
        <v>275.32862097158687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projet'!$B$13,Paramètres!$A$1:$I$88,7,0))</f>
        <v>0</v>
      </c>
      <c r="DD154" s="17">
        <f>IF(ISNA(VLOOKUP(A154,'Données projet'!$A$139:$I$159,6,0)),0%,VLOOKUP(A154,'Données projet'!$A$139:$I$159,6,0)*VLOOKUP('Données projet'!$B$13,Paramètres!$A$1:$I$88,7,0))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projet'!$B$13,Paramètres!$A$1:$I$88,3,0)*0.475*44/12</f>
        <v>0</v>
      </c>
      <c r="DG154" s="23">
        <f>EXP(-LN(2)/25)*DG153+(1-EXP(-LN(2)/25))/(LN(2)/25)*Calculateur!DB154*Calculateur!DD154*VLOOKUP('Données projet'!$B$13,Paramètres!$A$1:$I$88,3,0)*0.475*44/12</f>
        <v>0.48278063610828531</v>
      </c>
      <c r="DH154" s="23">
        <f>EXP(-LN(2)/2)*DH153+(1-EXP(-LN(2)/2))/(LN(2)/2)*DB154*DE154*VLOOKUP('Données projet'!$B$13,Paramètres!$A$1:$I$88,3,0)*0.475*44/12</f>
        <v>4.1588361875852067E-18</v>
      </c>
      <c r="DI154" s="24">
        <f t="shared" ref="DI154:DI203" si="175">SUM(DF154:DH154)</f>
        <v>0.48278063610828531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projet'!$B$14,Paramètres!$A$1:$I$88,3,0)*VLOOKUP('Données projet'!$B$14,Paramètres!$A$1:$I$88,5,0)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projet'!$B$14,Paramètres!$A$1:$I$88,7,0))</f>
        <v>0</v>
      </c>
      <c r="DY154" s="17">
        <f>IF(ISNA(VLOOKUP(A154,'Données projet'!$A$165:$I$185,6,0)),0%,VLOOKUP(A154,'Données projet'!$A$165:$I$185,6,0)*VLOOKUP('Données projet'!$B$14,Paramètres!$A$1:$I$88,7,0))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projet'!$B$14,Paramètres!$A$1:$I$88,3,0)*0.475*44/12</f>
        <v>#N/A</v>
      </c>
      <c r="EB154" s="23" t="e">
        <f>EXP(-LN(2)/25)*EB153+(1-EXP(-LN(2)/25))/(LN(2)/25)*Calculateur!DW154*Calculateur!DY154*VLOOKUP('Données projet'!$B$14,Paramètres!$A$1:$I$88,3,0)*0.475*44/12</f>
        <v>#N/A</v>
      </c>
      <c r="EC154" s="23" t="e">
        <f>EXP(-LN(2)/2)*EC153+(1-EXP(-LN(2)/2))/(LN(2)/2)*DW154*DZ154*VLOOKUP('Données projet'!$B$14,Paramètres!$A$1:$I$88,3,0)*0.475*44/12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projet'!$B$15,Paramètres!$A$1:$I$88,3,0)*VLOOKUP('Données projet'!$B$15,Paramètres!$A$1:$I$88,5,0)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projet'!$B$15,Paramètres!$A$1:$I$88,7,0))</f>
        <v>0</v>
      </c>
      <c r="ET154" s="17">
        <f>IF(ISNA(VLOOKUP(A154,'Données projet'!$A$191:$I$211,6,0)),0%,VLOOKUP(A154,'Données projet'!$A$191:$I$211,6,0)*VLOOKUP('Données projet'!$B$15,Paramètres!$A$1:$I$88,7,0))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projet'!$B$15,Paramètres!$A$1:$I$88,3,0)*0.475*44/12</f>
        <v>#N/A</v>
      </c>
      <c r="EW154" s="23" t="e">
        <f>EXP(-LN(2)/25)*EW153+(1-EXP(-LN(2)/25))/(LN(2)/25)*Calculateur!ER154*Calculateur!ET154*VLOOKUP('Données projet'!$B$15,Paramètres!$A$1:$I$88,3,0)*0.475*44/12</f>
        <v>#N/A</v>
      </c>
      <c r="EX154" s="23" t="e">
        <f>EXP(-LN(2)/2)*EX153+(1-EXP(-LN(2)/2))/(LN(2)/2)*ER154*EU154*VLOOKUP('Données projet'!$B$15,Paramètres!$A$1:$I$88,3,0)*0.475*44/12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projet'!$B$16,Paramètres!$A$1:$I$88,3,0)*VLOOKUP('Données projet'!$B$16,Paramètres!$A$1:$I$88,5,0)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projet'!$B$16,Paramètres!$A$1:$I$88,7,0))</f>
        <v>0</v>
      </c>
      <c r="FO154" s="17">
        <f>IF(ISNA(VLOOKUP(A154,'Données projet'!$A$217:$I$237,6,0)),0%,VLOOKUP(A154,'Données projet'!$A$217:$I$237,6,0)*VLOOKUP('Données projet'!$B$16,Paramètres!$A$1:$I$88,7,0))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projet'!$B$16,Paramètres!$A$1:$I$88,3,0)*0.475*44/12</f>
        <v>#N/A</v>
      </c>
      <c r="FR154" s="23" t="e">
        <f>EXP(-LN(2)/25)*FR153+(1-EXP(-LN(2)/25))/(LN(2)/25)*Calculateur!FM154*Calculateur!FO154*VLOOKUP('Données projet'!$B$16,Paramètres!$A$1:$I$88,3,0)*0.475*44/12</f>
        <v>#N/A</v>
      </c>
      <c r="FS154" s="23" t="e">
        <f>EXP(-LN(2)/2)*FS153+(1-EXP(-LN(2)/2))/(LN(2)/2)*FM154*FP154*VLOOKUP('Données projet'!$B$16,Paramètres!$A$1:$I$88,3,0)*0.475*44/12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projet'!$B$17,Paramètres!$A$1:$I$88,3,0)*VLOOKUP('Données projet'!$B$17,Paramètres!$A$1:$I$88,5,0)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projet'!$B$17,Paramètres!$A$1:$I$88,7,0))</f>
        <v>0</v>
      </c>
      <c r="GJ154" s="17">
        <f>IF(ISNA(VLOOKUP(A154,'Données projet'!$A$243:$I$263,6,0)),0%,VLOOKUP(A154,'Données projet'!$A$243:$I$263,6,0)*VLOOKUP('Données projet'!$B$17,Paramètres!$A$1:$I$88,7,0))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projet'!$B$17,Paramètres!$A$1:$I$88,3,0)*0.475*44/12</f>
        <v>#N/A</v>
      </c>
      <c r="GM154" s="23" t="e">
        <f>EXP(-LN(2)/25)*GM153+(1-EXP(-LN(2)/25))/(LN(2)/25)*Calculateur!GH154*Calculateur!GJ154*VLOOKUP('Données projet'!$B$17,Paramètres!$A$1:$I$88,3,0)*0.475*44/12</f>
        <v>#N/A</v>
      </c>
      <c r="GN154" s="23" t="e">
        <f>EXP(-LN(2)/2)*GN153+(1-EXP(-LN(2)/2))/(LN(2)/2)*GH154*GK154*VLOOKUP('Données projet'!$B$17,Paramètres!$A$1:$I$88,3,0)*0.475*44/12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projet'!$B$18,Paramètres!$A$1:$I$88,3,0)*VLOOKUP('Données projet'!$B$18,Paramètres!$A$1:$I$88,5,0)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projet'!$B$18,Paramètres!$A$1:$I$88,7,0))</f>
        <v>0</v>
      </c>
      <c r="HE154" s="17">
        <f>IF(ISNA(VLOOKUP(A154,'Données projet'!$A$269:$I$289,6,0)),0%,VLOOKUP(A154,'Données projet'!$A$269:$I$289,6,0)*VLOOKUP('Données projet'!$B$18,Paramètres!$A$1:$I$88,7,0))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projet'!$B$18,Paramètres!$A$1:$I$88,3,0)*0.475*44/12</f>
        <v>#N/A</v>
      </c>
      <c r="HH154" s="23" t="e">
        <f>EXP(-LN(2)/25)*HH153+(1-EXP(-LN(2)/25))/(LN(2)/25)*Calculateur!HC154*Calculateur!HE154*VLOOKUP('Données projet'!$B$18,Paramètres!$A$1:$I$88,3,0)*0.475*44/12</f>
        <v>#N/A</v>
      </c>
      <c r="HI154" s="23" t="e">
        <f>EXP(-LN(2)/2)*HI153+(1-EXP(-LN(2)/2))/(LN(2)/2)*HC154*HF154*VLOOKUP('Données projet'!$B$18,Paramètres!$A$1:$I$88,3,0)*0.475*44/12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projet'!$B$9,Paramètres!$A$1:$I$88,3,0)*VLOOKUP('Données projet'!$B$9,Paramètres!$A$1:$I$88,5,0)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175.05987582828078</v>
      </c>
      <c r="T155" s="62">
        <f t="shared" si="142"/>
        <v>268.54782308462387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projet'!$B$9,Paramètres!$A$1:$I$88,7,0))</f>
        <v>0</v>
      </c>
      <c r="X155" s="17">
        <f>IF(ISNA(VLOOKUP(A155,'Données projet'!$A$35:$I$55,6,0)),0%,VLOOKUP(A155,'Données projet'!$A$35:$I$55,6,0)*VLOOKUP('Données projet'!$B$9,Paramètres!$A$1:$I$88,7,0))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projet'!$B$9,Paramètres!$A$1:$I$88,3,0)*0.475*44/12</f>
        <v>0</v>
      </c>
      <c r="AA155" s="23">
        <f>EXP(-LN(2)/25)*AA154+(1-EXP(-LN(2)/25))/(LN(2)/25)*Calculateur!V155*Calculateur!X155*VLOOKUP('Données projet'!$B$9,Paramètres!$A$1:$I$88,3,0)*0.475*44/12</f>
        <v>0.34963908226620388</v>
      </c>
      <c r="AB155" s="23">
        <f>EXP(-LN(2)/2)*AB154+(1-EXP(-LN(2)/2))/(LN(2)/2)*V155*Y155*VLOOKUP('Données projet'!$B$9,Paramètres!$A$1:$I$88,3,0)*0.475*44/12</f>
        <v>7.1638961607537252E-18</v>
      </c>
      <c r="AC155" s="24">
        <f t="shared" si="163"/>
        <v>0.34963908226620388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-1.5916157281026244E-12</v>
      </c>
      <c r="AJ155" s="14">
        <f>AI155*VLOOKUP('Données projet'!$B$10,Paramètres!$A$1:$I$88,3,0)*VLOOKUP('Données projet'!$B$10,Paramètres!$A$1:$I$88,5,0)</f>
        <v>-7.6556716521736234E-13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576.61210817354549</v>
      </c>
      <c r="AO155" s="62">
        <f t="shared" si="144"/>
        <v>343.9428747444544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projet'!$B$10,Paramètres!$A$1:$I$88,7,0))</f>
        <v>0</v>
      </c>
      <c r="AS155" s="17">
        <f>IF(ISNA(VLOOKUP(A155,'Données projet'!$A$61:$I$81,6,0)),0%,VLOOKUP(A155,'Données projet'!$A$61:$I$81,6,0)*VLOOKUP('Données projet'!$B$10,Paramètres!$A$1:$I$88,7,0))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projet'!$B$10,Paramètres!$A$1:$I$88,3,0)*0.475*44/12</f>
        <v>0</v>
      </c>
      <c r="AV155" s="23">
        <f>EXP(-LN(2)/25)*AV154+(1-EXP(-LN(2)/25))/(LN(2)/25)*Calculateur!AQ155*Calculateur!AS155*VLOOKUP('Données projet'!$B$10,Paramètres!$A$1:$I$88,3,0)*0.475*44/12</f>
        <v>0.19231422091101075</v>
      </c>
      <c r="AW155" s="23">
        <f>EXP(-LN(2)/2)*AW154+(1-EXP(-LN(2)/2))/(LN(2)/2)*AQ155*AT155*VLOOKUP('Données projet'!$B$10,Paramètres!$A$1:$I$88,3,0)*0.475*44/12</f>
        <v>5.1015791757620031E-18</v>
      </c>
      <c r="AX155" s="23">
        <f t="shared" si="166"/>
        <v>0.19231422091101075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-5.6843418860808015E-14</v>
      </c>
      <c r="BE155" s="14">
        <f>BD155*VLOOKUP('Données projet'!$B$11,Paramètres!$A$1:$I$88,3,0)*VLOOKUP('Données projet'!$B$11,Paramètres!$A$1:$I$88,5,0)</f>
        <v>-4.5224624045658861E-14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298.38448036212861</v>
      </c>
      <c r="BJ155" s="62">
        <f t="shared" si="146"/>
        <v>270.4445531106897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projet'!$B$11,Paramètres!$A$1:$I$88,7,0))</f>
        <v>0</v>
      </c>
      <c r="BN155" s="17">
        <f>IF(ISNA(VLOOKUP(A155,'Données projet'!$A$87:$I$107,6,0)),0%,VLOOKUP(A155,'Données projet'!$A$87:$I$107,6,0)*VLOOKUP('Données projet'!$B$11,Paramètres!$A$1:$I$88,7,0))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projet'!$B$11,Paramètres!$A$1:$I$88,3,0)*0.475*44/12</f>
        <v>0</v>
      </c>
      <c r="BQ155" s="23">
        <f>EXP(-LN(2)/25)*BQ154+(1-EXP(-LN(2)/25))/(LN(2)/25)*Calculateur!BL155*Calculateur!BN155*VLOOKUP('Données projet'!$B$11,Paramètres!$A$1:$I$88,3,0)*0.475*44/12</f>
        <v>0</v>
      </c>
      <c r="BR155" s="23">
        <f>EXP(-LN(2)/2)*BR154+(1-EXP(-LN(2)/2))/(LN(2)/2)*BL155*BO155*VLOOKUP('Données projet'!$B$11,Paramètres!$A$1:$I$88,3,0)*0.475*44/12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5.6843418860808015E-14</v>
      </c>
      <c r="BZ155" s="14">
        <f>BY155*VLOOKUP('Données projet'!$B$12,Paramètres!$A$1:$I$88,3,0)*VLOOKUP('Données projet'!$B$12,Paramètres!$A$1:$I$88,5,0)</f>
        <v>4.4337866711430253E-14</v>
      </c>
      <c r="CA155" s="14">
        <f t="shared" si="170"/>
        <v>7.3222115536967035E-13</v>
      </c>
      <c r="CB155" s="22">
        <f t="shared" si="171"/>
        <v>1.3525069634579169E-12</v>
      </c>
      <c r="CC155" s="62">
        <f t="shared" si="119"/>
        <v>293.33333333333468</v>
      </c>
      <c r="CD155" s="62">
        <f ca="1">AVERAGE(OFFSET($CC$3,0,0,'Données projet'!$E$12+1,1))-AVERAGE(OFFSET($H$3,0,0,'Données projet'!$E$12+1,1))</f>
        <v>217.32600829266818</v>
      </c>
      <c r="CE155" s="62">
        <f t="shared" si="148"/>
        <v>208.79744153433245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projet'!$B$12,Paramètres!$A$1:$I$88,7,0))</f>
        <v>0</v>
      </c>
      <c r="CI155" s="17">
        <f>IF(ISNA(VLOOKUP(A155,'Données projet'!$A$113:$I$133,6,0)),0%,VLOOKUP(A155,'Données projet'!$A$113:$I$133,6,0)*VLOOKUP('Données projet'!$B$12,Paramètres!$A$1:$I$88,7,0))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projet'!$B$12,Paramètres!$A$1:$I$88,3,0)*0.475*44/12</f>
        <v>0</v>
      </c>
      <c r="CL155" s="23">
        <f>EXP(-LN(2)/25)*CL154+(1-EXP(-LN(2)/25))/(LN(2)/25)*Calculateur!CG155*Calculateur!CI155*VLOOKUP('Données projet'!$B$12,Paramètres!$A$1:$I$88,3,0)*0.475*44/12</f>
        <v>0</v>
      </c>
      <c r="CM155" s="23">
        <f>EXP(-LN(2)/2)*CM154+(1-EXP(-LN(2)/2))/(LN(2)/2)*CG155*CJ155*VLOOKUP('Données projet'!$B$12,Paramètres!$A$1:$I$88,3,0)*0.475*44/12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-3.4106051316484809E-13</v>
      </c>
      <c r="CU155" s="18">
        <f>CT155*VLOOKUP('Données projet'!$B$13,Paramètres!$A$1:$I$88,3,0)*VLOOKUP('Données projet'!$B$13,Paramètres!$A$1:$I$88,5,0)</f>
        <v>-1.9065282685915009E-13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302.20483575440988</v>
      </c>
      <c r="CZ155" s="62">
        <f t="shared" si="150"/>
        <v>275.32862097158687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projet'!$B$13,Paramètres!$A$1:$I$88,7,0))</f>
        <v>0</v>
      </c>
      <c r="DD155" s="17">
        <f>IF(ISNA(VLOOKUP(A155,'Données projet'!$A$139:$I$159,6,0)),0%,VLOOKUP(A155,'Données projet'!$A$139:$I$159,6,0)*VLOOKUP('Données projet'!$B$13,Paramètres!$A$1:$I$88,7,0))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projet'!$B$13,Paramètres!$A$1:$I$88,3,0)*0.475*44/12</f>
        <v>0</v>
      </c>
      <c r="DG155" s="23">
        <f>EXP(-LN(2)/25)*DG154+(1-EXP(-LN(2)/25))/(LN(2)/25)*Calculateur!DB155*Calculateur!DD155*VLOOKUP('Données projet'!$B$13,Paramètres!$A$1:$I$88,3,0)*0.475*44/12</f>
        <v>0.46957897422557399</v>
      </c>
      <c r="DH155" s="23">
        <f>EXP(-LN(2)/2)*DH154+(1-EXP(-LN(2)/2))/(LN(2)/2)*DB155*DE155*VLOOKUP('Données projet'!$B$13,Paramètres!$A$1:$I$88,3,0)*0.475*44/12</f>
        <v>2.9407412700855083E-18</v>
      </c>
      <c r="DI155" s="24">
        <f t="shared" si="175"/>
        <v>0.46957897422557399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projet'!$B$14,Paramètres!$A$1:$I$88,3,0)*VLOOKUP('Données projet'!$B$14,Paramètres!$A$1:$I$88,5,0)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projet'!$B$14,Paramètres!$A$1:$I$88,7,0))</f>
        <v>0</v>
      </c>
      <c r="DY155" s="17">
        <f>IF(ISNA(VLOOKUP(A155,'Données projet'!$A$165:$I$185,6,0)),0%,VLOOKUP(A155,'Données projet'!$A$165:$I$185,6,0)*VLOOKUP('Données projet'!$B$14,Paramètres!$A$1:$I$88,7,0))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projet'!$B$14,Paramètres!$A$1:$I$88,3,0)*0.475*44/12</f>
        <v>#N/A</v>
      </c>
      <c r="EB155" s="23" t="e">
        <f>EXP(-LN(2)/25)*EB154+(1-EXP(-LN(2)/25))/(LN(2)/25)*Calculateur!DW155*Calculateur!DY155*VLOOKUP('Données projet'!$B$14,Paramètres!$A$1:$I$88,3,0)*0.475*44/12</f>
        <v>#N/A</v>
      </c>
      <c r="EC155" s="23" t="e">
        <f>EXP(-LN(2)/2)*EC154+(1-EXP(-LN(2)/2))/(LN(2)/2)*DW155*DZ155*VLOOKUP('Données projet'!$B$14,Paramètres!$A$1:$I$88,3,0)*0.475*44/12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projet'!$B$15,Paramètres!$A$1:$I$88,3,0)*VLOOKUP('Données projet'!$B$15,Paramètres!$A$1:$I$88,5,0)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projet'!$B$15,Paramètres!$A$1:$I$88,7,0))</f>
        <v>0</v>
      </c>
      <c r="ET155" s="17">
        <f>IF(ISNA(VLOOKUP(A155,'Données projet'!$A$191:$I$211,6,0)),0%,VLOOKUP(A155,'Données projet'!$A$191:$I$211,6,0)*VLOOKUP('Données projet'!$B$15,Paramètres!$A$1:$I$88,7,0))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projet'!$B$15,Paramètres!$A$1:$I$88,3,0)*0.475*44/12</f>
        <v>#N/A</v>
      </c>
      <c r="EW155" s="23" t="e">
        <f>EXP(-LN(2)/25)*EW154+(1-EXP(-LN(2)/25))/(LN(2)/25)*Calculateur!ER155*Calculateur!ET155*VLOOKUP('Données projet'!$B$15,Paramètres!$A$1:$I$88,3,0)*0.475*44/12</f>
        <v>#N/A</v>
      </c>
      <c r="EX155" s="23" t="e">
        <f>EXP(-LN(2)/2)*EX154+(1-EXP(-LN(2)/2))/(LN(2)/2)*ER155*EU155*VLOOKUP('Données projet'!$B$15,Paramètres!$A$1:$I$88,3,0)*0.475*44/12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projet'!$B$16,Paramètres!$A$1:$I$88,3,0)*VLOOKUP('Données projet'!$B$16,Paramètres!$A$1:$I$88,5,0)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projet'!$B$16,Paramètres!$A$1:$I$88,7,0))</f>
        <v>0</v>
      </c>
      <c r="FO155" s="17">
        <f>IF(ISNA(VLOOKUP(A155,'Données projet'!$A$217:$I$237,6,0)),0%,VLOOKUP(A155,'Données projet'!$A$217:$I$237,6,0)*VLOOKUP('Données projet'!$B$16,Paramètres!$A$1:$I$88,7,0))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projet'!$B$16,Paramètres!$A$1:$I$88,3,0)*0.475*44/12</f>
        <v>#N/A</v>
      </c>
      <c r="FR155" s="23" t="e">
        <f>EXP(-LN(2)/25)*FR154+(1-EXP(-LN(2)/25))/(LN(2)/25)*Calculateur!FM155*Calculateur!FO155*VLOOKUP('Données projet'!$B$16,Paramètres!$A$1:$I$88,3,0)*0.475*44/12</f>
        <v>#N/A</v>
      </c>
      <c r="FS155" s="23" t="e">
        <f>EXP(-LN(2)/2)*FS154+(1-EXP(-LN(2)/2))/(LN(2)/2)*FM155*FP155*VLOOKUP('Données projet'!$B$16,Paramètres!$A$1:$I$88,3,0)*0.475*44/12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projet'!$B$17,Paramètres!$A$1:$I$88,3,0)*VLOOKUP('Données projet'!$B$17,Paramètres!$A$1:$I$88,5,0)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projet'!$B$17,Paramètres!$A$1:$I$88,7,0))</f>
        <v>0</v>
      </c>
      <c r="GJ155" s="17">
        <f>IF(ISNA(VLOOKUP(A155,'Données projet'!$A$243:$I$263,6,0)),0%,VLOOKUP(A155,'Données projet'!$A$243:$I$263,6,0)*VLOOKUP('Données projet'!$B$17,Paramètres!$A$1:$I$88,7,0))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projet'!$B$17,Paramètres!$A$1:$I$88,3,0)*0.475*44/12</f>
        <v>#N/A</v>
      </c>
      <c r="GM155" s="23" t="e">
        <f>EXP(-LN(2)/25)*GM154+(1-EXP(-LN(2)/25))/(LN(2)/25)*Calculateur!GH155*Calculateur!GJ155*VLOOKUP('Données projet'!$B$17,Paramètres!$A$1:$I$88,3,0)*0.475*44/12</f>
        <v>#N/A</v>
      </c>
      <c r="GN155" s="23" t="e">
        <f>EXP(-LN(2)/2)*GN154+(1-EXP(-LN(2)/2))/(LN(2)/2)*GH155*GK155*VLOOKUP('Données projet'!$B$17,Paramètres!$A$1:$I$88,3,0)*0.475*44/12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projet'!$B$18,Paramètres!$A$1:$I$88,3,0)*VLOOKUP('Données projet'!$B$18,Paramètres!$A$1:$I$88,5,0)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projet'!$B$18,Paramètres!$A$1:$I$88,7,0))</f>
        <v>0</v>
      </c>
      <c r="HE155" s="17">
        <f>IF(ISNA(VLOOKUP(A155,'Données projet'!$A$269:$I$289,6,0)),0%,VLOOKUP(A155,'Données projet'!$A$269:$I$289,6,0)*VLOOKUP('Données projet'!$B$18,Paramètres!$A$1:$I$88,7,0))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projet'!$B$18,Paramètres!$A$1:$I$88,3,0)*0.475*44/12</f>
        <v>#N/A</v>
      </c>
      <c r="HH155" s="23" t="e">
        <f>EXP(-LN(2)/25)*HH154+(1-EXP(-LN(2)/25))/(LN(2)/25)*Calculateur!HC155*Calculateur!HE155*VLOOKUP('Données projet'!$B$18,Paramètres!$A$1:$I$88,3,0)*0.475*44/12</f>
        <v>#N/A</v>
      </c>
      <c r="HI155" s="23" t="e">
        <f>EXP(-LN(2)/2)*HI154+(1-EXP(-LN(2)/2))/(LN(2)/2)*HC155*HF155*VLOOKUP('Données projet'!$B$18,Paramètres!$A$1:$I$88,3,0)*0.475*44/12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projet'!$B$9,Paramètres!$A$1:$I$88,3,0)*VLOOKUP('Données projet'!$B$9,Paramètres!$A$1:$I$88,5,0)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175.05987582828078</v>
      </c>
      <c r="T156" s="62">
        <f t="shared" si="142"/>
        <v>268.54782308462387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projet'!$B$9,Paramètres!$A$1:$I$88,7,0))</f>
        <v>0</v>
      </c>
      <c r="X156" s="17">
        <f>IF(ISNA(VLOOKUP(A156,'Données projet'!$A$35:$I$55,6,0)),0%,VLOOKUP(A156,'Données projet'!$A$35:$I$55,6,0)*VLOOKUP('Données projet'!$B$9,Paramètres!$A$1:$I$88,7,0))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projet'!$B$9,Paramètres!$A$1:$I$88,3,0)*0.475*44/12</f>
        <v>0</v>
      </c>
      <c r="AA156" s="23">
        <f>EXP(-LN(2)/25)*AA155+(1-EXP(-LN(2)/25))/(LN(2)/25)*Calculateur!V156*Calculateur!X156*VLOOKUP('Données projet'!$B$9,Paramètres!$A$1:$I$88,3,0)*0.475*44/12</f>
        <v>0.34007818317491434</v>
      </c>
      <c r="AB156" s="23">
        <f>EXP(-LN(2)/2)*AB155+(1-EXP(-LN(2)/2))/(LN(2)/2)*V156*Y156*VLOOKUP('Données projet'!$B$9,Paramètres!$A$1:$I$88,3,0)*0.475*44/12</f>
        <v>5.0656395549852323E-18</v>
      </c>
      <c r="AC156" s="24">
        <f t="shared" si="163"/>
        <v>0.34007818317491434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-1.5916157281026244E-12</v>
      </c>
      <c r="AJ156" s="14">
        <f>AI156*VLOOKUP('Données projet'!$B$10,Paramètres!$A$1:$I$88,3,0)*VLOOKUP('Données projet'!$B$10,Paramètres!$A$1:$I$88,5,0)</f>
        <v>-7.6556716521736234E-13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576.61210817354549</v>
      </c>
      <c r="AO156" s="62">
        <f t="shared" si="144"/>
        <v>343.9428747444544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projet'!$B$10,Paramètres!$A$1:$I$88,7,0))</f>
        <v>0</v>
      </c>
      <c r="AS156" s="17">
        <f>IF(ISNA(VLOOKUP(A156,'Données projet'!$A$61:$I$81,6,0)),0%,VLOOKUP(A156,'Données projet'!$A$61:$I$81,6,0)*VLOOKUP('Données projet'!$B$10,Paramètres!$A$1:$I$88,7,0))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projet'!$B$10,Paramètres!$A$1:$I$88,3,0)*0.475*44/12</f>
        <v>0</v>
      </c>
      <c r="AV156" s="23">
        <f>EXP(-LN(2)/25)*AV155+(1-EXP(-LN(2)/25))/(LN(2)/25)*Calculateur!AQ156*Calculateur!AS156*VLOOKUP('Données projet'!$B$10,Paramètres!$A$1:$I$88,3,0)*0.475*44/12</f>
        <v>0.18705537842683381</v>
      </c>
      <c r="AW156" s="23">
        <f>EXP(-LN(2)/2)*AW155+(1-EXP(-LN(2)/2))/(LN(2)/2)*AQ156*AT156*VLOOKUP('Données projet'!$B$10,Paramètres!$A$1:$I$88,3,0)*0.475*44/12</f>
        <v>3.6073612299413901E-18</v>
      </c>
      <c r="AX156" s="23">
        <f t="shared" si="166"/>
        <v>0.18705537842683381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-5.6843418860808015E-14</v>
      </c>
      <c r="BE156" s="14">
        <f>BD156*VLOOKUP('Données projet'!$B$11,Paramètres!$A$1:$I$88,3,0)*VLOOKUP('Données projet'!$B$11,Paramètres!$A$1:$I$88,5,0)</f>
        <v>-4.5224624045658861E-14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298.38448036212861</v>
      </c>
      <c r="BJ156" s="62">
        <f t="shared" si="146"/>
        <v>270.4445531106897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projet'!$B$11,Paramètres!$A$1:$I$88,7,0))</f>
        <v>0</v>
      </c>
      <c r="BN156" s="17">
        <f>IF(ISNA(VLOOKUP(A156,'Données projet'!$A$87:$I$107,6,0)),0%,VLOOKUP(A156,'Données projet'!$A$87:$I$107,6,0)*VLOOKUP('Données projet'!$B$11,Paramètres!$A$1:$I$88,7,0))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projet'!$B$11,Paramètres!$A$1:$I$88,3,0)*0.475*44/12</f>
        <v>0</v>
      </c>
      <c r="BQ156" s="23">
        <f>EXP(-LN(2)/25)*BQ155+(1-EXP(-LN(2)/25))/(LN(2)/25)*Calculateur!BL156*Calculateur!BN156*VLOOKUP('Données projet'!$B$11,Paramètres!$A$1:$I$88,3,0)*0.475*44/12</f>
        <v>0</v>
      </c>
      <c r="BR156" s="23">
        <f>EXP(-LN(2)/2)*BR155+(1-EXP(-LN(2)/2))/(LN(2)/2)*BL156*BO156*VLOOKUP('Données projet'!$B$11,Paramètres!$A$1:$I$88,3,0)*0.475*44/12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5.6843418860808015E-14</v>
      </c>
      <c r="BZ156" s="14">
        <f>BY156*VLOOKUP('Données projet'!$B$12,Paramètres!$A$1:$I$88,3,0)*VLOOKUP('Données projet'!$B$12,Paramètres!$A$1:$I$88,5,0)</f>
        <v>4.4337866711430253E-14</v>
      </c>
      <c r="CA156" s="14">
        <f t="shared" si="170"/>
        <v>7.3222115536967035E-13</v>
      </c>
      <c r="CB156" s="22">
        <f t="shared" si="171"/>
        <v>1.3525069634579169E-12</v>
      </c>
      <c r="CC156" s="62">
        <f t="shared" si="119"/>
        <v>293.33333333333468</v>
      </c>
      <c r="CD156" s="62">
        <f ca="1">AVERAGE(OFFSET($CC$3,0,0,'Données projet'!$E$12+1,1))-AVERAGE(OFFSET($H$3,0,0,'Données projet'!$E$12+1,1))</f>
        <v>217.32600829266818</v>
      </c>
      <c r="CE156" s="62">
        <f t="shared" si="148"/>
        <v>208.79744153433245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projet'!$B$12,Paramètres!$A$1:$I$88,7,0))</f>
        <v>0</v>
      </c>
      <c r="CI156" s="17">
        <f>IF(ISNA(VLOOKUP(A156,'Données projet'!$A$113:$I$133,6,0)),0%,VLOOKUP(A156,'Données projet'!$A$113:$I$133,6,0)*VLOOKUP('Données projet'!$B$12,Paramètres!$A$1:$I$88,7,0))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projet'!$B$12,Paramètres!$A$1:$I$88,3,0)*0.475*44/12</f>
        <v>0</v>
      </c>
      <c r="CL156" s="23">
        <f>EXP(-LN(2)/25)*CL155+(1-EXP(-LN(2)/25))/(LN(2)/25)*Calculateur!CG156*Calculateur!CI156*VLOOKUP('Données projet'!$B$12,Paramètres!$A$1:$I$88,3,0)*0.475*44/12</f>
        <v>0</v>
      </c>
      <c r="CM156" s="23">
        <f>EXP(-LN(2)/2)*CM155+(1-EXP(-LN(2)/2))/(LN(2)/2)*CG156*CJ156*VLOOKUP('Données projet'!$B$12,Paramètres!$A$1:$I$88,3,0)*0.475*44/12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-3.4106051316484809E-13</v>
      </c>
      <c r="CU156" s="18">
        <f>CT156*VLOOKUP('Données projet'!$B$13,Paramètres!$A$1:$I$88,3,0)*VLOOKUP('Données projet'!$B$13,Paramètres!$A$1:$I$88,5,0)</f>
        <v>-1.9065282685915009E-13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302.20483575440988</v>
      </c>
      <c r="CZ156" s="62">
        <f t="shared" si="150"/>
        <v>275.32862097158687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projet'!$B$13,Paramètres!$A$1:$I$88,7,0))</f>
        <v>0</v>
      </c>
      <c r="DD156" s="17">
        <f>IF(ISNA(VLOOKUP(A156,'Données projet'!$A$139:$I$159,6,0)),0%,VLOOKUP(A156,'Données projet'!$A$139:$I$159,6,0)*VLOOKUP('Données projet'!$B$13,Paramètres!$A$1:$I$88,7,0))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projet'!$B$13,Paramètres!$A$1:$I$88,3,0)*0.475*44/12</f>
        <v>0</v>
      </c>
      <c r="DG156" s="23">
        <f>EXP(-LN(2)/25)*DG155+(1-EXP(-LN(2)/25))/(LN(2)/25)*Calculateur!DB156*Calculateur!DD156*VLOOKUP('Données projet'!$B$13,Paramètres!$A$1:$I$88,3,0)*0.475*44/12</f>
        <v>0.45673831248129065</v>
      </c>
      <c r="DH156" s="23">
        <f>EXP(-LN(2)/2)*DH155+(1-EXP(-LN(2)/2))/(LN(2)/2)*DB156*DE156*VLOOKUP('Données projet'!$B$13,Paramètres!$A$1:$I$88,3,0)*0.475*44/12</f>
        <v>2.0794180937926034E-18</v>
      </c>
      <c r="DI156" s="24">
        <f t="shared" si="175"/>
        <v>0.45673831248129065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projet'!$B$14,Paramètres!$A$1:$I$88,3,0)*VLOOKUP('Données projet'!$B$14,Paramètres!$A$1:$I$88,5,0)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projet'!$B$14,Paramètres!$A$1:$I$88,7,0))</f>
        <v>0</v>
      </c>
      <c r="DY156" s="17">
        <f>IF(ISNA(VLOOKUP(A156,'Données projet'!$A$165:$I$185,6,0)),0%,VLOOKUP(A156,'Données projet'!$A$165:$I$185,6,0)*VLOOKUP('Données projet'!$B$14,Paramètres!$A$1:$I$88,7,0))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projet'!$B$14,Paramètres!$A$1:$I$88,3,0)*0.475*44/12</f>
        <v>#N/A</v>
      </c>
      <c r="EB156" s="23" t="e">
        <f>EXP(-LN(2)/25)*EB155+(1-EXP(-LN(2)/25))/(LN(2)/25)*Calculateur!DW156*Calculateur!DY156*VLOOKUP('Données projet'!$B$14,Paramètres!$A$1:$I$88,3,0)*0.475*44/12</f>
        <v>#N/A</v>
      </c>
      <c r="EC156" s="23" t="e">
        <f>EXP(-LN(2)/2)*EC155+(1-EXP(-LN(2)/2))/(LN(2)/2)*DW156*DZ156*VLOOKUP('Données projet'!$B$14,Paramètres!$A$1:$I$88,3,0)*0.475*44/12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projet'!$B$15,Paramètres!$A$1:$I$88,3,0)*VLOOKUP('Données projet'!$B$15,Paramètres!$A$1:$I$88,5,0)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projet'!$B$15,Paramètres!$A$1:$I$88,7,0))</f>
        <v>0</v>
      </c>
      <c r="ET156" s="17">
        <f>IF(ISNA(VLOOKUP(A156,'Données projet'!$A$191:$I$211,6,0)),0%,VLOOKUP(A156,'Données projet'!$A$191:$I$211,6,0)*VLOOKUP('Données projet'!$B$15,Paramètres!$A$1:$I$88,7,0))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projet'!$B$15,Paramètres!$A$1:$I$88,3,0)*0.475*44/12</f>
        <v>#N/A</v>
      </c>
      <c r="EW156" s="23" t="e">
        <f>EXP(-LN(2)/25)*EW155+(1-EXP(-LN(2)/25))/(LN(2)/25)*Calculateur!ER156*Calculateur!ET156*VLOOKUP('Données projet'!$B$15,Paramètres!$A$1:$I$88,3,0)*0.475*44/12</f>
        <v>#N/A</v>
      </c>
      <c r="EX156" s="23" t="e">
        <f>EXP(-LN(2)/2)*EX155+(1-EXP(-LN(2)/2))/(LN(2)/2)*ER156*EU156*VLOOKUP('Données projet'!$B$15,Paramètres!$A$1:$I$88,3,0)*0.475*44/12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projet'!$B$16,Paramètres!$A$1:$I$88,3,0)*VLOOKUP('Données projet'!$B$16,Paramètres!$A$1:$I$88,5,0)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projet'!$B$16,Paramètres!$A$1:$I$88,7,0))</f>
        <v>0</v>
      </c>
      <c r="FO156" s="17">
        <f>IF(ISNA(VLOOKUP(A156,'Données projet'!$A$217:$I$237,6,0)),0%,VLOOKUP(A156,'Données projet'!$A$217:$I$237,6,0)*VLOOKUP('Données projet'!$B$16,Paramètres!$A$1:$I$88,7,0))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projet'!$B$16,Paramètres!$A$1:$I$88,3,0)*0.475*44/12</f>
        <v>#N/A</v>
      </c>
      <c r="FR156" s="23" t="e">
        <f>EXP(-LN(2)/25)*FR155+(1-EXP(-LN(2)/25))/(LN(2)/25)*Calculateur!FM156*Calculateur!FO156*VLOOKUP('Données projet'!$B$16,Paramètres!$A$1:$I$88,3,0)*0.475*44/12</f>
        <v>#N/A</v>
      </c>
      <c r="FS156" s="23" t="e">
        <f>EXP(-LN(2)/2)*FS155+(1-EXP(-LN(2)/2))/(LN(2)/2)*FM156*FP156*VLOOKUP('Données projet'!$B$16,Paramètres!$A$1:$I$88,3,0)*0.475*44/12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projet'!$B$17,Paramètres!$A$1:$I$88,3,0)*VLOOKUP('Données projet'!$B$17,Paramètres!$A$1:$I$88,5,0)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projet'!$B$17,Paramètres!$A$1:$I$88,7,0))</f>
        <v>0</v>
      </c>
      <c r="GJ156" s="17">
        <f>IF(ISNA(VLOOKUP(A156,'Données projet'!$A$243:$I$263,6,0)),0%,VLOOKUP(A156,'Données projet'!$A$243:$I$263,6,0)*VLOOKUP('Données projet'!$B$17,Paramètres!$A$1:$I$88,7,0))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projet'!$B$17,Paramètres!$A$1:$I$88,3,0)*0.475*44/12</f>
        <v>#N/A</v>
      </c>
      <c r="GM156" s="23" t="e">
        <f>EXP(-LN(2)/25)*GM155+(1-EXP(-LN(2)/25))/(LN(2)/25)*Calculateur!GH156*Calculateur!GJ156*VLOOKUP('Données projet'!$B$17,Paramètres!$A$1:$I$88,3,0)*0.475*44/12</f>
        <v>#N/A</v>
      </c>
      <c r="GN156" s="23" t="e">
        <f>EXP(-LN(2)/2)*GN155+(1-EXP(-LN(2)/2))/(LN(2)/2)*GH156*GK156*VLOOKUP('Données projet'!$B$17,Paramètres!$A$1:$I$88,3,0)*0.475*44/12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projet'!$B$18,Paramètres!$A$1:$I$88,3,0)*VLOOKUP('Données projet'!$B$18,Paramètres!$A$1:$I$88,5,0)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projet'!$B$18,Paramètres!$A$1:$I$88,7,0))</f>
        <v>0</v>
      </c>
      <c r="HE156" s="17">
        <f>IF(ISNA(VLOOKUP(A156,'Données projet'!$A$269:$I$289,6,0)),0%,VLOOKUP(A156,'Données projet'!$A$269:$I$289,6,0)*VLOOKUP('Données projet'!$B$18,Paramètres!$A$1:$I$88,7,0))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projet'!$B$18,Paramètres!$A$1:$I$88,3,0)*0.475*44/12</f>
        <v>#N/A</v>
      </c>
      <c r="HH156" s="23" t="e">
        <f>EXP(-LN(2)/25)*HH155+(1-EXP(-LN(2)/25))/(LN(2)/25)*Calculateur!HC156*Calculateur!HE156*VLOOKUP('Données projet'!$B$18,Paramètres!$A$1:$I$88,3,0)*0.475*44/12</f>
        <v>#N/A</v>
      </c>
      <c r="HI156" s="23" t="e">
        <f>EXP(-LN(2)/2)*HI155+(1-EXP(-LN(2)/2))/(LN(2)/2)*HC156*HF156*VLOOKUP('Données projet'!$B$18,Paramètres!$A$1:$I$88,3,0)*0.475*44/12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projet'!$B$9,Paramètres!$A$1:$I$88,3,0)*VLOOKUP('Données projet'!$B$9,Paramètres!$A$1:$I$88,5,0)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175.05987582828078</v>
      </c>
      <c r="T157" s="62">
        <f t="shared" si="142"/>
        <v>268.54782308462387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projet'!$B$9,Paramètres!$A$1:$I$88,7,0))</f>
        <v>0</v>
      </c>
      <c r="X157" s="17">
        <f>IF(ISNA(VLOOKUP(A157,'Données projet'!$A$35:$I$55,6,0)),0%,VLOOKUP(A157,'Données projet'!$A$35:$I$55,6,0)*VLOOKUP('Données projet'!$B$9,Paramètres!$A$1:$I$88,7,0))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projet'!$B$9,Paramètres!$A$1:$I$88,3,0)*0.475*44/12</f>
        <v>0</v>
      </c>
      <c r="AA157" s="23">
        <f>EXP(-LN(2)/25)*AA156+(1-EXP(-LN(2)/25))/(LN(2)/25)*Calculateur!V157*Calculateur!X157*VLOOKUP('Données projet'!$B$9,Paramètres!$A$1:$I$88,3,0)*0.475*44/12</f>
        <v>0.33077872737206193</v>
      </c>
      <c r="AB157" s="23">
        <f>EXP(-LN(2)/2)*AB156+(1-EXP(-LN(2)/2))/(LN(2)/2)*V157*Y157*VLOOKUP('Données projet'!$B$9,Paramètres!$A$1:$I$88,3,0)*0.475*44/12</f>
        <v>3.5819480803768626E-18</v>
      </c>
      <c r="AC157" s="24">
        <f t="shared" si="163"/>
        <v>0.33077872737206193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-1.5916157281026244E-12</v>
      </c>
      <c r="AJ157" s="14">
        <f>AI157*VLOOKUP('Données projet'!$B$10,Paramètres!$A$1:$I$88,3,0)*VLOOKUP('Données projet'!$B$10,Paramètres!$A$1:$I$88,5,0)</f>
        <v>-7.6556716521736234E-13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576.61210817354549</v>
      </c>
      <c r="AO157" s="62">
        <f t="shared" si="144"/>
        <v>343.9428747444544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projet'!$B$10,Paramètres!$A$1:$I$88,7,0))</f>
        <v>0</v>
      </c>
      <c r="AS157" s="17">
        <f>IF(ISNA(VLOOKUP(A157,'Données projet'!$A$61:$I$81,6,0)),0%,VLOOKUP(A157,'Données projet'!$A$61:$I$81,6,0)*VLOOKUP('Données projet'!$B$10,Paramètres!$A$1:$I$88,7,0))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projet'!$B$10,Paramètres!$A$1:$I$88,3,0)*0.475*44/12</f>
        <v>0</v>
      </c>
      <c r="AV157" s="23">
        <f>EXP(-LN(2)/25)*AV156+(1-EXP(-LN(2)/25))/(LN(2)/25)*Calculateur!AQ157*Calculateur!AS157*VLOOKUP('Données projet'!$B$10,Paramètres!$A$1:$I$88,3,0)*0.475*44/12</f>
        <v>0.1819403392669372</v>
      </c>
      <c r="AW157" s="23">
        <f>EXP(-LN(2)/2)*AW156+(1-EXP(-LN(2)/2))/(LN(2)/2)*AQ157*AT157*VLOOKUP('Données projet'!$B$10,Paramètres!$A$1:$I$88,3,0)*0.475*44/12</f>
        <v>2.5507895878810016E-18</v>
      </c>
      <c r="AX157" s="23">
        <f t="shared" si="166"/>
        <v>0.1819403392669372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-5.6843418860808015E-14</v>
      </c>
      <c r="BE157" s="14">
        <f>BD157*VLOOKUP('Données projet'!$B$11,Paramètres!$A$1:$I$88,3,0)*VLOOKUP('Données projet'!$B$11,Paramètres!$A$1:$I$88,5,0)</f>
        <v>-4.5224624045658861E-14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298.38448036212861</v>
      </c>
      <c r="BJ157" s="62">
        <f t="shared" si="146"/>
        <v>270.4445531106897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projet'!$B$11,Paramètres!$A$1:$I$88,7,0))</f>
        <v>0</v>
      </c>
      <c r="BN157" s="17">
        <f>IF(ISNA(VLOOKUP(A157,'Données projet'!$A$87:$I$107,6,0)),0%,VLOOKUP(A157,'Données projet'!$A$87:$I$107,6,0)*VLOOKUP('Données projet'!$B$11,Paramètres!$A$1:$I$88,7,0))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projet'!$B$11,Paramètres!$A$1:$I$88,3,0)*0.475*44/12</f>
        <v>0</v>
      </c>
      <c r="BQ157" s="23">
        <f>EXP(-LN(2)/25)*BQ156+(1-EXP(-LN(2)/25))/(LN(2)/25)*Calculateur!BL157*Calculateur!BN157*VLOOKUP('Données projet'!$B$11,Paramètres!$A$1:$I$88,3,0)*0.475*44/12</f>
        <v>0</v>
      </c>
      <c r="BR157" s="23">
        <f>EXP(-LN(2)/2)*BR156+(1-EXP(-LN(2)/2))/(LN(2)/2)*BL157*BO157*VLOOKUP('Données projet'!$B$11,Paramètres!$A$1:$I$88,3,0)*0.475*44/12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5.6843418860808015E-14</v>
      </c>
      <c r="BZ157" s="14">
        <f>BY157*VLOOKUP('Données projet'!$B$12,Paramètres!$A$1:$I$88,3,0)*VLOOKUP('Données projet'!$B$12,Paramètres!$A$1:$I$88,5,0)</f>
        <v>4.4337866711430253E-14</v>
      </c>
      <c r="CA157" s="14">
        <f t="shared" si="170"/>
        <v>7.3222115536967035E-13</v>
      </c>
      <c r="CB157" s="22">
        <f t="shared" si="171"/>
        <v>1.3525069634579169E-12</v>
      </c>
      <c r="CC157" s="62">
        <f t="shared" si="119"/>
        <v>293.33333333333468</v>
      </c>
      <c r="CD157" s="62">
        <f ca="1">AVERAGE(OFFSET($CC$3,0,0,'Données projet'!$E$12+1,1))-AVERAGE(OFFSET($H$3,0,0,'Données projet'!$E$12+1,1))</f>
        <v>217.32600829266818</v>
      </c>
      <c r="CE157" s="62">
        <f t="shared" si="148"/>
        <v>208.79744153433245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projet'!$B$12,Paramètres!$A$1:$I$88,7,0))</f>
        <v>0</v>
      </c>
      <c r="CI157" s="17">
        <f>IF(ISNA(VLOOKUP(A157,'Données projet'!$A$113:$I$133,6,0)),0%,VLOOKUP(A157,'Données projet'!$A$113:$I$133,6,0)*VLOOKUP('Données projet'!$B$12,Paramètres!$A$1:$I$88,7,0))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projet'!$B$12,Paramètres!$A$1:$I$88,3,0)*0.475*44/12</f>
        <v>0</v>
      </c>
      <c r="CL157" s="23">
        <f>EXP(-LN(2)/25)*CL156+(1-EXP(-LN(2)/25))/(LN(2)/25)*Calculateur!CG157*Calculateur!CI157*VLOOKUP('Données projet'!$B$12,Paramètres!$A$1:$I$88,3,0)*0.475*44/12</f>
        <v>0</v>
      </c>
      <c r="CM157" s="23">
        <f>EXP(-LN(2)/2)*CM156+(1-EXP(-LN(2)/2))/(LN(2)/2)*CG157*CJ157*VLOOKUP('Données projet'!$B$12,Paramètres!$A$1:$I$88,3,0)*0.475*44/12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-3.4106051316484809E-13</v>
      </c>
      <c r="CU157" s="18">
        <f>CT157*VLOOKUP('Données projet'!$B$13,Paramètres!$A$1:$I$88,3,0)*VLOOKUP('Données projet'!$B$13,Paramètres!$A$1:$I$88,5,0)</f>
        <v>-1.9065282685915009E-13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302.20483575440988</v>
      </c>
      <c r="CZ157" s="62">
        <f t="shared" si="150"/>
        <v>275.32862097158687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projet'!$B$13,Paramètres!$A$1:$I$88,7,0))</f>
        <v>0</v>
      </c>
      <c r="DD157" s="17">
        <f>IF(ISNA(VLOOKUP(A157,'Données projet'!$A$139:$I$159,6,0)),0%,VLOOKUP(A157,'Données projet'!$A$139:$I$159,6,0)*VLOOKUP('Données projet'!$B$13,Paramètres!$A$1:$I$88,7,0))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projet'!$B$13,Paramètres!$A$1:$I$88,3,0)*0.475*44/12</f>
        <v>0</v>
      </c>
      <c r="DG157" s="23">
        <f>EXP(-LN(2)/25)*DG156+(1-EXP(-LN(2)/25))/(LN(2)/25)*Calculateur!DB157*Calculateur!DD157*VLOOKUP('Données projet'!$B$13,Paramètres!$A$1:$I$88,3,0)*0.475*44/12</f>
        <v>0.44424877930766582</v>
      </c>
      <c r="DH157" s="23">
        <f>EXP(-LN(2)/2)*DH156+(1-EXP(-LN(2)/2))/(LN(2)/2)*DB157*DE157*VLOOKUP('Données projet'!$B$13,Paramètres!$A$1:$I$88,3,0)*0.475*44/12</f>
        <v>1.4703706350427542E-18</v>
      </c>
      <c r="DI157" s="24">
        <f t="shared" si="175"/>
        <v>0.44424877930766582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projet'!$B$14,Paramètres!$A$1:$I$88,3,0)*VLOOKUP('Données projet'!$B$14,Paramètres!$A$1:$I$88,5,0)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projet'!$B$14,Paramètres!$A$1:$I$88,7,0))</f>
        <v>0</v>
      </c>
      <c r="DY157" s="17">
        <f>IF(ISNA(VLOOKUP(A157,'Données projet'!$A$165:$I$185,6,0)),0%,VLOOKUP(A157,'Données projet'!$A$165:$I$185,6,0)*VLOOKUP('Données projet'!$B$14,Paramètres!$A$1:$I$88,7,0))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projet'!$B$14,Paramètres!$A$1:$I$88,3,0)*0.475*44/12</f>
        <v>#N/A</v>
      </c>
      <c r="EB157" s="23" t="e">
        <f>EXP(-LN(2)/25)*EB156+(1-EXP(-LN(2)/25))/(LN(2)/25)*Calculateur!DW157*Calculateur!DY157*VLOOKUP('Données projet'!$B$14,Paramètres!$A$1:$I$88,3,0)*0.475*44/12</f>
        <v>#N/A</v>
      </c>
      <c r="EC157" s="23" t="e">
        <f>EXP(-LN(2)/2)*EC156+(1-EXP(-LN(2)/2))/(LN(2)/2)*DW157*DZ157*VLOOKUP('Données projet'!$B$14,Paramètres!$A$1:$I$88,3,0)*0.475*44/12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projet'!$B$15,Paramètres!$A$1:$I$88,3,0)*VLOOKUP('Données projet'!$B$15,Paramètres!$A$1:$I$88,5,0)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projet'!$B$15,Paramètres!$A$1:$I$88,7,0))</f>
        <v>0</v>
      </c>
      <c r="ET157" s="17">
        <f>IF(ISNA(VLOOKUP(A157,'Données projet'!$A$191:$I$211,6,0)),0%,VLOOKUP(A157,'Données projet'!$A$191:$I$211,6,0)*VLOOKUP('Données projet'!$B$15,Paramètres!$A$1:$I$88,7,0))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projet'!$B$15,Paramètres!$A$1:$I$88,3,0)*0.475*44/12</f>
        <v>#N/A</v>
      </c>
      <c r="EW157" s="23" t="e">
        <f>EXP(-LN(2)/25)*EW156+(1-EXP(-LN(2)/25))/(LN(2)/25)*Calculateur!ER157*Calculateur!ET157*VLOOKUP('Données projet'!$B$15,Paramètres!$A$1:$I$88,3,0)*0.475*44/12</f>
        <v>#N/A</v>
      </c>
      <c r="EX157" s="23" t="e">
        <f>EXP(-LN(2)/2)*EX156+(1-EXP(-LN(2)/2))/(LN(2)/2)*ER157*EU157*VLOOKUP('Données projet'!$B$15,Paramètres!$A$1:$I$88,3,0)*0.475*44/12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projet'!$B$16,Paramètres!$A$1:$I$88,3,0)*VLOOKUP('Données projet'!$B$16,Paramètres!$A$1:$I$88,5,0)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projet'!$B$16,Paramètres!$A$1:$I$88,7,0))</f>
        <v>0</v>
      </c>
      <c r="FO157" s="17">
        <f>IF(ISNA(VLOOKUP(A157,'Données projet'!$A$217:$I$237,6,0)),0%,VLOOKUP(A157,'Données projet'!$A$217:$I$237,6,0)*VLOOKUP('Données projet'!$B$16,Paramètres!$A$1:$I$88,7,0))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projet'!$B$16,Paramètres!$A$1:$I$88,3,0)*0.475*44/12</f>
        <v>#N/A</v>
      </c>
      <c r="FR157" s="23" t="e">
        <f>EXP(-LN(2)/25)*FR156+(1-EXP(-LN(2)/25))/(LN(2)/25)*Calculateur!FM157*Calculateur!FO157*VLOOKUP('Données projet'!$B$16,Paramètres!$A$1:$I$88,3,0)*0.475*44/12</f>
        <v>#N/A</v>
      </c>
      <c r="FS157" s="23" t="e">
        <f>EXP(-LN(2)/2)*FS156+(1-EXP(-LN(2)/2))/(LN(2)/2)*FM157*FP157*VLOOKUP('Données projet'!$B$16,Paramètres!$A$1:$I$88,3,0)*0.475*44/12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projet'!$B$17,Paramètres!$A$1:$I$88,3,0)*VLOOKUP('Données projet'!$B$17,Paramètres!$A$1:$I$88,5,0)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projet'!$B$17,Paramètres!$A$1:$I$88,7,0))</f>
        <v>0</v>
      </c>
      <c r="GJ157" s="17">
        <f>IF(ISNA(VLOOKUP(A157,'Données projet'!$A$243:$I$263,6,0)),0%,VLOOKUP(A157,'Données projet'!$A$243:$I$263,6,0)*VLOOKUP('Données projet'!$B$17,Paramètres!$A$1:$I$88,7,0))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projet'!$B$17,Paramètres!$A$1:$I$88,3,0)*0.475*44/12</f>
        <v>#N/A</v>
      </c>
      <c r="GM157" s="23" t="e">
        <f>EXP(-LN(2)/25)*GM156+(1-EXP(-LN(2)/25))/(LN(2)/25)*Calculateur!GH157*Calculateur!GJ157*VLOOKUP('Données projet'!$B$17,Paramètres!$A$1:$I$88,3,0)*0.475*44/12</f>
        <v>#N/A</v>
      </c>
      <c r="GN157" s="23" t="e">
        <f>EXP(-LN(2)/2)*GN156+(1-EXP(-LN(2)/2))/(LN(2)/2)*GH157*GK157*VLOOKUP('Données projet'!$B$17,Paramètres!$A$1:$I$88,3,0)*0.475*44/12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projet'!$B$18,Paramètres!$A$1:$I$88,3,0)*VLOOKUP('Données projet'!$B$18,Paramètres!$A$1:$I$88,5,0)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projet'!$B$18,Paramètres!$A$1:$I$88,7,0))</f>
        <v>0</v>
      </c>
      <c r="HE157" s="17">
        <f>IF(ISNA(VLOOKUP(A157,'Données projet'!$A$269:$I$289,6,0)),0%,VLOOKUP(A157,'Données projet'!$A$269:$I$289,6,0)*VLOOKUP('Données projet'!$B$18,Paramètres!$A$1:$I$88,7,0))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projet'!$B$18,Paramètres!$A$1:$I$88,3,0)*0.475*44/12</f>
        <v>#N/A</v>
      </c>
      <c r="HH157" s="23" t="e">
        <f>EXP(-LN(2)/25)*HH156+(1-EXP(-LN(2)/25))/(LN(2)/25)*Calculateur!HC157*Calculateur!HE157*VLOOKUP('Données projet'!$B$18,Paramètres!$A$1:$I$88,3,0)*0.475*44/12</f>
        <v>#N/A</v>
      </c>
      <c r="HI157" s="23" t="e">
        <f>EXP(-LN(2)/2)*HI156+(1-EXP(-LN(2)/2))/(LN(2)/2)*HC157*HF157*VLOOKUP('Données projet'!$B$18,Paramètres!$A$1:$I$88,3,0)*0.475*44/12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projet'!$B$9,Paramètres!$A$1:$I$88,3,0)*VLOOKUP('Données projet'!$B$9,Paramètres!$A$1:$I$88,5,0)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175.05987582828078</v>
      </c>
      <c r="T158" s="62">
        <f t="shared" si="142"/>
        <v>268.54782308462387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projet'!$B$9,Paramètres!$A$1:$I$88,7,0))</f>
        <v>0</v>
      </c>
      <c r="X158" s="17">
        <f>IF(ISNA(VLOOKUP(A158,'Données projet'!$A$35:$I$55,6,0)),0%,VLOOKUP(A158,'Données projet'!$A$35:$I$55,6,0)*VLOOKUP('Données projet'!$B$9,Paramètres!$A$1:$I$88,7,0))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projet'!$B$9,Paramètres!$A$1:$I$88,3,0)*0.475*44/12</f>
        <v>0</v>
      </c>
      <c r="AA158" s="23">
        <f>EXP(-LN(2)/25)*AA157+(1-EXP(-LN(2)/25))/(LN(2)/25)*Calculateur!V158*Calculateur!X158*VLOOKUP('Données projet'!$B$9,Paramètres!$A$1:$I$88,3,0)*0.475*44/12</f>
        <v>0.32173356567717565</v>
      </c>
      <c r="AB158" s="23">
        <f>EXP(-LN(2)/2)*AB157+(1-EXP(-LN(2)/2))/(LN(2)/2)*V158*Y158*VLOOKUP('Données projet'!$B$9,Paramètres!$A$1:$I$88,3,0)*0.475*44/12</f>
        <v>2.5328197774926162E-18</v>
      </c>
      <c r="AC158" s="24">
        <f t="shared" si="163"/>
        <v>0.32173356567717565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-1.5916157281026244E-12</v>
      </c>
      <c r="AJ158" s="14">
        <f>AI158*VLOOKUP('Données projet'!$B$10,Paramètres!$A$1:$I$88,3,0)*VLOOKUP('Données projet'!$B$10,Paramètres!$A$1:$I$88,5,0)</f>
        <v>-7.6556716521736234E-13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576.61210817354549</v>
      </c>
      <c r="AO158" s="62">
        <f t="shared" si="144"/>
        <v>343.9428747444544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projet'!$B$10,Paramètres!$A$1:$I$88,7,0))</f>
        <v>0</v>
      </c>
      <c r="AS158" s="17">
        <f>IF(ISNA(VLOOKUP(A158,'Données projet'!$A$61:$I$81,6,0)),0%,VLOOKUP(A158,'Données projet'!$A$61:$I$81,6,0)*VLOOKUP('Données projet'!$B$10,Paramètres!$A$1:$I$88,7,0))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projet'!$B$10,Paramètres!$A$1:$I$88,3,0)*0.475*44/12</f>
        <v>0</v>
      </c>
      <c r="AV158" s="23">
        <f>EXP(-LN(2)/25)*AV157+(1-EXP(-LN(2)/25))/(LN(2)/25)*Calculateur!AQ158*Calculateur!AS158*VLOOKUP('Données projet'!$B$10,Paramètres!$A$1:$I$88,3,0)*0.475*44/12</f>
        <v>0.1769651711218562</v>
      </c>
      <c r="AW158" s="23">
        <f>EXP(-LN(2)/2)*AW157+(1-EXP(-LN(2)/2))/(LN(2)/2)*AQ158*AT158*VLOOKUP('Données projet'!$B$10,Paramètres!$A$1:$I$88,3,0)*0.475*44/12</f>
        <v>1.8036806149706951E-18</v>
      </c>
      <c r="AX158" s="23">
        <f t="shared" si="166"/>
        <v>0.1769651711218562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-5.6843418860808015E-14</v>
      </c>
      <c r="BE158" s="14">
        <f>BD158*VLOOKUP('Données projet'!$B$11,Paramètres!$A$1:$I$88,3,0)*VLOOKUP('Données projet'!$B$11,Paramètres!$A$1:$I$88,5,0)</f>
        <v>-4.5224624045658861E-14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298.38448036212861</v>
      </c>
      <c r="BJ158" s="62">
        <f t="shared" si="146"/>
        <v>270.4445531106897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projet'!$B$11,Paramètres!$A$1:$I$88,7,0))</f>
        <v>0</v>
      </c>
      <c r="BN158" s="17">
        <f>IF(ISNA(VLOOKUP(A158,'Données projet'!$A$87:$I$107,6,0)),0%,VLOOKUP(A158,'Données projet'!$A$87:$I$107,6,0)*VLOOKUP('Données projet'!$B$11,Paramètres!$A$1:$I$88,7,0))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projet'!$B$11,Paramètres!$A$1:$I$88,3,0)*0.475*44/12</f>
        <v>0</v>
      </c>
      <c r="BQ158" s="23">
        <f>EXP(-LN(2)/25)*BQ157+(1-EXP(-LN(2)/25))/(LN(2)/25)*Calculateur!BL158*Calculateur!BN158*VLOOKUP('Données projet'!$B$11,Paramètres!$A$1:$I$88,3,0)*0.475*44/12</f>
        <v>0</v>
      </c>
      <c r="BR158" s="23">
        <f>EXP(-LN(2)/2)*BR157+(1-EXP(-LN(2)/2))/(LN(2)/2)*BL158*BO158*VLOOKUP('Données projet'!$B$11,Paramètres!$A$1:$I$88,3,0)*0.475*44/12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5.6843418860808015E-14</v>
      </c>
      <c r="BZ158" s="14">
        <f>BY158*VLOOKUP('Données projet'!$B$12,Paramètres!$A$1:$I$88,3,0)*VLOOKUP('Données projet'!$B$12,Paramètres!$A$1:$I$88,5,0)</f>
        <v>4.4337866711430253E-14</v>
      </c>
      <c r="CA158" s="14">
        <f t="shared" si="170"/>
        <v>7.3222115536967035E-13</v>
      </c>
      <c r="CB158" s="22">
        <f t="shared" si="171"/>
        <v>1.3525069634579169E-12</v>
      </c>
      <c r="CC158" s="62">
        <f t="shared" si="119"/>
        <v>293.33333333333468</v>
      </c>
      <c r="CD158" s="62">
        <f ca="1">AVERAGE(OFFSET($CC$3,0,0,'Données projet'!$E$12+1,1))-AVERAGE(OFFSET($H$3,0,0,'Données projet'!$E$12+1,1))</f>
        <v>217.32600829266818</v>
      </c>
      <c r="CE158" s="62">
        <f t="shared" si="148"/>
        <v>208.79744153433245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projet'!$B$12,Paramètres!$A$1:$I$88,7,0))</f>
        <v>0</v>
      </c>
      <c r="CI158" s="17">
        <f>IF(ISNA(VLOOKUP(A158,'Données projet'!$A$113:$I$133,6,0)),0%,VLOOKUP(A158,'Données projet'!$A$113:$I$133,6,0)*VLOOKUP('Données projet'!$B$12,Paramètres!$A$1:$I$88,7,0))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projet'!$B$12,Paramètres!$A$1:$I$88,3,0)*0.475*44/12</f>
        <v>0</v>
      </c>
      <c r="CL158" s="23">
        <f>EXP(-LN(2)/25)*CL157+(1-EXP(-LN(2)/25))/(LN(2)/25)*Calculateur!CG158*Calculateur!CI158*VLOOKUP('Données projet'!$B$12,Paramètres!$A$1:$I$88,3,0)*0.475*44/12</f>
        <v>0</v>
      </c>
      <c r="CM158" s="23">
        <f>EXP(-LN(2)/2)*CM157+(1-EXP(-LN(2)/2))/(LN(2)/2)*CG158*CJ158*VLOOKUP('Données projet'!$B$12,Paramètres!$A$1:$I$88,3,0)*0.475*44/12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-3.4106051316484809E-13</v>
      </c>
      <c r="CU158" s="18">
        <f>CT158*VLOOKUP('Données projet'!$B$13,Paramètres!$A$1:$I$88,3,0)*VLOOKUP('Données projet'!$B$13,Paramètres!$A$1:$I$88,5,0)</f>
        <v>-1.9065282685915009E-13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302.20483575440988</v>
      </c>
      <c r="CZ158" s="62">
        <f t="shared" si="150"/>
        <v>275.32862097158687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projet'!$B$13,Paramètres!$A$1:$I$88,7,0))</f>
        <v>0</v>
      </c>
      <c r="DD158" s="17">
        <f>IF(ISNA(VLOOKUP(A158,'Données projet'!$A$139:$I$159,6,0)),0%,VLOOKUP(A158,'Données projet'!$A$139:$I$159,6,0)*VLOOKUP('Données projet'!$B$13,Paramètres!$A$1:$I$88,7,0))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projet'!$B$13,Paramètres!$A$1:$I$88,3,0)*0.475*44/12</f>
        <v>0</v>
      </c>
      <c r="DG158" s="23">
        <f>EXP(-LN(2)/25)*DG157+(1-EXP(-LN(2)/25))/(LN(2)/25)*Calculateur!DB158*Calculateur!DD158*VLOOKUP('Données projet'!$B$13,Paramètres!$A$1:$I$88,3,0)*0.475*44/12</f>
        <v>0.43210077307546974</v>
      </c>
      <c r="DH158" s="23">
        <f>EXP(-LN(2)/2)*DH157+(1-EXP(-LN(2)/2))/(LN(2)/2)*DB158*DE158*VLOOKUP('Données projet'!$B$13,Paramètres!$A$1:$I$88,3,0)*0.475*44/12</f>
        <v>1.0397090468963017E-18</v>
      </c>
      <c r="DI158" s="24">
        <f t="shared" si="175"/>
        <v>0.43210077307546974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projet'!$B$14,Paramètres!$A$1:$I$88,3,0)*VLOOKUP('Données projet'!$B$14,Paramètres!$A$1:$I$88,5,0)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projet'!$B$14,Paramètres!$A$1:$I$88,7,0))</f>
        <v>0</v>
      </c>
      <c r="DY158" s="17">
        <f>IF(ISNA(VLOOKUP(A158,'Données projet'!$A$165:$I$185,6,0)),0%,VLOOKUP(A158,'Données projet'!$A$165:$I$185,6,0)*VLOOKUP('Données projet'!$B$14,Paramètres!$A$1:$I$88,7,0))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projet'!$B$14,Paramètres!$A$1:$I$88,3,0)*0.475*44/12</f>
        <v>#N/A</v>
      </c>
      <c r="EB158" s="23" t="e">
        <f>EXP(-LN(2)/25)*EB157+(1-EXP(-LN(2)/25))/(LN(2)/25)*Calculateur!DW158*Calculateur!DY158*VLOOKUP('Données projet'!$B$14,Paramètres!$A$1:$I$88,3,0)*0.475*44/12</f>
        <v>#N/A</v>
      </c>
      <c r="EC158" s="23" t="e">
        <f>EXP(-LN(2)/2)*EC157+(1-EXP(-LN(2)/2))/(LN(2)/2)*DW158*DZ158*VLOOKUP('Données projet'!$B$14,Paramètres!$A$1:$I$88,3,0)*0.475*44/12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projet'!$B$15,Paramètres!$A$1:$I$88,3,0)*VLOOKUP('Données projet'!$B$15,Paramètres!$A$1:$I$88,5,0)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projet'!$B$15,Paramètres!$A$1:$I$88,7,0))</f>
        <v>0</v>
      </c>
      <c r="ET158" s="17">
        <f>IF(ISNA(VLOOKUP(A158,'Données projet'!$A$191:$I$211,6,0)),0%,VLOOKUP(A158,'Données projet'!$A$191:$I$211,6,0)*VLOOKUP('Données projet'!$B$15,Paramètres!$A$1:$I$88,7,0))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projet'!$B$15,Paramètres!$A$1:$I$88,3,0)*0.475*44/12</f>
        <v>#N/A</v>
      </c>
      <c r="EW158" s="23" t="e">
        <f>EXP(-LN(2)/25)*EW157+(1-EXP(-LN(2)/25))/(LN(2)/25)*Calculateur!ER158*Calculateur!ET158*VLOOKUP('Données projet'!$B$15,Paramètres!$A$1:$I$88,3,0)*0.475*44/12</f>
        <v>#N/A</v>
      </c>
      <c r="EX158" s="23" t="e">
        <f>EXP(-LN(2)/2)*EX157+(1-EXP(-LN(2)/2))/(LN(2)/2)*ER158*EU158*VLOOKUP('Données projet'!$B$15,Paramètres!$A$1:$I$88,3,0)*0.475*44/12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projet'!$B$16,Paramètres!$A$1:$I$88,3,0)*VLOOKUP('Données projet'!$B$16,Paramètres!$A$1:$I$88,5,0)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projet'!$B$16,Paramètres!$A$1:$I$88,7,0))</f>
        <v>0</v>
      </c>
      <c r="FO158" s="17">
        <f>IF(ISNA(VLOOKUP(A158,'Données projet'!$A$217:$I$237,6,0)),0%,VLOOKUP(A158,'Données projet'!$A$217:$I$237,6,0)*VLOOKUP('Données projet'!$B$16,Paramètres!$A$1:$I$88,7,0))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projet'!$B$16,Paramètres!$A$1:$I$88,3,0)*0.475*44/12</f>
        <v>#N/A</v>
      </c>
      <c r="FR158" s="23" t="e">
        <f>EXP(-LN(2)/25)*FR157+(1-EXP(-LN(2)/25))/(LN(2)/25)*Calculateur!FM158*Calculateur!FO158*VLOOKUP('Données projet'!$B$16,Paramètres!$A$1:$I$88,3,0)*0.475*44/12</f>
        <v>#N/A</v>
      </c>
      <c r="FS158" s="23" t="e">
        <f>EXP(-LN(2)/2)*FS157+(1-EXP(-LN(2)/2))/(LN(2)/2)*FM158*FP158*VLOOKUP('Données projet'!$B$16,Paramètres!$A$1:$I$88,3,0)*0.475*44/12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projet'!$B$17,Paramètres!$A$1:$I$88,3,0)*VLOOKUP('Données projet'!$B$17,Paramètres!$A$1:$I$88,5,0)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projet'!$B$17,Paramètres!$A$1:$I$88,7,0))</f>
        <v>0</v>
      </c>
      <c r="GJ158" s="17">
        <f>IF(ISNA(VLOOKUP(A158,'Données projet'!$A$243:$I$263,6,0)),0%,VLOOKUP(A158,'Données projet'!$A$243:$I$263,6,0)*VLOOKUP('Données projet'!$B$17,Paramètres!$A$1:$I$88,7,0))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projet'!$B$17,Paramètres!$A$1:$I$88,3,0)*0.475*44/12</f>
        <v>#N/A</v>
      </c>
      <c r="GM158" s="23" t="e">
        <f>EXP(-LN(2)/25)*GM157+(1-EXP(-LN(2)/25))/(LN(2)/25)*Calculateur!GH158*Calculateur!GJ158*VLOOKUP('Données projet'!$B$17,Paramètres!$A$1:$I$88,3,0)*0.475*44/12</f>
        <v>#N/A</v>
      </c>
      <c r="GN158" s="23" t="e">
        <f>EXP(-LN(2)/2)*GN157+(1-EXP(-LN(2)/2))/(LN(2)/2)*GH158*GK158*VLOOKUP('Données projet'!$B$17,Paramètres!$A$1:$I$88,3,0)*0.475*44/12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projet'!$B$18,Paramètres!$A$1:$I$88,3,0)*VLOOKUP('Données projet'!$B$18,Paramètres!$A$1:$I$88,5,0)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projet'!$B$18,Paramètres!$A$1:$I$88,7,0))</f>
        <v>0</v>
      </c>
      <c r="HE158" s="17">
        <f>IF(ISNA(VLOOKUP(A158,'Données projet'!$A$269:$I$289,6,0)),0%,VLOOKUP(A158,'Données projet'!$A$269:$I$289,6,0)*VLOOKUP('Données projet'!$B$18,Paramètres!$A$1:$I$88,7,0))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projet'!$B$18,Paramètres!$A$1:$I$88,3,0)*0.475*44/12</f>
        <v>#N/A</v>
      </c>
      <c r="HH158" s="23" t="e">
        <f>EXP(-LN(2)/25)*HH157+(1-EXP(-LN(2)/25))/(LN(2)/25)*Calculateur!HC158*Calculateur!HE158*VLOOKUP('Données projet'!$B$18,Paramètres!$A$1:$I$88,3,0)*0.475*44/12</f>
        <v>#N/A</v>
      </c>
      <c r="HI158" s="23" t="e">
        <f>EXP(-LN(2)/2)*HI157+(1-EXP(-LN(2)/2))/(LN(2)/2)*HC158*HF158*VLOOKUP('Données projet'!$B$18,Paramètres!$A$1:$I$88,3,0)*0.475*44/12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projet'!$B$9,Paramètres!$A$1:$I$88,3,0)*VLOOKUP('Données projet'!$B$9,Paramètres!$A$1:$I$88,5,0)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175.05987582828078</v>
      </c>
      <c r="T159" s="62">
        <f t="shared" si="142"/>
        <v>268.54782308462387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projet'!$B$9,Paramètres!$A$1:$I$88,7,0))</f>
        <v>0</v>
      </c>
      <c r="X159" s="17">
        <f>IF(ISNA(VLOOKUP(A159,'Données projet'!$A$35:$I$55,6,0)),0%,VLOOKUP(A159,'Données projet'!$A$35:$I$55,6,0)*VLOOKUP('Données projet'!$B$9,Paramètres!$A$1:$I$88,7,0))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projet'!$B$9,Paramètres!$A$1:$I$88,3,0)*0.475*44/12</f>
        <v>0</v>
      </c>
      <c r="AA159" s="23">
        <f>EXP(-LN(2)/25)*AA158+(1-EXP(-LN(2)/25))/(LN(2)/25)*Calculateur!V159*Calculateur!X159*VLOOKUP('Données projet'!$B$9,Paramètres!$A$1:$I$88,3,0)*0.475*44/12</f>
        <v>0.31293574440450039</v>
      </c>
      <c r="AB159" s="23">
        <f>EXP(-LN(2)/2)*AB158+(1-EXP(-LN(2)/2))/(LN(2)/2)*V159*Y159*VLOOKUP('Données projet'!$B$9,Paramètres!$A$1:$I$88,3,0)*0.475*44/12</f>
        <v>1.7909740401884313E-18</v>
      </c>
      <c r="AC159" s="24">
        <f t="shared" si="163"/>
        <v>0.31293574440450039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-1.5916157281026244E-12</v>
      </c>
      <c r="AJ159" s="14">
        <f>AI159*VLOOKUP('Données projet'!$B$10,Paramètres!$A$1:$I$88,3,0)*VLOOKUP('Données projet'!$B$10,Paramètres!$A$1:$I$88,5,0)</f>
        <v>-7.6556716521736234E-13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576.61210817354549</v>
      </c>
      <c r="AO159" s="62">
        <f t="shared" si="144"/>
        <v>343.9428747444544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projet'!$B$10,Paramètres!$A$1:$I$88,7,0))</f>
        <v>0</v>
      </c>
      <c r="AS159" s="17">
        <f>IF(ISNA(VLOOKUP(A159,'Données projet'!$A$61:$I$81,6,0)),0%,VLOOKUP(A159,'Données projet'!$A$61:$I$81,6,0)*VLOOKUP('Données projet'!$B$10,Paramètres!$A$1:$I$88,7,0))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projet'!$B$10,Paramètres!$A$1:$I$88,3,0)*0.475*44/12</f>
        <v>0</v>
      </c>
      <c r="AV159" s="23">
        <f>EXP(-LN(2)/25)*AV158+(1-EXP(-LN(2)/25))/(LN(2)/25)*Calculateur!AQ159*Calculateur!AS159*VLOOKUP('Données projet'!$B$10,Paramètres!$A$1:$I$88,3,0)*0.475*44/12</f>
        <v>0.17212604921133515</v>
      </c>
      <c r="AW159" s="23">
        <f>EXP(-LN(2)/2)*AW158+(1-EXP(-LN(2)/2))/(LN(2)/2)*AQ159*AT159*VLOOKUP('Données projet'!$B$10,Paramètres!$A$1:$I$88,3,0)*0.475*44/12</f>
        <v>1.2753947939405008E-18</v>
      </c>
      <c r="AX159" s="23">
        <f t="shared" si="166"/>
        <v>0.17212604921133515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-5.6843418860808015E-14</v>
      </c>
      <c r="BE159" s="14">
        <f>BD159*VLOOKUP('Données projet'!$B$11,Paramètres!$A$1:$I$88,3,0)*VLOOKUP('Données projet'!$B$11,Paramètres!$A$1:$I$88,5,0)</f>
        <v>-4.5224624045658861E-14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298.38448036212861</v>
      </c>
      <c r="BJ159" s="62">
        <f t="shared" si="146"/>
        <v>270.4445531106897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projet'!$B$11,Paramètres!$A$1:$I$88,7,0))</f>
        <v>0</v>
      </c>
      <c r="BN159" s="17">
        <f>IF(ISNA(VLOOKUP(A159,'Données projet'!$A$87:$I$107,6,0)),0%,VLOOKUP(A159,'Données projet'!$A$87:$I$107,6,0)*VLOOKUP('Données projet'!$B$11,Paramètres!$A$1:$I$88,7,0))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projet'!$B$11,Paramètres!$A$1:$I$88,3,0)*0.475*44/12</f>
        <v>0</v>
      </c>
      <c r="BQ159" s="23">
        <f>EXP(-LN(2)/25)*BQ158+(1-EXP(-LN(2)/25))/(LN(2)/25)*Calculateur!BL159*Calculateur!BN159*VLOOKUP('Données projet'!$B$11,Paramètres!$A$1:$I$88,3,0)*0.475*44/12</f>
        <v>0</v>
      </c>
      <c r="BR159" s="23">
        <f>EXP(-LN(2)/2)*BR158+(1-EXP(-LN(2)/2))/(LN(2)/2)*BL159*BO159*VLOOKUP('Données projet'!$B$11,Paramètres!$A$1:$I$88,3,0)*0.475*44/12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5.6843418860808015E-14</v>
      </c>
      <c r="BZ159" s="14">
        <f>BY159*VLOOKUP('Données projet'!$B$12,Paramètres!$A$1:$I$88,3,0)*VLOOKUP('Données projet'!$B$12,Paramètres!$A$1:$I$88,5,0)</f>
        <v>4.4337866711430253E-14</v>
      </c>
      <c r="CA159" s="14">
        <f t="shared" si="170"/>
        <v>7.3222115536967035E-13</v>
      </c>
      <c r="CB159" s="22">
        <f t="shared" si="171"/>
        <v>1.3525069634579169E-12</v>
      </c>
      <c r="CC159" s="62">
        <f t="shared" si="119"/>
        <v>293.33333333333468</v>
      </c>
      <c r="CD159" s="62">
        <f ca="1">AVERAGE(OFFSET($CC$3,0,0,'Données projet'!$E$12+1,1))-AVERAGE(OFFSET($H$3,0,0,'Données projet'!$E$12+1,1))</f>
        <v>217.32600829266818</v>
      </c>
      <c r="CE159" s="62">
        <f t="shared" si="148"/>
        <v>208.79744153433245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projet'!$B$12,Paramètres!$A$1:$I$88,7,0))</f>
        <v>0</v>
      </c>
      <c r="CI159" s="17">
        <f>IF(ISNA(VLOOKUP(A159,'Données projet'!$A$113:$I$133,6,0)),0%,VLOOKUP(A159,'Données projet'!$A$113:$I$133,6,0)*VLOOKUP('Données projet'!$B$12,Paramètres!$A$1:$I$88,7,0))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projet'!$B$12,Paramètres!$A$1:$I$88,3,0)*0.475*44/12</f>
        <v>0</v>
      </c>
      <c r="CL159" s="23">
        <f>EXP(-LN(2)/25)*CL158+(1-EXP(-LN(2)/25))/(LN(2)/25)*Calculateur!CG159*Calculateur!CI159*VLOOKUP('Données projet'!$B$12,Paramètres!$A$1:$I$88,3,0)*0.475*44/12</f>
        <v>0</v>
      </c>
      <c r="CM159" s="23">
        <f>EXP(-LN(2)/2)*CM158+(1-EXP(-LN(2)/2))/(LN(2)/2)*CG159*CJ159*VLOOKUP('Données projet'!$B$12,Paramètres!$A$1:$I$88,3,0)*0.475*44/12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-3.4106051316484809E-13</v>
      </c>
      <c r="CU159" s="18">
        <f>CT159*VLOOKUP('Données projet'!$B$13,Paramètres!$A$1:$I$88,3,0)*VLOOKUP('Données projet'!$B$13,Paramètres!$A$1:$I$88,5,0)</f>
        <v>-1.9065282685915009E-13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302.20483575440988</v>
      </c>
      <c r="CZ159" s="62">
        <f t="shared" si="150"/>
        <v>275.32862097158687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projet'!$B$13,Paramètres!$A$1:$I$88,7,0))</f>
        <v>0</v>
      </c>
      <c r="DD159" s="17">
        <f>IF(ISNA(VLOOKUP(A159,'Données projet'!$A$139:$I$159,6,0)),0%,VLOOKUP(A159,'Données projet'!$A$139:$I$159,6,0)*VLOOKUP('Données projet'!$B$13,Paramètres!$A$1:$I$88,7,0))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projet'!$B$13,Paramètres!$A$1:$I$88,3,0)*0.475*44/12</f>
        <v>0</v>
      </c>
      <c r="DG159" s="23">
        <f>EXP(-LN(2)/25)*DG158+(1-EXP(-LN(2)/25))/(LN(2)/25)*Calculateur!DB159*Calculateur!DD159*VLOOKUP('Données projet'!$B$13,Paramètres!$A$1:$I$88,3,0)*0.475*44/12</f>
        <v>0.42028495471252891</v>
      </c>
      <c r="DH159" s="23">
        <f>EXP(-LN(2)/2)*DH158+(1-EXP(-LN(2)/2))/(LN(2)/2)*DB159*DE159*VLOOKUP('Données projet'!$B$13,Paramètres!$A$1:$I$88,3,0)*0.475*44/12</f>
        <v>7.3518531752137708E-19</v>
      </c>
      <c r="DI159" s="24">
        <f t="shared" si="175"/>
        <v>0.42028495471252891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projet'!$B$14,Paramètres!$A$1:$I$88,3,0)*VLOOKUP('Données projet'!$B$14,Paramètres!$A$1:$I$88,5,0)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projet'!$B$14,Paramètres!$A$1:$I$88,7,0))</f>
        <v>0</v>
      </c>
      <c r="DY159" s="17">
        <f>IF(ISNA(VLOOKUP(A159,'Données projet'!$A$165:$I$185,6,0)),0%,VLOOKUP(A159,'Données projet'!$A$165:$I$185,6,0)*VLOOKUP('Données projet'!$B$14,Paramètres!$A$1:$I$88,7,0))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projet'!$B$14,Paramètres!$A$1:$I$88,3,0)*0.475*44/12</f>
        <v>#N/A</v>
      </c>
      <c r="EB159" s="23" t="e">
        <f>EXP(-LN(2)/25)*EB158+(1-EXP(-LN(2)/25))/(LN(2)/25)*Calculateur!DW159*Calculateur!DY159*VLOOKUP('Données projet'!$B$14,Paramètres!$A$1:$I$88,3,0)*0.475*44/12</f>
        <v>#N/A</v>
      </c>
      <c r="EC159" s="23" t="e">
        <f>EXP(-LN(2)/2)*EC158+(1-EXP(-LN(2)/2))/(LN(2)/2)*DW159*DZ159*VLOOKUP('Données projet'!$B$14,Paramètres!$A$1:$I$88,3,0)*0.475*44/12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projet'!$B$15,Paramètres!$A$1:$I$88,3,0)*VLOOKUP('Données projet'!$B$15,Paramètres!$A$1:$I$88,5,0)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projet'!$B$15,Paramètres!$A$1:$I$88,7,0))</f>
        <v>0</v>
      </c>
      <c r="ET159" s="17">
        <f>IF(ISNA(VLOOKUP(A159,'Données projet'!$A$191:$I$211,6,0)),0%,VLOOKUP(A159,'Données projet'!$A$191:$I$211,6,0)*VLOOKUP('Données projet'!$B$15,Paramètres!$A$1:$I$88,7,0))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projet'!$B$15,Paramètres!$A$1:$I$88,3,0)*0.475*44/12</f>
        <v>#N/A</v>
      </c>
      <c r="EW159" s="23" t="e">
        <f>EXP(-LN(2)/25)*EW158+(1-EXP(-LN(2)/25))/(LN(2)/25)*Calculateur!ER159*Calculateur!ET159*VLOOKUP('Données projet'!$B$15,Paramètres!$A$1:$I$88,3,0)*0.475*44/12</f>
        <v>#N/A</v>
      </c>
      <c r="EX159" s="23" t="e">
        <f>EXP(-LN(2)/2)*EX158+(1-EXP(-LN(2)/2))/(LN(2)/2)*ER159*EU159*VLOOKUP('Données projet'!$B$15,Paramètres!$A$1:$I$88,3,0)*0.475*44/12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projet'!$B$16,Paramètres!$A$1:$I$88,3,0)*VLOOKUP('Données projet'!$B$16,Paramètres!$A$1:$I$88,5,0)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projet'!$B$16,Paramètres!$A$1:$I$88,7,0))</f>
        <v>0</v>
      </c>
      <c r="FO159" s="17">
        <f>IF(ISNA(VLOOKUP(A159,'Données projet'!$A$217:$I$237,6,0)),0%,VLOOKUP(A159,'Données projet'!$A$217:$I$237,6,0)*VLOOKUP('Données projet'!$B$16,Paramètres!$A$1:$I$88,7,0))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projet'!$B$16,Paramètres!$A$1:$I$88,3,0)*0.475*44/12</f>
        <v>#N/A</v>
      </c>
      <c r="FR159" s="23" t="e">
        <f>EXP(-LN(2)/25)*FR158+(1-EXP(-LN(2)/25))/(LN(2)/25)*Calculateur!FM159*Calculateur!FO159*VLOOKUP('Données projet'!$B$16,Paramètres!$A$1:$I$88,3,0)*0.475*44/12</f>
        <v>#N/A</v>
      </c>
      <c r="FS159" s="23" t="e">
        <f>EXP(-LN(2)/2)*FS158+(1-EXP(-LN(2)/2))/(LN(2)/2)*FM159*FP159*VLOOKUP('Données projet'!$B$16,Paramètres!$A$1:$I$88,3,0)*0.475*44/12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projet'!$B$17,Paramètres!$A$1:$I$88,3,0)*VLOOKUP('Données projet'!$B$17,Paramètres!$A$1:$I$88,5,0)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projet'!$B$17,Paramètres!$A$1:$I$88,7,0))</f>
        <v>0</v>
      </c>
      <c r="GJ159" s="17">
        <f>IF(ISNA(VLOOKUP(A159,'Données projet'!$A$243:$I$263,6,0)),0%,VLOOKUP(A159,'Données projet'!$A$243:$I$263,6,0)*VLOOKUP('Données projet'!$B$17,Paramètres!$A$1:$I$88,7,0))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projet'!$B$17,Paramètres!$A$1:$I$88,3,0)*0.475*44/12</f>
        <v>#N/A</v>
      </c>
      <c r="GM159" s="23" t="e">
        <f>EXP(-LN(2)/25)*GM158+(1-EXP(-LN(2)/25))/(LN(2)/25)*Calculateur!GH159*Calculateur!GJ159*VLOOKUP('Données projet'!$B$17,Paramètres!$A$1:$I$88,3,0)*0.475*44/12</f>
        <v>#N/A</v>
      </c>
      <c r="GN159" s="23" t="e">
        <f>EXP(-LN(2)/2)*GN158+(1-EXP(-LN(2)/2))/(LN(2)/2)*GH159*GK159*VLOOKUP('Données projet'!$B$17,Paramètres!$A$1:$I$88,3,0)*0.475*44/12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projet'!$B$18,Paramètres!$A$1:$I$88,3,0)*VLOOKUP('Données projet'!$B$18,Paramètres!$A$1:$I$88,5,0)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projet'!$B$18,Paramètres!$A$1:$I$88,7,0))</f>
        <v>0</v>
      </c>
      <c r="HE159" s="17">
        <f>IF(ISNA(VLOOKUP(A159,'Données projet'!$A$269:$I$289,6,0)),0%,VLOOKUP(A159,'Données projet'!$A$269:$I$289,6,0)*VLOOKUP('Données projet'!$B$18,Paramètres!$A$1:$I$88,7,0))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projet'!$B$18,Paramètres!$A$1:$I$88,3,0)*0.475*44/12</f>
        <v>#N/A</v>
      </c>
      <c r="HH159" s="23" t="e">
        <f>EXP(-LN(2)/25)*HH158+(1-EXP(-LN(2)/25))/(LN(2)/25)*Calculateur!HC159*Calculateur!HE159*VLOOKUP('Données projet'!$B$18,Paramètres!$A$1:$I$88,3,0)*0.475*44/12</f>
        <v>#N/A</v>
      </c>
      <c r="HI159" s="23" t="e">
        <f>EXP(-LN(2)/2)*HI158+(1-EXP(-LN(2)/2))/(LN(2)/2)*HC159*HF159*VLOOKUP('Données projet'!$B$18,Paramètres!$A$1:$I$88,3,0)*0.475*44/12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projet'!$B$9,Paramètres!$A$1:$I$88,3,0)*VLOOKUP('Données projet'!$B$9,Paramètres!$A$1:$I$88,5,0)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175.05987582828078</v>
      </c>
      <c r="T160" s="62">
        <f t="shared" si="142"/>
        <v>268.54782308462387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projet'!$B$9,Paramètres!$A$1:$I$88,7,0))</f>
        <v>0</v>
      </c>
      <c r="X160" s="17">
        <f>IF(ISNA(VLOOKUP(A160,'Données projet'!$A$35:$I$55,6,0)),0%,VLOOKUP(A160,'Données projet'!$A$35:$I$55,6,0)*VLOOKUP('Données projet'!$B$9,Paramètres!$A$1:$I$88,7,0))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projet'!$B$9,Paramètres!$A$1:$I$88,3,0)*0.475*44/12</f>
        <v>0</v>
      </c>
      <c r="AA160" s="23">
        <f>EXP(-LN(2)/25)*AA159+(1-EXP(-LN(2)/25))/(LN(2)/25)*Calculateur!V160*Calculateur!X160*VLOOKUP('Données projet'!$B$9,Paramètres!$A$1:$I$88,3,0)*0.475*44/12</f>
        <v>0.30437850001718375</v>
      </c>
      <c r="AB160" s="23">
        <f>EXP(-LN(2)/2)*AB159+(1-EXP(-LN(2)/2))/(LN(2)/2)*V160*Y160*VLOOKUP('Données projet'!$B$9,Paramètres!$A$1:$I$88,3,0)*0.475*44/12</f>
        <v>1.2664098887463081E-18</v>
      </c>
      <c r="AC160" s="24">
        <f t="shared" si="163"/>
        <v>0.30437850001718375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-1.5916157281026244E-12</v>
      </c>
      <c r="AJ160" s="14">
        <f>AI160*VLOOKUP('Données projet'!$B$10,Paramètres!$A$1:$I$88,3,0)*VLOOKUP('Données projet'!$B$10,Paramètres!$A$1:$I$88,5,0)</f>
        <v>-7.6556716521736234E-13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576.61210817354549</v>
      </c>
      <c r="AO160" s="62">
        <f t="shared" si="144"/>
        <v>343.9428747444544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projet'!$B$10,Paramètres!$A$1:$I$88,7,0))</f>
        <v>0</v>
      </c>
      <c r="AS160" s="17">
        <f>IF(ISNA(VLOOKUP(A160,'Données projet'!$A$61:$I$81,6,0)),0%,VLOOKUP(A160,'Données projet'!$A$61:$I$81,6,0)*VLOOKUP('Données projet'!$B$10,Paramètres!$A$1:$I$88,7,0))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projet'!$B$10,Paramètres!$A$1:$I$88,3,0)*0.475*44/12</f>
        <v>0</v>
      </c>
      <c r="AV160" s="23">
        <f>EXP(-LN(2)/25)*AV159+(1-EXP(-LN(2)/25))/(LN(2)/25)*Calculateur!AQ160*Calculateur!AS160*VLOOKUP('Données projet'!$B$10,Paramètres!$A$1:$I$88,3,0)*0.475*44/12</f>
        <v>0.16741925334393565</v>
      </c>
      <c r="AW160" s="23">
        <f>EXP(-LN(2)/2)*AW159+(1-EXP(-LN(2)/2))/(LN(2)/2)*AQ160*AT160*VLOOKUP('Données projet'!$B$10,Paramètres!$A$1:$I$88,3,0)*0.475*44/12</f>
        <v>9.0184030748534754E-19</v>
      </c>
      <c r="AX160" s="23">
        <f t="shared" si="166"/>
        <v>0.16741925334393565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-5.6843418860808015E-14</v>
      </c>
      <c r="BE160" s="14">
        <f>BD160*VLOOKUP('Données projet'!$B$11,Paramètres!$A$1:$I$88,3,0)*VLOOKUP('Données projet'!$B$11,Paramètres!$A$1:$I$88,5,0)</f>
        <v>-4.5224624045658861E-14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298.38448036212861</v>
      </c>
      <c r="BJ160" s="62">
        <f t="shared" si="146"/>
        <v>270.4445531106897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projet'!$B$11,Paramètres!$A$1:$I$88,7,0))</f>
        <v>0</v>
      </c>
      <c r="BN160" s="17">
        <f>IF(ISNA(VLOOKUP(A160,'Données projet'!$A$87:$I$107,6,0)),0%,VLOOKUP(A160,'Données projet'!$A$87:$I$107,6,0)*VLOOKUP('Données projet'!$B$11,Paramètres!$A$1:$I$88,7,0))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projet'!$B$11,Paramètres!$A$1:$I$88,3,0)*0.475*44/12</f>
        <v>0</v>
      </c>
      <c r="BQ160" s="23">
        <f>EXP(-LN(2)/25)*BQ159+(1-EXP(-LN(2)/25))/(LN(2)/25)*Calculateur!BL160*Calculateur!BN160*VLOOKUP('Données projet'!$B$11,Paramètres!$A$1:$I$88,3,0)*0.475*44/12</f>
        <v>0</v>
      </c>
      <c r="BR160" s="23">
        <f>EXP(-LN(2)/2)*BR159+(1-EXP(-LN(2)/2))/(LN(2)/2)*BL160*BO160*VLOOKUP('Données projet'!$B$11,Paramètres!$A$1:$I$88,3,0)*0.475*44/12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5.6843418860808015E-14</v>
      </c>
      <c r="BZ160" s="14">
        <f>BY160*VLOOKUP('Données projet'!$B$12,Paramètres!$A$1:$I$88,3,0)*VLOOKUP('Données projet'!$B$12,Paramètres!$A$1:$I$88,5,0)</f>
        <v>4.4337866711430253E-14</v>
      </c>
      <c r="CA160" s="14">
        <f t="shared" si="170"/>
        <v>7.3222115536967035E-13</v>
      </c>
      <c r="CB160" s="22">
        <f t="shared" si="171"/>
        <v>1.3525069634579169E-12</v>
      </c>
      <c r="CC160" s="62">
        <f t="shared" si="119"/>
        <v>293.33333333333468</v>
      </c>
      <c r="CD160" s="62">
        <f ca="1">AVERAGE(OFFSET($CC$3,0,0,'Données projet'!$E$12+1,1))-AVERAGE(OFFSET($H$3,0,0,'Données projet'!$E$12+1,1))</f>
        <v>217.32600829266818</v>
      </c>
      <c r="CE160" s="62">
        <f t="shared" si="148"/>
        <v>208.79744153433245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projet'!$B$12,Paramètres!$A$1:$I$88,7,0))</f>
        <v>0</v>
      </c>
      <c r="CI160" s="17">
        <f>IF(ISNA(VLOOKUP(A160,'Données projet'!$A$113:$I$133,6,0)),0%,VLOOKUP(A160,'Données projet'!$A$113:$I$133,6,0)*VLOOKUP('Données projet'!$B$12,Paramètres!$A$1:$I$88,7,0))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projet'!$B$12,Paramètres!$A$1:$I$88,3,0)*0.475*44/12</f>
        <v>0</v>
      </c>
      <c r="CL160" s="23">
        <f>EXP(-LN(2)/25)*CL159+(1-EXP(-LN(2)/25))/(LN(2)/25)*Calculateur!CG160*Calculateur!CI160*VLOOKUP('Données projet'!$B$12,Paramètres!$A$1:$I$88,3,0)*0.475*44/12</f>
        <v>0</v>
      </c>
      <c r="CM160" s="23">
        <f>EXP(-LN(2)/2)*CM159+(1-EXP(-LN(2)/2))/(LN(2)/2)*CG160*CJ160*VLOOKUP('Données projet'!$B$12,Paramètres!$A$1:$I$88,3,0)*0.475*44/12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-3.4106051316484809E-13</v>
      </c>
      <c r="CU160" s="18">
        <f>CT160*VLOOKUP('Données projet'!$B$13,Paramètres!$A$1:$I$88,3,0)*VLOOKUP('Données projet'!$B$13,Paramètres!$A$1:$I$88,5,0)</f>
        <v>-1.9065282685915009E-13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302.20483575440988</v>
      </c>
      <c r="CZ160" s="62">
        <f t="shared" si="150"/>
        <v>275.32862097158687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projet'!$B$13,Paramètres!$A$1:$I$88,7,0))</f>
        <v>0</v>
      </c>
      <c r="DD160" s="17">
        <f>IF(ISNA(VLOOKUP(A160,'Données projet'!$A$139:$I$159,6,0)),0%,VLOOKUP(A160,'Données projet'!$A$139:$I$159,6,0)*VLOOKUP('Données projet'!$B$13,Paramètres!$A$1:$I$88,7,0))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projet'!$B$13,Paramètres!$A$1:$I$88,3,0)*0.475*44/12</f>
        <v>0</v>
      </c>
      <c r="DG160" s="23">
        <f>EXP(-LN(2)/25)*DG159+(1-EXP(-LN(2)/25))/(LN(2)/25)*Calculateur!DB160*Calculateur!DD160*VLOOKUP('Données projet'!$B$13,Paramètres!$A$1:$I$88,3,0)*0.475*44/12</f>
        <v>0.40879224052408963</v>
      </c>
      <c r="DH160" s="23">
        <f>EXP(-LN(2)/2)*DH159+(1-EXP(-LN(2)/2))/(LN(2)/2)*DB160*DE160*VLOOKUP('Données projet'!$B$13,Paramètres!$A$1:$I$88,3,0)*0.475*44/12</f>
        <v>5.1985452344815084E-19</v>
      </c>
      <c r="DI160" s="24">
        <f t="shared" si="175"/>
        <v>0.40879224052408963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projet'!$B$14,Paramètres!$A$1:$I$88,3,0)*VLOOKUP('Données projet'!$B$14,Paramètres!$A$1:$I$88,5,0)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projet'!$B$14,Paramètres!$A$1:$I$88,7,0))</f>
        <v>0</v>
      </c>
      <c r="DY160" s="17">
        <f>IF(ISNA(VLOOKUP(A160,'Données projet'!$A$165:$I$185,6,0)),0%,VLOOKUP(A160,'Données projet'!$A$165:$I$185,6,0)*VLOOKUP('Données projet'!$B$14,Paramètres!$A$1:$I$88,7,0))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projet'!$B$14,Paramètres!$A$1:$I$88,3,0)*0.475*44/12</f>
        <v>#N/A</v>
      </c>
      <c r="EB160" s="23" t="e">
        <f>EXP(-LN(2)/25)*EB159+(1-EXP(-LN(2)/25))/(LN(2)/25)*Calculateur!DW160*Calculateur!DY160*VLOOKUP('Données projet'!$B$14,Paramètres!$A$1:$I$88,3,0)*0.475*44/12</f>
        <v>#N/A</v>
      </c>
      <c r="EC160" s="23" t="e">
        <f>EXP(-LN(2)/2)*EC159+(1-EXP(-LN(2)/2))/(LN(2)/2)*DW160*DZ160*VLOOKUP('Données projet'!$B$14,Paramètres!$A$1:$I$88,3,0)*0.475*44/12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projet'!$B$15,Paramètres!$A$1:$I$88,3,0)*VLOOKUP('Données projet'!$B$15,Paramètres!$A$1:$I$88,5,0)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projet'!$B$15,Paramètres!$A$1:$I$88,7,0))</f>
        <v>0</v>
      </c>
      <c r="ET160" s="17">
        <f>IF(ISNA(VLOOKUP(A160,'Données projet'!$A$191:$I$211,6,0)),0%,VLOOKUP(A160,'Données projet'!$A$191:$I$211,6,0)*VLOOKUP('Données projet'!$B$15,Paramètres!$A$1:$I$88,7,0))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projet'!$B$15,Paramètres!$A$1:$I$88,3,0)*0.475*44/12</f>
        <v>#N/A</v>
      </c>
      <c r="EW160" s="23" t="e">
        <f>EXP(-LN(2)/25)*EW159+(1-EXP(-LN(2)/25))/(LN(2)/25)*Calculateur!ER160*Calculateur!ET160*VLOOKUP('Données projet'!$B$15,Paramètres!$A$1:$I$88,3,0)*0.475*44/12</f>
        <v>#N/A</v>
      </c>
      <c r="EX160" s="23" t="e">
        <f>EXP(-LN(2)/2)*EX159+(1-EXP(-LN(2)/2))/(LN(2)/2)*ER160*EU160*VLOOKUP('Données projet'!$B$15,Paramètres!$A$1:$I$88,3,0)*0.475*44/12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projet'!$B$16,Paramètres!$A$1:$I$88,3,0)*VLOOKUP('Données projet'!$B$16,Paramètres!$A$1:$I$88,5,0)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projet'!$B$16,Paramètres!$A$1:$I$88,7,0))</f>
        <v>0</v>
      </c>
      <c r="FO160" s="17">
        <f>IF(ISNA(VLOOKUP(A160,'Données projet'!$A$217:$I$237,6,0)),0%,VLOOKUP(A160,'Données projet'!$A$217:$I$237,6,0)*VLOOKUP('Données projet'!$B$16,Paramètres!$A$1:$I$88,7,0))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projet'!$B$16,Paramètres!$A$1:$I$88,3,0)*0.475*44/12</f>
        <v>#N/A</v>
      </c>
      <c r="FR160" s="23" t="e">
        <f>EXP(-LN(2)/25)*FR159+(1-EXP(-LN(2)/25))/(LN(2)/25)*Calculateur!FM160*Calculateur!FO160*VLOOKUP('Données projet'!$B$16,Paramètres!$A$1:$I$88,3,0)*0.475*44/12</f>
        <v>#N/A</v>
      </c>
      <c r="FS160" s="23" t="e">
        <f>EXP(-LN(2)/2)*FS159+(1-EXP(-LN(2)/2))/(LN(2)/2)*FM160*FP160*VLOOKUP('Données projet'!$B$16,Paramètres!$A$1:$I$88,3,0)*0.475*44/12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projet'!$B$17,Paramètres!$A$1:$I$88,3,0)*VLOOKUP('Données projet'!$B$17,Paramètres!$A$1:$I$88,5,0)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projet'!$B$17,Paramètres!$A$1:$I$88,7,0))</f>
        <v>0</v>
      </c>
      <c r="GJ160" s="17">
        <f>IF(ISNA(VLOOKUP(A160,'Données projet'!$A$243:$I$263,6,0)),0%,VLOOKUP(A160,'Données projet'!$A$243:$I$263,6,0)*VLOOKUP('Données projet'!$B$17,Paramètres!$A$1:$I$88,7,0))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projet'!$B$17,Paramètres!$A$1:$I$88,3,0)*0.475*44/12</f>
        <v>#N/A</v>
      </c>
      <c r="GM160" s="23" t="e">
        <f>EXP(-LN(2)/25)*GM159+(1-EXP(-LN(2)/25))/(LN(2)/25)*Calculateur!GH160*Calculateur!GJ160*VLOOKUP('Données projet'!$B$17,Paramètres!$A$1:$I$88,3,0)*0.475*44/12</f>
        <v>#N/A</v>
      </c>
      <c r="GN160" s="23" t="e">
        <f>EXP(-LN(2)/2)*GN159+(1-EXP(-LN(2)/2))/(LN(2)/2)*GH160*GK160*VLOOKUP('Données projet'!$B$17,Paramètres!$A$1:$I$88,3,0)*0.475*44/12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projet'!$B$18,Paramètres!$A$1:$I$88,3,0)*VLOOKUP('Données projet'!$B$18,Paramètres!$A$1:$I$88,5,0)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projet'!$B$18,Paramètres!$A$1:$I$88,7,0))</f>
        <v>0</v>
      </c>
      <c r="HE160" s="17">
        <f>IF(ISNA(VLOOKUP(A160,'Données projet'!$A$269:$I$289,6,0)),0%,VLOOKUP(A160,'Données projet'!$A$269:$I$289,6,0)*VLOOKUP('Données projet'!$B$18,Paramètres!$A$1:$I$88,7,0))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projet'!$B$18,Paramètres!$A$1:$I$88,3,0)*0.475*44/12</f>
        <v>#N/A</v>
      </c>
      <c r="HH160" s="23" t="e">
        <f>EXP(-LN(2)/25)*HH159+(1-EXP(-LN(2)/25))/(LN(2)/25)*Calculateur!HC160*Calculateur!HE160*VLOOKUP('Données projet'!$B$18,Paramètres!$A$1:$I$88,3,0)*0.475*44/12</f>
        <v>#N/A</v>
      </c>
      <c r="HI160" s="23" t="e">
        <f>EXP(-LN(2)/2)*HI159+(1-EXP(-LN(2)/2))/(LN(2)/2)*HC160*HF160*VLOOKUP('Données projet'!$B$18,Paramètres!$A$1:$I$88,3,0)*0.475*44/12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projet'!$B$9,Paramètres!$A$1:$I$88,3,0)*VLOOKUP('Données projet'!$B$9,Paramètres!$A$1:$I$88,5,0)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175.05987582828078</v>
      </c>
      <c r="T161" s="62">
        <f t="shared" si="142"/>
        <v>268.54782308462387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projet'!$B$9,Paramètres!$A$1:$I$88,7,0))</f>
        <v>0</v>
      </c>
      <c r="X161" s="17">
        <f>IF(ISNA(VLOOKUP(A161,'Données projet'!$A$35:$I$55,6,0)),0%,VLOOKUP(A161,'Données projet'!$A$35:$I$55,6,0)*VLOOKUP('Données projet'!$B$9,Paramètres!$A$1:$I$88,7,0))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projet'!$B$9,Paramètres!$A$1:$I$88,3,0)*0.475*44/12</f>
        <v>0</v>
      </c>
      <c r="AA161" s="23">
        <f>EXP(-LN(2)/25)*AA160+(1-EXP(-LN(2)/25))/(LN(2)/25)*Calculateur!V161*Calculateur!X161*VLOOKUP('Données projet'!$B$9,Paramètres!$A$1:$I$88,3,0)*0.475*44/12</f>
        <v>0.2960552539276442</v>
      </c>
      <c r="AB161" s="23">
        <f>EXP(-LN(2)/2)*AB160+(1-EXP(-LN(2)/2))/(LN(2)/2)*V161*Y161*VLOOKUP('Données projet'!$B$9,Paramètres!$A$1:$I$88,3,0)*0.475*44/12</f>
        <v>8.9548702009421565E-19</v>
      </c>
      <c r="AC161" s="24">
        <f t="shared" si="163"/>
        <v>0.2960552539276442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-1.5916157281026244E-12</v>
      </c>
      <c r="AJ161" s="14">
        <f>AI161*VLOOKUP('Données projet'!$B$10,Paramètres!$A$1:$I$88,3,0)*VLOOKUP('Données projet'!$B$10,Paramètres!$A$1:$I$88,5,0)</f>
        <v>-7.6556716521736234E-13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576.61210817354549</v>
      </c>
      <c r="AO161" s="62">
        <f t="shared" si="144"/>
        <v>343.9428747444544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projet'!$B$10,Paramètres!$A$1:$I$88,7,0))</f>
        <v>0</v>
      </c>
      <c r="AS161" s="17">
        <f>IF(ISNA(VLOOKUP(A161,'Données projet'!$A$61:$I$81,6,0)),0%,VLOOKUP(A161,'Données projet'!$A$61:$I$81,6,0)*VLOOKUP('Données projet'!$B$10,Paramètres!$A$1:$I$88,7,0))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projet'!$B$10,Paramètres!$A$1:$I$88,3,0)*0.475*44/12</f>
        <v>0</v>
      </c>
      <c r="AV161" s="23">
        <f>EXP(-LN(2)/25)*AV160+(1-EXP(-LN(2)/25))/(LN(2)/25)*Calculateur!AQ161*Calculateur!AS161*VLOOKUP('Données projet'!$B$10,Paramètres!$A$1:$I$88,3,0)*0.475*44/12</f>
        <v>0.16284116505704985</v>
      </c>
      <c r="AW161" s="23">
        <f>EXP(-LN(2)/2)*AW160+(1-EXP(-LN(2)/2))/(LN(2)/2)*AQ161*AT161*VLOOKUP('Données projet'!$B$10,Paramètres!$A$1:$I$88,3,0)*0.475*44/12</f>
        <v>6.3769739697025039E-19</v>
      </c>
      <c r="AX161" s="23">
        <f t="shared" si="166"/>
        <v>0.16284116505704985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-5.6843418860808015E-14</v>
      </c>
      <c r="BE161" s="14">
        <f>BD161*VLOOKUP('Données projet'!$B$11,Paramètres!$A$1:$I$88,3,0)*VLOOKUP('Données projet'!$B$11,Paramètres!$A$1:$I$88,5,0)</f>
        <v>-4.5224624045658861E-14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298.38448036212861</v>
      </c>
      <c r="BJ161" s="62">
        <f t="shared" si="146"/>
        <v>270.4445531106897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projet'!$B$11,Paramètres!$A$1:$I$88,7,0))</f>
        <v>0</v>
      </c>
      <c r="BN161" s="17">
        <f>IF(ISNA(VLOOKUP(A161,'Données projet'!$A$87:$I$107,6,0)),0%,VLOOKUP(A161,'Données projet'!$A$87:$I$107,6,0)*VLOOKUP('Données projet'!$B$11,Paramètres!$A$1:$I$88,7,0))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projet'!$B$11,Paramètres!$A$1:$I$88,3,0)*0.475*44/12</f>
        <v>0</v>
      </c>
      <c r="BQ161" s="23">
        <f>EXP(-LN(2)/25)*BQ160+(1-EXP(-LN(2)/25))/(LN(2)/25)*Calculateur!BL161*Calculateur!BN161*VLOOKUP('Données projet'!$B$11,Paramètres!$A$1:$I$88,3,0)*0.475*44/12</f>
        <v>0</v>
      </c>
      <c r="BR161" s="23">
        <f>EXP(-LN(2)/2)*BR160+(1-EXP(-LN(2)/2))/(LN(2)/2)*BL161*BO161*VLOOKUP('Données projet'!$B$11,Paramètres!$A$1:$I$88,3,0)*0.475*44/12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5.6843418860808015E-14</v>
      </c>
      <c r="BZ161" s="14">
        <f>BY161*VLOOKUP('Données projet'!$B$12,Paramètres!$A$1:$I$88,3,0)*VLOOKUP('Données projet'!$B$12,Paramètres!$A$1:$I$88,5,0)</f>
        <v>4.4337866711430253E-14</v>
      </c>
      <c r="CA161" s="14">
        <f t="shared" si="170"/>
        <v>7.3222115536967035E-13</v>
      </c>
      <c r="CB161" s="22">
        <f t="shared" si="171"/>
        <v>1.3525069634579169E-12</v>
      </c>
      <c r="CC161" s="62">
        <f t="shared" si="119"/>
        <v>293.33333333333468</v>
      </c>
      <c r="CD161" s="62">
        <f ca="1">AVERAGE(OFFSET($CC$3,0,0,'Données projet'!$E$12+1,1))-AVERAGE(OFFSET($H$3,0,0,'Données projet'!$E$12+1,1))</f>
        <v>217.32600829266818</v>
      </c>
      <c r="CE161" s="62">
        <f t="shared" si="148"/>
        <v>208.79744153433245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projet'!$B$12,Paramètres!$A$1:$I$88,7,0))</f>
        <v>0</v>
      </c>
      <c r="CI161" s="17">
        <f>IF(ISNA(VLOOKUP(A161,'Données projet'!$A$113:$I$133,6,0)),0%,VLOOKUP(A161,'Données projet'!$A$113:$I$133,6,0)*VLOOKUP('Données projet'!$B$12,Paramètres!$A$1:$I$88,7,0))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projet'!$B$12,Paramètres!$A$1:$I$88,3,0)*0.475*44/12</f>
        <v>0</v>
      </c>
      <c r="CL161" s="23">
        <f>EXP(-LN(2)/25)*CL160+(1-EXP(-LN(2)/25))/(LN(2)/25)*Calculateur!CG161*Calculateur!CI161*VLOOKUP('Données projet'!$B$12,Paramètres!$A$1:$I$88,3,0)*0.475*44/12</f>
        <v>0</v>
      </c>
      <c r="CM161" s="23">
        <f>EXP(-LN(2)/2)*CM160+(1-EXP(-LN(2)/2))/(LN(2)/2)*CG161*CJ161*VLOOKUP('Données projet'!$B$12,Paramètres!$A$1:$I$88,3,0)*0.475*44/12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-3.4106051316484809E-13</v>
      </c>
      <c r="CU161" s="18">
        <f>CT161*VLOOKUP('Données projet'!$B$13,Paramètres!$A$1:$I$88,3,0)*VLOOKUP('Données projet'!$B$13,Paramètres!$A$1:$I$88,5,0)</f>
        <v>-1.9065282685915009E-13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302.20483575440988</v>
      </c>
      <c r="CZ161" s="62">
        <f t="shared" si="150"/>
        <v>275.32862097158687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projet'!$B$13,Paramètres!$A$1:$I$88,7,0))</f>
        <v>0</v>
      </c>
      <c r="DD161" s="17">
        <f>IF(ISNA(VLOOKUP(A161,'Données projet'!$A$139:$I$159,6,0)),0%,VLOOKUP(A161,'Données projet'!$A$139:$I$159,6,0)*VLOOKUP('Données projet'!$B$13,Paramètres!$A$1:$I$88,7,0))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projet'!$B$13,Paramètres!$A$1:$I$88,3,0)*0.475*44/12</f>
        <v>0</v>
      </c>
      <c r="DG161" s="23">
        <f>EXP(-LN(2)/25)*DG160+(1-EXP(-LN(2)/25))/(LN(2)/25)*Calculateur!DB161*Calculateur!DD161*VLOOKUP('Données projet'!$B$13,Paramètres!$A$1:$I$88,3,0)*0.475*44/12</f>
        <v>0.39761379520950879</v>
      </c>
      <c r="DH161" s="23">
        <f>EXP(-LN(2)/2)*DH160+(1-EXP(-LN(2)/2))/(LN(2)/2)*DB161*DE161*VLOOKUP('Données projet'!$B$13,Paramètres!$A$1:$I$88,3,0)*0.475*44/12</f>
        <v>3.6759265876068854E-19</v>
      </c>
      <c r="DI161" s="24">
        <f t="shared" si="175"/>
        <v>0.39761379520950879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projet'!$B$14,Paramètres!$A$1:$I$88,3,0)*VLOOKUP('Données projet'!$B$14,Paramètres!$A$1:$I$88,5,0)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projet'!$B$14,Paramètres!$A$1:$I$88,7,0))</f>
        <v>0</v>
      </c>
      <c r="DY161" s="17">
        <f>IF(ISNA(VLOOKUP(A161,'Données projet'!$A$165:$I$185,6,0)),0%,VLOOKUP(A161,'Données projet'!$A$165:$I$185,6,0)*VLOOKUP('Données projet'!$B$14,Paramètres!$A$1:$I$88,7,0))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projet'!$B$14,Paramètres!$A$1:$I$88,3,0)*0.475*44/12</f>
        <v>#N/A</v>
      </c>
      <c r="EB161" s="23" t="e">
        <f>EXP(-LN(2)/25)*EB160+(1-EXP(-LN(2)/25))/(LN(2)/25)*Calculateur!DW161*Calculateur!DY161*VLOOKUP('Données projet'!$B$14,Paramètres!$A$1:$I$88,3,0)*0.475*44/12</f>
        <v>#N/A</v>
      </c>
      <c r="EC161" s="23" t="e">
        <f>EXP(-LN(2)/2)*EC160+(1-EXP(-LN(2)/2))/(LN(2)/2)*DW161*DZ161*VLOOKUP('Données projet'!$B$14,Paramètres!$A$1:$I$88,3,0)*0.475*44/12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projet'!$B$15,Paramètres!$A$1:$I$88,3,0)*VLOOKUP('Données projet'!$B$15,Paramètres!$A$1:$I$88,5,0)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projet'!$B$15,Paramètres!$A$1:$I$88,7,0))</f>
        <v>0</v>
      </c>
      <c r="ET161" s="17">
        <f>IF(ISNA(VLOOKUP(A161,'Données projet'!$A$191:$I$211,6,0)),0%,VLOOKUP(A161,'Données projet'!$A$191:$I$211,6,0)*VLOOKUP('Données projet'!$B$15,Paramètres!$A$1:$I$88,7,0))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projet'!$B$15,Paramètres!$A$1:$I$88,3,0)*0.475*44/12</f>
        <v>#N/A</v>
      </c>
      <c r="EW161" s="23" t="e">
        <f>EXP(-LN(2)/25)*EW160+(1-EXP(-LN(2)/25))/(LN(2)/25)*Calculateur!ER161*Calculateur!ET161*VLOOKUP('Données projet'!$B$15,Paramètres!$A$1:$I$88,3,0)*0.475*44/12</f>
        <v>#N/A</v>
      </c>
      <c r="EX161" s="23" t="e">
        <f>EXP(-LN(2)/2)*EX160+(1-EXP(-LN(2)/2))/(LN(2)/2)*ER161*EU161*VLOOKUP('Données projet'!$B$15,Paramètres!$A$1:$I$88,3,0)*0.475*44/12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projet'!$B$16,Paramètres!$A$1:$I$88,3,0)*VLOOKUP('Données projet'!$B$16,Paramètres!$A$1:$I$88,5,0)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projet'!$B$16,Paramètres!$A$1:$I$88,7,0))</f>
        <v>0</v>
      </c>
      <c r="FO161" s="17">
        <f>IF(ISNA(VLOOKUP(A161,'Données projet'!$A$217:$I$237,6,0)),0%,VLOOKUP(A161,'Données projet'!$A$217:$I$237,6,0)*VLOOKUP('Données projet'!$B$16,Paramètres!$A$1:$I$88,7,0))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projet'!$B$16,Paramètres!$A$1:$I$88,3,0)*0.475*44/12</f>
        <v>#N/A</v>
      </c>
      <c r="FR161" s="23" t="e">
        <f>EXP(-LN(2)/25)*FR160+(1-EXP(-LN(2)/25))/(LN(2)/25)*Calculateur!FM161*Calculateur!FO161*VLOOKUP('Données projet'!$B$16,Paramètres!$A$1:$I$88,3,0)*0.475*44/12</f>
        <v>#N/A</v>
      </c>
      <c r="FS161" s="23" t="e">
        <f>EXP(-LN(2)/2)*FS160+(1-EXP(-LN(2)/2))/(LN(2)/2)*FM161*FP161*VLOOKUP('Données projet'!$B$16,Paramètres!$A$1:$I$88,3,0)*0.475*44/12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projet'!$B$17,Paramètres!$A$1:$I$88,3,0)*VLOOKUP('Données projet'!$B$17,Paramètres!$A$1:$I$88,5,0)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projet'!$B$17,Paramètres!$A$1:$I$88,7,0))</f>
        <v>0</v>
      </c>
      <c r="GJ161" s="17">
        <f>IF(ISNA(VLOOKUP(A161,'Données projet'!$A$243:$I$263,6,0)),0%,VLOOKUP(A161,'Données projet'!$A$243:$I$263,6,0)*VLOOKUP('Données projet'!$B$17,Paramètres!$A$1:$I$88,7,0))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projet'!$B$17,Paramètres!$A$1:$I$88,3,0)*0.475*44/12</f>
        <v>#N/A</v>
      </c>
      <c r="GM161" s="23" t="e">
        <f>EXP(-LN(2)/25)*GM160+(1-EXP(-LN(2)/25))/(LN(2)/25)*Calculateur!GH161*Calculateur!GJ161*VLOOKUP('Données projet'!$B$17,Paramètres!$A$1:$I$88,3,0)*0.475*44/12</f>
        <v>#N/A</v>
      </c>
      <c r="GN161" s="23" t="e">
        <f>EXP(-LN(2)/2)*GN160+(1-EXP(-LN(2)/2))/(LN(2)/2)*GH161*GK161*VLOOKUP('Données projet'!$B$17,Paramètres!$A$1:$I$88,3,0)*0.475*44/12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projet'!$B$18,Paramètres!$A$1:$I$88,3,0)*VLOOKUP('Données projet'!$B$18,Paramètres!$A$1:$I$88,5,0)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projet'!$B$18,Paramètres!$A$1:$I$88,7,0))</f>
        <v>0</v>
      </c>
      <c r="HE161" s="17">
        <f>IF(ISNA(VLOOKUP(A161,'Données projet'!$A$269:$I$289,6,0)),0%,VLOOKUP(A161,'Données projet'!$A$269:$I$289,6,0)*VLOOKUP('Données projet'!$B$18,Paramètres!$A$1:$I$88,7,0))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projet'!$B$18,Paramètres!$A$1:$I$88,3,0)*0.475*44/12</f>
        <v>#N/A</v>
      </c>
      <c r="HH161" s="23" t="e">
        <f>EXP(-LN(2)/25)*HH160+(1-EXP(-LN(2)/25))/(LN(2)/25)*Calculateur!HC161*Calculateur!HE161*VLOOKUP('Données projet'!$B$18,Paramètres!$A$1:$I$88,3,0)*0.475*44/12</f>
        <v>#N/A</v>
      </c>
      <c r="HI161" s="23" t="e">
        <f>EXP(-LN(2)/2)*HI160+(1-EXP(-LN(2)/2))/(LN(2)/2)*HC161*HF161*VLOOKUP('Données projet'!$B$18,Paramètres!$A$1:$I$88,3,0)*0.475*44/12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projet'!$B$9,Paramètres!$A$1:$I$88,3,0)*VLOOKUP('Données projet'!$B$9,Paramètres!$A$1:$I$88,5,0)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175.05987582828078</v>
      </c>
      <c r="T162" s="62">
        <f t="shared" si="142"/>
        <v>268.54782308462387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projet'!$B$9,Paramètres!$A$1:$I$88,7,0))</f>
        <v>0</v>
      </c>
      <c r="X162" s="17">
        <f>IF(ISNA(VLOOKUP(A162,'Données projet'!$A$35:$I$55,6,0)),0%,VLOOKUP(A162,'Données projet'!$A$35:$I$55,6,0)*VLOOKUP('Données projet'!$B$9,Paramètres!$A$1:$I$88,7,0))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projet'!$B$9,Paramètres!$A$1:$I$88,3,0)*0.475*44/12</f>
        <v>0</v>
      </c>
      <c r="AA162" s="23">
        <f>EXP(-LN(2)/25)*AA161+(1-EXP(-LN(2)/25))/(LN(2)/25)*Calculateur!V162*Calculateur!X162*VLOOKUP('Données projet'!$B$9,Paramètres!$A$1:$I$88,3,0)*0.475*44/12</f>
        <v>0.28795960744012361</v>
      </c>
      <c r="AB162" s="23">
        <f>EXP(-LN(2)/2)*AB161+(1-EXP(-LN(2)/2))/(LN(2)/2)*V162*Y162*VLOOKUP('Données projet'!$B$9,Paramètres!$A$1:$I$88,3,0)*0.475*44/12</f>
        <v>6.3320494437315404E-19</v>
      </c>
      <c r="AC162" s="24">
        <f t="shared" si="163"/>
        <v>0.28795960744012361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-1.5916157281026244E-12</v>
      </c>
      <c r="AJ162" s="14">
        <f>AI162*VLOOKUP('Données projet'!$B$10,Paramètres!$A$1:$I$88,3,0)*VLOOKUP('Données projet'!$B$10,Paramètres!$A$1:$I$88,5,0)</f>
        <v>-7.6556716521736234E-13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576.61210817354549</v>
      </c>
      <c r="AO162" s="62">
        <f t="shared" si="144"/>
        <v>343.9428747444544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projet'!$B$10,Paramètres!$A$1:$I$88,7,0))</f>
        <v>0</v>
      </c>
      <c r="AS162" s="17">
        <f>IF(ISNA(VLOOKUP(A162,'Données projet'!$A$61:$I$81,6,0)),0%,VLOOKUP(A162,'Données projet'!$A$61:$I$81,6,0)*VLOOKUP('Données projet'!$B$10,Paramètres!$A$1:$I$88,7,0))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projet'!$B$10,Paramètres!$A$1:$I$88,3,0)*0.475*44/12</f>
        <v>0</v>
      </c>
      <c r="AV162" s="23">
        <f>EXP(-LN(2)/25)*AV161+(1-EXP(-LN(2)/25))/(LN(2)/25)*Calculateur!AQ162*Calculateur!AS162*VLOOKUP('Données projet'!$B$10,Paramètres!$A$1:$I$88,3,0)*0.475*44/12</f>
        <v>0.15838826483512014</v>
      </c>
      <c r="AW162" s="23">
        <f>EXP(-LN(2)/2)*AW161+(1-EXP(-LN(2)/2))/(LN(2)/2)*AQ162*AT162*VLOOKUP('Données projet'!$B$10,Paramètres!$A$1:$I$88,3,0)*0.475*44/12</f>
        <v>4.5092015374267377E-19</v>
      </c>
      <c r="AX162" s="23">
        <f t="shared" si="166"/>
        <v>0.15838826483512014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-5.6843418860808015E-14</v>
      </c>
      <c r="BE162" s="14">
        <f>BD162*VLOOKUP('Données projet'!$B$11,Paramètres!$A$1:$I$88,3,0)*VLOOKUP('Données projet'!$B$11,Paramètres!$A$1:$I$88,5,0)</f>
        <v>-4.5224624045658861E-14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298.38448036212861</v>
      </c>
      <c r="BJ162" s="62">
        <f t="shared" si="146"/>
        <v>270.4445531106897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projet'!$B$11,Paramètres!$A$1:$I$88,7,0))</f>
        <v>0</v>
      </c>
      <c r="BN162" s="17">
        <f>IF(ISNA(VLOOKUP(A162,'Données projet'!$A$87:$I$107,6,0)),0%,VLOOKUP(A162,'Données projet'!$A$87:$I$107,6,0)*VLOOKUP('Données projet'!$B$11,Paramètres!$A$1:$I$88,7,0))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projet'!$B$11,Paramètres!$A$1:$I$88,3,0)*0.475*44/12</f>
        <v>0</v>
      </c>
      <c r="BQ162" s="23">
        <f>EXP(-LN(2)/25)*BQ161+(1-EXP(-LN(2)/25))/(LN(2)/25)*Calculateur!BL162*Calculateur!BN162*VLOOKUP('Données projet'!$B$11,Paramètres!$A$1:$I$88,3,0)*0.475*44/12</f>
        <v>0</v>
      </c>
      <c r="BR162" s="23">
        <f>EXP(-LN(2)/2)*BR161+(1-EXP(-LN(2)/2))/(LN(2)/2)*BL162*BO162*VLOOKUP('Données projet'!$B$11,Paramètres!$A$1:$I$88,3,0)*0.475*44/12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5.6843418860808015E-14</v>
      </c>
      <c r="BZ162" s="14">
        <f>BY162*VLOOKUP('Données projet'!$B$12,Paramètres!$A$1:$I$88,3,0)*VLOOKUP('Données projet'!$B$12,Paramètres!$A$1:$I$88,5,0)</f>
        <v>4.4337866711430253E-14</v>
      </c>
      <c r="CA162" s="14">
        <f t="shared" si="170"/>
        <v>7.3222115536967035E-13</v>
      </c>
      <c r="CB162" s="22">
        <f t="shared" si="171"/>
        <v>1.3525069634579169E-12</v>
      </c>
      <c r="CC162" s="62">
        <f t="shared" si="119"/>
        <v>293.33333333333468</v>
      </c>
      <c r="CD162" s="62">
        <f ca="1">AVERAGE(OFFSET($CC$3,0,0,'Données projet'!$E$12+1,1))-AVERAGE(OFFSET($H$3,0,0,'Données projet'!$E$12+1,1))</f>
        <v>217.32600829266818</v>
      </c>
      <c r="CE162" s="62">
        <f t="shared" si="148"/>
        <v>208.79744153433245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projet'!$B$12,Paramètres!$A$1:$I$88,7,0))</f>
        <v>0</v>
      </c>
      <c r="CI162" s="17">
        <f>IF(ISNA(VLOOKUP(A162,'Données projet'!$A$113:$I$133,6,0)),0%,VLOOKUP(A162,'Données projet'!$A$113:$I$133,6,0)*VLOOKUP('Données projet'!$B$12,Paramètres!$A$1:$I$88,7,0))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projet'!$B$12,Paramètres!$A$1:$I$88,3,0)*0.475*44/12</f>
        <v>0</v>
      </c>
      <c r="CL162" s="23">
        <f>EXP(-LN(2)/25)*CL161+(1-EXP(-LN(2)/25))/(LN(2)/25)*Calculateur!CG162*Calculateur!CI162*VLOOKUP('Données projet'!$B$12,Paramètres!$A$1:$I$88,3,0)*0.475*44/12</f>
        <v>0</v>
      </c>
      <c r="CM162" s="23">
        <f>EXP(-LN(2)/2)*CM161+(1-EXP(-LN(2)/2))/(LN(2)/2)*CG162*CJ162*VLOOKUP('Données projet'!$B$12,Paramètres!$A$1:$I$88,3,0)*0.475*44/12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-3.4106051316484809E-13</v>
      </c>
      <c r="CU162" s="18">
        <f>CT162*VLOOKUP('Données projet'!$B$13,Paramètres!$A$1:$I$88,3,0)*VLOOKUP('Données projet'!$B$13,Paramètres!$A$1:$I$88,5,0)</f>
        <v>-1.9065282685915009E-13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302.20483575440988</v>
      </c>
      <c r="CZ162" s="62">
        <f t="shared" si="150"/>
        <v>275.32862097158687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projet'!$B$13,Paramètres!$A$1:$I$88,7,0))</f>
        <v>0</v>
      </c>
      <c r="DD162" s="17">
        <f>IF(ISNA(VLOOKUP(A162,'Données projet'!$A$139:$I$159,6,0)),0%,VLOOKUP(A162,'Données projet'!$A$139:$I$159,6,0)*VLOOKUP('Données projet'!$B$13,Paramètres!$A$1:$I$88,7,0))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projet'!$B$13,Paramètres!$A$1:$I$88,3,0)*0.475*44/12</f>
        <v>0</v>
      </c>
      <c r="DG162" s="23">
        <f>EXP(-LN(2)/25)*DG161+(1-EXP(-LN(2)/25))/(LN(2)/25)*Calculateur!DB162*Calculateur!DD162*VLOOKUP('Données projet'!$B$13,Paramètres!$A$1:$I$88,3,0)*0.475*44/12</f>
        <v>0.38674102506990404</v>
      </c>
      <c r="DH162" s="23">
        <f>EXP(-LN(2)/2)*DH161+(1-EXP(-LN(2)/2))/(LN(2)/2)*DB162*DE162*VLOOKUP('Données projet'!$B$13,Paramètres!$A$1:$I$88,3,0)*0.475*44/12</f>
        <v>2.5992726172407542E-19</v>
      </c>
      <c r="DI162" s="24">
        <f t="shared" si="175"/>
        <v>0.38674102506990404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projet'!$B$14,Paramètres!$A$1:$I$88,3,0)*VLOOKUP('Données projet'!$B$14,Paramètres!$A$1:$I$88,5,0)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projet'!$B$14,Paramètres!$A$1:$I$88,7,0))</f>
        <v>0</v>
      </c>
      <c r="DY162" s="17">
        <f>IF(ISNA(VLOOKUP(A162,'Données projet'!$A$165:$I$185,6,0)),0%,VLOOKUP(A162,'Données projet'!$A$165:$I$185,6,0)*VLOOKUP('Données projet'!$B$14,Paramètres!$A$1:$I$88,7,0))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projet'!$B$14,Paramètres!$A$1:$I$88,3,0)*0.475*44/12</f>
        <v>#N/A</v>
      </c>
      <c r="EB162" s="23" t="e">
        <f>EXP(-LN(2)/25)*EB161+(1-EXP(-LN(2)/25))/(LN(2)/25)*Calculateur!DW162*Calculateur!DY162*VLOOKUP('Données projet'!$B$14,Paramètres!$A$1:$I$88,3,0)*0.475*44/12</f>
        <v>#N/A</v>
      </c>
      <c r="EC162" s="23" t="e">
        <f>EXP(-LN(2)/2)*EC161+(1-EXP(-LN(2)/2))/(LN(2)/2)*DW162*DZ162*VLOOKUP('Données projet'!$B$14,Paramètres!$A$1:$I$88,3,0)*0.475*44/12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projet'!$B$15,Paramètres!$A$1:$I$88,3,0)*VLOOKUP('Données projet'!$B$15,Paramètres!$A$1:$I$88,5,0)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projet'!$B$15,Paramètres!$A$1:$I$88,7,0))</f>
        <v>0</v>
      </c>
      <c r="ET162" s="17">
        <f>IF(ISNA(VLOOKUP(A162,'Données projet'!$A$191:$I$211,6,0)),0%,VLOOKUP(A162,'Données projet'!$A$191:$I$211,6,0)*VLOOKUP('Données projet'!$B$15,Paramètres!$A$1:$I$88,7,0))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projet'!$B$15,Paramètres!$A$1:$I$88,3,0)*0.475*44/12</f>
        <v>#N/A</v>
      </c>
      <c r="EW162" s="23" t="e">
        <f>EXP(-LN(2)/25)*EW161+(1-EXP(-LN(2)/25))/(LN(2)/25)*Calculateur!ER162*Calculateur!ET162*VLOOKUP('Données projet'!$B$15,Paramètres!$A$1:$I$88,3,0)*0.475*44/12</f>
        <v>#N/A</v>
      </c>
      <c r="EX162" s="23" t="e">
        <f>EXP(-LN(2)/2)*EX161+(1-EXP(-LN(2)/2))/(LN(2)/2)*ER162*EU162*VLOOKUP('Données projet'!$B$15,Paramètres!$A$1:$I$88,3,0)*0.475*44/12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projet'!$B$16,Paramètres!$A$1:$I$88,3,0)*VLOOKUP('Données projet'!$B$16,Paramètres!$A$1:$I$88,5,0)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projet'!$B$16,Paramètres!$A$1:$I$88,7,0))</f>
        <v>0</v>
      </c>
      <c r="FO162" s="17">
        <f>IF(ISNA(VLOOKUP(A162,'Données projet'!$A$217:$I$237,6,0)),0%,VLOOKUP(A162,'Données projet'!$A$217:$I$237,6,0)*VLOOKUP('Données projet'!$B$16,Paramètres!$A$1:$I$88,7,0))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projet'!$B$16,Paramètres!$A$1:$I$88,3,0)*0.475*44/12</f>
        <v>#N/A</v>
      </c>
      <c r="FR162" s="23" t="e">
        <f>EXP(-LN(2)/25)*FR161+(1-EXP(-LN(2)/25))/(LN(2)/25)*Calculateur!FM162*Calculateur!FO162*VLOOKUP('Données projet'!$B$16,Paramètres!$A$1:$I$88,3,0)*0.475*44/12</f>
        <v>#N/A</v>
      </c>
      <c r="FS162" s="23" t="e">
        <f>EXP(-LN(2)/2)*FS161+(1-EXP(-LN(2)/2))/(LN(2)/2)*FM162*FP162*VLOOKUP('Données projet'!$B$16,Paramètres!$A$1:$I$88,3,0)*0.475*44/12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projet'!$B$17,Paramètres!$A$1:$I$88,3,0)*VLOOKUP('Données projet'!$B$17,Paramètres!$A$1:$I$88,5,0)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projet'!$B$17,Paramètres!$A$1:$I$88,7,0))</f>
        <v>0</v>
      </c>
      <c r="GJ162" s="17">
        <f>IF(ISNA(VLOOKUP(A162,'Données projet'!$A$243:$I$263,6,0)),0%,VLOOKUP(A162,'Données projet'!$A$243:$I$263,6,0)*VLOOKUP('Données projet'!$B$17,Paramètres!$A$1:$I$88,7,0))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projet'!$B$17,Paramètres!$A$1:$I$88,3,0)*0.475*44/12</f>
        <v>#N/A</v>
      </c>
      <c r="GM162" s="23" t="e">
        <f>EXP(-LN(2)/25)*GM161+(1-EXP(-LN(2)/25))/(LN(2)/25)*Calculateur!GH162*Calculateur!GJ162*VLOOKUP('Données projet'!$B$17,Paramètres!$A$1:$I$88,3,0)*0.475*44/12</f>
        <v>#N/A</v>
      </c>
      <c r="GN162" s="23" t="e">
        <f>EXP(-LN(2)/2)*GN161+(1-EXP(-LN(2)/2))/(LN(2)/2)*GH162*GK162*VLOOKUP('Données projet'!$B$17,Paramètres!$A$1:$I$88,3,0)*0.475*44/12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projet'!$B$18,Paramètres!$A$1:$I$88,3,0)*VLOOKUP('Données projet'!$B$18,Paramètres!$A$1:$I$88,5,0)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projet'!$B$18,Paramètres!$A$1:$I$88,7,0))</f>
        <v>0</v>
      </c>
      <c r="HE162" s="17">
        <f>IF(ISNA(VLOOKUP(A162,'Données projet'!$A$269:$I$289,6,0)),0%,VLOOKUP(A162,'Données projet'!$A$269:$I$289,6,0)*VLOOKUP('Données projet'!$B$18,Paramètres!$A$1:$I$88,7,0))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projet'!$B$18,Paramètres!$A$1:$I$88,3,0)*0.475*44/12</f>
        <v>#N/A</v>
      </c>
      <c r="HH162" s="23" t="e">
        <f>EXP(-LN(2)/25)*HH161+(1-EXP(-LN(2)/25))/(LN(2)/25)*Calculateur!HC162*Calculateur!HE162*VLOOKUP('Données projet'!$B$18,Paramètres!$A$1:$I$88,3,0)*0.475*44/12</f>
        <v>#N/A</v>
      </c>
      <c r="HI162" s="23" t="e">
        <f>EXP(-LN(2)/2)*HI161+(1-EXP(-LN(2)/2))/(LN(2)/2)*HC162*HF162*VLOOKUP('Données projet'!$B$18,Paramètres!$A$1:$I$88,3,0)*0.475*44/12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projet'!$B$9,Paramètres!$A$1:$I$88,3,0)*VLOOKUP('Données projet'!$B$9,Paramètres!$A$1:$I$88,5,0)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175.05987582828078</v>
      </c>
      <c r="T163" s="62">
        <f t="shared" si="142"/>
        <v>268.54782308462387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projet'!$B$9,Paramètres!$A$1:$I$88,7,0))</f>
        <v>0</v>
      </c>
      <c r="X163" s="17">
        <f>IF(ISNA(VLOOKUP(A163,'Données projet'!$A$35:$I$55,6,0)),0%,VLOOKUP(A163,'Données projet'!$A$35:$I$55,6,0)*VLOOKUP('Données projet'!$B$9,Paramètres!$A$1:$I$88,7,0))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projet'!$B$9,Paramètres!$A$1:$I$88,3,0)*0.475*44/12</f>
        <v>0</v>
      </c>
      <c r="AA163" s="23">
        <f>EXP(-LN(2)/25)*AA162+(1-EXP(-LN(2)/25))/(LN(2)/25)*Calculateur!V163*Calculateur!X163*VLOOKUP('Données projet'!$B$9,Paramètres!$A$1:$I$88,3,0)*0.475*44/12</f>
        <v>0.2800853368315358</v>
      </c>
      <c r="AB163" s="23">
        <f>EXP(-LN(2)/2)*AB162+(1-EXP(-LN(2)/2))/(LN(2)/2)*V163*Y163*VLOOKUP('Données projet'!$B$9,Paramètres!$A$1:$I$88,3,0)*0.475*44/12</f>
        <v>4.4774351004710783E-19</v>
      </c>
      <c r="AC163" s="24">
        <f t="shared" si="163"/>
        <v>0.2800853368315358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-1.5916157281026244E-12</v>
      </c>
      <c r="AJ163" s="14">
        <f>AI163*VLOOKUP('Données projet'!$B$10,Paramètres!$A$1:$I$88,3,0)*VLOOKUP('Données projet'!$B$10,Paramètres!$A$1:$I$88,5,0)</f>
        <v>-7.6556716521736234E-13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576.61210817354549</v>
      </c>
      <c r="AO163" s="62">
        <f t="shared" si="144"/>
        <v>343.9428747444544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projet'!$B$10,Paramètres!$A$1:$I$88,7,0))</f>
        <v>0</v>
      </c>
      <c r="AS163" s="17">
        <f>IF(ISNA(VLOOKUP(A163,'Données projet'!$A$61:$I$81,6,0)),0%,VLOOKUP(A163,'Données projet'!$A$61:$I$81,6,0)*VLOOKUP('Données projet'!$B$10,Paramètres!$A$1:$I$88,7,0))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projet'!$B$10,Paramètres!$A$1:$I$88,3,0)*0.475*44/12</f>
        <v>0</v>
      </c>
      <c r="AV163" s="23">
        <f>EXP(-LN(2)/25)*AV162+(1-EXP(-LN(2)/25))/(LN(2)/25)*Calculateur!AQ163*Calculateur!AS163*VLOOKUP('Données projet'!$B$10,Paramètres!$A$1:$I$88,3,0)*0.475*44/12</f>
        <v>0.15405712940392693</v>
      </c>
      <c r="AW163" s="23">
        <f>EXP(-LN(2)/2)*AW162+(1-EXP(-LN(2)/2))/(LN(2)/2)*AQ163*AT163*VLOOKUP('Données projet'!$B$10,Paramètres!$A$1:$I$88,3,0)*0.475*44/12</f>
        <v>3.1884869848512519E-19</v>
      </c>
      <c r="AX163" s="23">
        <f t="shared" si="166"/>
        <v>0.15405712940392693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-5.6843418860808015E-14</v>
      </c>
      <c r="BE163" s="14">
        <f>BD163*VLOOKUP('Données projet'!$B$11,Paramètres!$A$1:$I$88,3,0)*VLOOKUP('Données projet'!$B$11,Paramètres!$A$1:$I$88,5,0)</f>
        <v>-4.5224624045658861E-14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298.38448036212861</v>
      </c>
      <c r="BJ163" s="62">
        <f t="shared" si="146"/>
        <v>270.4445531106897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projet'!$B$11,Paramètres!$A$1:$I$88,7,0))</f>
        <v>0</v>
      </c>
      <c r="BN163" s="17">
        <f>IF(ISNA(VLOOKUP(A163,'Données projet'!$A$87:$I$107,6,0)),0%,VLOOKUP(A163,'Données projet'!$A$87:$I$107,6,0)*VLOOKUP('Données projet'!$B$11,Paramètres!$A$1:$I$88,7,0))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projet'!$B$11,Paramètres!$A$1:$I$88,3,0)*0.475*44/12</f>
        <v>0</v>
      </c>
      <c r="BQ163" s="23">
        <f>EXP(-LN(2)/25)*BQ162+(1-EXP(-LN(2)/25))/(LN(2)/25)*Calculateur!BL163*Calculateur!BN163*VLOOKUP('Données projet'!$B$11,Paramètres!$A$1:$I$88,3,0)*0.475*44/12</f>
        <v>0</v>
      </c>
      <c r="BR163" s="23">
        <f>EXP(-LN(2)/2)*BR162+(1-EXP(-LN(2)/2))/(LN(2)/2)*BL163*BO163*VLOOKUP('Données projet'!$B$11,Paramètres!$A$1:$I$88,3,0)*0.475*44/12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5.6843418860808015E-14</v>
      </c>
      <c r="BZ163" s="14">
        <f>BY163*VLOOKUP('Données projet'!$B$12,Paramètres!$A$1:$I$88,3,0)*VLOOKUP('Données projet'!$B$12,Paramètres!$A$1:$I$88,5,0)</f>
        <v>4.4337866711430253E-14</v>
      </c>
      <c r="CA163" s="14">
        <f t="shared" si="170"/>
        <v>7.3222115536967035E-13</v>
      </c>
      <c r="CB163" s="22">
        <f t="shared" si="171"/>
        <v>1.3525069634579169E-12</v>
      </c>
      <c r="CC163" s="62">
        <f t="shared" si="119"/>
        <v>293.33333333333468</v>
      </c>
      <c r="CD163" s="62">
        <f ca="1">AVERAGE(OFFSET($CC$3,0,0,'Données projet'!$E$12+1,1))-AVERAGE(OFFSET($H$3,0,0,'Données projet'!$E$12+1,1))</f>
        <v>217.32600829266818</v>
      </c>
      <c r="CE163" s="62">
        <f t="shared" si="148"/>
        <v>208.79744153433245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projet'!$B$12,Paramètres!$A$1:$I$88,7,0))</f>
        <v>0</v>
      </c>
      <c r="CI163" s="17">
        <f>IF(ISNA(VLOOKUP(A163,'Données projet'!$A$113:$I$133,6,0)),0%,VLOOKUP(A163,'Données projet'!$A$113:$I$133,6,0)*VLOOKUP('Données projet'!$B$12,Paramètres!$A$1:$I$88,7,0))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projet'!$B$12,Paramètres!$A$1:$I$88,3,0)*0.475*44/12</f>
        <v>0</v>
      </c>
      <c r="CL163" s="23">
        <f>EXP(-LN(2)/25)*CL162+(1-EXP(-LN(2)/25))/(LN(2)/25)*Calculateur!CG163*Calculateur!CI163*VLOOKUP('Données projet'!$B$12,Paramètres!$A$1:$I$88,3,0)*0.475*44/12</f>
        <v>0</v>
      </c>
      <c r="CM163" s="23">
        <f>EXP(-LN(2)/2)*CM162+(1-EXP(-LN(2)/2))/(LN(2)/2)*CG163*CJ163*VLOOKUP('Données projet'!$B$12,Paramètres!$A$1:$I$88,3,0)*0.475*44/12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-3.4106051316484809E-13</v>
      </c>
      <c r="CU163" s="18">
        <f>CT163*VLOOKUP('Données projet'!$B$13,Paramètres!$A$1:$I$88,3,0)*VLOOKUP('Données projet'!$B$13,Paramètres!$A$1:$I$88,5,0)</f>
        <v>-1.9065282685915009E-13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302.20483575440988</v>
      </c>
      <c r="CZ163" s="62">
        <f t="shared" si="150"/>
        <v>275.32862097158687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projet'!$B$13,Paramètres!$A$1:$I$88,7,0))</f>
        <v>0</v>
      </c>
      <c r="DD163" s="17">
        <f>IF(ISNA(VLOOKUP(A163,'Données projet'!$A$139:$I$159,6,0)),0%,VLOOKUP(A163,'Données projet'!$A$139:$I$159,6,0)*VLOOKUP('Données projet'!$B$13,Paramètres!$A$1:$I$88,7,0))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projet'!$B$13,Paramètres!$A$1:$I$88,3,0)*0.475*44/12</f>
        <v>0</v>
      </c>
      <c r="DG163" s="23">
        <f>EXP(-LN(2)/25)*DG162+(1-EXP(-LN(2)/25))/(LN(2)/25)*Calculateur!DB163*Calculateur!DD163*VLOOKUP('Données projet'!$B$13,Paramètres!$A$1:$I$88,3,0)*0.475*44/12</f>
        <v>0.37616557140154094</v>
      </c>
      <c r="DH163" s="23">
        <f>EXP(-LN(2)/2)*DH162+(1-EXP(-LN(2)/2))/(LN(2)/2)*DB163*DE163*VLOOKUP('Données projet'!$B$13,Paramètres!$A$1:$I$88,3,0)*0.475*44/12</f>
        <v>1.8379632938034427E-19</v>
      </c>
      <c r="DI163" s="24">
        <f t="shared" si="175"/>
        <v>0.37616557140154094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projet'!$B$14,Paramètres!$A$1:$I$88,3,0)*VLOOKUP('Données projet'!$B$14,Paramètres!$A$1:$I$88,5,0)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projet'!$B$14,Paramètres!$A$1:$I$88,7,0))</f>
        <v>0</v>
      </c>
      <c r="DY163" s="17">
        <f>IF(ISNA(VLOOKUP(A163,'Données projet'!$A$165:$I$185,6,0)),0%,VLOOKUP(A163,'Données projet'!$A$165:$I$185,6,0)*VLOOKUP('Données projet'!$B$14,Paramètres!$A$1:$I$88,7,0))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projet'!$B$14,Paramètres!$A$1:$I$88,3,0)*0.475*44/12</f>
        <v>#N/A</v>
      </c>
      <c r="EB163" s="23" t="e">
        <f>EXP(-LN(2)/25)*EB162+(1-EXP(-LN(2)/25))/(LN(2)/25)*Calculateur!DW163*Calculateur!DY163*VLOOKUP('Données projet'!$B$14,Paramètres!$A$1:$I$88,3,0)*0.475*44/12</f>
        <v>#N/A</v>
      </c>
      <c r="EC163" s="23" t="e">
        <f>EXP(-LN(2)/2)*EC162+(1-EXP(-LN(2)/2))/(LN(2)/2)*DW163*DZ163*VLOOKUP('Données projet'!$B$14,Paramètres!$A$1:$I$88,3,0)*0.475*44/12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projet'!$B$15,Paramètres!$A$1:$I$88,3,0)*VLOOKUP('Données projet'!$B$15,Paramètres!$A$1:$I$88,5,0)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projet'!$B$15,Paramètres!$A$1:$I$88,7,0))</f>
        <v>0</v>
      </c>
      <c r="ET163" s="17">
        <f>IF(ISNA(VLOOKUP(A163,'Données projet'!$A$191:$I$211,6,0)),0%,VLOOKUP(A163,'Données projet'!$A$191:$I$211,6,0)*VLOOKUP('Données projet'!$B$15,Paramètres!$A$1:$I$88,7,0))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projet'!$B$15,Paramètres!$A$1:$I$88,3,0)*0.475*44/12</f>
        <v>#N/A</v>
      </c>
      <c r="EW163" s="23" t="e">
        <f>EXP(-LN(2)/25)*EW162+(1-EXP(-LN(2)/25))/(LN(2)/25)*Calculateur!ER163*Calculateur!ET163*VLOOKUP('Données projet'!$B$15,Paramètres!$A$1:$I$88,3,0)*0.475*44/12</f>
        <v>#N/A</v>
      </c>
      <c r="EX163" s="23" t="e">
        <f>EXP(-LN(2)/2)*EX162+(1-EXP(-LN(2)/2))/(LN(2)/2)*ER163*EU163*VLOOKUP('Données projet'!$B$15,Paramètres!$A$1:$I$88,3,0)*0.475*44/12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projet'!$B$16,Paramètres!$A$1:$I$88,3,0)*VLOOKUP('Données projet'!$B$16,Paramètres!$A$1:$I$88,5,0)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projet'!$B$16,Paramètres!$A$1:$I$88,7,0))</f>
        <v>0</v>
      </c>
      <c r="FO163" s="17">
        <f>IF(ISNA(VLOOKUP(A163,'Données projet'!$A$217:$I$237,6,0)),0%,VLOOKUP(A163,'Données projet'!$A$217:$I$237,6,0)*VLOOKUP('Données projet'!$B$16,Paramètres!$A$1:$I$88,7,0))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projet'!$B$16,Paramètres!$A$1:$I$88,3,0)*0.475*44/12</f>
        <v>#N/A</v>
      </c>
      <c r="FR163" s="23" t="e">
        <f>EXP(-LN(2)/25)*FR162+(1-EXP(-LN(2)/25))/(LN(2)/25)*Calculateur!FM163*Calculateur!FO163*VLOOKUP('Données projet'!$B$16,Paramètres!$A$1:$I$88,3,0)*0.475*44/12</f>
        <v>#N/A</v>
      </c>
      <c r="FS163" s="23" t="e">
        <f>EXP(-LN(2)/2)*FS162+(1-EXP(-LN(2)/2))/(LN(2)/2)*FM163*FP163*VLOOKUP('Données projet'!$B$16,Paramètres!$A$1:$I$88,3,0)*0.475*44/12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projet'!$B$17,Paramètres!$A$1:$I$88,3,0)*VLOOKUP('Données projet'!$B$17,Paramètres!$A$1:$I$88,5,0)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projet'!$B$17,Paramètres!$A$1:$I$88,7,0))</f>
        <v>0</v>
      </c>
      <c r="GJ163" s="17">
        <f>IF(ISNA(VLOOKUP(A163,'Données projet'!$A$243:$I$263,6,0)),0%,VLOOKUP(A163,'Données projet'!$A$243:$I$263,6,0)*VLOOKUP('Données projet'!$B$17,Paramètres!$A$1:$I$88,7,0))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projet'!$B$17,Paramètres!$A$1:$I$88,3,0)*0.475*44/12</f>
        <v>#N/A</v>
      </c>
      <c r="GM163" s="23" t="e">
        <f>EXP(-LN(2)/25)*GM162+(1-EXP(-LN(2)/25))/(LN(2)/25)*Calculateur!GH163*Calculateur!GJ163*VLOOKUP('Données projet'!$B$17,Paramètres!$A$1:$I$88,3,0)*0.475*44/12</f>
        <v>#N/A</v>
      </c>
      <c r="GN163" s="23" t="e">
        <f>EXP(-LN(2)/2)*GN162+(1-EXP(-LN(2)/2))/(LN(2)/2)*GH163*GK163*VLOOKUP('Données projet'!$B$17,Paramètres!$A$1:$I$88,3,0)*0.475*44/12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projet'!$B$18,Paramètres!$A$1:$I$88,3,0)*VLOOKUP('Données projet'!$B$18,Paramètres!$A$1:$I$88,5,0)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projet'!$B$18,Paramètres!$A$1:$I$88,7,0))</f>
        <v>0</v>
      </c>
      <c r="HE163" s="17">
        <f>IF(ISNA(VLOOKUP(A163,'Données projet'!$A$269:$I$289,6,0)),0%,VLOOKUP(A163,'Données projet'!$A$269:$I$289,6,0)*VLOOKUP('Données projet'!$B$18,Paramètres!$A$1:$I$88,7,0))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projet'!$B$18,Paramètres!$A$1:$I$88,3,0)*0.475*44/12</f>
        <v>#N/A</v>
      </c>
      <c r="HH163" s="23" t="e">
        <f>EXP(-LN(2)/25)*HH162+(1-EXP(-LN(2)/25))/(LN(2)/25)*Calculateur!HC163*Calculateur!HE163*VLOOKUP('Données projet'!$B$18,Paramètres!$A$1:$I$88,3,0)*0.475*44/12</f>
        <v>#N/A</v>
      </c>
      <c r="HI163" s="23" t="e">
        <f>EXP(-LN(2)/2)*HI162+(1-EXP(-LN(2)/2))/(LN(2)/2)*HC163*HF163*VLOOKUP('Données projet'!$B$18,Paramètres!$A$1:$I$88,3,0)*0.475*44/12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projet'!$B$9,Paramètres!$A$1:$I$88,3,0)*VLOOKUP('Données projet'!$B$9,Paramètres!$A$1:$I$88,5,0)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175.05987582828078</v>
      </c>
      <c r="T164" s="62">
        <f t="shared" si="142"/>
        <v>268.54782308462387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projet'!$B$9,Paramètres!$A$1:$I$88,7,0))</f>
        <v>0</v>
      </c>
      <c r="X164" s="17">
        <f>IF(ISNA(VLOOKUP(A164,'Données projet'!$A$35:$I$55,6,0)),0%,VLOOKUP(A164,'Données projet'!$A$35:$I$55,6,0)*VLOOKUP('Données projet'!$B$9,Paramètres!$A$1:$I$88,7,0))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projet'!$B$9,Paramètres!$A$1:$I$88,3,0)*0.475*44/12</f>
        <v>0</v>
      </c>
      <c r="AA164" s="23">
        <f>EXP(-LN(2)/25)*AA163+(1-EXP(-LN(2)/25))/(LN(2)/25)*Calculateur!V164*Calculateur!X164*VLOOKUP('Données projet'!$B$9,Paramètres!$A$1:$I$88,3,0)*0.475*44/12</f>
        <v>0.27242638856682971</v>
      </c>
      <c r="AB164" s="23">
        <f>EXP(-LN(2)/2)*AB163+(1-EXP(-LN(2)/2))/(LN(2)/2)*V164*Y164*VLOOKUP('Données projet'!$B$9,Paramètres!$A$1:$I$88,3,0)*0.475*44/12</f>
        <v>3.1660247218657702E-19</v>
      </c>
      <c r="AC164" s="24">
        <f t="shared" si="163"/>
        <v>0.27242638856682971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-1.5916157281026244E-12</v>
      </c>
      <c r="AJ164" s="14">
        <f>AI164*VLOOKUP('Données projet'!$B$10,Paramètres!$A$1:$I$88,3,0)*VLOOKUP('Données projet'!$B$10,Paramètres!$A$1:$I$88,5,0)</f>
        <v>-7.6556716521736234E-13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576.61210817354549</v>
      </c>
      <c r="AO164" s="62">
        <f t="shared" si="144"/>
        <v>343.9428747444544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projet'!$B$10,Paramètres!$A$1:$I$88,7,0))</f>
        <v>0</v>
      </c>
      <c r="AS164" s="17">
        <f>IF(ISNA(VLOOKUP(A164,'Données projet'!$A$61:$I$81,6,0)),0%,VLOOKUP(A164,'Données projet'!$A$61:$I$81,6,0)*VLOOKUP('Données projet'!$B$10,Paramètres!$A$1:$I$88,7,0))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projet'!$B$10,Paramètres!$A$1:$I$88,3,0)*0.475*44/12</f>
        <v>0</v>
      </c>
      <c r="AV164" s="23">
        <f>EXP(-LN(2)/25)*AV163+(1-EXP(-LN(2)/25))/(LN(2)/25)*Calculateur!AQ164*Calculateur!AS164*VLOOKUP('Données projet'!$B$10,Paramètres!$A$1:$I$88,3,0)*0.475*44/12</f>
        <v>0.14984442909886422</v>
      </c>
      <c r="AW164" s="23">
        <f>EXP(-LN(2)/2)*AW163+(1-EXP(-LN(2)/2))/(LN(2)/2)*AQ164*AT164*VLOOKUP('Données projet'!$B$10,Paramètres!$A$1:$I$88,3,0)*0.475*44/12</f>
        <v>2.2546007687133688E-19</v>
      </c>
      <c r="AX164" s="23">
        <f t="shared" si="166"/>
        <v>0.14984442909886422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-5.6843418860808015E-14</v>
      </c>
      <c r="BE164" s="14">
        <f>BD164*VLOOKUP('Données projet'!$B$11,Paramètres!$A$1:$I$88,3,0)*VLOOKUP('Données projet'!$B$11,Paramètres!$A$1:$I$88,5,0)</f>
        <v>-4.5224624045658861E-14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298.38448036212861</v>
      </c>
      <c r="BJ164" s="62">
        <f t="shared" si="146"/>
        <v>270.4445531106897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projet'!$B$11,Paramètres!$A$1:$I$88,7,0))</f>
        <v>0</v>
      </c>
      <c r="BN164" s="17">
        <f>IF(ISNA(VLOOKUP(A164,'Données projet'!$A$87:$I$107,6,0)),0%,VLOOKUP(A164,'Données projet'!$A$87:$I$107,6,0)*VLOOKUP('Données projet'!$B$11,Paramètres!$A$1:$I$88,7,0))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projet'!$B$11,Paramètres!$A$1:$I$88,3,0)*0.475*44/12</f>
        <v>0</v>
      </c>
      <c r="BQ164" s="23">
        <f>EXP(-LN(2)/25)*BQ163+(1-EXP(-LN(2)/25))/(LN(2)/25)*Calculateur!BL164*Calculateur!BN164*VLOOKUP('Données projet'!$B$11,Paramètres!$A$1:$I$88,3,0)*0.475*44/12</f>
        <v>0</v>
      </c>
      <c r="BR164" s="23">
        <f>EXP(-LN(2)/2)*BR163+(1-EXP(-LN(2)/2))/(LN(2)/2)*BL164*BO164*VLOOKUP('Données projet'!$B$11,Paramètres!$A$1:$I$88,3,0)*0.475*44/12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5.6843418860808015E-14</v>
      </c>
      <c r="BZ164" s="14">
        <f>BY164*VLOOKUP('Données projet'!$B$12,Paramètres!$A$1:$I$88,3,0)*VLOOKUP('Données projet'!$B$12,Paramètres!$A$1:$I$88,5,0)</f>
        <v>4.4337866711430253E-14</v>
      </c>
      <c r="CA164" s="14">
        <f t="shared" si="170"/>
        <v>7.3222115536967035E-13</v>
      </c>
      <c r="CB164" s="22">
        <f t="shared" si="171"/>
        <v>1.3525069634579169E-12</v>
      </c>
      <c r="CC164" s="62">
        <f t="shared" si="119"/>
        <v>293.33333333333468</v>
      </c>
      <c r="CD164" s="62">
        <f ca="1">AVERAGE(OFFSET($CC$3,0,0,'Données projet'!$E$12+1,1))-AVERAGE(OFFSET($H$3,0,0,'Données projet'!$E$12+1,1))</f>
        <v>217.32600829266818</v>
      </c>
      <c r="CE164" s="62">
        <f t="shared" si="148"/>
        <v>208.79744153433245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projet'!$B$12,Paramètres!$A$1:$I$88,7,0))</f>
        <v>0</v>
      </c>
      <c r="CI164" s="17">
        <f>IF(ISNA(VLOOKUP(A164,'Données projet'!$A$113:$I$133,6,0)),0%,VLOOKUP(A164,'Données projet'!$A$113:$I$133,6,0)*VLOOKUP('Données projet'!$B$12,Paramètres!$A$1:$I$88,7,0))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projet'!$B$12,Paramètres!$A$1:$I$88,3,0)*0.475*44/12</f>
        <v>0</v>
      </c>
      <c r="CL164" s="23">
        <f>EXP(-LN(2)/25)*CL163+(1-EXP(-LN(2)/25))/(LN(2)/25)*Calculateur!CG164*Calculateur!CI164*VLOOKUP('Données projet'!$B$12,Paramètres!$A$1:$I$88,3,0)*0.475*44/12</f>
        <v>0</v>
      </c>
      <c r="CM164" s="23">
        <f>EXP(-LN(2)/2)*CM163+(1-EXP(-LN(2)/2))/(LN(2)/2)*CG164*CJ164*VLOOKUP('Données projet'!$B$12,Paramètres!$A$1:$I$88,3,0)*0.475*44/12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-3.4106051316484809E-13</v>
      </c>
      <c r="CU164" s="18">
        <f>CT164*VLOOKUP('Données projet'!$B$13,Paramètres!$A$1:$I$88,3,0)*VLOOKUP('Données projet'!$B$13,Paramètres!$A$1:$I$88,5,0)</f>
        <v>-1.9065282685915009E-13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302.20483575440988</v>
      </c>
      <c r="CZ164" s="62">
        <f t="shared" si="150"/>
        <v>275.32862097158687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projet'!$B$13,Paramètres!$A$1:$I$88,7,0))</f>
        <v>0</v>
      </c>
      <c r="DD164" s="17">
        <f>IF(ISNA(VLOOKUP(A164,'Données projet'!$A$139:$I$159,6,0)),0%,VLOOKUP(A164,'Données projet'!$A$139:$I$159,6,0)*VLOOKUP('Données projet'!$B$13,Paramètres!$A$1:$I$88,7,0))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projet'!$B$13,Paramètres!$A$1:$I$88,3,0)*0.475*44/12</f>
        <v>0</v>
      </c>
      <c r="DG164" s="23">
        <f>EXP(-LN(2)/25)*DG163+(1-EXP(-LN(2)/25))/(LN(2)/25)*Calculateur!DB164*Calculateur!DD164*VLOOKUP('Données projet'!$B$13,Paramètres!$A$1:$I$88,3,0)*0.475*44/12</f>
        <v>0.36587930406987812</v>
      </c>
      <c r="DH164" s="23">
        <f>EXP(-LN(2)/2)*DH163+(1-EXP(-LN(2)/2))/(LN(2)/2)*DB164*DE164*VLOOKUP('Données projet'!$B$13,Paramètres!$A$1:$I$88,3,0)*0.475*44/12</f>
        <v>1.2996363086203771E-19</v>
      </c>
      <c r="DI164" s="24">
        <f t="shared" si="175"/>
        <v>0.36587930406987812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projet'!$B$14,Paramètres!$A$1:$I$88,3,0)*VLOOKUP('Données projet'!$B$14,Paramètres!$A$1:$I$88,5,0)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projet'!$B$14,Paramètres!$A$1:$I$88,7,0))</f>
        <v>0</v>
      </c>
      <c r="DY164" s="17">
        <f>IF(ISNA(VLOOKUP(A164,'Données projet'!$A$165:$I$185,6,0)),0%,VLOOKUP(A164,'Données projet'!$A$165:$I$185,6,0)*VLOOKUP('Données projet'!$B$14,Paramètres!$A$1:$I$88,7,0))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projet'!$B$14,Paramètres!$A$1:$I$88,3,0)*0.475*44/12</f>
        <v>#N/A</v>
      </c>
      <c r="EB164" s="23" t="e">
        <f>EXP(-LN(2)/25)*EB163+(1-EXP(-LN(2)/25))/(LN(2)/25)*Calculateur!DW164*Calculateur!DY164*VLOOKUP('Données projet'!$B$14,Paramètres!$A$1:$I$88,3,0)*0.475*44/12</f>
        <v>#N/A</v>
      </c>
      <c r="EC164" s="23" t="e">
        <f>EXP(-LN(2)/2)*EC163+(1-EXP(-LN(2)/2))/(LN(2)/2)*DW164*DZ164*VLOOKUP('Données projet'!$B$14,Paramètres!$A$1:$I$88,3,0)*0.475*44/12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projet'!$B$15,Paramètres!$A$1:$I$88,3,0)*VLOOKUP('Données projet'!$B$15,Paramètres!$A$1:$I$88,5,0)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projet'!$B$15,Paramètres!$A$1:$I$88,7,0))</f>
        <v>0</v>
      </c>
      <c r="ET164" s="17">
        <f>IF(ISNA(VLOOKUP(A164,'Données projet'!$A$191:$I$211,6,0)),0%,VLOOKUP(A164,'Données projet'!$A$191:$I$211,6,0)*VLOOKUP('Données projet'!$B$15,Paramètres!$A$1:$I$88,7,0))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projet'!$B$15,Paramètres!$A$1:$I$88,3,0)*0.475*44/12</f>
        <v>#N/A</v>
      </c>
      <c r="EW164" s="23" t="e">
        <f>EXP(-LN(2)/25)*EW163+(1-EXP(-LN(2)/25))/(LN(2)/25)*Calculateur!ER164*Calculateur!ET164*VLOOKUP('Données projet'!$B$15,Paramètres!$A$1:$I$88,3,0)*0.475*44/12</f>
        <v>#N/A</v>
      </c>
      <c r="EX164" s="23" t="e">
        <f>EXP(-LN(2)/2)*EX163+(1-EXP(-LN(2)/2))/(LN(2)/2)*ER164*EU164*VLOOKUP('Données projet'!$B$15,Paramètres!$A$1:$I$88,3,0)*0.475*44/12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projet'!$B$16,Paramètres!$A$1:$I$88,3,0)*VLOOKUP('Données projet'!$B$16,Paramètres!$A$1:$I$88,5,0)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projet'!$B$16,Paramètres!$A$1:$I$88,7,0))</f>
        <v>0</v>
      </c>
      <c r="FO164" s="17">
        <f>IF(ISNA(VLOOKUP(A164,'Données projet'!$A$217:$I$237,6,0)),0%,VLOOKUP(A164,'Données projet'!$A$217:$I$237,6,0)*VLOOKUP('Données projet'!$B$16,Paramètres!$A$1:$I$88,7,0))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projet'!$B$16,Paramètres!$A$1:$I$88,3,0)*0.475*44/12</f>
        <v>#N/A</v>
      </c>
      <c r="FR164" s="23" t="e">
        <f>EXP(-LN(2)/25)*FR163+(1-EXP(-LN(2)/25))/(LN(2)/25)*Calculateur!FM164*Calculateur!FO164*VLOOKUP('Données projet'!$B$16,Paramètres!$A$1:$I$88,3,0)*0.475*44/12</f>
        <v>#N/A</v>
      </c>
      <c r="FS164" s="23" t="e">
        <f>EXP(-LN(2)/2)*FS163+(1-EXP(-LN(2)/2))/(LN(2)/2)*FM164*FP164*VLOOKUP('Données projet'!$B$16,Paramètres!$A$1:$I$88,3,0)*0.475*44/12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projet'!$B$17,Paramètres!$A$1:$I$88,3,0)*VLOOKUP('Données projet'!$B$17,Paramètres!$A$1:$I$88,5,0)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projet'!$B$17,Paramètres!$A$1:$I$88,7,0))</f>
        <v>0</v>
      </c>
      <c r="GJ164" s="17">
        <f>IF(ISNA(VLOOKUP(A164,'Données projet'!$A$243:$I$263,6,0)),0%,VLOOKUP(A164,'Données projet'!$A$243:$I$263,6,0)*VLOOKUP('Données projet'!$B$17,Paramètres!$A$1:$I$88,7,0))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projet'!$B$17,Paramètres!$A$1:$I$88,3,0)*0.475*44/12</f>
        <v>#N/A</v>
      </c>
      <c r="GM164" s="23" t="e">
        <f>EXP(-LN(2)/25)*GM163+(1-EXP(-LN(2)/25))/(LN(2)/25)*Calculateur!GH164*Calculateur!GJ164*VLOOKUP('Données projet'!$B$17,Paramètres!$A$1:$I$88,3,0)*0.475*44/12</f>
        <v>#N/A</v>
      </c>
      <c r="GN164" s="23" t="e">
        <f>EXP(-LN(2)/2)*GN163+(1-EXP(-LN(2)/2))/(LN(2)/2)*GH164*GK164*VLOOKUP('Données projet'!$B$17,Paramètres!$A$1:$I$88,3,0)*0.475*44/12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projet'!$B$18,Paramètres!$A$1:$I$88,3,0)*VLOOKUP('Données projet'!$B$18,Paramètres!$A$1:$I$88,5,0)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projet'!$B$18,Paramètres!$A$1:$I$88,7,0))</f>
        <v>0</v>
      </c>
      <c r="HE164" s="17">
        <f>IF(ISNA(VLOOKUP(A164,'Données projet'!$A$269:$I$289,6,0)),0%,VLOOKUP(A164,'Données projet'!$A$269:$I$289,6,0)*VLOOKUP('Données projet'!$B$18,Paramètres!$A$1:$I$88,7,0))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projet'!$B$18,Paramètres!$A$1:$I$88,3,0)*0.475*44/12</f>
        <v>#N/A</v>
      </c>
      <c r="HH164" s="23" t="e">
        <f>EXP(-LN(2)/25)*HH163+(1-EXP(-LN(2)/25))/(LN(2)/25)*Calculateur!HC164*Calculateur!HE164*VLOOKUP('Données projet'!$B$18,Paramètres!$A$1:$I$88,3,0)*0.475*44/12</f>
        <v>#N/A</v>
      </c>
      <c r="HI164" s="23" t="e">
        <f>EXP(-LN(2)/2)*HI163+(1-EXP(-LN(2)/2))/(LN(2)/2)*HC164*HF164*VLOOKUP('Données projet'!$B$18,Paramètres!$A$1:$I$88,3,0)*0.475*44/12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projet'!$B$9,Paramètres!$A$1:$I$88,3,0)*VLOOKUP('Données projet'!$B$9,Paramètres!$A$1:$I$88,5,0)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175.05987582828078</v>
      </c>
      <c r="T165" s="62">
        <f t="shared" si="142"/>
        <v>268.54782308462387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projet'!$B$9,Paramètres!$A$1:$I$88,7,0))</f>
        <v>0</v>
      </c>
      <c r="X165" s="17">
        <f>IF(ISNA(VLOOKUP(A165,'Données projet'!$A$35:$I$55,6,0)),0%,VLOOKUP(A165,'Données projet'!$A$35:$I$55,6,0)*VLOOKUP('Données projet'!$B$9,Paramètres!$A$1:$I$88,7,0))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projet'!$B$9,Paramètres!$A$1:$I$88,3,0)*0.475*44/12</f>
        <v>0</v>
      </c>
      <c r="AA165" s="23">
        <f>EXP(-LN(2)/25)*AA164+(1-EXP(-LN(2)/25))/(LN(2)/25)*Calculateur!V165*Calculateur!X165*VLOOKUP('Données projet'!$B$9,Paramètres!$A$1:$I$88,3,0)*0.475*44/12</f>
        <v>0.2649768746451886</v>
      </c>
      <c r="AB165" s="23">
        <f>EXP(-LN(2)/2)*AB164+(1-EXP(-LN(2)/2))/(LN(2)/2)*V165*Y165*VLOOKUP('Données projet'!$B$9,Paramètres!$A$1:$I$88,3,0)*0.475*44/12</f>
        <v>2.2387175502355391E-19</v>
      </c>
      <c r="AC165" s="24">
        <f t="shared" si="163"/>
        <v>0.2649768746451886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-1.5916157281026244E-12</v>
      </c>
      <c r="AJ165" s="14">
        <f>AI165*VLOOKUP('Données projet'!$B$10,Paramètres!$A$1:$I$88,3,0)*VLOOKUP('Données projet'!$B$10,Paramètres!$A$1:$I$88,5,0)</f>
        <v>-7.6556716521736234E-13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576.61210817354549</v>
      </c>
      <c r="AO165" s="62">
        <f t="shared" si="144"/>
        <v>343.9428747444544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projet'!$B$10,Paramètres!$A$1:$I$88,7,0))</f>
        <v>0</v>
      </c>
      <c r="AS165" s="17">
        <f>IF(ISNA(VLOOKUP(A165,'Données projet'!$A$61:$I$81,6,0)),0%,VLOOKUP(A165,'Données projet'!$A$61:$I$81,6,0)*VLOOKUP('Données projet'!$B$10,Paramètres!$A$1:$I$88,7,0))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projet'!$B$10,Paramètres!$A$1:$I$88,3,0)*0.475*44/12</f>
        <v>0</v>
      </c>
      <c r="AV165" s="23">
        <f>EXP(-LN(2)/25)*AV164+(1-EXP(-LN(2)/25))/(LN(2)/25)*Calculateur!AQ165*Calculateur!AS165*VLOOKUP('Données projet'!$B$10,Paramètres!$A$1:$I$88,3,0)*0.475*44/12</f>
        <v>0.14574692530517974</v>
      </c>
      <c r="AW165" s="23">
        <f>EXP(-LN(2)/2)*AW164+(1-EXP(-LN(2)/2))/(LN(2)/2)*AQ165*AT165*VLOOKUP('Données projet'!$B$10,Paramètres!$A$1:$I$88,3,0)*0.475*44/12</f>
        <v>1.594243492425626E-19</v>
      </c>
      <c r="AX165" s="23">
        <f t="shared" si="166"/>
        <v>0.14574692530517974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-5.6843418860808015E-14</v>
      </c>
      <c r="BE165" s="14">
        <f>BD165*VLOOKUP('Données projet'!$B$11,Paramètres!$A$1:$I$88,3,0)*VLOOKUP('Données projet'!$B$11,Paramètres!$A$1:$I$88,5,0)</f>
        <v>-4.5224624045658861E-14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298.38448036212861</v>
      </c>
      <c r="BJ165" s="62">
        <f t="shared" si="146"/>
        <v>270.4445531106897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projet'!$B$11,Paramètres!$A$1:$I$88,7,0))</f>
        <v>0</v>
      </c>
      <c r="BN165" s="17">
        <f>IF(ISNA(VLOOKUP(A165,'Données projet'!$A$87:$I$107,6,0)),0%,VLOOKUP(A165,'Données projet'!$A$87:$I$107,6,0)*VLOOKUP('Données projet'!$B$11,Paramètres!$A$1:$I$88,7,0))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projet'!$B$11,Paramètres!$A$1:$I$88,3,0)*0.475*44/12</f>
        <v>0</v>
      </c>
      <c r="BQ165" s="23">
        <f>EXP(-LN(2)/25)*BQ164+(1-EXP(-LN(2)/25))/(LN(2)/25)*Calculateur!BL165*Calculateur!BN165*VLOOKUP('Données projet'!$B$11,Paramètres!$A$1:$I$88,3,0)*0.475*44/12</f>
        <v>0</v>
      </c>
      <c r="BR165" s="23">
        <f>EXP(-LN(2)/2)*BR164+(1-EXP(-LN(2)/2))/(LN(2)/2)*BL165*BO165*VLOOKUP('Données projet'!$B$11,Paramètres!$A$1:$I$88,3,0)*0.475*44/12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5.6843418860808015E-14</v>
      </c>
      <c r="BZ165" s="14">
        <f>BY165*VLOOKUP('Données projet'!$B$12,Paramètres!$A$1:$I$88,3,0)*VLOOKUP('Données projet'!$B$12,Paramètres!$A$1:$I$88,5,0)</f>
        <v>4.4337866711430253E-14</v>
      </c>
      <c r="CA165" s="14">
        <f t="shared" si="170"/>
        <v>7.3222115536967035E-13</v>
      </c>
      <c r="CB165" s="22">
        <f t="shared" si="171"/>
        <v>1.3525069634579169E-12</v>
      </c>
      <c r="CC165" s="62">
        <f t="shared" si="119"/>
        <v>293.33333333333468</v>
      </c>
      <c r="CD165" s="62">
        <f ca="1">AVERAGE(OFFSET($CC$3,0,0,'Données projet'!$E$12+1,1))-AVERAGE(OFFSET($H$3,0,0,'Données projet'!$E$12+1,1))</f>
        <v>217.32600829266818</v>
      </c>
      <c r="CE165" s="62">
        <f t="shared" si="148"/>
        <v>208.79744153433245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projet'!$B$12,Paramètres!$A$1:$I$88,7,0))</f>
        <v>0</v>
      </c>
      <c r="CI165" s="17">
        <f>IF(ISNA(VLOOKUP(A165,'Données projet'!$A$113:$I$133,6,0)),0%,VLOOKUP(A165,'Données projet'!$A$113:$I$133,6,0)*VLOOKUP('Données projet'!$B$12,Paramètres!$A$1:$I$88,7,0))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projet'!$B$12,Paramètres!$A$1:$I$88,3,0)*0.475*44/12</f>
        <v>0</v>
      </c>
      <c r="CL165" s="23">
        <f>EXP(-LN(2)/25)*CL164+(1-EXP(-LN(2)/25))/(LN(2)/25)*Calculateur!CG165*Calculateur!CI165*VLOOKUP('Données projet'!$B$12,Paramètres!$A$1:$I$88,3,0)*0.475*44/12</f>
        <v>0</v>
      </c>
      <c r="CM165" s="23">
        <f>EXP(-LN(2)/2)*CM164+(1-EXP(-LN(2)/2))/(LN(2)/2)*CG165*CJ165*VLOOKUP('Données projet'!$B$12,Paramètres!$A$1:$I$88,3,0)*0.475*44/12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-3.4106051316484809E-13</v>
      </c>
      <c r="CU165" s="18">
        <f>CT165*VLOOKUP('Données projet'!$B$13,Paramètres!$A$1:$I$88,3,0)*VLOOKUP('Données projet'!$B$13,Paramètres!$A$1:$I$88,5,0)</f>
        <v>-1.9065282685915009E-13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302.20483575440988</v>
      </c>
      <c r="CZ165" s="62">
        <f t="shared" si="150"/>
        <v>275.32862097158687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projet'!$B$13,Paramètres!$A$1:$I$88,7,0))</f>
        <v>0</v>
      </c>
      <c r="DD165" s="17">
        <f>IF(ISNA(VLOOKUP(A165,'Données projet'!$A$139:$I$159,6,0)),0%,VLOOKUP(A165,'Données projet'!$A$139:$I$159,6,0)*VLOOKUP('Données projet'!$B$13,Paramètres!$A$1:$I$88,7,0))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projet'!$B$13,Paramètres!$A$1:$I$88,3,0)*0.475*44/12</f>
        <v>0</v>
      </c>
      <c r="DG165" s="23">
        <f>EXP(-LN(2)/25)*DG164+(1-EXP(-LN(2)/25))/(LN(2)/25)*Calculateur!DB165*Calculateur!DD165*VLOOKUP('Données projet'!$B$13,Paramètres!$A$1:$I$88,3,0)*0.475*44/12</f>
        <v>0.35587431525933094</v>
      </c>
      <c r="DH165" s="23">
        <f>EXP(-LN(2)/2)*DH164+(1-EXP(-LN(2)/2))/(LN(2)/2)*DB165*DE165*VLOOKUP('Données projet'!$B$13,Paramètres!$A$1:$I$88,3,0)*0.475*44/12</f>
        <v>9.1898164690172135E-20</v>
      </c>
      <c r="DI165" s="24">
        <f t="shared" si="175"/>
        <v>0.35587431525933094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projet'!$B$14,Paramètres!$A$1:$I$88,3,0)*VLOOKUP('Données projet'!$B$14,Paramètres!$A$1:$I$88,5,0)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projet'!$B$14,Paramètres!$A$1:$I$88,7,0))</f>
        <v>0</v>
      </c>
      <c r="DY165" s="17">
        <f>IF(ISNA(VLOOKUP(A165,'Données projet'!$A$165:$I$185,6,0)),0%,VLOOKUP(A165,'Données projet'!$A$165:$I$185,6,0)*VLOOKUP('Données projet'!$B$14,Paramètres!$A$1:$I$88,7,0))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projet'!$B$14,Paramètres!$A$1:$I$88,3,0)*0.475*44/12</f>
        <v>#N/A</v>
      </c>
      <c r="EB165" s="23" t="e">
        <f>EXP(-LN(2)/25)*EB164+(1-EXP(-LN(2)/25))/(LN(2)/25)*Calculateur!DW165*Calculateur!DY165*VLOOKUP('Données projet'!$B$14,Paramètres!$A$1:$I$88,3,0)*0.475*44/12</f>
        <v>#N/A</v>
      </c>
      <c r="EC165" s="23" t="e">
        <f>EXP(-LN(2)/2)*EC164+(1-EXP(-LN(2)/2))/(LN(2)/2)*DW165*DZ165*VLOOKUP('Données projet'!$B$14,Paramètres!$A$1:$I$88,3,0)*0.475*44/12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projet'!$B$15,Paramètres!$A$1:$I$88,3,0)*VLOOKUP('Données projet'!$B$15,Paramètres!$A$1:$I$88,5,0)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projet'!$B$15,Paramètres!$A$1:$I$88,7,0))</f>
        <v>0</v>
      </c>
      <c r="ET165" s="17">
        <f>IF(ISNA(VLOOKUP(A165,'Données projet'!$A$191:$I$211,6,0)),0%,VLOOKUP(A165,'Données projet'!$A$191:$I$211,6,0)*VLOOKUP('Données projet'!$B$15,Paramètres!$A$1:$I$88,7,0))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projet'!$B$15,Paramètres!$A$1:$I$88,3,0)*0.475*44/12</f>
        <v>#N/A</v>
      </c>
      <c r="EW165" s="23" t="e">
        <f>EXP(-LN(2)/25)*EW164+(1-EXP(-LN(2)/25))/(LN(2)/25)*Calculateur!ER165*Calculateur!ET165*VLOOKUP('Données projet'!$B$15,Paramètres!$A$1:$I$88,3,0)*0.475*44/12</f>
        <v>#N/A</v>
      </c>
      <c r="EX165" s="23" t="e">
        <f>EXP(-LN(2)/2)*EX164+(1-EXP(-LN(2)/2))/(LN(2)/2)*ER165*EU165*VLOOKUP('Données projet'!$B$15,Paramètres!$A$1:$I$88,3,0)*0.475*44/12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projet'!$B$16,Paramètres!$A$1:$I$88,3,0)*VLOOKUP('Données projet'!$B$16,Paramètres!$A$1:$I$88,5,0)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projet'!$B$16,Paramètres!$A$1:$I$88,7,0))</f>
        <v>0</v>
      </c>
      <c r="FO165" s="17">
        <f>IF(ISNA(VLOOKUP(A165,'Données projet'!$A$217:$I$237,6,0)),0%,VLOOKUP(A165,'Données projet'!$A$217:$I$237,6,0)*VLOOKUP('Données projet'!$B$16,Paramètres!$A$1:$I$88,7,0))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projet'!$B$16,Paramètres!$A$1:$I$88,3,0)*0.475*44/12</f>
        <v>#N/A</v>
      </c>
      <c r="FR165" s="23" t="e">
        <f>EXP(-LN(2)/25)*FR164+(1-EXP(-LN(2)/25))/(LN(2)/25)*Calculateur!FM165*Calculateur!FO165*VLOOKUP('Données projet'!$B$16,Paramètres!$A$1:$I$88,3,0)*0.475*44/12</f>
        <v>#N/A</v>
      </c>
      <c r="FS165" s="23" t="e">
        <f>EXP(-LN(2)/2)*FS164+(1-EXP(-LN(2)/2))/(LN(2)/2)*FM165*FP165*VLOOKUP('Données projet'!$B$16,Paramètres!$A$1:$I$88,3,0)*0.475*44/12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projet'!$B$17,Paramètres!$A$1:$I$88,3,0)*VLOOKUP('Données projet'!$B$17,Paramètres!$A$1:$I$88,5,0)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projet'!$B$17,Paramètres!$A$1:$I$88,7,0))</f>
        <v>0</v>
      </c>
      <c r="GJ165" s="17">
        <f>IF(ISNA(VLOOKUP(A165,'Données projet'!$A$243:$I$263,6,0)),0%,VLOOKUP(A165,'Données projet'!$A$243:$I$263,6,0)*VLOOKUP('Données projet'!$B$17,Paramètres!$A$1:$I$88,7,0))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projet'!$B$17,Paramètres!$A$1:$I$88,3,0)*0.475*44/12</f>
        <v>#N/A</v>
      </c>
      <c r="GM165" s="23" t="e">
        <f>EXP(-LN(2)/25)*GM164+(1-EXP(-LN(2)/25))/(LN(2)/25)*Calculateur!GH165*Calculateur!GJ165*VLOOKUP('Données projet'!$B$17,Paramètres!$A$1:$I$88,3,0)*0.475*44/12</f>
        <v>#N/A</v>
      </c>
      <c r="GN165" s="23" t="e">
        <f>EXP(-LN(2)/2)*GN164+(1-EXP(-LN(2)/2))/(LN(2)/2)*GH165*GK165*VLOOKUP('Données projet'!$B$17,Paramètres!$A$1:$I$88,3,0)*0.475*44/12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projet'!$B$18,Paramètres!$A$1:$I$88,3,0)*VLOOKUP('Données projet'!$B$18,Paramètres!$A$1:$I$88,5,0)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projet'!$B$18,Paramètres!$A$1:$I$88,7,0))</f>
        <v>0</v>
      </c>
      <c r="HE165" s="17">
        <f>IF(ISNA(VLOOKUP(A165,'Données projet'!$A$269:$I$289,6,0)),0%,VLOOKUP(A165,'Données projet'!$A$269:$I$289,6,0)*VLOOKUP('Données projet'!$B$18,Paramètres!$A$1:$I$88,7,0))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projet'!$B$18,Paramètres!$A$1:$I$88,3,0)*0.475*44/12</f>
        <v>#N/A</v>
      </c>
      <c r="HH165" s="23" t="e">
        <f>EXP(-LN(2)/25)*HH164+(1-EXP(-LN(2)/25))/(LN(2)/25)*Calculateur!HC165*Calculateur!HE165*VLOOKUP('Données projet'!$B$18,Paramètres!$A$1:$I$88,3,0)*0.475*44/12</f>
        <v>#N/A</v>
      </c>
      <c r="HI165" s="23" t="e">
        <f>EXP(-LN(2)/2)*HI164+(1-EXP(-LN(2)/2))/(LN(2)/2)*HC165*HF165*VLOOKUP('Données projet'!$B$18,Paramètres!$A$1:$I$88,3,0)*0.475*44/12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projet'!$B$9,Paramètres!$A$1:$I$88,3,0)*VLOOKUP('Données projet'!$B$9,Paramètres!$A$1:$I$88,5,0)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175.05987582828078</v>
      </c>
      <c r="T166" s="62">
        <f t="shared" si="142"/>
        <v>268.54782308462387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projet'!$B$9,Paramètres!$A$1:$I$88,7,0))</f>
        <v>0</v>
      </c>
      <c r="X166" s="17">
        <f>IF(ISNA(VLOOKUP(A166,'Données projet'!$A$35:$I$55,6,0)),0%,VLOOKUP(A166,'Données projet'!$A$35:$I$55,6,0)*VLOOKUP('Données projet'!$B$9,Paramètres!$A$1:$I$88,7,0))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projet'!$B$9,Paramètres!$A$1:$I$88,3,0)*0.475*44/12</f>
        <v>0</v>
      </c>
      <c r="AA166" s="23">
        <f>EXP(-LN(2)/25)*AA165+(1-EXP(-LN(2)/25))/(LN(2)/25)*Calculateur!V166*Calculateur!X166*VLOOKUP('Données projet'!$B$9,Paramètres!$A$1:$I$88,3,0)*0.475*44/12</f>
        <v>0.25773106807348767</v>
      </c>
      <c r="AB166" s="23">
        <f>EXP(-LN(2)/2)*AB165+(1-EXP(-LN(2)/2))/(LN(2)/2)*V166*Y166*VLOOKUP('Données projet'!$B$9,Paramètres!$A$1:$I$88,3,0)*0.475*44/12</f>
        <v>1.5830123609328851E-19</v>
      </c>
      <c r="AC166" s="24">
        <f t="shared" si="163"/>
        <v>0.25773106807348767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-1.5916157281026244E-12</v>
      </c>
      <c r="AJ166" s="14">
        <f>AI166*VLOOKUP('Données projet'!$B$10,Paramètres!$A$1:$I$88,3,0)*VLOOKUP('Données projet'!$B$10,Paramètres!$A$1:$I$88,5,0)</f>
        <v>-7.6556716521736234E-13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576.61210817354549</v>
      </c>
      <c r="AO166" s="62">
        <f t="shared" si="144"/>
        <v>343.9428747444544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projet'!$B$10,Paramètres!$A$1:$I$88,7,0))</f>
        <v>0</v>
      </c>
      <c r="AS166" s="17">
        <f>IF(ISNA(VLOOKUP(A166,'Données projet'!$A$61:$I$81,6,0)),0%,VLOOKUP(A166,'Données projet'!$A$61:$I$81,6,0)*VLOOKUP('Données projet'!$B$10,Paramètres!$A$1:$I$88,7,0))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projet'!$B$10,Paramètres!$A$1:$I$88,3,0)*0.475*44/12</f>
        <v>0</v>
      </c>
      <c r="AV166" s="23">
        <f>EXP(-LN(2)/25)*AV165+(1-EXP(-LN(2)/25))/(LN(2)/25)*Calculateur!AQ166*Calculateur!AS166*VLOOKUP('Données projet'!$B$10,Paramètres!$A$1:$I$88,3,0)*0.475*44/12</f>
        <v>0.1417614679682119</v>
      </c>
      <c r="AW166" s="23">
        <f>EXP(-LN(2)/2)*AW165+(1-EXP(-LN(2)/2))/(LN(2)/2)*AQ166*AT166*VLOOKUP('Données projet'!$B$10,Paramètres!$A$1:$I$88,3,0)*0.475*44/12</f>
        <v>1.1273003843566844E-19</v>
      </c>
      <c r="AX166" s="23">
        <f t="shared" si="166"/>
        <v>0.1417614679682119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-5.6843418860808015E-14</v>
      </c>
      <c r="BE166" s="14">
        <f>BD166*VLOOKUP('Données projet'!$B$11,Paramètres!$A$1:$I$88,3,0)*VLOOKUP('Données projet'!$B$11,Paramètres!$A$1:$I$88,5,0)</f>
        <v>-4.5224624045658861E-14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298.38448036212861</v>
      </c>
      <c r="BJ166" s="62">
        <f t="shared" si="146"/>
        <v>270.4445531106897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projet'!$B$11,Paramètres!$A$1:$I$88,7,0))</f>
        <v>0</v>
      </c>
      <c r="BN166" s="17">
        <f>IF(ISNA(VLOOKUP(A166,'Données projet'!$A$87:$I$107,6,0)),0%,VLOOKUP(A166,'Données projet'!$A$87:$I$107,6,0)*VLOOKUP('Données projet'!$B$11,Paramètres!$A$1:$I$88,7,0))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projet'!$B$11,Paramètres!$A$1:$I$88,3,0)*0.475*44/12</f>
        <v>0</v>
      </c>
      <c r="BQ166" s="23">
        <f>EXP(-LN(2)/25)*BQ165+(1-EXP(-LN(2)/25))/(LN(2)/25)*Calculateur!BL166*Calculateur!BN166*VLOOKUP('Données projet'!$B$11,Paramètres!$A$1:$I$88,3,0)*0.475*44/12</f>
        <v>0</v>
      </c>
      <c r="BR166" s="23">
        <f>EXP(-LN(2)/2)*BR165+(1-EXP(-LN(2)/2))/(LN(2)/2)*BL166*BO166*VLOOKUP('Données projet'!$B$11,Paramètres!$A$1:$I$88,3,0)*0.475*44/12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5.6843418860808015E-14</v>
      </c>
      <c r="BZ166" s="14">
        <f>BY166*VLOOKUP('Données projet'!$B$12,Paramètres!$A$1:$I$88,3,0)*VLOOKUP('Données projet'!$B$12,Paramètres!$A$1:$I$88,5,0)</f>
        <v>4.4337866711430253E-14</v>
      </c>
      <c r="CA166" s="14">
        <f t="shared" si="170"/>
        <v>7.3222115536967035E-13</v>
      </c>
      <c r="CB166" s="22">
        <f t="shared" si="171"/>
        <v>1.3525069634579169E-12</v>
      </c>
      <c r="CC166" s="62">
        <f t="shared" si="119"/>
        <v>293.33333333333468</v>
      </c>
      <c r="CD166" s="62">
        <f ca="1">AVERAGE(OFFSET($CC$3,0,0,'Données projet'!$E$12+1,1))-AVERAGE(OFFSET($H$3,0,0,'Données projet'!$E$12+1,1))</f>
        <v>217.32600829266818</v>
      </c>
      <c r="CE166" s="62">
        <f t="shared" si="148"/>
        <v>208.79744153433245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projet'!$B$12,Paramètres!$A$1:$I$88,7,0))</f>
        <v>0</v>
      </c>
      <c r="CI166" s="17">
        <f>IF(ISNA(VLOOKUP(A166,'Données projet'!$A$113:$I$133,6,0)),0%,VLOOKUP(A166,'Données projet'!$A$113:$I$133,6,0)*VLOOKUP('Données projet'!$B$12,Paramètres!$A$1:$I$88,7,0))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projet'!$B$12,Paramètres!$A$1:$I$88,3,0)*0.475*44/12</f>
        <v>0</v>
      </c>
      <c r="CL166" s="23">
        <f>EXP(-LN(2)/25)*CL165+(1-EXP(-LN(2)/25))/(LN(2)/25)*Calculateur!CG166*Calculateur!CI166*VLOOKUP('Données projet'!$B$12,Paramètres!$A$1:$I$88,3,0)*0.475*44/12</f>
        <v>0</v>
      </c>
      <c r="CM166" s="23">
        <f>EXP(-LN(2)/2)*CM165+(1-EXP(-LN(2)/2))/(LN(2)/2)*CG166*CJ166*VLOOKUP('Données projet'!$B$12,Paramètres!$A$1:$I$88,3,0)*0.475*44/12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-3.4106051316484809E-13</v>
      </c>
      <c r="CU166" s="18">
        <f>CT166*VLOOKUP('Données projet'!$B$13,Paramètres!$A$1:$I$88,3,0)*VLOOKUP('Données projet'!$B$13,Paramètres!$A$1:$I$88,5,0)</f>
        <v>-1.9065282685915009E-13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302.20483575440988</v>
      </c>
      <c r="CZ166" s="62">
        <f t="shared" si="150"/>
        <v>275.32862097158687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projet'!$B$13,Paramètres!$A$1:$I$88,7,0))</f>
        <v>0</v>
      </c>
      <c r="DD166" s="17">
        <f>IF(ISNA(VLOOKUP(A166,'Données projet'!$A$139:$I$159,6,0)),0%,VLOOKUP(A166,'Données projet'!$A$139:$I$159,6,0)*VLOOKUP('Données projet'!$B$13,Paramètres!$A$1:$I$88,7,0))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projet'!$B$13,Paramètres!$A$1:$I$88,3,0)*0.475*44/12</f>
        <v>0</v>
      </c>
      <c r="DG166" s="23">
        <f>EXP(-LN(2)/25)*DG165+(1-EXP(-LN(2)/25))/(LN(2)/25)*Calculateur!DB166*Calculateur!DD166*VLOOKUP('Données projet'!$B$13,Paramètres!$A$1:$I$88,3,0)*0.475*44/12</f>
        <v>0.34614291339394765</v>
      </c>
      <c r="DH166" s="23">
        <f>EXP(-LN(2)/2)*DH165+(1-EXP(-LN(2)/2))/(LN(2)/2)*DB166*DE166*VLOOKUP('Données projet'!$B$13,Paramètres!$A$1:$I$88,3,0)*0.475*44/12</f>
        <v>6.4981815431018855E-20</v>
      </c>
      <c r="DI166" s="24">
        <f t="shared" si="175"/>
        <v>0.34614291339394765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projet'!$B$14,Paramètres!$A$1:$I$88,3,0)*VLOOKUP('Données projet'!$B$14,Paramètres!$A$1:$I$88,5,0)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projet'!$B$14,Paramètres!$A$1:$I$88,7,0))</f>
        <v>0</v>
      </c>
      <c r="DY166" s="17">
        <f>IF(ISNA(VLOOKUP(A166,'Données projet'!$A$165:$I$185,6,0)),0%,VLOOKUP(A166,'Données projet'!$A$165:$I$185,6,0)*VLOOKUP('Données projet'!$B$14,Paramètres!$A$1:$I$88,7,0))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projet'!$B$14,Paramètres!$A$1:$I$88,3,0)*0.475*44/12</f>
        <v>#N/A</v>
      </c>
      <c r="EB166" s="23" t="e">
        <f>EXP(-LN(2)/25)*EB165+(1-EXP(-LN(2)/25))/(LN(2)/25)*Calculateur!DW166*Calculateur!DY166*VLOOKUP('Données projet'!$B$14,Paramètres!$A$1:$I$88,3,0)*0.475*44/12</f>
        <v>#N/A</v>
      </c>
      <c r="EC166" s="23" t="e">
        <f>EXP(-LN(2)/2)*EC165+(1-EXP(-LN(2)/2))/(LN(2)/2)*DW166*DZ166*VLOOKUP('Données projet'!$B$14,Paramètres!$A$1:$I$88,3,0)*0.475*44/12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projet'!$B$15,Paramètres!$A$1:$I$88,3,0)*VLOOKUP('Données projet'!$B$15,Paramètres!$A$1:$I$88,5,0)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projet'!$B$15,Paramètres!$A$1:$I$88,7,0))</f>
        <v>0</v>
      </c>
      <c r="ET166" s="17">
        <f>IF(ISNA(VLOOKUP(A166,'Données projet'!$A$191:$I$211,6,0)),0%,VLOOKUP(A166,'Données projet'!$A$191:$I$211,6,0)*VLOOKUP('Données projet'!$B$15,Paramètres!$A$1:$I$88,7,0))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projet'!$B$15,Paramètres!$A$1:$I$88,3,0)*0.475*44/12</f>
        <v>#N/A</v>
      </c>
      <c r="EW166" s="23" t="e">
        <f>EXP(-LN(2)/25)*EW165+(1-EXP(-LN(2)/25))/(LN(2)/25)*Calculateur!ER166*Calculateur!ET166*VLOOKUP('Données projet'!$B$15,Paramètres!$A$1:$I$88,3,0)*0.475*44/12</f>
        <v>#N/A</v>
      </c>
      <c r="EX166" s="23" t="e">
        <f>EXP(-LN(2)/2)*EX165+(1-EXP(-LN(2)/2))/(LN(2)/2)*ER166*EU166*VLOOKUP('Données projet'!$B$15,Paramètres!$A$1:$I$88,3,0)*0.475*44/12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projet'!$B$16,Paramètres!$A$1:$I$88,3,0)*VLOOKUP('Données projet'!$B$16,Paramètres!$A$1:$I$88,5,0)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projet'!$B$16,Paramètres!$A$1:$I$88,7,0))</f>
        <v>0</v>
      </c>
      <c r="FO166" s="17">
        <f>IF(ISNA(VLOOKUP(A166,'Données projet'!$A$217:$I$237,6,0)),0%,VLOOKUP(A166,'Données projet'!$A$217:$I$237,6,0)*VLOOKUP('Données projet'!$B$16,Paramètres!$A$1:$I$88,7,0))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projet'!$B$16,Paramètres!$A$1:$I$88,3,0)*0.475*44/12</f>
        <v>#N/A</v>
      </c>
      <c r="FR166" s="23" t="e">
        <f>EXP(-LN(2)/25)*FR165+(1-EXP(-LN(2)/25))/(LN(2)/25)*Calculateur!FM166*Calculateur!FO166*VLOOKUP('Données projet'!$B$16,Paramètres!$A$1:$I$88,3,0)*0.475*44/12</f>
        <v>#N/A</v>
      </c>
      <c r="FS166" s="23" t="e">
        <f>EXP(-LN(2)/2)*FS165+(1-EXP(-LN(2)/2))/(LN(2)/2)*FM166*FP166*VLOOKUP('Données projet'!$B$16,Paramètres!$A$1:$I$88,3,0)*0.475*44/12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projet'!$B$17,Paramètres!$A$1:$I$88,3,0)*VLOOKUP('Données projet'!$B$17,Paramètres!$A$1:$I$88,5,0)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projet'!$B$17,Paramètres!$A$1:$I$88,7,0))</f>
        <v>0</v>
      </c>
      <c r="GJ166" s="17">
        <f>IF(ISNA(VLOOKUP(A166,'Données projet'!$A$243:$I$263,6,0)),0%,VLOOKUP(A166,'Données projet'!$A$243:$I$263,6,0)*VLOOKUP('Données projet'!$B$17,Paramètres!$A$1:$I$88,7,0))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projet'!$B$17,Paramètres!$A$1:$I$88,3,0)*0.475*44/12</f>
        <v>#N/A</v>
      </c>
      <c r="GM166" s="23" t="e">
        <f>EXP(-LN(2)/25)*GM165+(1-EXP(-LN(2)/25))/(LN(2)/25)*Calculateur!GH166*Calculateur!GJ166*VLOOKUP('Données projet'!$B$17,Paramètres!$A$1:$I$88,3,0)*0.475*44/12</f>
        <v>#N/A</v>
      </c>
      <c r="GN166" s="23" t="e">
        <f>EXP(-LN(2)/2)*GN165+(1-EXP(-LN(2)/2))/(LN(2)/2)*GH166*GK166*VLOOKUP('Données projet'!$B$17,Paramètres!$A$1:$I$88,3,0)*0.475*44/12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projet'!$B$18,Paramètres!$A$1:$I$88,3,0)*VLOOKUP('Données projet'!$B$18,Paramètres!$A$1:$I$88,5,0)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projet'!$B$18,Paramètres!$A$1:$I$88,7,0))</f>
        <v>0</v>
      </c>
      <c r="HE166" s="17">
        <f>IF(ISNA(VLOOKUP(A166,'Données projet'!$A$269:$I$289,6,0)),0%,VLOOKUP(A166,'Données projet'!$A$269:$I$289,6,0)*VLOOKUP('Données projet'!$B$18,Paramètres!$A$1:$I$88,7,0))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projet'!$B$18,Paramètres!$A$1:$I$88,3,0)*0.475*44/12</f>
        <v>#N/A</v>
      </c>
      <c r="HH166" s="23" t="e">
        <f>EXP(-LN(2)/25)*HH165+(1-EXP(-LN(2)/25))/(LN(2)/25)*Calculateur!HC166*Calculateur!HE166*VLOOKUP('Données projet'!$B$18,Paramètres!$A$1:$I$88,3,0)*0.475*44/12</f>
        <v>#N/A</v>
      </c>
      <c r="HI166" s="23" t="e">
        <f>EXP(-LN(2)/2)*HI165+(1-EXP(-LN(2)/2))/(LN(2)/2)*HC166*HF166*VLOOKUP('Données projet'!$B$18,Paramètres!$A$1:$I$88,3,0)*0.475*44/12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projet'!$B$9,Paramètres!$A$1:$I$88,3,0)*VLOOKUP('Données projet'!$B$9,Paramètres!$A$1:$I$88,5,0)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175.05987582828078</v>
      </c>
      <c r="T167" s="62">
        <f t="shared" si="142"/>
        <v>268.54782308462387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projet'!$B$9,Paramètres!$A$1:$I$88,7,0))</f>
        <v>0</v>
      </c>
      <c r="X167" s="17">
        <f>IF(ISNA(VLOOKUP(A167,'Données projet'!$A$35:$I$55,6,0)),0%,VLOOKUP(A167,'Données projet'!$A$35:$I$55,6,0)*VLOOKUP('Données projet'!$B$9,Paramètres!$A$1:$I$88,7,0))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projet'!$B$9,Paramètres!$A$1:$I$88,3,0)*0.475*44/12</f>
        <v>0</v>
      </c>
      <c r="AA167" s="23">
        <f>EXP(-LN(2)/25)*AA166+(1-EXP(-LN(2)/25))/(LN(2)/25)*Calculateur!V167*Calculateur!X167*VLOOKUP('Données projet'!$B$9,Paramètres!$A$1:$I$88,3,0)*0.475*44/12</f>
        <v>0.25068339846353033</v>
      </c>
      <c r="AB167" s="23">
        <f>EXP(-LN(2)/2)*AB166+(1-EXP(-LN(2)/2))/(LN(2)/2)*V167*Y167*VLOOKUP('Données projet'!$B$9,Paramètres!$A$1:$I$88,3,0)*0.475*44/12</f>
        <v>1.1193587751177696E-19</v>
      </c>
      <c r="AC167" s="24">
        <f t="shared" si="163"/>
        <v>0.25068339846353033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-1.5916157281026244E-12</v>
      </c>
      <c r="AJ167" s="14">
        <f>AI167*VLOOKUP('Données projet'!$B$10,Paramètres!$A$1:$I$88,3,0)*VLOOKUP('Données projet'!$B$10,Paramètres!$A$1:$I$88,5,0)</f>
        <v>-7.6556716521736234E-13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576.61210817354549</v>
      </c>
      <c r="AO167" s="62">
        <f t="shared" si="144"/>
        <v>343.9428747444544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projet'!$B$10,Paramètres!$A$1:$I$88,7,0))</f>
        <v>0</v>
      </c>
      <c r="AS167" s="17">
        <f>IF(ISNA(VLOOKUP(A167,'Données projet'!$A$61:$I$81,6,0)),0%,VLOOKUP(A167,'Données projet'!$A$61:$I$81,6,0)*VLOOKUP('Données projet'!$B$10,Paramètres!$A$1:$I$88,7,0))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projet'!$B$10,Paramètres!$A$1:$I$88,3,0)*0.475*44/12</f>
        <v>0</v>
      </c>
      <c r="AV167" s="23">
        <f>EXP(-LN(2)/25)*AV166+(1-EXP(-LN(2)/25))/(LN(2)/25)*Calculateur!AQ167*Calculateur!AS167*VLOOKUP('Données projet'!$B$10,Paramètres!$A$1:$I$88,3,0)*0.475*44/12</f>
        <v>0.13788499317170955</v>
      </c>
      <c r="AW167" s="23">
        <f>EXP(-LN(2)/2)*AW166+(1-EXP(-LN(2)/2))/(LN(2)/2)*AQ167*AT167*VLOOKUP('Données projet'!$B$10,Paramètres!$A$1:$I$88,3,0)*0.475*44/12</f>
        <v>7.9712174621281299E-20</v>
      </c>
      <c r="AX167" s="23">
        <f t="shared" si="166"/>
        <v>0.13788499317170955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-5.6843418860808015E-14</v>
      </c>
      <c r="BE167" s="14">
        <f>BD167*VLOOKUP('Données projet'!$B$11,Paramètres!$A$1:$I$88,3,0)*VLOOKUP('Données projet'!$B$11,Paramètres!$A$1:$I$88,5,0)</f>
        <v>-4.5224624045658861E-14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298.38448036212861</v>
      </c>
      <c r="BJ167" s="62">
        <f t="shared" si="146"/>
        <v>270.4445531106897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projet'!$B$11,Paramètres!$A$1:$I$88,7,0))</f>
        <v>0</v>
      </c>
      <c r="BN167" s="17">
        <f>IF(ISNA(VLOOKUP(A167,'Données projet'!$A$87:$I$107,6,0)),0%,VLOOKUP(A167,'Données projet'!$A$87:$I$107,6,0)*VLOOKUP('Données projet'!$B$11,Paramètres!$A$1:$I$88,7,0))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projet'!$B$11,Paramètres!$A$1:$I$88,3,0)*0.475*44/12</f>
        <v>0</v>
      </c>
      <c r="BQ167" s="23">
        <f>EXP(-LN(2)/25)*BQ166+(1-EXP(-LN(2)/25))/(LN(2)/25)*Calculateur!BL167*Calculateur!BN167*VLOOKUP('Données projet'!$B$11,Paramètres!$A$1:$I$88,3,0)*0.475*44/12</f>
        <v>0</v>
      </c>
      <c r="BR167" s="23">
        <f>EXP(-LN(2)/2)*BR166+(1-EXP(-LN(2)/2))/(LN(2)/2)*BL167*BO167*VLOOKUP('Données projet'!$B$11,Paramètres!$A$1:$I$88,3,0)*0.475*44/12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5.6843418860808015E-14</v>
      </c>
      <c r="BZ167" s="14">
        <f>BY167*VLOOKUP('Données projet'!$B$12,Paramètres!$A$1:$I$88,3,0)*VLOOKUP('Données projet'!$B$12,Paramètres!$A$1:$I$88,5,0)</f>
        <v>4.4337866711430253E-14</v>
      </c>
      <c r="CA167" s="14">
        <f t="shared" si="170"/>
        <v>7.3222115536967035E-13</v>
      </c>
      <c r="CB167" s="22">
        <f t="shared" si="171"/>
        <v>1.3525069634579169E-12</v>
      </c>
      <c r="CC167" s="62">
        <f t="shared" si="119"/>
        <v>293.33333333333468</v>
      </c>
      <c r="CD167" s="62">
        <f ca="1">AVERAGE(OFFSET($CC$3,0,0,'Données projet'!$E$12+1,1))-AVERAGE(OFFSET($H$3,0,0,'Données projet'!$E$12+1,1))</f>
        <v>217.32600829266818</v>
      </c>
      <c r="CE167" s="62">
        <f t="shared" si="148"/>
        <v>208.79744153433245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projet'!$B$12,Paramètres!$A$1:$I$88,7,0))</f>
        <v>0</v>
      </c>
      <c r="CI167" s="17">
        <f>IF(ISNA(VLOOKUP(A167,'Données projet'!$A$113:$I$133,6,0)),0%,VLOOKUP(A167,'Données projet'!$A$113:$I$133,6,0)*VLOOKUP('Données projet'!$B$12,Paramètres!$A$1:$I$88,7,0))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projet'!$B$12,Paramètres!$A$1:$I$88,3,0)*0.475*44/12</f>
        <v>0</v>
      </c>
      <c r="CL167" s="23">
        <f>EXP(-LN(2)/25)*CL166+(1-EXP(-LN(2)/25))/(LN(2)/25)*Calculateur!CG167*Calculateur!CI167*VLOOKUP('Données projet'!$B$12,Paramètres!$A$1:$I$88,3,0)*0.475*44/12</f>
        <v>0</v>
      </c>
      <c r="CM167" s="23">
        <f>EXP(-LN(2)/2)*CM166+(1-EXP(-LN(2)/2))/(LN(2)/2)*CG167*CJ167*VLOOKUP('Données projet'!$B$12,Paramètres!$A$1:$I$88,3,0)*0.475*44/12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-3.4106051316484809E-13</v>
      </c>
      <c r="CU167" s="18">
        <f>CT167*VLOOKUP('Données projet'!$B$13,Paramètres!$A$1:$I$88,3,0)*VLOOKUP('Données projet'!$B$13,Paramètres!$A$1:$I$88,5,0)</f>
        <v>-1.9065282685915009E-13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302.20483575440988</v>
      </c>
      <c r="CZ167" s="62">
        <f t="shared" si="150"/>
        <v>275.32862097158687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projet'!$B$13,Paramètres!$A$1:$I$88,7,0))</f>
        <v>0</v>
      </c>
      <c r="DD167" s="17">
        <f>IF(ISNA(VLOOKUP(A167,'Données projet'!$A$139:$I$159,6,0)),0%,VLOOKUP(A167,'Données projet'!$A$139:$I$159,6,0)*VLOOKUP('Données projet'!$B$13,Paramètres!$A$1:$I$88,7,0))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projet'!$B$13,Paramètres!$A$1:$I$88,3,0)*0.475*44/12</f>
        <v>0</v>
      </c>
      <c r="DG167" s="23">
        <f>EXP(-LN(2)/25)*DG166+(1-EXP(-LN(2)/25))/(LN(2)/25)*Calculateur!DB167*Calculateur!DD167*VLOOKUP('Données projet'!$B$13,Paramètres!$A$1:$I$88,3,0)*0.475*44/12</f>
        <v>0.33667761722432543</v>
      </c>
      <c r="DH167" s="23">
        <f>EXP(-LN(2)/2)*DH166+(1-EXP(-LN(2)/2))/(LN(2)/2)*DB167*DE167*VLOOKUP('Données projet'!$B$13,Paramètres!$A$1:$I$88,3,0)*0.475*44/12</f>
        <v>4.5949082345086068E-20</v>
      </c>
      <c r="DI167" s="24">
        <f t="shared" si="175"/>
        <v>0.33667761722432543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projet'!$B$14,Paramètres!$A$1:$I$88,3,0)*VLOOKUP('Données projet'!$B$14,Paramètres!$A$1:$I$88,5,0)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projet'!$B$14,Paramètres!$A$1:$I$88,7,0))</f>
        <v>0</v>
      </c>
      <c r="DY167" s="17">
        <f>IF(ISNA(VLOOKUP(A167,'Données projet'!$A$165:$I$185,6,0)),0%,VLOOKUP(A167,'Données projet'!$A$165:$I$185,6,0)*VLOOKUP('Données projet'!$B$14,Paramètres!$A$1:$I$88,7,0))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projet'!$B$14,Paramètres!$A$1:$I$88,3,0)*0.475*44/12</f>
        <v>#N/A</v>
      </c>
      <c r="EB167" s="23" t="e">
        <f>EXP(-LN(2)/25)*EB166+(1-EXP(-LN(2)/25))/(LN(2)/25)*Calculateur!DW167*Calculateur!DY167*VLOOKUP('Données projet'!$B$14,Paramètres!$A$1:$I$88,3,0)*0.475*44/12</f>
        <v>#N/A</v>
      </c>
      <c r="EC167" s="23" t="e">
        <f>EXP(-LN(2)/2)*EC166+(1-EXP(-LN(2)/2))/(LN(2)/2)*DW167*DZ167*VLOOKUP('Données projet'!$B$14,Paramètres!$A$1:$I$88,3,0)*0.475*44/12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projet'!$B$15,Paramètres!$A$1:$I$88,3,0)*VLOOKUP('Données projet'!$B$15,Paramètres!$A$1:$I$88,5,0)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projet'!$B$15,Paramètres!$A$1:$I$88,7,0))</f>
        <v>0</v>
      </c>
      <c r="ET167" s="17">
        <f>IF(ISNA(VLOOKUP(A167,'Données projet'!$A$191:$I$211,6,0)),0%,VLOOKUP(A167,'Données projet'!$A$191:$I$211,6,0)*VLOOKUP('Données projet'!$B$15,Paramètres!$A$1:$I$88,7,0))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projet'!$B$15,Paramètres!$A$1:$I$88,3,0)*0.475*44/12</f>
        <v>#N/A</v>
      </c>
      <c r="EW167" s="23" t="e">
        <f>EXP(-LN(2)/25)*EW166+(1-EXP(-LN(2)/25))/(LN(2)/25)*Calculateur!ER167*Calculateur!ET167*VLOOKUP('Données projet'!$B$15,Paramètres!$A$1:$I$88,3,0)*0.475*44/12</f>
        <v>#N/A</v>
      </c>
      <c r="EX167" s="23" t="e">
        <f>EXP(-LN(2)/2)*EX166+(1-EXP(-LN(2)/2))/(LN(2)/2)*ER167*EU167*VLOOKUP('Données projet'!$B$15,Paramètres!$A$1:$I$88,3,0)*0.475*44/12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projet'!$B$16,Paramètres!$A$1:$I$88,3,0)*VLOOKUP('Données projet'!$B$16,Paramètres!$A$1:$I$88,5,0)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projet'!$B$16,Paramètres!$A$1:$I$88,7,0))</f>
        <v>0</v>
      </c>
      <c r="FO167" s="17">
        <f>IF(ISNA(VLOOKUP(A167,'Données projet'!$A$217:$I$237,6,0)),0%,VLOOKUP(A167,'Données projet'!$A$217:$I$237,6,0)*VLOOKUP('Données projet'!$B$16,Paramètres!$A$1:$I$88,7,0))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projet'!$B$16,Paramètres!$A$1:$I$88,3,0)*0.475*44/12</f>
        <v>#N/A</v>
      </c>
      <c r="FR167" s="23" t="e">
        <f>EXP(-LN(2)/25)*FR166+(1-EXP(-LN(2)/25))/(LN(2)/25)*Calculateur!FM167*Calculateur!FO167*VLOOKUP('Données projet'!$B$16,Paramètres!$A$1:$I$88,3,0)*0.475*44/12</f>
        <v>#N/A</v>
      </c>
      <c r="FS167" s="23" t="e">
        <f>EXP(-LN(2)/2)*FS166+(1-EXP(-LN(2)/2))/(LN(2)/2)*FM167*FP167*VLOOKUP('Données projet'!$B$16,Paramètres!$A$1:$I$88,3,0)*0.475*44/12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projet'!$B$17,Paramètres!$A$1:$I$88,3,0)*VLOOKUP('Données projet'!$B$17,Paramètres!$A$1:$I$88,5,0)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projet'!$B$17,Paramètres!$A$1:$I$88,7,0))</f>
        <v>0</v>
      </c>
      <c r="GJ167" s="17">
        <f>IF(ISNA(VLOOKUP(A167,'Données projet'!$A$243:$I$263,6,0)),0%,VLOOKUP(A167,'Données projet'!$A$243:$I$263,6,0)*VLOOKUP('Données projet'!$B$17,Paramètres!$A$1:$I$88,7,0))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projet'!$B$17,Paramètres!$A$1:$I$88,3,0)*0.475*44/12</f>
        <v>#N/A</v>
      </c>
      <c r="GM167" s="23" t="e">
        <f>EXP(-LN(2)/25)*GM166+(1-EXP(-LN(2)/25))/(LN(2)/25)*Calculateur!GH167*Calculateur!GJ167*VLOOKUP('Données projet'!$B$17,Paramètres!$A$1:$I$88,3,0)*0.475*44/12</f>
        <v>#N/A</v>
      </c>
      <c r="GN167" s="23" t="e">
        <f>EXP(-LN(2)/2)*GN166+(1-EXP(-LN(2)/2))/(LN(2)/2)*GH167*GK167*VLOOKUP('Données projet'!$B$17,Paramètres!$A$1:$I$88,3,0)*0.475*44/12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projet'!$B$18,Paramètres!$A$1:$I$88,3,0)*VLOOKUP('Données projet'!$B$18,Paramètres!$A$1:$I$88,5,0)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projet'!$B$18,Paramètres!$A$1:$I$88,7,0))</f>
        <v>0</v>
      </c>
      <c r="HE167" s="17">
        <f>IF(ISNA(VLOOKUP(A167,'Données projet'!$A$269:$I$289,6,0)),0%,VLOOKUP(A167,'Données projet'!$A$269:$I$289,6,0)*VLOOKUP('Données projet'!$B$18,Paramètres!$A$1:$I$88,7,0))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projet'!$B$18,Paramètres!$A$1:$I$88,3,0)*0.475*44/12</f>
        <v>#N/A</v>
      </c>
      <c r="HH167" s="23" t="e">
        <f>EXP(-LN(2)/25)*HH166+(1-EXP(-LN(2)/25))/(LN(2)/25)*Calculateur!HC167*Calculateur!HE167*VLOOKUP('Données projet'!$B$18,Paramètres!$A$1:$I$88,3,0)*0.475*44/12</f>
        <v>#N/A</v>
      </c>
      <c r="HI167" s="23" t="e">
        <f>EXP(-LN(2)/2)*HI166+(1-EXP(-LN(2)/2))/(LN(2)/2)*HC167*HF167*VLOOKUP('Données projet'!$B$18,Paramètres!$A$1:$I$88,3,0)*0.475*44/12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projet'!$B$9,Paramètres!$A$1:$I$88,3,0)*VLOOKUP('Données projet'!$B$9,Paramètres!$A$1:$I$88,5,0)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175.05987582828078</v>
      </c>
      <c r="T168" s="62">
        <f t="shared" si="142"/>
        <v>268.54782308462387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projet'!$B$9,Paramètres!$A$1:$I$88,7,0))</f>
        <v>0</v>
      </c>
      <c r="X168" s="17">
        <f>IF(ISNA(VLOOKUP(A168,'Données projet'!$A$35:$I$55,6,0)),0%,VLOOKUP(A168,'Données projet'!$A$35:$I$55,6,0)*VLOOKUP('Données projet'!$B$9,Paramètres!$A$1:$I$88,7,0))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projet'!$B$9,Paramètres!$A$1:$I$88,3,0)*0.475*44/12</f>
        <v>0</v>
      </c>
      <c r="AA168" s="23">
        <f>EXP(-LN(2)/25)*AA167+(1-EXP(-LN(2)/25))/(LN(2)/25)*Calculateur!V168*Calculateur!X168*VLOOKUP('Données projet'!$B$9,Paramètres!$A$1:$I$88,3,0)*0.475*44/12</f>
        <v>0.2438284477496781</v>
      </c>
      <c r="AB168" s="23">
        <f>EXP(-LN(2)/2)*AB167+(1-EXP(-LN(2)/2))/(LN(2)/2)*V168*Y168*VLOOKUP('Données projet'!$B$9,Paramètres!$A$1:$I$88,3,0)*0.475*44/12</f>
        <v>7.9150618046644255E-20</v>
      </c>
      <c r="AC168" s="24">
        <f t="shared" si="163"/>
        <v>0.2438284477496781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-1.5916157281026244E-12</v>
      </c>
      <c r="AJ168" s="14">
        <f>AI168*VLOOKUP('Données projet'!$B$10,Paramètres!$A$1:$I$88,3,0)*VLOOKUP('Données projet'!$B$10,Paramètres!$A$1:$I$88,5,0)</f>
        <v>-7.6556716521736234E-13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576.61210817354549</v>
      </c>
      <c r="AO168" s="62">
        <f t="shared" si="144"/>
        <v>343.9428747444544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projet'!$B$10,Paramètres!$A$1:$I$88,7,0))</f>
        <v>0</v>
      </c>
      <c r="AS168" s="17">
        <f>IF(ISNA(VLOOKUP(A168,'Données projet'!$A$61:$I$81,6,0)),0%,VLOOKUP(A168,'Données projet'!$A$61:$I$81,6,0)*VLOOKUP('Données projet'!$B$10,Paramètres!$A$1:$I$88,7,0))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projet'!$B$10,Paramètres!$A$1:$I$88,3,0)*0.475*44/12</f>
        <v>0</v>
      </c>
      <c r="AV168" s="23">
        <f>EXP(-LN(2)/25)*AV167+(1-EXP(-LN(2)/25))/(LN(2)/25)*Calculateur!AQ168*Calculateur!AS168*VLOOKUP('Données projet'!$B$10,Paramètres!$A$1:$I$88,3,0)*0.475*44/12</f>
        <v>0.13411452078237249</v>
      </c>
      <c r="AW168" s="23">
        <f>EXP(-LN(2)/2)*AW167+(1-EXP(-LN(2)/2))/(LN(2)/2)*AQ168*AT168*VLOOKUP('Données projet'!$B$10,Paramètres!$A$1:$I$88,3,0)*0.475*44/12</f>
        <v>5.6365019217834221E-20</v>
      </c>
      <c r="AX168" s="23">
        <f t="shared" si="166"/>
        <v>0.13411452078237249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-5.6843418860808015E-14</v>
      </c>
      <c r="BE168" s="14">
        <f>BD168*VLOOKUP('Données projet'!$B$11,Paramètres!$A$1:$I$88,3,0)*VLOOKUP('Données projet'!$B$11,Paramètres!$A$1:$I$88,5,0)</f>
        <v>-4.5224624045658861E-14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298.38448036212861</v>
      </c>
      <c r="BJ168" s="62">
        <f t="shared" si="146"/>
        <v>270.4445531106897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projet'!$B$11,Paramètres!$A$1:$I$88,7,0))</f>
        <v>0</v>
      </c>
      <c r="BN168" s="17">
        <f>IF(ISNA(VLOOKUP(A168,'Données projet'!$A$87:$I$107,6,0)),0%,VLOOKUP(A168,'Données projet'!$A$87:$I$107,6,0)*VLOOKUP('Données projet'!$B$11,Paramètres!$A$1:$I$88,7,0))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projet'!$B$11,Paramètres!$A$1:$I$88,3,0)*0.475*44/12</f>
        <v>0</v>
      </c>
      <c r="BQ168" s="23">
        <f>EXP(-LN(2)/25)*BQ167+(1-EXP(-LN(2)/25))/(LN(2)/25)*Calculateur!BL168*Calculateur!BN168*VLOOKUP('Données projet'!$B$11,Paramètres!$A$1:$I$88,3,0)*0.475*44/12</f>
        <v>0</v>
      </c>
      <c r="BR168" s="23">
        <f>EXP(-LN(2)/2)*BR167+(1-EXP(-LN(2)/2))/(LN(2)/2)*BL168*BO168*VLOOKUP('Données projet'!$B$11,Paramètres!$A$1:$I$88,3,0)*0.475*44/12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5.6843418860808015E-14</v>
      </c>
      <c r="BZ168" s="14">
        <f>BY168*VLOOKUP('Données projet'!$B$12,Paramètres!$A$1:$I$88,3,0)*VLOOKUP('Données projet'!$B$12,Paramètres!$A$1:$I$88,5,0)</f>
        <v>4.4337866711430253E-14</v>
      </c>
      <c r="CA168" s="14">
        <f t="shared" si="170"/>
        <v>7.3222115536967035E-13</v>
      </c>
      <c r="CB168" s="22">
        <f t="shared" si="171"/>
        <v>1.3525069634579169E-12</v>
      </c>
      <c r="CC168" s="62">
        <f t="shared" si="119"/>
        <v>293.33333333333468</v>
      </c>
      <c r="CD168" s="62">
        <f ca="1">AVERAGE(OFFSET($CC$3,0,0,'Données projet'!$E$12+1,1))-AVERAGE(OFFSET($H$3,0,0,'Données projet'!$E$12+1,1))</f>
        <v>217.32600829266818</v>
      </c>
      <c r="CE168" s="62">
        <f t="shared" si="148"/>
        <v>208.79744153433245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projet'!$B$12,Paramètres!$A$1:$I$88,7,0))</f>
        <v>0</v>
      </c>
      <c r="CI168" s="17">
        <f>IF(ISNA(VLOOKUP(A168,'Données projet'!$A$113:$I$133,6,0)),0%,VLOOKUP(A168,'Données projet'!$A$113:$I$133,6,0)*VLOOKUP('Données projet'!$B$12,Paramètres!$A$1:$I$88,7,0))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projet'!$B$12,Paramètres!$A$1:$I$88,3,0)*0.475*44/12</f>
        <v>0</v>
      </c>
      <c r="CL168" s="23">
        <f>EXP(-LN(2)/25)*CL167+(1-EXP(-LN(2)/25))/(LN(2)/25)*Calculateur!CG168*Calculateur!CI168*VLOOKUP('Données projet'!$B$12,Paramètres!$A$1:$I$88,3,0)*0.475*44/12</f>
        <v>0</v>
      </c>
      <c r="CM168" s="23">
        <f>EXP(-LN(2)/2)*CM167+(1-EXP(-LN(2)/2))/(LN(2)/2)*CG168*CJ168*VLOOKUP('Données projet'!$B$12,Paramètres!$A$1:$I$88,3,0)*0.475*44/12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-3.4106051316484809E-13</v>
      </c>
      <c r="CU168" s="18">
        <f>CT168*VLOOKUP('Données projet'!$B$13,Paramètres!$A$1:$I$88,3,0)*VLOOKUP('Données projet'!$B$13,Paramètres!$A$1:$I$88,5,0)</f>
        <v>-1.9065282685915009E-13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302.20483575440988</v>
      </c>
      <c r="CZ168" s="62">
        <f t="shared" si="150"/>
        <v>275.32862097158687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projet'!$B$13,Paramètres!$A$1:$I$88,7,0))</f>
        <v>0</v>
      </c>
      <c r="DD168" s="17">
        <f>IF(ISNA(VLOOKUP(A168,'Données projet'!$A$139:$I$159,6,0)),0%,VLOOKUP(A168,'Données projet'!$A$139:$I$159,6,0)*VLOOKUP('Données projet'!$B$13,Paramètres!$A$1:$I$88,7,0))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projet'!$B$13,Paramètres!$A$1:$I$88,3,0)*0.475*44/12</f>
        <v>0</v>
      </c>
      <c r="DG168" s="23">
        <f>EXP(-LN(2)/25)*DG167+(1-EXP(-LN(2)/25))/(LN(2)/25)*Calculateur!DB168*Calculateur!DD168*VLOOKUP('Données projet'!$B$13,Paramètres!$A$1:$I$88,3,0)*0.475*44/12</f>
        <v>0.32747115007621985</v>
      </c>
      <c r="DH168" s="23">
        <f>EXP(-LN(2)/2)*DH167+(1-EXP(-LN(2)/2))/(LN(2)/2)*DB168*DE168*VLOOKUP('Données projet'!$B$13,Paramètres!$A$1:$I$88,3,0)*0.475*44/12</f>
        <v>3.2490907715509428E-20</v>
      </c>
      <c r="DI168" s="24">
        <f t="shared" si="175"/>
        <v>0.32747115007621985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projet'!$B$14,Paramètres!$A$1:$I$88,3,0)*VLOOKUP('Données projet'!$B$14,Paramètres!$A$1:$I$88,5,0)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projet'!$B$14,Paramètres!$A$1:$I$88,7,0))</f>
        <v>0</v>
      </c>
      <c r="DY168" s="17">
        <f>IF(ISNA(VLOOKUP(A168,'Données projet'!$A$165:$I$185,6,0)),0%,VLOOKUP(A168,'Données projet'!$A$165:$I$185,6,0)*VLOOKUP('Données projet'!$B$14,Paramètres!$A$1:$I$88,7,0))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projet'!$B$14,Paramètres!$A$1:$I$88,3,0)*0.475*44/12</f>
        <v>#N/A</v>
      </c>
      <c r="EB168" s="23" t="e">
        <f>EXP(-LN(2)/25)*EB167+(1-EXP(-LN(2)/25))/(LN(2)/25)*Calculateur!DW168*Calculateur!DY168*VLOOKUP('Données projet'!$B$14,Paramètres!$A$1:$I$88,3,0)*0.475*44/12</f>
        <v>#N/A</v>
      </c>
      <c r="EC168" s="23" t="e">
        <f>EXP(-LN(2)/2)*EC167+(1-EXP(-LN(2)/2))/(LN(2)/2)*DW168*DZ168*VLOOKUP('Données projet'!$B$14,Paramètres!$A$1:$I$88,3,0)*0.475*44/12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projet'!$B$15,Paramètres!$A$1:$I$88,3,0)*VLOOKUP('Données projet'!$B$15,Paramètres!$A$1:$I$88,5,0)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projet'!$B$15,Paramètres!$A$1:$I$88,7,0))</f>
        <v>0</v>
      </c>
      <c r="ET168" s="17">
        <f>IF(ISNA(VLOOKUP(A168,'Données projet'!$A$191:$I$211,6,0)),0%,VLOOKUP(A168,'Données projet'!$A$191:$I$211,6,0)*VLOOKUP('Données projet'!$B$15,Paramètres!$A$1:$I$88,7,0))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projet'!$B$15,Paramètres!$A$1:$I$88,3,0)*0.475*44/12</f>
        <v>#N/A</v>
      </c>
      <c r="EW168" s="23" t="e">
        <f>EXP(-LN(2)/25)*EW167+(1-EXP(-LN(2)/25))/(LN(2)/25)*Calculateur!ER168*Calculateur!ET168*VLOOKUP('Données projet'!$B$15,Paramètres!$A$1:$I$88,3,0)*0.475*44/12</f>
        <v>#N/A</v>
      </c>
      <c r="EX168" s="23" t="e">
        <f>EXP(-LN(2)/2)*EX167+(1-EXP(-LN(2)/2))/(LN(2)/2)*ER168*EU168*VLOOKUP('Données projet'!$B$15,Paramètres!$A$1:$I$88,3,0)*0.475*44/12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projet'!$B$16,Paramètres!$A$1:$I$88,3,0)*VLOOKUP('Données projet'!$B$16,Paramètres!$A$1:$I$88,5,0)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projet'!$B$16,Paramètres!$A$1:$I$88,7,0))</f>
        <v>0</v>
      </c>
      <c r="FO168" s="17">
        <f>IF(ISNA(VLOOKUP(A168,'Données projet'!$A$217:$I$237,6,0)),0%,VLOOKUP(A168,'Données projet'!$A$217:$I$237,6,0)*VLOOKUP('Données projet'!$B$16,Paramètres!$A$1:$I$88,7,0))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projet'!$B$16,Paramètres!$A$1:$I$88,3,0)*0.475*44/12</f>
        <v>#N/A</v>
      </c>
      <c r="FR168" s="23" t="e">
        <f>EXP(-LN(2)/25)*FR167+(1-EXP(-LN(2)/25))/(LN(2)/25)*Calculateur!FM168*Calculateur!FO168*VLOOKUP('Données projet'!$B$16,Paramètres!$A$1:$I$88,3,0)*0.475*44/12</f>
        <v>#N/A</v>
      </c>
      <c r="FS168" s="23" t="e">
        <f>EXP(-LN(2)/2)*FS167+(1-EXP(-LN(2)/2))/(LN(2)/2)*FM168*FP168*VLOOKUP('Données projet'!$B$16,Paramètres!$A$1:$I$88,3,0)*0.475*44/12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projet'!$B$17,Paramètres!$A$1:$I$88,3,0)*VLOOKUP('Données projet'!$B$17,Paramètres!$A$1:$I$88,5,0)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projet'!$B$17,Paramètres!$A$1:$I$88,7,0))</f>
        <v>0</v>
      </c>
      <c r="GJ168" s="17">
        <f>IF(ISNA(VLOOKUP(A168,'Données projet'!$A$243:$I$263,6,0)),0%,VLOOKUP(A168,'Données projet'!$A$243:$I$263,6,0)*VLOOKUP('Données projet'!$B$17,Paramètres!$A$1:$I$88,7,0))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projet'!$B$17,Paramètres!$A$1:$I$88,3,0)*0.475*44/12</f>
        <v>#N/A</v>
      </c>
      <c r="GM168" s="23" t="e">
        <f>EXP(-LN(2)/25)*GM167+(1-EXP(-LN(2)/25))/(LN(2)/25)*Calculateur!GH168*Calculateur!GJ168*VLOOKUP('Données projet'!$B$17,Paramètres!$A$1:$I$88,3,0)*0.475*44/12</f>
        <v>#N/A</v>
      </c>
      <c r="GN168" s="23" t="e">
        <f>EXP(-LN(2)/2)*GN167+(1-EXP(-LN(2)/2))/(LN(2)/2)*GH168*GK168*VLOOKUP('Données projet'!$B$17,Paramètres!$A$1:$I$88,3,0)*0.475*44/12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projet'!$B$18,Paramètres!$A$1:$I$88,3,0)*VLOOKUP('Données projet'!$B$18,Paramètres!$A$1:$I$88,5,0)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projet'!$B$18,Paramètres!$A$1:$I$88,7,0))</f>
        <v>0</v>
      </c>
      <c r="HE168" s="17">
        <f>IF(ISNA(VLOOKUP(A168,'Données projet'!$A$269:$I$289,6,0)),0%,VLOOKUP(A168,'Données projet'!$A$269:$I$289,6,0)*VLOOKUP('Données projet'!$B$18,Paramètres!$A$1:$I$88,7,0))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projet'!$B$18,Paramètres!$A$1:$I$88,3,0)*0.475*44/12</f>
        <v>#N/A</v>
      </c>
      <c r="HH168" s="23" t="e">
        <f>EXP(-LN(2)/25)*HH167+(1-EXP(-LN(2)/25))/(LN(2)/25)*Calculateur!HC168*Calculateur!HE168*VLOOKUP('Données projet'!$B$18,Paramètres!$A$1:$I$88,3,0)*0.475*44/12</f>
        <v>#N/A</v>
      </c>
      <c r="HI168" s="23" t="e">
        <f>EXP(-LN(2)/2)*HI167+(1-EXP(-LN(2)/2))/(LN(2)/2)*HC168*HF168*VLOOKUP('Données projet'!$B$18,Paramètres!$A$1:$I$88,3,0)*0.475*44/12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projet'!$B$9,Paramètres!$A$1:$I$88,3,0)*VLOOKUP('Données projet'!$B$9,Paramètres!$A$1:$I$88,5,0)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175.05987582828078</v>
      </c>
      <c r="T169" s="62">
        <f t="shared" si="142"/>
        <v>268.54782308462387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projet'!$B$9,Paramètres!$A$1:$I$88,7,0))</f>
        <v>0</v>
      </c>
      <c r="X169" s="17">
        <f>IF(ISNA(VLOOKUP(A169,'Données projet'!$A$35:$I$55,6,0)),0%,VLOOKUP(A169,'Données projet'!$A$35:$I$55,6,0)*VLOOKUP('Données projet'!$B$9,Paramètres!$A$1:$I$88,7,0))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projet'!$B$9,Paramètres!$A$1:$I$88,3,0)*0.475*44/12</f>
        <v>0</v>
      </c>
      <c r="AA169" s="23">
        <f>EXP(-LN(2)/25)*AA168+(1-EXP(-LN(2)/25))/(LN(2)/25)*Calculateur!V169*Calculateur!X169*VLOOKUP('Données projet'!$B$9,Paramètres!$A$1:$I$88,3,0)*0.475*44/12</f>
        <v>0.23716094602358237</v>
      </c>
      <c r="AB169" s="23">
        <f>EXP(-LN(2)/2)*AB168+(1-EXP(-LN(2)/2))/(LN(2)/2)*V169*Y169*VLOOKUP('Données projet'!$B$9,Paramètres!$A$1:$I$88,3,0)*0.475*44/12</f>
        <v>5.5967938755888478E-20</v>
      </c>
      <c r="AC169" s="24">
        <f t="shared" si="163"/>
        <v>0.23716094602358237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-1.5916157281026244E-12</v>
      </c>
      <c r="AJ169" s="14">
        <f>AI169*VLOOKUP('Données projet'!$B$10,Paramètres!$A$1:$I$88,3,0)*VLOOKUP('Données projet'!$B$10,Paramètres!$A$1:$I$88,5,0)</f>
        <v>-7.6556716521736234E-13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576.61210817354549</v>
      </c>
      <c r="AO169" s="62">
        <f t="shared" si="144"/>
        <v>343.9428747444544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projet'!$B$10,Paramètres!$A$1:$I$88,7,0))</f>
        <v>0</v>
      </c>
      <c r="AS169" s="17">
        <f>IF(ISNA(VLOOKUP(A169,'Données projet'!$A$61:$I$81,6,0)),0%,VLOOKUP(A169,'Données projet'!$A$61:$I$81,6,0)*VLOOKUP('Données projet'!$B$10,Paramètres!$A$1:$I$88,7,0))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projet'!$B$10,Paramètres!$A$1:$I$88,3,0)*0.475*44/12</f>
        <v>0</v>
      </c>
      <c r="AV169" s="23">
        <f>EXP(-LN(2)/25)*AV168+(1-EXP(-LN(2)/25))/(LN(2)/25)*Calculateur!AQ169*Calculateur!AS169*VLOOKUP('Données projet'!$B$10,Paramètres!$A$1:$I$88,3,0)*0.475*44/12</f>
        <v>0.1304471521588024</v>
      </c>
      <c r="AW169" s="23">
        <f>EXP(-LN(2)/2)*AW168+(1-EXP(-LN(2)/2))/(LN(2)/2)*AQ169*AT169*VLOOKUP('Données projet'!$B$10,Paramètres!$A$1:$I$88,3,0)*0.475*44/12</f>
        <v>3.9856087310640649E-20</v>
      </c>
      <c r="AX169" s="23">
        <f t="shared" si="166"/>
        <v>0.1304471521588024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-5.6843418860808015E-14</v>
      </c>
      <c r="BE169" s="14">
        <f>BD169*VLOOKUP('Données projet'!$B$11,Paramètres!$A$1:$I$88,3,0)*VLOOKUP('Données projet'!$B$11,Paramètres!$A$1:$I$88,5,0)</f>
        <v>-4.5224624045658861E-14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298.38448036212861</v>
      </c>
      <c r="BJ169" s="62">
        <f t="shared" si="146"/>
        <v>270.4445531106897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projet'!$B$11,Paramètres!$A$1:$I$88,7,0))</f>
        <v>0</v>
      </c>
      <c r="BN169" s="17">
        <f>IF(ISNA(VLOOKUP(A169,'Données projet'!$A$87:$I$107,6,0)),0%,VLOOKUP(A169,'Données projet'!$A$87:$I$107,6,0)*VLOOKUP('Données projet'!$B$11,Paramètres!$A$1:$I$88,7,0))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projet'!$B$11,Paramètres!$A$1:$I$88,3,0)*0.475*44/12</f>
        <v>0</v>
      </c>
      <c r="BQ169" s="23">
        <f>EXP(-LN(2)/25)*BQ168+(1-EXP(-LN(2)/25))/(LN(2)/25)*Calculateur!BL169*Calculateur!BN169*VLOOKUP('Données projet'!$B$11,Paramètres!$A$1:$I$88,3,0)*0.475*44/12</f>
        <v>0</v>
      </c>
      <c r="BR169" s="23">
        <f>EXP(-LN(2)/2)*BR168+(1-EXP(-LN(2)/2))/(LN(2)/2)*BL169*BO169*VLOOKUP('Données projet'!$B$11,Paramètres!$A$1:$I$88,3,0)*0.475*44/12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5.6843418860808015E-14</v>
      </c>
      <c r="BZ169" s="14">
        <f>BY169*VLOOKUP('Données projet'!$B$12,Paramètres!$A$1:$I$88,3,0)*VLOOKUP('Données projet'!$B$12,Paramètres!$A$1:$I$88,5,0)</f>
        <v>4.4337866711430253E-14</v>
      </c>
      <c r="CA169" s="14">
        <f t="shared" si="170"/>
        <v>7.3222115536967035E-13</v>
      </c>
      <c r="CB169" s="22">
        <f t="shared" si="171"/>
        <v>1.3525069634579169E-12</v>
      </c>
      <c r="CC169" s="62">
        <f t="shared" si="119"/>
        <v>293.33333333333468</v>
      </c>
      <c r="CD169" s="62">
        <f ca="1">AVERAGE(OFFSET($CC$3,0,0,'Données projet'!$E$12+1,1))-AVERAGE(OFFSET($H$3,0,0,'Données projet'!$E$12+1,1))</f>
        <v>217.32600829266818</v>
      </c>
      <c r="CE169" s="62">
        <f t="shared" si="148"/>
        <v>208.79744153433245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projet'!$B$12,Paramètres!$A$1:$I$88,7,0))</f>
        <v>0</v>
      </c>
      <c r="CI169" s="17">
        <f>IF(ISNA(VLOOKUP(A169,'Données projet'!$A$113:$I$133,6,0)),0%,VLOOKUP(A169,'Données projet'!$A$113:$I$133,6,0)*VLOOKUP('Données projet'!$B$12,Paramètres!$A$1:$I$88,7,0))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projet'!$B$12,Paramètres!$A$1:$I$88,3,0)*0.475*44/12</f>
        <v>0</v>
      </c>
      <c r="CL169" s="23">
        <f>EXP(-LN(2)/25)*CL168+(1-EXP(-LN(2)/25))/(LN(2)/25)*Calculateur!CG169*Calculateur!CI169*VLOOKUP('Données projet'!$B$12,Paramètres!$A$1:$I$88,3,0)*0.475*44/12</f>
        <v>0</v>
      </c>
      <c r="CM169" s="23">
        <f>EXP(-LN(2)/2)*CM168+(1-EXP(-LN(2)/2))/(LN(2)/2)*CG169*CJ169*VLOOKUP('Données projet'!$B$12,Paramètres!$A$1:$I$88,3,0)*0.475*44/12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-3.4106051316484809E-13</v>
      </c>
      <c r="CU169" s="18">
        <f>CT169*VLOOKUP('Données projet'!$B$13,Paramètres!$A$1:$I$88,3,0)*VLOOKUP('Données projet'!$B$13,Paramètres!$A$1:$I$88,5,0)</f>
        <v>-1.9065282685915009E-13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302.20483575440988</v>
      </c>
      <c r="CZ169" s="62">
        <f t="shared" si="150"/>
        <v>275.32862097158687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projet'!$B$13,Paramètres!$A$1:$I$88,7,0))</f>
        <v>0</v>
      </c>
      <c r="DD169" s="17">
        <f>IF(ISNA(VLOOKUP(A169,'Données projet'!$A$139:$I$159,6,0)),0%,VLOOKUP(A169,'Données projet'!$A$139:$I$159,6,0)*VLOOKUP('Données projet'!$B$13,Paramètres!$A$1:$I$88,7,0))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projet'!$B$13,Paramètres!$A$1:$I$88,3,0)*0.475*44/12</f>
        <v>0</v>
      </c>
      <c r="DG169" s="23">
        <f>EXP(-LN(2)/25)*DG168+(1-EXP(-LN(2)/25))/(LN(2)/25)*Calculateur!DB169*Calculateur!DD169*VLOOKUP('Données projet'!$B$13,Paramètres!$A$1:$I$88,3,0)*0.475*44/12</f>
        <v>0.31851643425642628</v>
      </c>
      <c r="DH169" s="23">
        <f>EXP(-LN(2)/2)*DH168+(1-EXP(-LN(2)/2))/(LN(2)/2)*DB169*DE169*VLOOKUP('Données projet'!$B$13,Paramètres!$A$1:$I$88,3,0)*0.475*44/12</f>
        <v>2.2974541172543034E-20</v>
      </c>
      <c r="DI169" s="24">
        <f t="shared" si="175"/>
        <v>0.31851643425642628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projet'!$B$14,Paramètres!$A$1:$I$88,3,0)*VLOOKUP('Données projet'!$B$14,Paramètres!$A$1:$I$88,5,0)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projet'!$B$14,Paramètres!$A$1:$I$88,7,0))</f>
        <v>0</v>
      </c>
      <c r="DY169" s="17">
        <f>IF(ISNA(VLOOKUP(A169,'Données projet'!$A$165:$I$185,6,0)),0%,VLOOKUP(A169,'Données projet'!$A$165:$I$185,6,0)*VLOOKUP('Données projet'!$B$14,Paramètres!$A$1:$I$88,7,0))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projet'!$B$14,Paramètres!$A$1:$I$88,3,0)*0.475*44/12</f>
        <v>#N/A</v>
      </c>
      <c r="EB169" s="23" t="e">
        <f>EXP(-LN(2)/25)*EB168+(1-EXP(-LN(2)/25))/(LN(2)/25)*Calculateur!DW169*Calculateur!DY169*VLOOKUP('Données projet'!$B$14,Paramètres!$A$1:$I$88,3,0)*0.475*44/12</f>
        <v>#N/A</v>
      </c>
      <c r="EC169" s="23" t="e">
        <f>EXP(-LN(2)/2)*EC168+(1-EXP(-LN(2)/2))/(LN(2)/2)*DW169*DZ169*VLOOKUP('Données projet'!$B$14,Paramètres!$A$1:$I$88,3,0)*0.475*44/12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projet'!$B$15,Paramètres!$A$1:$I$88,3,0)*VLOOKUP('Données projet'!$B$15,Paramètres!$A$1:$I$88,5,0)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projet'!$B$15,Paramètres!$A$1:$I$88,7,0))</f>
        <v>0</v>
      </c>
      <c r="ET169" s="17">
        <f>IF(ISNA(VLOOKUP(A169,'Données projet'!$A$191:$I$211,6,0)),0%,VLOOKUP(A169,'Données projet'!$A$191:$I$211,6,0)*VLOOKUP('Données projet'!$B$15,Paramètres!$A$1:$I$88,7,0))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projet'!$B$15,Paramètres!$A$1:$I$88,3,0)*0.475*44/12</f>
        <v>#N/A</v>
      </c>
      <c r="EW169" s="23" t="e">
        <f>EXP(-LN(2)/25)*EW168+(1-EXP(-LN(2)/25))/(LN(2)/25)*Calculateur!ER169*Calculateur!ET169*VLOOKUP('Données projet'!$B$15,Paramètres!$A$1:$I$88,3,0)*0.475*44/12</f>
        <v>#N/A</v>
      </c>
      <c r="EX169" s="23" t="e">
        <f>EXP(-LN(2)/2)*EX168+(1-EXP(-LN(2)/2))/(LN(2)/2)*ER169*EU169*VLOOKUP('Données projet'!$B$15,Paramètres!$A$1:$I$88,3,0)*0.475*44/12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projet'!$B$16,Paramètres!$A$1:$I$88,3,0)*VLOOKUP('Données projet'!$B$16,Paramètres!$A$1:$I$88,5,0)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projet'!$B$16,Paramètres!$A$1:$I$88,7,0))</f>
        <v>0</v>
      </c>
      <c r="FO169" s="17">
        <f>IF(ISNA(VLOOKUP(A169,'Données projet'!$A$217:$I$237,6,0)),0%,VLOOKUP(A169,'Données projet'!$A$217:$I$237,6,0)*VLOOKUP('Données projet'!$B$16,Paramètres!$A$1:$I$88,7,0))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projet'!$B$16,Paramètres!$A$1:$I$88,3,0)*0.475*44/12</f>
        <v>#N/A</v>
      </c>
      <c r="FR169" s="23" t="e">
        <f>EXP(-LN(2)/25)*FR168+(1-EXP(-LN(2)/25))/(LN(2)/25)*Calculateur!FM169*Calculateur!FO169*VLOOKUP('Données projet'!$B$16,Paramètres!$A$1:$I$88,3,0)*0.475*44/12</f>
        <v>#N/A</v>
      </c>
      <c r="FS169" s="23" t="e">
        <f>EXP(-LN(2)/2)*FS168+(1-EXP(-LN(2)/2))/(LN(2)/2)*FM169*FP169*VLOOKUP('Données projet'!$B$16,Paramètres!$A$1:$I$88,3,0)*0.475*44/12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projet'!$B$17,Paramètres!$A$1:$I$88,3,0)*VLOOKUP('Données projet'!$B$17,Paramètres!$A$1:$I$88,5,0)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projet'!$B$17,Paramètres!$A$1:$I$88,7,0))</f>
        <v>0</v>
      </c>
      <c r="GJ169" s="17">
        <f>IF(ISNA(VLOOKUP(A169,'Données projet'!$A$243:$I$263,6,0)),0%,VLOOKUP(A169,'Données projet'!$A$243:$I$263,6,0)*VLOOKUP('Données projet'!$B$17,Paramètres!$A$1:$I$88,7,0))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projet'!$B$17,Paramètres!$A$1:$I$88,3,0)*0.475*44/12</f>
        <v>#N/A</v>
      </c>
      <c r="GM169" s="23" t="e">
        <f>EXP(-LN(2)/25)*GM168+(1-EXP(-LN(2)/25))/(LN(2)/25)*Calculateur!GH169*Calculateur!GJ169*VLOOKUP('Données projet'!$B$17,Paramètres!$A$1:$I$88,3,0)*0.475*44/12</f>
        <v>#N/A</v>
      </c>
      <c r="GN169" s="23" t="e">
        <f>EXP(-LN(2)/2)*GN168+(1-EXP(-LN(2)/2))/(LN(2)/2)*GH169*GK169*VLOOKUP('Données projet'!$B$17,Paramètres!$A$1:$I$88,3,0)*0.475*44/12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projet'!$B$18,Paramètres!$A$1:$I$88,3,0)*VLOOKUP('Données projet'!$B$18,Paramètres!$A$1:$I$88,5,0)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projet'!$B$18,Paramètres!$A$1:$I$88,7,0))</f>
        <v>0</v>
      </c>
      <c r="HE169" s="17">
        <f>IF(ISNA(VLOOKUP(A169,'Données projet'!$A$269:$I$289,6,0)),0%,VLOOKUP(A169,'Données projet'!$A$269:$I$289,6,0)*VLOOKUP('Données projet'!$B$18,Paramètres!$A$1:$I$88,7,0))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projet'!$B$18,Paramètres!$A$1:$I$88,3,0)*0.475*44/12</f>
        <v>#N/A</v>
      </c>
      <c r="HH169" s="23" t="e">
        <f>EXP(-LN(2)/25)*HH168+(1-EXP(-LN(2)/25))/(LN(2)/25)*Calculateur!HC169*Calculateur!HE169*VLOOKUP('Données projet'!$B$18,Paramètres!$A$1:$I$88,3,0)*0.475*44/12</f>
        <v>#N/A</v>
      </c>
      <c r="HI169" s="23" t="e">
        <f>EXP(-LN(2)/2)*HI168+(1-EXP(-LN(2)/2))/(LN(2)/2)*HC169*HF169*VLOOKUP('Données projet'!$B$18,Paramètres!$A$1:$I$88,3,0)*0.475*44/12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projet'!$B$9,Paramètres!$A$1:$I$88,3,0)*VLOOKUP('Données projet'!$B$9,Paramètres!$A$1:$I$88,5,0)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175.05987582828078</v>
      </c>
      <c r="T170" s="62">
        <f t="shared" si="142"/>
        <v>268.54782308462387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projet'!$B$9,Paramètres!$A$1:$I$88,7,0))</f>
        <v>0</v>
      </c>
      <c r="X170" s="17">
        <f>IF(ISNA(VLOOKUP(A170,'Données projet'!$A$35:$I$55,6,0)),0%,VLOOKUP(A170,'Données projet'!$A$35:$I$55,6,0)*VLOOKUP('Données projet'!$B$9,Paramètres!$A$1:$I$88,7,0))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projet'!$B$9,Paramètres!$A$1:$I$88,3,0)*0.475*44/12</f>
        <v>0</v>
      </c>
      <c r="AA170" s="23">
        <f>EXP(-LN(2)/25)*AA169+(1-EXP(-LN(2)/25))/(LN(2)/25)*Calculateur!V170*Calculateur!X170*VLOOKUP('Données projet'!$B$9,Paramètres!$A$1:$I$88,3,0)*0.475*44/12</f>
        <v>0.2306757674828154</v>
      </c>
      <c r="AB170" s="23">
        <f>EXP(-LN(2)/2)*AB169+(1-EXP(-LN(2)/2))/(LN(2)/2)*V170*Y170*VLOOKUP('Données projet'!$B$9,Paramètres!$A$1:$I$88,3,0)*0.475*44/12</f>
        <v>3.9575309023322127E-20</v>
      </c>
      <c r="AC170" s="24">
        <f t="shared" si="163"/>
        <v>0.2306757674828154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-1.5916157281026244E-12</v>
      </c>
      <c r="AJ170" s="14">
        <f>AI170*VLOOKUP('Données projet'!$B$10,Paramètres!$A$1:$I$88,3,0)*VLOOKUP('Données projet'!$B$10,Paramètres!$A$1:$I$88,5,0)</f>
        <v>-7.6556716521736234E-13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576.61210817354549</v>
      </c>
      <c r="AO170" s="62">
        <f t="shared" si="144"/>
        <v>343.9428747444544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projet'!$B$10,Paramètres!$A$1:$I$88,7,0))</f>
        <v>0</v>
      </c>
      <c r="AS170" s="17">
        <f>IF(ISNA(VLOOKUP(A170,'Données projet'!$A$61:$I$81,6,0)),0%,VLOOKUP(A170,'Données projet'!$A$61:$I$81,6,0)*VLOOKUP('Données projet'!$B$10,Paramètres!$A$1:$I$88,7,0))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projet'!$B$10,Paramètres!$A$1:$I$88,3,0)*0.475*44/12</f>
        <v>0</v>
      </c>
      <c r="AV170" s="23">
        <f>EXP(-LN(2)/25)*AV169+(1-EXP(-LN(2)/25))/(LN(2)/25)*Calculateur!AQ170*Calculateur!AS170*VLOOKUP('Données projet'!$B$10,Paramètres!$A$1:$I$88,3,0)*0.475*44/12</f>
        <v>0.12688006792310236</v>
      </c>
      <c r="AW170" s="23">
        <f>EXP(-LN(2)/2)*AW169+(1-EXP(-LN(2)/2))/(LN(2)/2)*AQ170*AT170*VLOOKUP('Données projet'!$B$10,Paramètres!$A$1:$I$88,3,0)*0.475*44/12</f>
        <v>2.818250960891711E-20</v>
      </c>
      <c r="AX170" s="23">
        <f t="shared" si="166"/>
        <v>0.12688006792310236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-5.6843418860808015E-14</v>
      </c>
      <c r="BE170" s="14">
        <f>BD170*VLOOKUP('Données projet'!$B$11,Paramètres!$A$1:$I$88,3,0)*VLOOKUP('Données projet'!$B$11,Paramètres!$A$1:$I$88,5,0)</f>
        <v>-4.5224624045658861E-14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298.38448036212861</v>
      </c>
      <c r="BJ170" s="62">
        <f t="shared" si="146"/>
        <v>270.4445531106897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projet'!$B$11,Paramètres!$A$1:$I$88,7,0))</f>
        <v>0</v>
      </c>
      <c r="BN170" s="17">
        <f>IF(ISNA(VLOOKUP(A170,'Données projet'!$A$87:$I$107,6,0)),0%,VLOOKUP(A170,'Données projet'!$A$87:$I$107,6,0)*VLOOKUP('Données projet'!$B$11,Paramètres!$A$1:$I$88,7,0))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projet'!$B$11,Paramètres!$A$1:$I$88,3,0)*0.475*44/12</f>
        <v>0</v>
      </c>
      <c r="BQ170" s="23">
        <f>EXP(-LN(2)/25)*BQ169+(1-EXP(-LN(2)/25))/(LN(2)/25)*Calculateur!BL170*Calculateur!BN170*VLOOKUP('Données projet'!$B$11,Paramètres!$A$1:$I$88,3,0)*0.475*44/12</f>
        <v>0</v>
      </c>
      <c r="BR170" s="23">
        <f>EXP(-LN(2)/2)*BR169+(1-EXP(-LN(2)/2))/(LN(2)/2)*BL170*BO170*VLOOKUP('Données projet'!$B$11,Paramètres!$A$1:$I$88,3,0)*0.475*44/12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5.6843418860808015E-14</v>
      </c>
      <c r="BZ170" s="14">
        <f>BY170*VLOOKUP('Données projet'!$B$12,Paramètres!$A$1:$I$88,3,0)*VLOOKUP('Données projet'!$B$12,Paramètres!$A$1:$I$88,5,0)</f>
        <v>4.4337866711430253E-14</v>
      </c>
      <c r="CA170" s="14">
        <f t="shared" si="170"/>
        <v>7.3222115536967035E-13</v>
      </c>
      <c r="CB170" s="22">
        <f t="shared" si="171"/>
        <v>1.3525069634579169E-12</v>
      </c>
      <c r="CC170" s="62">
        <f t="shared" si="119"/>
        <v>293.33333333333468</v>
      </c>
      <c r="CD170" s="62">
        <f ca="1">AVERAGE(OFFSET($CC$3,0,0,'Données projet'!$E$12+1,1))-AVERAGE(OFFSET($H$3,0,0,'Données projet'!$E$12+1,1))</f>
        <v>217.32600829266818</v>
      </c>
      <c r="CE170" s="62">
        <f t="shared" si="148"/>
        <v>208.79744153433245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projet'!$B$12,Paramètres!$A$1:$I$88,7,0))</f>
        <v>0</v>
      </c>
      <c r="CI170" s="17">
        <f>IF(ISNA(VLOOKUP(A170,'Données projet'!$A$113:$I$133,6,0)),0%,VLOOKUP(A170,'Données projet'!$A$113:$I$133,6,0)*VLOOKUP('Données projet'!$B$12,Paramètres!$A$1:$I$88,7,0))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projet'!$B$12,Paramètres!$A$1:$I$88,3,0)*0.475*44/12</f>
        <v>0</v>
      </c>
      <c r="CL170" s="23">
        <f>EXP(-LN(2)/25)*CL169+(1-EXP(-LN(2)/25))/(LN(2)/25)*Calculateur!CG170*Calculateur!CI170*VLOOKUP('Données projet'!$B$12,Paramètres!$A$1:$I$88,3,0)*0.475*44/12</f>
        <v>0</v>
      </c>
      <c r="CM170" s="23">
        <f>EXP(-LN(2)/2)*CM169+(1-EXP(-LN(2)/2))/(LN(2)/2)*CG170*CJ170*VLOOKUP('Données projet'!$B$12,Paramètres!$A$1:$I$88,3,0)*0.475*44/12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-3.4106051316484809E-13</v>
      </c>
      <c r="CU170" s="18">
        <f>CT170*VLOOKUP('Données projet'!$B$13,Paramètres!$A$1:$I$88,3,0)*VLOOKUP('Données projet'!$B$13,Paramètres!$A$1:$I$88,5,0)</f>
        <v>-1.9065282685915009E-13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302.20483575440988</v>
      </c>
      <c r="CZ170" s="62">
        <f t="shared" si="150"/>
        <v>275.32862097158687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projet'!$B$13,Paramètres!$A$1:$I$88,7,0))</f>
        <v>0</v>
      </c>
      <c r="DD170" s="17">
        <f>IF(ISNA(VLOOKUP(A170,'Données projet'!$A$139:$I$159,6,0)),0%,VLOOKUP(A170,'Données projet'!$A$139:$I$159,6,0)*VLOOKUP('Données projet'!$B$13,Paramètres!$A$1:$I$88,7,0))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projet'!$B$13,Paramètres!$A$1:$I$88,3,0)*0.475*44/12</f>
        <v>0</v>
      </c>
      <c r="DG170" s="23">
        <f>EXP(-LN(2)/25)*DG169+(1-EXP(-LN(2)/25))/(LN(2)/25)*Calculateur!DB170*Calculateur!DD170*VLOOKUP('Données projet'!$B$13,Paramètres!$A$1:$I$88,3,0)*0.475*44/12</f>
        <v>0.30980658561163299</v>
      </c>
      <c r="DH170" s="23">
        <f>EXP(-LN(2)/2)*DH169+(1-EXP(-LN(2)/2))/(LN(2)/2)*DB170*DE170*VLOOKUP('Données projet'!$B$13,Paramètres!$A$1:$I$88,3,0)*0.475*44/12</f>
        <v>1.6245453857754714E-20</v>
      </c>
      <c r="DI170" s="24">
        <f t="shared" si="175"/>
        <v>0.30980658561163299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projet'!$B$14,Paramètres!$A$1:$I$88,3,0)*VLOOKUP('Données projet'!$B$14,Paramètres!$A$1:$I$88,5,0)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projet'!$B$14,Paramètres!$A$1:$I$88,7,0))</f>
        <v>0</v>
      </c>
      <c r="DY170" s="17">
        <f>IF(ISNA(VLOOKUP(A170,'Données projet'!$A$165:$I$185,6,0)),0%,VLOOKUP(A170,'Données projet'!$A$165:$I$185,6,0)*VLOOKUP('Données projet'!$B$14,Paramètres!$A$1:$I$88,7,0))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projet'!$B$14,Paramètres!$A$1:$I$88,3,0)*0.475*44/12</f>
        <v>#N/A</v>
      </c>
      <c r="EB170" s="23" t="e">
        <f>EXP(-LN(2)/25)*EB169+(1-EXP(-LN(2)/25))/(LN(2)/25)*Calculateur!DW170*Calculateur!DY170*VLOOKUP('Données projet'!$B$14,Paramètres!$A$1:$I$88,3,0)*0.475*44/12</f>
        <v>#N/A</v>
      </c>
      <c r="EC170" s="23" t="e">
        <f>EXP(-LN(2)/2)*EC169+(1-EXP(-LN(2)/2))/(LN(2)/2)*DW170*DZ170*VLOOKUP('Données projet'!$B$14,Paramètres!$A$1:$I$88,3,0)*0.475*44/12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projet'!$B$15,Paramètres!$A$1:$I$88,3,0)*VLOOKUP('Données projet'!$B$15,Paramètres!$A$1:$I$88,5,0)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projet'!$B$15,Paramètres!$A$1:$I$88,7,0))</f>
        <v>0</v>
      </c>
      <c r="ET170" s="17">
        <f>IF(ISNA(VLOOKUP(A170,'Données projet'!$A$191:$I$211,6,0)),0%,VLOOKUP(A170,'Données projet'!$A$191:$I$211,6,0)*VLOOKUP('Données projet'!$B$15,Paramètres!$A$1:$I$88,7,0))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projet'!$B$15,Paramètres!$A$1:$I$88,3,0)*0.475*44/12</f>
        <v>#N/A</v>
      </c>
      <c r="EW170" s="23" t="e">
        <f>EXP(-LN(2)/25)*EW169+(1-EXP(-LN(2)/25))/(LN(2)/25)*Calculateur!ER170*Calculateur!ET170*VLOOKUP('Données projet'!$B$15,Paramètres!$A$1:$I$88,3,0)*0.475*44/12</f>
        <v>#N/A</v>
      </c>
      <c r="EX170" s="23" t="e">
        <f>EXP(-LN(2)/2)*EX169+(1-EXP(-LN(2)/2))/(LN(2)/2)*ER170*EU170*VLOOKUP('Données projet'!$B$15,Paramètres!$A$1:$I$88,3,0)*0.475*44/12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projet'!$B$16,Paramètres!$A$1:$I$88,3,0)*VLOOKUP('Données projet'!$B$16,Paramètres!$A$1:$I$88,5,0)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projet'!$B$16,Paramètres!$A$1:$I$88,7,0))</f>
        <v>0</v>
      </c>
      <c r="FO170" s="17">
        <f>IF(ISNA(VLOOKUP(A170,'Données projet'!$A$217:$I$237,6,0)),0%,VLOOKUP(A170,'Données projet'!$A$217:$I$237,6,0)*VLOOKUP('Données projet'!$B$16,Paramètres!$A$1:$I$88,7,0))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projet'!$B$16,Paramètres!$A$1:$I$88,3,0)*0.475*44/12</f>
        <v>#N/A</v>
      </c>
      <c r="FR170" s="23" t="e">
        <f>EXP(-LN(2)/25)*FR169+(1-EXP(-LN(2)/25))/(LN(2)/25)*Calculateur!FM170*Calculateur!FO170*VLOOKUP('Données projet'!$B$16,Paramètres!$A$1:$I$88,3,0)*0.475*44/12</f>
        <v>#N/A</v>
      </c>
      <c r="FS170" s="23" t="e">
        <f>EXP(-LN(2)/2)*FS169+(1-EXP(-LN(2)/2))/(LN(2)/2)*FM170*FP170*VLOOKUP('Données projet'!$B$16,Paramètres!$A$1:$I$88,3,0)*0.475*44/12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projet'!$B$17,Paramètres!$A$1:$I$88,3,0)*VLOOKUP('Données projet'!$B$17,Paramètres!$A$1:$I$88,5,0)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projet'!$B$17,Paramètres!$A$1:$I$88,7,0))</f>
        <v>0</v>
      </c>
      <c r="GJ170" s="17">
        <f>IF(ISNA(VLOOKUP(A170,'Données projet'!$A$243:$I$263,6,0)),0%,VLOOKUP(A170,'Données projet'!$A$243:$I$263,6,0)*VLOOKUP('Données projet'!$B$17,Paramètres!$A$1:$I$88,7,0))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projet'!$B$17,Paramètres!$A$1:$I$88,3,0)*0.475*44/12</f>
        <v>#N/A</v>
      </c>
      <c r="GM170" s="23" t="e">
        <f>EXP(-LN(2)/25)*GM169+(1-EXP(-LN(2)/25))/(LN(2)/25)*Calculateur!GH170*Calculateur!GJ170*VLOOKUP('Données projet'!$B$17,Paramètres!$A$1:$I$88,3,0)*0.475*44/12</f>
        <v>#N/A</v>
      </c>
      <c r="GN170" s="23" t="e">
        <f>EXP(-LN(2)/2)*GN169+(1-EXP(-LN(2)/2))/(LN(2)/2)*GH170*GK170*VLOOKUP('Données projet'!$B$17,Paramètres!$A$1:$I$88,3,0)*0.475*44/12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projet'!$B$18,Paramètres!$A$1:$I$88,3,0)*VLOOKUP('Données projet'!$B$18,Paramètres!$A$1:$I$88,5,0)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projet'!$B$18,Paramètres!$A$1:$I$88,7,0))</f>
        <v>0</v>
      </c>
      <c r="HE170" s="17">
        <f>IF(ISNA(VLOOKUP(A170,'Données projet'!$A$269:$I$289,6,0)),0%,VLOOKUP(A170,'Données projet'!$A$269:$I$289,6,0)*VLOOKUP('Données projet'!$B$18,Paramètres!$A$1:$I$88,7,0))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projet'!$B$18,Paramètres!$A$1:$I$88,3,0)*0.475*44/12</f>
        <v>#N/A</v>
      </c>
      <c r="HH170" s="23" t="e">
        <f>EXP(-LN(2)/25)*HH169+(1-EXP(-LN(2)/25))/(LN(2)/25)*Calculateur!HC170*Calculateur!HE170*VLOOKUP('Données projet'!$B$18,Paramètres!$A$1:$I$88,3,0)*0.475*44/12</f>
        <v>#N/A</v>
      </c>
      <c r="HI170" s="23" t="e">
        <f>EXP(-LN(2)/2)*HI169+(1-EXP(-LN(2)/2))/(LN(2)/2)*HC170*HF170*VLOOKUP('Données projet'!$B$18,Paramètres!$A$1:$I$88,3,0)*0.475*44/12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projet'!$B$9,Paramètres!$A$1:$I$88,3,0)*VLOOKUP('Données projet'!$B$9,Paramètres!$A$1:$I$88,5,0)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175.05987582828078</v>
      </c>
      <c r="T171" s="62">
        <f t="shared" si="142"/>
        <v>268.54782308462387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projet'!$B$9,Paramètres!$A$1:$I$88,7,0))</f>
        <v>0</v>
      </c>
      <c r="X171" s="17">
        <f>IF(ISNA(VLOOKUP(A171,'Données projet'!$A$35:$I$55,6,0)),0%,VLOOKUP(A171,'Données projet'!$A$35:$I$55,6,0)*VLOOKUP('Données projet'!$B$9,Paramètres!$A$1:$I$88,7,0))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projet'!$B$9,Paramètres!$A$1:$I$88,3,0)*0.475*44/12</f>
        <v>0</v>
      </c>
      <c r="AA171" s="23">
        <f>EXP(-LN(2)/25)*AA170+(1-EXP(-LN(2)/25))/(LN(2)/25)*Calculateur!V171*Calculateur!X171*VLOOKUP('Données projet'!$B$9,Paramètres!$A$1:$I$88,3,0)*0.475*44/12</f>
        <v>0.22436792649028642</v>
      </c>
      <c r="AB171" s="23">
        <f>EXP(-LN(2)/2)*AB170+(1-EXP(-LN(2)/2))/(LN(2)/2)*V171*Y171*VLOOKUP('Données projet'!$B$9,Paramètres!$A$1:$I$88,3,0)*0.475*44/12</f>
        <v>2.7983969377944239E-20</v>
      </c>
      <c r="AC171" s="24">
        <f t="shared" si="163"/>
        <v>0.22436792649028642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-1.5916157281026244E-12</v>
      </c>
      <c r="AJ171" s="14">
        <f>AI171*VLOOKUP('Données projet'!$B$10,Paramètres!$A$1:$I$88,3,0)*VLOOKUP('Données projet'!$B$10,Paramètres!$A$1:$I$88,5,0)</f>
        <v>-7.6556716521736234E-13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576.61210817354549</v>
      </c>
      <c r="AO171" s="62">
        <f t="shared" si="144"/>
        <v>343.9428747444544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projet'!$B$10,Paramètres!$A$1:$I$88,7,0))</f>
        <v>0</v>
      </c>
      <c r="AS171" s="17">
        <f>IF(ISNA(VLOOKUP(A171,'Données projet'!$A$61:$I$81,6,0)),0%,VLOOKUP(A171,'Données projet'!$A$61:$I$81,6,0)*VLOOKUP('Données projet'!$B$10,Paramètres!$A$1:$I$88,7,0))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projet'!$B$10,Paramètres!$A$1:$I$88,3,0)*0.475*44/12</f>
        <v>0</v>
      </c>
      <c r="AV171" s="23">
        <f>EXP(-LN(2)/25)*AV170+(1-EXP(-LN(2)/25))/(LN(2)/25)*Calculateur!AQ171*Calculateur!AS171*VLOOKUP('Données projet'!$B$10,Paramètres!$A$1:$I$88,3,0)*0.475*44/12</f>
        <v>0.12341052579341234</v>
      </c>
      <c r="AW171" s="23">
        <f>EXP(-LN(2)/2)*AW170+(1-EXP(-LN(2)/2))/(LN(2)/2)*AQ171*AT171*VLOOKUP('Données projet'!$B$10,Paramètres!$A$1:$I$88,3,0)*0.475*44/12</f>
        <v>1.9928043655320325E-20</v>
      </c>
      <c r="AX171" s="23">
        <f t="shared" si="166"/>
        <v>0.12341052579341234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-5.6843418860808015E-14</v>
      </c>
      <c r="BE171" s="14">
        <f>BD171*VLOOKUP('Données projet'!$B$11,Paramètres!$A$1:$I$88,3,0)*VLOOKUP('Données projet'!$B$11,Paramètres!$A$1:$I$88,5,0)</f>
        <v>-4.5224624045658861E-14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298.38448036212861</v>
      </c>
      <c r="BJ171" s="62">
        <f t="shared" si="146"/>
        <v>270.4445531106897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projet'!$B$11,Paramètres!$A$1:$I$88,7,0))</f>
        <v>0</v>
      </c>
      <c r="BN171" s="17">
        <f>IF(ISNA(VLOOKUP(A171,'Données projet'!$A$87:$I$107,6,0)),0%,VLOOKUP(A171,'Données projet'!$A$87:$I$107,6,0)*VLOOKUP('Données projet'!$B$11,Paramètres!$A$1:$I$88,7,0))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projet'!$B$11,Paramètres!$A$1:$I$88,3,0)*0.475*44/12</f>
        <v>0</v>
      </c>
      <c r="BQ171" s="23">
        <f>EXP(-LN(2)/25)*BQ170+(1-EXP(-LN(2)/25))/(LN(2)/25)*Calculateur!BL171*Calculateur!BN171*VLOOKUP('Données projet'!$B$11,Paramètres!$A$1:$I$88,3,0)*0.475*44/12</f>
        <v>0</v>
      </c>
      <c r="BR171" s="23">
        <f>EXP(-LN(2)/2)*BR170+(1-EXP(-LN(2)/2))/(LN(2)/2)*BL171*BO171*VLOOKUP('Données projet'!$B$11,Paramètres!$A$1:$I$88,3,0)*0.475*44/12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5.6843418860808015E-14</v>
      </c>
      <c r="BZ171" s="14">
        <f>BY171*VLOOKUP('Données projet'!$B$12,Paramètres!$A$1:$I$88,3,0)*VLOOKUP('Données projet'!$B$12,Paramètres!$A$1:$I$88,5,0)</f>
        <v>4.4337866711430253E-14</v>
      </c>
      <c r="CA171" s="14">
        <f t="shared" si="170"/>
        <v>7.3222115536967035E-13</v>
      </c>
      <c r="CB171" s="22">
        <f t="shared" si="171"/>
        <v>1.3525069634579169E-12</v>
      </c>
      <c r="CC171" s="62">
        <f t="shared" si="119"/>
        <v>293.33333333333468</v>
      </c>
      <c r="CD171" s="62">
        <f ca="1">AVERAGE(OFFSET($CC$3,0,0,'Données projet'!$E$12+1,1))-AVERAGE(OFFSET($H$3,0,0,'Données projet'!$E$12+1,1))</f>
        <v>217.32600829266818</v>
      </c>
      <c r="CE171" s="62">
        <f t="shared" si="148"/>
        <v>208.79744153433245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projet'!$B$12,Paramètres!$A$1:$I$88,7,0))</f>
        <v>0</v>
      </c>
      <c r="CI171" s="17">
        <f>IF(ISNA(VLOOKUP(A171,'Données projet'!$A$113:$I$133,6,0)),0%,VLOOKUP(A171,'Données projet'!$A$113:$I$133,6,0)*VLOOKUP('Données projet'!$B$12,Paramètres!$A$1:$I$88,7,0))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projet'!$B$12,Paramètres!$A$1:$I$88,3,0)*0.475*44/12</f>
        <v>0</v>
      </c>
      <c r="CL171" s="23">
        <f>EXP(-LN(2)/25)*CL170+(1-EXP(-LN(2)/25))/(LN(2)/25)*Calculateur!CG171*Calculateur!CI171*VLOOKUP('Données projet'!$B$12,Paramètres!$A$1:$I$88,3,0)*0.475*44/12</f>
        <v>0</v>
      </c>
      <c r="CM171" s="23">
        <f>EXP(-LN(2)/2)*CM170+(1-EXP(-LN(2)/2))/(LN(2)/2)*CG171*CJ171*VLOOKUP('Données projet'!$B$12,Paramètres!$A$1:$I$88,3,0)*0.475*44/12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-3.4106051316484809E-13</v>
      </c>
      <c r="CU171" s="18">
        <f>CT171*VLOOKUP('Données projet'!$B$13,Paramètres!$A$1:$I$88,3,0)*VLOOKUP('Données projet'!$B$13,Paramètres!$A$1:$I$88,5,0)</f>
        <v>-1.9065282685915009E-13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302.20483575440988</v>
      </c>
      <c r="CZ171" s="62">
        <f t="shared" si="150"/>
        <v>275.32862097158687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projet'!$B$13,Paramètres!$A$1:$I$88,7,0))</f>
        <v>0</v>
      </c>
      <c r="DD171" s="17">
        <f>IF(ISNA(VLOOKUP(A171,'Données projet'!$A$139:$I$159,6,0)),0%,VLOOKUP(A171,'Données projet'!$A$139:$I$159,6,0)*VLOOKUP('Données projet'!$B$13,Paramètres!$A$1:$I$88,7,0))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projet'!$B$13,Paramètres!$A$1:$I$88,3,0)*0.475*44/12</f>
        <v>0</v>
      </c>
      <c r="DG171" s="23">
        <f>EXP(-LN(2)/25)*DG170+(1-EXP(-LN(2)/25))/(LN(2)/25)*Calculateur!DB171*Calculateur!DD171*VLOOKUP('Données projet'!$B$13,Paramètres!$A$1:$I$88,3,0)*0.475*44/12</f>
        <v>0.30133490823606263</v>
      </c>
      <c r="DH171" s="23">
        <f>EXP(-LN(2)/2)*DH170+(1-EXP(-LN(2)/2))/(LN(2)/2)*DB171*DE171*VLOOKUP('Données projet'!$B$13,Paramètres!$A$1:$I$88,3,0)*0.475*44/12</f>
        <v>1.1487270586271517E-20</v>
      </c>
      <c r="DI171" s="24">
        <f t="shared" si="175"/>
        <v>0.30133490823606263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projet'!$B$14,Paramètres!$A$1:$I$88,3,0)*VLOOKUP('Données projet'!$B$14,Paramètres!$A$1:$I$88,5,0)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projet'!$B$14,Paramètres!$A$1:$I$88,7,0))</f>
        <v>0</v>
      </c>
      <c r="DY171" s="17">
        <f>IF(ISNA(VLOOKUP(A171,'Données projet'!$A$165:$I$185,6,0)),0%,VLOOKUP(A171,'Données projet'!$A$165:$I$185,6,0)*VLOOKUP('Données projet'!$B$14,Paramètres!$A$1:$I$88,7,0))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projet'!$B$14,Paramètres!$A$1:$I$88,3,0)*0.475*44/12</f>
        <v>#N/A</v>
      </c>
      <c r="EB171" s="23" t="e">
        <f>EXP(-LN(2)/25)*EB170+(1-EXP(-LN(2)/25))/(LN(2)/25)*Calculateur!DW171*Calculateur!DY171*VLOOKUP('Données projet'!$B$14,Paramètres!$A$1:$I$88,3,0)*0.475*44/12</f>
        <v>#N/A</v>
      </c>
      <c r="EC171" s="23" t="e">
        <f>EXP(-LN(2)/2)*EC170+(1-EXP(-LN(2)/2))/(LN(2)/2)*DW171*DZ171*VLOOKUP('Données projet'!$B$14,Paramètres!$A$1:$I$88,3,0)*0.475*44/12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projet'!$B$15,Paramètres!$A$1:$I$88,3,0)*VLOOKUP('Données projet'!$B$15,Paramètres!$A$1:$I$88,5,0)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projet'!$B$15,Paramètres!$A$1:$I$88,7,0))</f>
        <v>0</v>
      </c>
      <c r="ET171" s="17">
        <f>IF(ISNA(VLOOKUP(A171,'Données projet'!$A$191:$I$211,6,0)),0%,VLOOKUP(A171,'Données projet'!$A$191:$I$211,6,0)*VLOOKUP('Données projet'!$B$15,Paramètres!$A$1:$I$88,7,0))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projet'!$B$15,Paramètres!$A$1:$I$88,3,0)*0.475*44/12</f>
        <v>#N/A</v>
      </c>
      <c r="EW171" s="23" t="e">
        <f>EXP(-LN(2)/25)*EW170+(1-EXP(-LN(2)/25))/(LN(2)/25)*Calculateur!ER171*Calculateur!ET171*VLOOKUP('Données projet'!$B$15,Paramètres!$A$1:$I$88,3,0)*0.475*44/12</f>
        <v>#N/A</v>
      </c>
      <c r="EX171" s="23" t="e">
        <f>EXP(-LN(2)/2)*EX170+(1-EXP(-LN(2)/2))/(LN(2)/2)*ER171*EU171*VLOOKUP('Données projet'!$B$15,Paramètres!$A$1:$I$88,3,0)*0.475*44/12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projet'!$B$16,Paramètres!$A$1:$I$88,3,0)*VLOOKUP('Données projet'!$B$16,Paramètres!$A$1:$I$88,5,0)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projet'!$B$16,Paramètres!$A$1:$I$88,7,0))</f>
        <v>0</v>
      </c>
      <c r="FO171" s="17">
        <f>IF(ISNA(VLOOKUP(A171,'Données projet'!$A$217:$I$237,6,0)),0%,VLOOKUP(A171,'Données projet'!$A$217:$I$237,6,0)*VLOOKUP('Données projet'!$B$16,Paramètres!$A$1:$I$88,7,0))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projet'!$B$16,Paramètres!$A$1:$I$88,3,0)*0.475*44/12</f>
        <v>#N/A</v>
      </c>
      <c r="FR171" s="23" t="e">
        <f>EXP(-LN(2)/25)*FR170+(1-EXP(-LN(2)/25))/(LN(2)/25)*Calculateur!FM171*Calculateur!FO171*VLOOKUP('Données projet'!$B$16,Paramètres!$A$1:$I$88,3,0)*0.475*44/12</f>
        <v>#N/A</v>
      </c>
      <c r="FS171" s="23" t="e">
        <f>EXP(-LN(2)/2)*FS170+(1-EXP(-LN(2)/2))/(LN(2)/2)*FM171*FP171*VLOOKUP('Données projet'!$B$16,Paramètres!$A$1:$I$88,3,0)*0.475*44/12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projet'!$B$17,Paramètres!$A$1:$I$88,3,0)*VLOOKUP('Données projet'!$B$17,Paramètres!$A$1:$I$88,5,0)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projet'!$B$17,Paramètres!$A$1:$I$88,7,0))</f>
        <v>0</v>
      </c>
      <c r="GJ171" s="17">
        <f>IF(ISNA(VLOOKUP(A171,'Données projet'!$A$243:$I$263,6,0)),0%,VLOOKUP(A171,'Données projet'!$A$243:$I$263,6,0)*VLOOKUP('Données projet'!$B$17,Paramètres!$A$1:$I$88,7,0))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projet'!$B$17,Paramètres!$A$1:$I$88,3,0)*0.475*44/12</f>
        <v>#N/A</v>
      </c>
      <c r="GM171" s="23" t="e">
        <f>EXP(-LN(2)/25)*GM170+(1-EXP(-LN(2)/25))/(LN(2)/25)*Calculateur!GH171*Calculateur!GJ171*VLOOKUP('Données projet'!$B$17,Paramètres!$A$1:$I$88,3,0)*0.475*44/12</f>
        <v>#N/A</v>
      </c>
      <c r="GN171" s="23" t="e">
        <f>EXP(-LN(2)/2)*GN170+(1-EXP(-LN(2)/2))/(LN(2)/2)*GH171*GK171*VLOOKUP('Données projet'!$B$17,Paramètres!$A$1:$I$88,3,0)*0.475*44/12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projet'!$B$18,Paramètres!$A$1:$I$88,3,0)*VLOOKUP('Données projet'!$B$18,Paramètres!$A$1:$I$88,5,0)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projet'!$B$18,Paramètres!$A$1:$I$88,7,0))</f>
        <v>0</v>
      </c>
      <c r="HE171" s="17">
        <f>IF(ISNA(VLOOKUP(A171,'Données projet'!$A$269:$I$289,6,0)),0%,VLOOKUP(A171,'Données projet'!$A$269:$I$289,6,0)*VLOOKUP('Données projet'!$B$18,Paramètres!$A$1:$I$88,7,0))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projet'!$B$18,Paramètres!$A$1:$I$88,3,0)*0.475*44/12</f>
        <v>#N/A</v>
      </c>
      <c r="HH171" s="23" t="e">
        <f>EXP(-LN(2)/25)*HH170+(1-EXP(-LN(2)/25))/(LN(2)/25)*Calculateur!HC171*Calculateur!HE171*VLOOKUP('Données projet'!$B$18,Paramètres!$A$1:$I$88,3,0)*0.475*44/12</f>
        <v>#N/A</v>
      </c>
      <c r="HI171" s="23" t="e">
        <f>EXP(-LN(2)/2)*HI170+(1-EXP(-LN(2)/2))/(LN(2)/2)*HC171*HF171*VLOOKUP('Données projet'!$B$18,Paramètres!$A$1:$I$88,3,0)*0.475*44/12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projet'!$B$9,Paramètres!$A$1:$I$88,3,0)*VLOOKUP('Données projet'!$B$9,Paramètres!$A$1:$I$88,5,0)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175.05987582828078</v>
      </c>
      <c r="T172" s="62">
        <f t="shared" si="142"/>
        <v>268.54782308462387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projet'!$B$9,Paramètres!$A$1:$I$88,7,0))</f>
        <v>0</v>
      </c>
      <c r="X172" s="17">
        <f>IF(ISNA(VLOOKUP(A172,'Données projet'!$A$35:$I$55,6,0)),0%,VLOOKUP(A172,'Données projet'!$A$35:$I$55,6,0)*VLOOKUP('Données projet'!$B$9,Paramètres!$A$1:$I$88,7,0))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projet'!$B$9,Paramètres!$A$1:$I$88,3,0)*0.475*44/12</f>
        <v>0</v>
      </c>
      <c r="AA172" s="23">
        <f>EXP(-LN(2)/25)*AA171+(1-EXP(-LN(2)/25))/(LN(2)/25)*Calculateur!V172*Calculateur!X172*VLOOKUP('Données projet'!$B$9,Paramètres!$A$1:$I$88,3,0)*0.475*44/12</f>
        <v>0.21823257374141308</v>
      </c>
      <c r="AB172" s="23">
        <f>EXP(-LN(2)/2)*AB171+(1-EXP(-LN(2)/2))/(LN(2)/2)*V172*Y172*VLOOKUP('Données projet'!$B$9,Paramètres!$A$1:$I$88,3,0)*0.475*44/12</f>
        <v>1.9787654511661064E-20</v>
      </c>
      <c r="AC172" s="24">
        <f t="shared" si="163"/>
        <v>0.21823257374141308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-1.5916157281026244E-12</v>
      </c>
      <c r="AJ172" s="14">
        <f>AI172*VLOOKUP('Données projet'!$B$10,Paramètres!$A$1:$I$88,3,0)*VLOOKUP('Données projet'!$B$10,Paramètres!$A$1:$I$88,5,0)</f>
        <v>-7.6556716521736234E-13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576.61210817354549</v>
      </c>
      <c r="AO172" s="62">
        <f t="shared" si="144"/>
        <v>343.9428747444544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projet'!$B$10,Paramètres!$A$1:$I$88,7,0))</f>
        <v>0</v>
      </c>
      <c r="AS172" s="17">
        <f>IF(ISNA(VLOOKUP(A172,'Données projet'!$A$61:$I$81,6,0)),0%,VLOOKUP(A172,'Données projet'!$A$61:$I$81,6,0)*VLOOKUP('Données projet'!$B$10,Paramètres!$A$1:$I$88,7,0))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projet'!$B$10,Paramètres!$A$1:$I$88,3,0)*0.475*44/12</f>
        <v>0</v>
      </c>
      <c r="AV172" s="23">
        <f>EXP(-LN(2)/25)*AV171+(1-EXP(-LN(2)/25))/(LN(2)/25)*Calculateur!AQ172*Calculateur!AS172*VLOOKUP('Données projet'!$B$10,Paramètres!$A$1:$I$88,3,0)*0.475*44/12</f>
        <v>0.12003585847571399</v>
      </c>
      <c r="AW172" s="23">
        <f>EXP(-LN(2)/2)*AW171+(1-EXP(-LN(2)/2))/(LN(2)/2)*AQ172*AT172*VLOOKUP('Données projet'!$B$10,Paramètres!$A$1:$I$88,3,0)*0.475*44/12</f>
        <v>1.4091254804458555E-20</v>
      </c>
      <c r="AX172" s="23">
        <f t="shared" si="166"/>
        <v>0.12003585847571399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-5.6843418860808015E-14</v>
      </c>
      <c r="BE172" s="14">
        <f>BD172*VLOOKUP('Données projet'!$B$11,Paramètres!$A$1:$I$88,3,0)*VLOOKUP('Données projet'!$B$11,Paramètres!$A$1:$I$88,5,0)</f>
        <v>-4.5224624045658861E-14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298.38448036212861</v>
      </c>
      <c r="BJ172" s="62">
        <f t="shared" si="146"/>
        <v>270.4445531106897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projet'!$B$11,Paramètres!$A$1:$I$88,7,0))</f>
        <v>0</v>
      </c>
      <c r="BN172" s="17">
        <f>IF(ISNA(VLOOKUP(A172,'Données projet'!$A$87:$I$107,6,0)),0%,VLOOKUP(A172,'Données projet'!$A$87:$I$107,6,0)*VLOOKUP('Données projet'!$B$11,Paramètres!$A$1:$I$88,7,0))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projet'!$B$11,Paramètres!$A$1:$I$88,3,0)*0.475*44/12</f>
        <v>0</v>
      </c>
      <c r="BQ172" s="23">
        <f>EXP(-LN(2)/25)*BQ171+(1-EXP(-LN(2)/25))/(LN(2)/25)*Calculateur!BL172*Calculateur!BN172*VLOOKUP('Données projet'!$B$11,Paramètres!$A$1:$I$88,3,0)*0.475*44/12</f>
        <v>0</v>
      </c>
      <c r="BR172" s="23">
        <f>EXP(-LN(2)/2)*BR171+(1-EXP(-LN(2)/2))/(LN(2)/2)*BL172*BO172*VLOOKUP('Données projet'!$B$11,Paramètres!$A$1:$I$88,3,0)*0.475*44/12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5.6843418860808015E-14</v>
      </c>
      <c r="BZ172" s="14">
        <f>BY172*VLOOKUP('Données projet'!$B$12,Paramètres!$A$1:$I$88,3,0)*VLOOKUP('Données projet'!$B$12,Paramètres!$A$1:$I$88,5,0)</f>
        <v>4.4337866711430253E-14</v>
      </c>
      <c r="CA172" s="14">
        <f t="shared" si="170"/>
        <v>7.3222115536967035E-13</v>
      </c>
      <c r="CB172" s="22">
        <f t="shared" si="171"/>
        <v>1.3525069634579169E-12</v>
      </c>
      <c r="CC172" s="62">
        <f t="shared" si="119"/>
        <v>293.33333333333468</v>
      </c>
      <c r="CD172" s="62">
        <f ca="1">AVERAGE(OFFSET($CC$3,0,0,'Données projet'!$E$12+1,1))-AVERAGE(OFFSET($H$3,0,0,'Données projet'!$E$12+1,1))</f>
        <v>217.32600829266818</v>
      </c>
      <c r="CE172" s="62">
        <f t="shared" si="148"/>
        <v>208.79744153433245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projet'!$B$12,Paramètres!$A$1:$I$88,7,0))</f>
        <v>0</v>
      </c>
      <c r="CI172" s="17">
        <f>IF(ISNA(VLOOKUP(A172,'Données projet'!$A$113:$I$133,6,0)),0%,VLOOKUP(A172,'Données projet'!$A$113:$I$133,6,0)*VLOOKUP('Données projet'!$B$12,Paramètres!$A$1:$I$88,7,0))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projet'!$B$12,Paramètres!$A$1:$I$88,3,0)*0.475*44/12</f>
        <v>0</v>
      </c>
      <c r="CL172" s="23">
        <f>EXP(-LN(2)/25)*CL171+(1-EXP(-LN(2)/25))/(LN(2)/25)*Calculateur!CG172*Calculateur!CI172*VLOOKUP('Données projet'!$B$12,Paramètres!$A$1:$I$88,3,0)*0.475*44/12</f>
        <v>0</v>
      </c>
      <c r="CM172" s="23">
        <f>EXP(-LN(2)/2)*CM171+(1-EXP(-LN(2)/2))/(LN(2)/2)*CG172*CJ172*VLOOKUP('Données projet'!$B$12,Paramètres!$A$1:$I$88,3,0)*0.475*44/12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-3.4106051316484809E-13</v>
      </c>
      <c r="CU172" s="18">
        <f>CT172*VLOOKUP('Données projet'!$B$13,Paramètres!$A$1:$I$88,3,0)*VLOOKUP('Données projet'!$B$13,Paramètres!$A$1:$I$88,5,0)</f>
        <v>-1.9065282685915009E-13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302.20483575440988</v>
      </c>
      <c r="CZ172" s="62">
        <f t="shared" si="150"/>
        <v>275.32862097158687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projet'!$B$13,Paramètres!$A$1:$I$88,7,0))</f>
        <v>0</v>
      </c>
      <c r="DD172" s="17">
        <f>IF(ISNA(VLOOKUP(A172,'Données projet'!$A$139:$I$159,6,0)),0%,VLOOKUP(A172,'Données projet'!$A$139:$I$159,6,0)*VLOOKUP('Données projet'!$B$13,Paramètres!$A$1:$I$88,7,0))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projet'!$B$13,Paramètres!$A$1:$I$88,3,0)*0.475*44/12</f>
        <v>0</v>
      </c>
      <c r="DG172" s="23">
        <f>EXP(-LN(2)/25)*DG171+(1-EXP(-LN(2)/25))/(LN(2)/25)*Calculateur!DB172*Calculateur!DD172*VLOOKUP('Données projet'!$B$13,Paramètres!$A$1:$I$88,3,0)*0.475*44/12</f>
        <v>0.29309488932383337</v>
      </c>
      <c r="DH172" s="23">
        <f>EXP(-LN(2)/2)*DH171+(1-EXP(-LN(2)/2))/(LN(2)/2)*DB172*DE172*VLOOKUP('Données projet'!$B$13,Paramètres!$A$1:$I$88,3,0)*0.475*44/12</f>
        <v>8.1227269288773569E-21</v>
      </c>
      <c r="DI172" s="24">
        <f t="shared" si="175"/>
        <v>0.29309488932383337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projet'!$B$14,Paramètres!$A$1:$I$88,3,0)*VLOOKUP('Données projet'!$B$14,Paramètres!$A$1:$I$88,5,0)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projet'!$B$14,Paramètres!$A$1:$I$88,7,0))</f>
        <v>0</v>
      </c>
      <c r="DY172" s="17">
        <f>IF(ISNA(VLOOKUP(A172,'Données projet'!$A$165:$I$185,6,0)),0%,VLOOKUP(A172,'Données projet'!$A$165:$I$185,6,0)*VLOOKUP('Données projet'!$B$14,Paramètres!$A$1:$I$88,7,0))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projet'!$B$14,Paramètres!$A$1:$I$88,3,0)*0.475*44/12</f>
        <v>#N/A</v>
      </c>
      <c r="EB172" s="23" t="e">
        <f>EXP(-LN(2)/25)*EB171+(1-EXP(-LN(2)/25))/(LN(2)/25)*Calculateur!DW172*Calculateur!DY172*VLOOKUP('Données projet'!$B$14,Paramètres!$A$1:$I$88,3,0)*0.475*44/12</f>
        <v>#N/A</v>
      </c>
      <c r="EC172" s="23" t="e">
        <f>EXP(-LN(2)/2)*EC171+(1-EXP(-LN(2)/2))/(LN(2)/2)*DW172*DZ172*VLOOKUP('Données projet'!$B$14,Paramètres!$A$1:$I$88,3,0)*0.475*44/12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projet'!$B$15,Paramètres!$A$1:$I$88,3,0)*VLOOKUP('Données projet'!$B$15,Paramètres!$A$1:$I$88,5,0)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projet'!$B$15,Paramètres!$A$1:$I$88,7,0))</f>
        <v>0</v>
      </c>
      <c r="ET172" s="17">
        <f>IF(ISNA(VLOOKUP(A172,'Données projet'!$A$191:$I$211,6,0)),0%,VLOOKUP(A172,'Données projet'!$A$191:$I$211,6,0)*VLOOKUP('Données projet'!$B$15,Paramètres!$A$1:$I$88,7,0))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projet'!$B$15,Paramètres!$A$1:$I$88,3,0)*0.475*44/12</f>
        <v>#N/A</v>
      </c>
      <c r="EW172" s="23" t="e">
        <f>EXP(-LN(2)/25)*EW171+(1-EXP(-LN(2)/25))/(LN(2)/25)*Calculateur!ER172*Calculateur!ET172*VLOOKUP('Données projet'!$B$15,Paramètres!$A$1:$I$88,3,0)*0.475*44/12</f>
        <v>#N/A</v>
      </c>
      <c r="EX172" s="23" t="e">
        <f>EXP(-LN(2)/2)*EX171+(1-EXP(-LN(2)/2))/(LN(2)/2)*ER172*EU172*VLOOKUP('Données projet'!$B$15,Paramètres!$A$1:$I$88,3,0)*0.475*44/12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projet'!$B$16,Paramètres!$A$1:$I$88,3,0)*VLOOKUP('Données projet'!$B$16,Paramètres!$A$1:$I$88,5,0)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projet'!$B$16,Paramètres!$A$1:$I$88,7,0))</f>
        <v>0</v>
      </c>
      <c r="FO172" s="17">
        <f>IF(ISNA(VLOOKUP(A172,'Données projet'!$A$217:$I$237,6,0)),0%,VLOOKUP(A172,'Données projet'!$A$217:$I$237,6,0)*VLOOKUP('Données projet'!$B$16,Paramètres!$A$1:$I$88,7,0))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projet'!$B$16,Paramètres!$A$1:$I$88,3,0)*0.475*44/12</f>
        <v>#N/A</v>
      </c>
      <c r="FR172" s="23" t="e">
        <f>EXP(-LN(2)/25)*FR171+(1-EXP(-LN(2)/25))/(LN(2)/25)*Calculateur!FM172*Calculateur!FO172*VLOOKUP('Données projet'!$B$16,Paramètres!$A$1:$I$88,3,0)*0.475*44/12</f>
        <v>#N/A</v>
      </c>
      <c r="FS172" s="23" t="e">
        <f>EXP(-LN(2)/2)*FS171+(1-EXP(-LN(2)/2))/(LN(2)/2)*FM172*FP172*VLOOKUP('Données projet'!$B$16,Paramètres!$A$1:$I$88,3,0)*0.475*44/12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projet'!$B$17,Paramètres!$A$1:$I$88,3,0)*VLOOKUP('Données projet'!$B$17,Paramètres!$A$1:$I$88,5,0)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projet'!$B$17,Paramètres!$A$1:$I$88,7,0))</f>
        <v>0</v>
      </c>
      <c r="GJ172" s="17">
        <f>IF(ISNA(VLOOKUP(A172,'Données projet'!$A$243:$I$263,6,0)),0%,VLOOKUP(A172,'Données projet'!$A$243:$I$263,6,0)*VLOOKUP('Données projet'!$B$17,Paramètres!$A$1:$I$88,7,0))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projet'!$B$17,Paramètres!$A$1:$I$88,3,0)*0.475*44/12</f>
        <v>#N/A</v>
      </c>
      <c r="GM172" s="23" t="e">
        <f>EXP(-LN(2)/25)*GM171+(1-EXP(-LN(2)/25))/(LN(2)/25)*Calculateur!GH172*Calculateur!GJ172*VLOOKUP('Données projet'!$B$17,Paramètres!$A$1:$I$88,3,0)*0.475*44/12</f>
        <v>#N/A</v>
      </c>
      <c r="GN172" s="23" t="e">
        <f>EXP(-LN(2)/2)*GN171+(1-EXP(-LN(2)/2))/(LN(2)/2)*GH172*GK172*VLOOKUP('Données projet'!$B$17,Paramètres!$A$1:$I$88,3,0)*0.475*44/12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projet'!$B$18,Paramètres!$A$1:$I$88,3,0)*VLOOKUP('Données projet'!$B$18,Paramètres!$A$1:$I$88,5,0)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projet'!$B$18,Paramètres!$A$1:$I$88,7,0))</f>
        <v>0</v>
      </c>
      <c r="HE172" s="17">
        <f>IF(ISNA(VLOOKUP(A172,'Données projet'!$A$269:$I$289,6,0)),0%,VLOOKUP(A172,'Données projet'!$A$269:$I$289,6,0)*VLOOKUP('Données projet'!$B$18,Paramètres!$A$1:$I$88,7,0))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projet'!$B$18,Paramètres!$A$1:$I$88,3,0)*0.475*44/12</f>
        <v>#N/A</v>
      </c>
      <c r="HH172" s="23" t="e">
        <f>EXP(-LN(2)/25)*HH171+(1-EXP(-LN(2)/25))/(LN(2)/25)*Calculateur!HC172*Calculateur!HE172*VLOOKUP('Données projet'!$B$18,Paramètres!$A$1:$I$88,3,0)*0.475*44/12</f>
        <v>#N/A</v>
      </c>
      <c r="HI172" s="23" t="e">
        <f>EXP(-LN(2)/2)*HI171+(1-EXP(-LN(2)/2))/(LN(2)/2)*HC172*HF172*VLOOKUP('Données projet'!$B$18,Paramètres!$A$1:$I$88,3,0)*0.475*44/12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projet'!$B$9,Paramètres!$A$1:$I$88,3,0)*VLOOKUP('Données projet'!$B$9,Paramètres!$A$1:$I$88,5,0)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175.05987582828078</v>
      </c>
      <c r="T173" s="62">
        <f t="shared" si="142"/>
        <v>268.54782308462387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projet'!$B$9,Paramètres!$A$1:$I$88,7,0))</f>
        <v>0</v>
      </c>
      <c r="X173" s="17">
        <f>IF(ISNA(VLOOKUP(A173,'Données projet'!$A$35:$I$55,6,0)),0%,VLOOKUP(A173,'Données projet'!$A$35:$I$55,6,0)*VLOOKUP('Données projet'!$B$9,Paramètres!$A$1:$I$88,7,0))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projet'!$B$9,Paramètres!$A$1:$I$88,3,0)*0.475*44/12</f>
        <v>0</v>
      </c>
      <c r="AA173" s="23">
        <f>EXP(-LN(2)/25)*AA172+(1-EXP(-LN(2)/25))/(LN(2)/25)*Calculateur!V173*Calculateur!X173*VLOOKUP('Données projet'!$B$9,Paramètres!$A$1:$I$88,3,0)*0.475*44/12</f>
        <v>0.21226499253610187</v>
      </c>
      <c r="AB173" s="23">
        <f>EXP(-LN(2)/2)*AB172+(1-EXP(-LN(2)/2))/(LN(2)/2)*V173*Y173*VLOOKUP('Données projet'!$B$9,Paramètres!$A$1:$I$88,3,0)*0.475*44/12</f>
        <v>1.399198468897212E-20</v>
      </c>
      <c r="AC173" s="24">
        <f t="shared" si="163"/>
        <v>0.21226499253610187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-1.5916157281026244E-12</v>
      </c>
      <c r="AJ173" s="14">
        <f>AI173*VLOOKUP('Données projet'!$B$10,Paramètres!$A$1:$I$88,3,0)*VLOOKUP('Données projet'!$B$10,Paramètres!$A$1:$I$88,5,0)</f>
        <v>-7.6556716521736234E-13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576.61210817354549</v>
      </c>
      <c r="AO173" s="62">
        <f t="shared" si="144"/>
        <v>343.9428747444544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projet'!$B$10,Paramètres!$A$1:$I$88,7,0))</f>
        <v>0</v>
      </c>
      <c r="AS173" s="17">
        <f>IF(ISNA(VLOOKUP(A173,'Données projet'!$A$61:$I$81,6,0)),0%,VLOOKUP(A173,'Données projet'!$A$61:$I$81,6,0)*VLOOKUP('Données projet'!$B$10,Paramètres!$A$1:$I$88,7,0))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projet'!$B$10,Paramètres!$A$1:$I$88,3,0)*0.475*44/12</f>
        <v>0</v>
      </c>
      <c r="AV173" s="23">
        <f>EXP(-LN(2)/25)*AV172+(1-EXP(-LN(2)/25))/(LN(2)/25)*Calculateur!AQ173*Calculateur!AS173*VLOOKUP('Données projet'!$B$10,Paramètres!$A$1:$I$88,3,0)*0.475*44/12</f>
        <v>0.11675347161328414</v>
      </c>
      <c r="AW173" s="23">
        <f>EXP(-LN(2)/2)*AW172+(1-EXP(-LN(2)/2))/(LN(2)/2)*AQ173*AT173*VLOOKUP('Données projet'!$B$10,Paramètres!$A$1:$I$88,3,0)*0.475*44/12</f>
        <v>9.9640218276601623E-21</v>
      </c>
      <c r="AX173" s="23">
        <f t="shared" si="166"/>
        <v>0.11675347161328414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-5.6843418860808015E-14</v>
      </c>
      <c r="BE173" s="14">
        <f>BD173*VLOOKUP('Données projet'!$B$11,Paramètres!$A$1:$I$88,3,0)*VLOOKUP('Données projet'!$B$11,Paramètres!$A$1:$I$88,5,0)</f>
        <v>-4.5224624045658861E-14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298.38448036212861</v>
      </c>
      <c r="BJ173" s="62">
        <f t="shared" si="146"/>
        <v>270.4445531106897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projet'!$B$11,Paramètres!$A$1:$I$88,7,0))</f>
        <v>0</v>
      </c>
      <c r="BN173" s="17">
        <f>IF(ISNA(VLOOKUP(A173,'Données projet'!$A$87:$I$107,6,0)),0%,VLOOKUP(A173,'Données projet'!$A$87:$I$107,6,0)*VLOOKUP('Données projet'!$B$11,Paramètres!$A$1:$I$88,7,0))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projet'!$B$11,Paramètres!$A$1:$I$88,3,0)*0.475*44/12</f>
        <v>0</v>
      </c>
      <c r="BQ173" s="23">
        <f>EXP(-LN(2)/25)*BQ172+(1-EXP(-LN(2)/25))/(LN(2)/25)*Calculateur!BL173*Calculateur!BN173*VLOOKUP('Données projet'!$B$11,Paramètres!$A$1:$I$88,3,0)*0.475*44/12</f>
        <v>0</v>
      </c>
      <c r="BR173" s="23">
        <f>EXP(-LN(2)/2)*BR172+(1-EXP(-LN(2)/2))/(LN(2)/2)*BL173*BO173*VLOOKUP('Données projet'!$B$11,Paramètres!$A$1:$I$88,3,0)*0.475*44/12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5.6843418860808015E-14</v>
      </c>
      <c r="BZ173" s="14">
        <f>BY173*VLOOKUP('Données projet'!$B$12,Paramètres!$A$1:$I$88,3,0)*VLOOKUP('Données projet'!$B$12,Paramètres!$A$1:$I$88,5,0)</f>
        <v>4.4337866711430253E-14</v>
      </c>
      <c r="CA173" s="14">
        <f t="shared" si="170"/>
        <v>7.3222115536967035E-13</v>
      </c>
      <c r="CB173" s="22">
        <f t="shared" si="171"/>
        <v>1.3525069634579169E-12</v>
      </c>
      <c r="CC173" s="62">
        <f t="shared" si="119"/>
        <v>293.33333333333468</v>
      </c>
      <c r="CD173" s="62">
        <f ca="1">AVERAGE(OFFSET($CC$3,0,0,'Données projet'!$E$12+1,1))-AVERAGE(OFFSET($H$3,0,0,'Données projet'!$E$12+1,1))</f>
        <v>217.32600829266818</v>
      </c>
      <c r="CE173" s="62">
        <f t="shared" si="148"/>
        <v>208.79744153433245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projet'!$B$12,Paramètres!$A$1:$I$88,7,0))</f>
        <v>0</v>
      </c>
      <c r="CI173" s="17">
        <f>IF(ISNA(VLOOKUP(A173,'Données projet'!$A$113:$I$133,6,0)),0%,VLOOKUP(A173,'Données projet'!$A$113:$I$133,6,0)*VLOOKUP('Données projet'!$B$12,Paramètres!$A$1:$I$88,7,0))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projet'!$B$12,Paramètres!$A$1:$I$88,3,0)*0.475*44/12</f>
        <v>0</v>
      </c>
      <c r="CL173" s="23">
        <f>EXP(-LN(2)/25)*CL172+(1-EXP(-LN(2)/25))/(LN(2)/25)*Calculateur!CG173*Calculateur!CI173*VLOOKUP('Données projet'!$B$12,Paramètres!$A$1:$I$88,3,0)*0.475*44/12</f>
        <v>0</v>
      </c>
      <c r="CM173" s="23">
        <f>EXP(-LN(2)/2)*CM172+(1-EXP(-LN(2)/2))/(LN(2)/2)*CG173*CJ173*VLOOKUP('Données projet'!$B$12,Paramètres!$A$1:$I$88,3,0)*0.475*44/12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-3.4106051316484809E-13</v>
      </c>
      <c r="CU173" s="18">
        <f>CT173*VLOOKUP('Données projet'!$B$13,Paramètres!$A$1:$I$88,3,0)*VLOOKUP('Données projet'!$B$13,Paramètres!$A$1:$I$88,5,0)</f>
        <v>-1.9065282685915009E-13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302.20483575440988</v>
      </c>
      <c r="CZ173" s="62">
        <f t="shared" si="150"/>
        <v>275.32862097158687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projet'!$B$13,Paramètres!$A$1:$I$88,7,0))</f>
        <v>0</v>
      </c>
      <c r="DD173" s="17">
        <f>IF(ISNA(VLOOKUP(A173,'Données projet'!$A$139:$I$159,6,0)),0%,VLOOKUP(A173,'Données projet'!$A$139:$I$159,6,0)*VLOOKUP('Données projet'!$B$13,Paramètres!$A$1:$I$88,7,0))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projet'!$B$13,Paramètres!$A$1:$I$88,3,0)*0.475*44/12</f>
        <v>0</v>
      </c>
      <c r="DG173" s="23">
        <f>EXP(-LN(2)/25)*DG172+(1-EXP(-LN(2)/25))/(LN(2)/25)*Calculateur!DB173*Calculateur!DD173*VLOOKUP('Données projet'!$B$13,Paramètres!$A$1:$I$88,3,0)*0.475*44/12</f>
        <v>0.2850801941620828</v>
      </c>
      <c r="DH173" s="23">
        <f>EXP(-LN(2)/2)*DH172+(1-EXP(-LN(2)/2))/(LN(2)/2)*DB173*DE173*VLOOKUP('Données projet'!$B$13,Paramètres!$A$1:$I$88,3,0)*0.475*44/12</f>
        <v>5.7436352931357585E-21</v>
      </c>
      <c r="DI173" s="24">
        <f t="shared" si="175"/>
        <v>0.2850801941620828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projet'!$B$14,Paramètres!$A$1:$I$88,3,0)*VLOOKUP('Données projet'!$B$14,Paramètres!$A$1:$I$88,5,0)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projet'!$B$14,Paramètres!$A$1:$I$88,7,0))</f>
        <v>0</v>
      </c>
      <c r="DY173" s="17">
        <f>IF(ISNA(VLOOKUP(A173,'Données projet'!$A$165:$I$185,6,0)),0%,VLOOKUP(A173,'Données projet'!$A$165:$I$185,6,0)*VLOOKUP('Données projet'!$B$14,Paramètres!$A$1:$I$88,7,0))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projet'!$B$14,Paramètres!$A$1:$I$88,3,0)*0.475*44/12</f>
        <v>#N/A</v>
      </c>
      <c r="EB173" s="23" t="e">
        <f>EXP(-LN(2)/25)*EB172+(1-EXP(-LN(2)/25))/(LN(2)/25)*Calculateur!DW173*Calculateur!DY173*VLOOKUP('Données projet'!$B$14,Paramètres!$A$1:$I$88,3,0)*0.475*44/12</f>
        <v>#N/A</v>
      </c>
      <c r="EC173" s="23" t="e">
        <f>EXP(-LN(2)/2)*EC172+(1-EXP(-LN(2)/2))/(LN(2)/2)*DW173*DZ173*VLOOKUP('Données projet'!$B$14,Paramètres!$A$1:$I$88,3,0)*0.475*44/12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projet'!$B$15,Paramètres!$A$1:$I$88,3,0)*VLOOKUP('Données projet'!$B$15,Paramètres!$A$1:$I$88,5,0)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projet'!$B$15,Paramètres!$A$1:$I$88,7,0))</f>
        <v>0</v>
      </c>
      <c r="ET173" s="17">
        <f>IF(ISNA(VLOOKUP(A173,'Données projet'!$A$191:$I$211,6,0)),0%,VLOOKUP(A173,'Données projet'!$A$191:$I$211,6,0)*VLOOKUP('Données projet'!$B$15,Paramètres!$A$1:$I$88,7,0))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projet'!$B$15,Paramètres!$A$1:$I$88,3,0)*0.475*44/12</f>
        <v>#N/A</v>
      </c>
      <c r="EW173" s="23" t="e">
        <f>EXP(-LN(2)/25)*EW172+(1-EXP(-LN(2)/25))/(LN(2)/25)*Calculateur!ER173*Calculateur!ET173*VLOOKUP('Données projet'!$B$15,Paramètres!$A$1:$I$88,3,0)*0.475*44/12</f>
        <v>#N/A</v>
      </c>
      <c r="EX173" s="23" t="e">
        <f>EXP(-LN(2)/2)*EX172+(1-EXP(-LN(2)/2))/(LN(2)/2)*ER173*EU173*VLOOKUP('Données projet'!$B$15,Paramètres!$A$1:$I$88,3,0)*0.475*44/12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projet'!$B$16,Paramètres!$A$1:$I$88,3,0)*VLOOKUP('Données projet'!$B$16,Paramètres!$A$1:$I$88,5,0)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projet'!$B$16,Paramètres!$A$1:$I$88,7,0))</f>
        <v>0</v>
      </c>
      <c r="FO173" s="17">
        <f>IF(ISNA(VLOOKUP(A173,'Données projet'!$A$217:$I$237,6,0)),0%,VLOOKUP(A173,'Données projet'!$A$217:$I$237,6,0)*VLOOKUP('Données projet'!$B$16,Paramètres!$A$1:$I$88,7,0))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projet'!$B$16,Paramètres!$A$1:$I$88,3,0)*0.475*44/12</f>
        <v>#N/A</v>
      </c>
      <c r="FR173" s="23" t="e">
        <f>EXP(-LN(2)/25)*FR172+(1-EXP(-LN(2)/25))/(LN(2)/25)*Calculateur!FM173*Calculateur!FO173*VLOOKUP('Données projet'!$B$16,Paramètres!$A$1:$I$88,3,0)*0.475*44/12</f>
        <v>#N/A</v>
      </c>
      <c r="FS173" s="23" t="e">
        <f>EXP(-LN(2)/2)*FS172+(1-EXP(-LN(2)/2))/(LN(2)/2)*FM173*FP173*VLOOKUP('Données projet'!$B$16,Paramètres!$A$1:$I$88,3,0)*0.475*44/12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projet'!$B$17,Paramètres!$A$1:$I$88,3,0)*VLOOKUP('Données projet'!$B$17,Paramètres!$A$1:$I$88,5,0)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projet'!$B$17,Paramètres!$A$1:$I$88,7,0))</f>
        <v>0</v>
      </c>
      <c r="GJ173" s="17">
        <f>IF(ISNA(VLOOKUP(A173,'Données projet'!$A$243:$I$263,6,0)),0%,VLOOKUP(A173,'Données projet'!$A$243:$I$263,6,0)*VLOOKUP('Données projet'!$B$17,Paramètres!$A$1:$I$88,7,0))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projet'!$B$17,Paramètres!$A$1:$I$88,3,0)*0.475*44/12</f>
        <v>#N/A</v>
      </c>
      <c r="GM173" s="23" t="e">
        <f>EXP(-LN(2)/25)*GM172+(1-EXP(-LN(2)/25))/(LN(2)/25)*Calculateur!GH173*Calculateur!GJ173*VLOOKUP('Données projet'!$B$17,Paramètres!$A$1:$I$88,3,0)*0.475*44/12</f>
        <v>#N/A</v>
      </c>
      <c r="GN173" s="23" t="e">
        <f>EXP(-LN(2)/2)*GN172+(1-EXP(-LN(2)/2))/(LN(2)/2)*GH173*GK173*VLOOKUP('Données projet'!$B$17,Paramètres!$A$1:$I$88,3,0)*0.475*44/12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projet'!$B$18,Paramètres!$A$1:$I$88,3,0)*VLOOKUP('Données projet'!$B$18,Paramètres!$A$1:$I$88,5,0)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projet'!$B$18,Paramètres!$A$1:$I$88,7,0))</f>
        <v>0</v>
      </c>
      <c r="HE173" s="17">
        <f>IF(ISNA(VLOOKUP(A173,'Données projet'!$A$269:$I$289,6,0)),0%,VLOOKUP(A173,'Données projet'!$A$269:$I$289,6,0)*VLOOKUP('Données projet'!$B$18,Paramètres!$A$1:$I$88,7,0))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projet'!$B$18,Paramètres!$A$1:$I$88,3,0)*0.475*44/12</f>
        <v>#N/A</v>
      </c>
      <c r="HH173" s="23" t="e">
        <f>EXP(-LN(2)/25)*HH172+(1-EXP(-LN(2)/25))/(LN(2)/25)*Calculateur!HC173*Calculateur!HE173*VLOOKUP('Données projet'!$B$18,Paramètres!$A$1:$I$88,3,0)*0.475*44/12</f>
        <v>#N/A</v>
      </c>
      <c r="HI173" s="23" t="e">
        <f>EXP(-LN(2)/2)*HI172+(1-EXP(-LN(2)/2))/(LN(2)/2)*HC173*HF173*VLOOKUP('Données projet'!$B$18,Paramètres!$A$1:$I$88,3,0)*0.475*44/12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projet'!$B$9,Paramètres!$A$1:$I$88,3,0)*VLOOKUP('Données projet'!$B$9,Paramètres!$A$1:$I$88,5,0)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175.05987582828078</v>
      </c>
      <c r="T174" s="62">
        <f t="shared" si="142"/>
        <v>268.54782308462387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projet'!$B$9,Paramètres!$A$1:$I$88,7,0))</f>
        <v>0</v>
      </c>
      <c r="X174" s="17">
        <f>IF(ISNA(VLOOKUP(A174,'Données projet'!$A$35:$I$55,6,0)),0%,VLOOKUP(A174,'Données projet'!$A$35:$I$55,6,0)*VLOOKUP('Données projet'!$B$9,Paramètres!$A$1:$I$88,7,0))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projet'!$B$9,Paramètres!$A$1:$I$88,3,0)*0.475*44/12</f>
        <v>0</v>
      </c>
      <c r="AA174" s="23">
        <f>EXP(-LN(2)/25)*AA173+(1-EXP(-LN(2)/25))/(LN(2)/25)*Calculateur!V174*Calculateur!X174*VLOOKUP('Données projet'!$B$9,Paramètres!$A$1:$I$88,3,0)*0.475*44/12</f>
        <v>0.20646059515267134</v>
      </c>
      <c r="AB174" s="23">
        <f>EXP(-LN(2)/2)*AB173+(1-EXP(-LN(2)/2))/(LN(2)/2)*V174*Y174*VLOOKUP('Données projet'!$B$9,Paramètres!$A$1:$I$88,3,0)*0.475*44/12</f>
        <v>9.8938272558305319E-21</v>
      </c>
      <c r="AC174" s="24">
        <f t="shared" si="163"/>
        <v>0.20646059515267134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-1.5916157281026244E-12</v>
      </c>
      <c r="AJ174" s="14">
        <f>AI174*VLOOKUP('Données projet'!$B$10,Paramètres!$A$1:$I$88,3,0)*VLOOKUP('Données projet'!$B$10,Paramètres!$A$1:$I$88,5,0)</f>
        <v>-7.6556716521736234E-13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576.61210817354549</v>
      </c>
      <c r="AO174" s="62">
        <f t="shared" si="144"/>
        <v>343.9428747444544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projet'!$B$10,Paramètres!$A$1:$I$88,7,0))</f>
        <v>0</v>
      </c>
      <c r="AS174" s="17">
        <f>IF(ISNA(VLOOKUP(A174,'Données projet'!$A$61:$I$81,6,0)),0%,VLOOKUP(A174,'Données projet'!$A$61:$I$81,6,0)*VLOOKUP('Données projet'!$B$10,Paramètres!$A$1:$I$88,7,0))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projet'!$B$10,Paramètres!$A$1:$I$88,3,0)*0.475*44/12</f>
        <v>0</v>
      </c>
      <c r="AV174" s="23">
        <f>EXP(-LN(2)/25)*AV173+(1-EXP(-LN(2)/25))/(LN(2)/25)*Calculateur!AQ174*Calculateur!AS174*VLOOKUP('Données projet'!$B$10,Paramètres!$A$1:$I$88,3,0)*0.475*44/12</f>
        <v>0.11356084179222066</v>
      </c>
      <c r="AW174" s="23">
        <f>EXP(-LN(2)/2)*AW173+(1-EXP(-LN(2)/2))/(LN(2)/2)*AQ174*AT174*VLOOKUP('Données projet'!$B$10,Paramètres!$A$1:$I$88,3,0)*0.475*44/12</f>
        <v>7.0456274022292776E-21</v>
      </c>
      <c r="AX174" s="23">
        <f t="shared" si="166"/>
        <v>0.11356084179222066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-5.6843418860808015E-14</v>
      </c>
      <c r="BE174" s="14">
        <f>BD174*VLOOKUP('Données projet'!$B$11,Paramètres!$A$1:$I$88,3,0)*VLOOKUP('Données projet'!$B$11,Paramètres!$A$1:$I$88,5,0)</f>
        <v>-4.5224624045658861E-14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298.38448036212861</v>
      </c>
      <c r="BJ174" s="62">
        <f t="shared" si="146"/>
        <v>270.4445531106897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projet'!$B$11,Paramètres!$A$1:$I$88,7,0))</f>
        <v>0</v>
      </c>
      <c r="BN174" s="17">
        <f>IF(ISNA(VLOOKUP(A174,'Données projet'!$A$87:$I$107,6,0)),0%,VLOOKUP(A174,'Données projet'!$A$87:$I$107,6,0)*VLOOKUP('Données projet'!$B$11,Paramètres!$A$1:$I$88,7,0))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projet'!$B$11,Paramètres!$A$1:$I$88,3,0)*0.475*44/12</f>
        <v>0</v>
      </c>
      <c r="BQ174" s="23">
        <f>EXP(-LN(2)/25)*BQ173+(1-EXP(-LN(2)/25))/(LN(2)/25)*Calculateur!BL174*Calculateur!BN174*VLOOKUP('Données projet'!$B$11,Paramètres!$A$1:$I$88,3,0)*0.475*44/12</f>
        <v>0</v>
      </c>
      <c r="BR174" s="23">
        <f>EXP(-LN(2)/2)*BR173+(1-EXP(-LN(2)/2))/(LN(2)/2)*BL174*BO174*VLOOKUP('Données projet'!$B$11,Paramètres!$A$1:$I$88,3,0)*0.475*44/12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5.6843418860808015E-14</v>
      </c>
      <c r="BZ174" s="14">
        <f>BY174*VLOOKUP('Données projet'!$B$12,Paramètres!$A$1:$I$88,3,0)*VLOOKUP('Données projet'!$B$12,Paramètres!$A$1:$I$88,5,0)</f>
        <v>4.4337866711430253E-14</v>
      </c>
      <c r="CA174" s="14">
        <f t="shared" si="170"/>
        <v>7.3222115536967035E-13</v>
      </c>
      <c r="CB174" s="22">
        <f t="shared" si="171"/>
        <v>1.3525069634579169E-12</v>
      </c>
      <c r="CC174" s="62">
        <f t="shared" si="119"/>
        <v>293.33333333333468</v>
      </c>
      <c r="CD174" s="62">
        <f ca="1">AVERAGE(OFFSET($CC$3,0,0,'Données projet'!$E$12+1,1))-AVERAGE(OFFSET($H$3,0,0,'Données projet'!$E$12+1,1))</f>
        <v>217.32600829266818</v>
      </c>
      <c r="CE174" s="62">
        <f t="shared" si="148"/>
        <v>208.79744153433245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projet'!$B$12,Paramètres!$A$1:$I$88,7,0))</f>
        <v>0</v>
      </c>
      <c r="CI174" s="17">
        <f>IF(ISNA(VLOOKUP(A174,'Données projet'!$A$113:$I$133,6,0)),0%,VLOOKUP(A174,'Données projet'!$A$113:$I$133,6,0)*VLOOKUP('Données projet'!$B$12,Paramètres!$A$1:$I$88,7,0))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projet'!$B$12,Paramètres!$A$1:$I$88,3,0)*0.475*44/12</f>
        <v>0</v>
      </c>
      <c r="CL174" s="23">
        <f>EXP(-LN(2)/25)*CL173+(1-EXP(-LN(2)/25))/(LN(2)/25)*Calculateur!CG174*Calculateur!CI174*VLOOKUP('Données projet'!$B$12,Paramètres!$A$1:$I$88,3,0)*0.475*44/12</f>
        <v>0</v>
      </c>
      <c r="CM174" s="23">
        <f>EXP(-LN(2)/2)*CM173+(1-EXP(-LN(2)/2))/(LN(2)/2)*CG174*CJ174*VLOOKUP('Données projet'!$B$12,Paramètres!$A$1:$I$88,3,0)*0.475*44/12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-3.4106051316484809E-13</v>
      </c>
      <c r="CU174" s="18">
        <f>CT174*VLOOKUP('Données projet'!$B$13,Paramètres!$A$1:$I$88,3,0)*VLOOKUP('Données projet'!$B$13,Paramètres!$A$1:$I$88,5,0)</f>
        <v>-1.9065282685915009E-13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302.20483575440988</v>
      </c>
      <c r="CZ174" s="62">
        <f t="shared" si="150"/>
        <v>275.32862097158687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projet'!$B$13,Paramètres!$A$1:$I$88,7,0))</f>
        <v>0</v>
      </c>
      <c r="DD174" s="17">
        <f>IF(ISNA(VLOOKUP(A174,'Données projet'!$A$139:$I$159,6,0)),0%,VLOOKUP(A174,'Données projet'!$A$139:$I$159,6,0)*VLOOKUP('Données projet'!$B$13,Paramètres!$A$1:$I$88,7,0))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projet'!$B$13,Paramètres!$A$1:$I$88,3,0)*0.475*44/12</f>
        <v>0</v>
      </c>
      <c r="DG174" s="23">
        <f>EXP(-LN(2)/25)*DG173+(1-EXP(-LN(2)/25))/(LN(2)/25)*Calculateur!DB174*Calculateur!DD174*VLOOKUP('Données projet'!$B$13,Paramètres!$A$1:$I$88,3,0)*0.475*44/12</f>
        <v>0.27728466126100482</v>
      </c>
      <c r="DH174" s="23">
        <f>EXP(-LN(2)/2)*DH173+(1-EXP(-LN(2)/2))/(LN(2)/2)*DB174*DE174*VLOOKUP('Données projet'!$B$13,Paramètres!$A$1:$I$88,3,0)*0.475*44/12</f>
        <v>4.0613634644386784E-21</v>
      </c>
      <c r="DI174" s="24">
        <f t="shared" si="175"/>
        <v>0.27728466126100482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projet'!$B$14,Paramètres!$A$1:$I$88,3,0)*VLOOKUP('Données projet'!$B$14,Paramètres!$A$1:$I$88,5,0)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projet'!$B$14,Paramètres!$A$1:$I$88,7,0))</f>
        <v>0</v>
      </c>
      <c r="DY174" s="17">
        <f>IF(ISNA(VLOOKUP(A174,'Données projet'!$A$165:$I$185,6,0)),0%,VLOOKUP(A174,'Données projet'!$A$165:$I$185,6,0)*VLOOKUP('Données projet'!$B$14,Paramètres!$A$1:$I$88,7,0))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projet'!$B$14,Paramètres!$A$1:$I$88,3,0)*0.475*44/12</f>
        <v>#N/A</v>
      </c>
      <c r="EB174" s="23" t="e">
        <f>EXP(-LN(2)/25)*EB173+(1-EXP(-LN(2)/25))/(LN(2)/25)*Calculateur!DW174*Calculateur!DY174*VLOOKUP('Données projet'!$B$14,Paramètres!$A$1:$I$88,3,0)*0.475*44/12</f>
        <v>#N/A</v>
      </c>
      <c r="EC174" s="23" t="e">
        <f>EXP(-LN(2)/2)*EC173+(1-EXP(-LN(2)/2))/(LN(2)/2)*DW174*DZ174*VLOOKUP('Données projet'!$B$14,Paramètres!$A$1:$I$88,3,0)*0.475*44/12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projet'!$B$15,Paramètres!$A$1:$I$88,3,0)*VLOOKUP('Données projet'!$B$15,Paramètres!$A$1:$I$88,5,0)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projet'!$B$15,Paramètres!$A$1:$I$88,7,0))</f>
        <v>0</v>
      </c>
      <c r="ET174" s="17">
        <f>IF(ISNA(VLOOKUP(A174,'Données projet'!$A$191:$I$211,6,0)),0%,VLOOKUP(A174,'Données projet'!$A$191:$I$211,6,0)*VLOOKUP('Données projet'!$B$15,Paramètres!$A$1:$I$88,7,0))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projet'!$B$15,Paramètres!$A$1:$I$88,3,0)*0.475*44/12</f>
        <v>#N/A</v>
      </c>
      <c r="EW174" s="23" t="e">
        <f>EXP(-LN(2)/25)*EW173+(1-EXP(-LN(2)/25))/(LN(2)/25)*Calculateur!ER174*Calculateur!ET174*VLOOKUP('Données projet'!$B$15,Paramètres!$A$1:$I$88,3,0)*0.475*44/12</f>
        <v>#N/A</v>
      </c>
      <c r="EX174" s="23" t="e">
        <f>EXP(-LN(2)/2)*EX173+(1-EXP(-LN(2)/2))/(LN(2)/2)*ER174*EU174*VLOOKUP('Données projet'!$B$15,Paramètres!$A$1:$I$88,3,0)*0.475*44/12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projet'!$B$16,Paramètres!$A$1:$I$88,3,0)*VLOOKUP('Données projet'!$B$16,Paramètres!$A$1:$I$88,5,0)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projet'!$B$16,Paramètres!$A$1:$I$88,7,0))</f>
        <v>0</v>
      </c>
      <c r="FO174" s="17">
        <f>IF(ISNA(VLOOKUP(A174,'Données projet'!$A$217:$I$237,6,0)),0%,VLOOKUP(A174,'Données projet'!$A$217:$I$237,6,0)*VLOOKUP('Données projet'!$B$16,Paramètres!$A$1:$I$88,7,0))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projet'!$B$16,Paramètres!$A$1:$I$88,3,0)*0.475*44/12</f>
        <v>#N/A</v>
      </c>
      <c r="FR174" s="23" t="e">
        <f>EXP(-LN(2)/25)*FR173+(1-EXP(-LN(2)/25))/(LN(2)/25)*Calculateur!FM174*Calculateur!FO174*VLOOKUP('Données projet'!$B$16,Paramètres!$A$1:$I$88,3,0)*0.475*44/12</f>
        <v>#N/A</v>
      </c>
      <c r="FS174" s="23" t="e">
        <f>EXP(-LN(2)/2)*FS173+(1-EXP(-LN(2)/2))/(LN(2)/2)*FM174*FP174*VLOOKUP('Données projet'!$B$16,Paramètres!$A$1:$I$88,3,0)*0.475*44/12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projet'!$B$17,Paramètres!$A$1:$I$88,3,0)*VLOOKUP('Données projet'!$B$17,Paramètres!$A$1:$I$88,5,0)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projet'!$B$17,Paramètres!$A$1:$I$88,7,0))</f>
        <v>0</v>
      </c>
      <c r="GJ174" s="17">
        <f>IF(ISNA(VLOOKUP(A174,'Données projet'!$A$243:$I$263,6,0)),0%,VLOOKUP(A174,'Données projet'!$A$243:$I$263,6,0)*VLOOKUP('Données projet'!$B$17,Paramètres!$A$1:$I$88,7,0))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projet'!$B$17,Paramètres!$A$1:$I$88,3,0)*0.475*44/12</f>
        <v>#N/A</v>
      </c>
      <c r="GM174" s="23" t="e">
        <f>EXP(-LN(2)/25)*GM173+(1-EXP(-LN(2)/25))/(LN(2)/25)*Calculateur!GH174*Calculateur!GJ174*VLOOKUP('Données projet'!$B$17,Paramètres!$A$1:$I$88,3,0)*0.475*44/12</f>
        <v>#N/A</v>
      </c>
      <c r="GN174" s="23" t="e">
        <f>EXP(-LN(2)/2)*GN173+(1-EXP(-LN(2)/2))/(LN(2)/2)*GH174*GK174*VLOOKUP('Données projet'!$B$17,Paramètres!$A$1:$I$88,3,0)*0.475*44/12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projet'!$B$18,Paramètres!$A$1:$I$88,3,0)*VLOOKUP('Données projet'!$B$18,Paramètres!$A$1:$I$88,5,0)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projet'!$B$18,Paramètres!$A$1:$I$88,7,0))</f>
        <v>0</v>
      </c>
      <c r="HE174" s="17">
        <f>IF(ISNA(VLOOKUP(A174,'Données projet'!$A$269:$I$289,6,0)),0%,VLOOKUP(A174,'Données projet'!$A$269:$I$289,6,0)*VLOOKUP('Données projet'!$B$18,Paramètres!$A$1:$I$88,7,0))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projet'!$B$18,Paramètres!$A$1:$I$88,3,0)*0.475*44/12</f>
        <v>#N/A</v>
      </c>
      <c r="HH174" s="23" t="e">
        <f>EXP(-LN(2)/25)*HH173+(1-EXP(-LN(2)/25))/(LN(2)/25)*Calculateur!HC174*Calculateur!HE174*VLOOKUP('Données projet'!$B$18,Paramètres!$A$1:$I$88,3,0)*0.475*44/12</f>
        <v>#N/A</v>
      </c>
      <c r="HI174" s="23" t="e">
        <f>EXP(-LN(2)/2)*HI173+(1-EXP(-LN(2)/2))/(LN(2)/2)*HC174*HF174*VLOOKUP('Données projet'!$B$18,Paramètres!$A$1:$I$88,3,0)*0.475*44/12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projet'!$B$9,Paramètres!$A$1:$I$88,3,0)*VLOOKUP('Données projet'!$B$9,Paramètres!$A$1:$I$88,5,0)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175.05987582828078</v>
      </c>
      <c r="T175" s="62">
        <f t="shared" si="142"/>
        <v>268.54782308462387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projet'!$B$9,Paramètres!$A$1:$I$88,7,0))</f>
        <v>0</v>
      </c>
      <c r="X175" s="17">
        <f>IF(ISNA(VLOOKUP(A175,'Données projet'!$A$35:$I$55,6,0)),0%,VLOOKUP(A175,'Données projet'!$A$35:$I$55,6,0)*VLOOKUP('Données projet'!$B$9,Paramètres!$A$1:$I$88,7,0))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projet'!$B$9,Paramètres!$A$1:$I$88,3,0)*0.475*44/12</f>
        <v>0</v>
      </c>
      <c r="AA175" s="23">
        <f>EXP(-LN(2)/25)*AA174+(1-EXP(-LN(2)/25))/(LN(2)/25)*Calculateur!V175*Calculateur!X175*VLOOKUP('Données projet'!$B$9,Paramètres!$A$1:$I$88,3,0)*0.475*44/12</f>
        <v>0.20081491932093071</v>
      </c>
      <c r="AB175" s="23">
        <f>EXP(-LN(2)/2)*AB174+(1-EXP(-LN(2)/2))/(LN(2)/2)*V175*Y175*VLOOKUP('Données projet'!$B$9,Paramètres!$A$1:$I$88,3,0)*0.475*44/12</f>
        <v>6.9959923444860598E-21</v>
      </c>
      <c r="AC175" s="24">
        <f t="shared" si="163"/>
        <v>0.20081491932093071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-1.5916157281026244E-12</v>
      </c>
      <c r="AJ175" s="14">
        <f>AI175*VLOOKUP('Données projet'!$B$10,Paramètres!$A$1:$I$88,3,0)*VLOOKUP('Données projet'!$B$10,Paramètres!$A$1:$I$88,5,0)</f>
        <v>-7.6556716521736234E-13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576.61210817354549</v>
      </c>
      <c r="AO175" s="62">
        <f t="shared" si="144"/>
        <v>343.9428747444544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projet'!$B$10,Paramètres!$A$1:$I$88,7,0))</f>
        <v>0</v>
      </c>
      <c r="AS175" s="17">
        <f>IF(ISNA(VLOOKUP(A175,'Données projet'!$A$61:$I$81,6,0)),0%,VLOOKUP(A175,'Données projet'!$A$61:$I$81,6,0)*VLOOKUP('Données projet'!$B$10,Paramètres!$A$1:$I$88,7,0))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projet'!$B$10,Paramètres!$A$1:$I$88,3,0)*0.475*44/12</f>
        <v>0</v>
      </c>
      <c r="AV175" s="23">
        <f>EXP(-LN(2)/25)*AV174+(1-EXP(-LN(2)/25))/(LN(2)/25)*Calculateur!AQ175*Calculateur!AS175*VLOOKUP('Données projet'!$B$10,Paramètres!$A$1:$I$88,3,0)*0.475*44/12</f>
        <v>0.11045551460150727</v>
      </c>
      <c r="AW175" s="23">
        <f>EXP(-LN(2)/2)*AW174+(1-EXP(-LN(2)/2))/(LN(2)/2)*AQ175*AT175*VLOOKUP('Données projet'!$B$10,Paramètres!$A$1:$I$88,3,0)*0.475*44/12</f>
        <v>4.9820109138300812E-21</v>
      </c>
      <c r="AX175" s="23">
        <f t="shared" si="166"/>
        <v>0.11045551460150727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-5.6843418860808015E-14</v>
      </c>
      <c r="BE175" s="14">
        <f>BD175*VLOOKUP('Données projet'!$B$11,Paramètres!$A$1:$I$88,3,0)*VLOOKUP('Données projet'!$B$11,Paramètres!$A$1:$I$88,5,0)</f>
        <v>-4.5224624045658861E-14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298.38448036212861</v>
      </c>
      <c r="BJ175" s="62">
        <f t="shared" si="146"/>
        <v>270.4445531106897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projet'!$B$11,Paramètres!$A$1:$I$88,7,0))</f>
        <v>0</v>
      </c>
      <c r="BN175" s="17">
        <f>IF(ISNA(VLOOKUP(A175,'Données projet'!$A$87:$I$107,6,0)),0%,VLOOKUP(A175,'Données projet'!$A$87:$I$107,6,0)*VLOOKUP('Données projet'!$B$11,Paramètres!$A$1:$I$88,7,0))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projet'!$B$11,Paramètres!$A$1:$I$88,3,0)*0.475*44/12</f>
        <v>0</v>
      </c>
      <c r="BQ175" s="23">
        <f>EXP(-LN(2)/25)*BQ174+(1-EXP(-LN(2)/25))/(LN(2)/25)*Calculateur!BL175*Calculateur!BN175*VLOOKUP('Données projet'!$B$11,Paramètres!$A$1:$I$88,3,0)*0.475*44/12</f>
        <v>0</v>
      </c>
      <c r="BR175" s="23">
        <f>EXP(-LN(2)/2)*BR174+(1-EXP(-LN(2)/2))/(LN(2)/2)*BL175*BO175*VLOOKUP('Données projet'!$B$11,Paramètres!$A$1:$I$88,3,0)*0.475*44/12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5.6843418860808015E-14</v>
      </c>
      <c r="BZ175" s="14">
        <f>BY175*VLOOKUP('Données projet'!$B$12,Paramètres!$A$1:$I$88,3,0)*VLOOKUP('Données projet'!$B$12,Paramètres!$A$1:$I$88,5,0)</f>
        <v>4.4337866711430253E-14</v>
      </c>
      <c r="CA175" s="14">
        <f t="shared" si="170"/>
        <v>7.3222115536967035E-13</v>
      </c>
      <c r="CB175" s="22">
        <f t="shared" si="171"/>
        <v>1.3525069634579169E-12</v>
      </c>
      <c r="CC175" s="62">
        <f t="shared" si="119"/>
        <v>293.33333333333468</v>
      </c>
      <c r="CD175" s="62">
        <f ca="1">AVERAGE(OFFSET($CC$3,0,0,'Données projet'!$E$12+1,1))-AVERAGE(OFFSET($H$3,0,0,'Données projet'!$E$12+1,1))</f>
        <v>217.32600829266818</v>
      </c>
      <c r="CE175" s="62">
        <f t="shared" si="148"/>
        <v>208.79744153433245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projet'!$B$12,Paramètres!$A$1:$I$88,7,0))</f>
        <v>0</v>
      </c>
      <c r="CI175" s="17">
        <f>IF(ISNA(VLOOKUP(A175,'Données projet'!$A$113:$I$133,6,0)),0%,VLOOKUP(A175,'Données projet'!$A$113:$I$133,6,0)*VLOOKUP('Données projet'!$B$12,Paramètres!$A$1:$I$88,7,0))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projet'!$B$12,Paramètres!$A$1:$I$88,3,0)*0.475*44/12</f>
        <v>0</v>
      </c>
      <c r="CL175" s="23">
        <f>EXP(-LN(2)/25)*CL174+(1-EXP(-LN(2)/25))/(LN(2)/25)*Calculateur!CG175*Calculateur!CI175*VLOOKUP('Données projet'!$B$12,Paramètres!$A$1:$I$88,3,0)*0.475*44/12</f>
        <v>0</v>
      </c>
      <c r="CM175" s="23">
        <f>EXP(-LN(2)/2)*CM174+(1-EXP(-LN(2)/2))/(LN(2)/2)*CG175*CJ175*VLOOKUP('Données projet'!$B$12,Paramètres!$A$1:$I$88,3,0)*0.475*44/12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-3.4106051316484809E-13</v>
      </c>
      <c r="CU175" s="18">
        <f>CT175*VLOOKUP('Données projet'!$B$13,Paramètres!$A$1:$I$88,3,0)*VLOOKUP('Données projet'!$B$13,Paramètres!$A$1:$I$88,5,0)</f>
        <v>-1.9065282685915009E-13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302.20483575440988</v>
      </c>
      <c r="CZ175" s="62">
        <f t="shared" si="150"/>
        <v>275.32862097158687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projet'!$B$13,Paramètres!$A$1:$I$88,7,0))</f>
        <v>0</v>
      </c>
      <c r="DD175" s="17">
        <f>IF(ISNA(VLOOKUP(A175,'Données projet'!$A$139:$I$159,6,0)),0%,VLOOKUP(A175,'Données projet'!$A$139:$I$159,6,0)*VLOOKUP('Données projet'!$B$13,Paramètres!$A$1:$I$88,7,0))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projet'!$B$13,Paramètres!$A$1:$I$88,3,0)*0.475*44/12</f>
        <v>0</v>
      </c>
      <c r="DG175" s="23">
        <f>EXP(-LN(2)/25)*DG174+(1-EXP(-LN(2)/25))/(LN(2)/25)*Calculateur!DB175*Calculateur!DD175*VLOOKUP('Données projet'!$B$13,Paramètres!$A$1:$I$88,3,0)*0.475*44/12</f>
        <v>0.26970229761705605</v>
      </c>
      <c r="DH175" s="23">
        <f>EXP(-LN(2)/2)*DH174+(1-EXP(-LN(2)/2))/(LN(2)/2)*DB175*DE175*VLOOKUP('Données projet'!$B$13,Paramètres!$A$1:$I$88,3,0)*0.475*44/12</f>
        <v>2.8718176465678792E-21</v>
      </c>
      <c r="DI175" s="24">
        <f t="shared" si="175"/>
        <v>0.26970229761705605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projet'!$B$14,Paramètres!$A$1:$I$88,3,0)*VLOOKUP('Données projet'!$B$14,Paramètres!$A$1:$I$88,5,0)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projet'!$B$14,Paramètres!$A$1:$I$88,7,0))</f>
        <v>0</v>
      </c>
      <c r="DY175" s="17">
        <f>IF(ISNA(VLOOKUP(A175,'Données projet'!$A$165:$I$185,6,0)),0%,VLOOKUP(A175,'Données projet'!$A$165:$I$185,6,0)*VLOOKUP('Données projet'!$B$14,Paramètres!$A$1:$I$88,7,0))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projet'!$B$14,Paramètres!$A$1:$I$88,3,0)*0.475*44/12</f>
        <v>#N/A</v>
      </c>
      <c r="EB175" s="23" t="e">
        <f>EXP(-LN(2)/25)*EB174+(1-EXP(-LN(2)/25))/(LN(2)/25)*Calculateur!DW175*Calculateur!DY175*VLOOKUP('Données projet'!$B$14,Paramètres!$A$1:$I$88,3,0)*0.475*44/12</f>
        <v>#N/A</v>
      </c>
      <c r="EC175" s="23" t="e">
        <f>EXP(-LN(2)/2)*EC174+(1-EXP(-LN(2)/2))/(LN(2)/2)*DW175*DZ175*VLOOKUP('Données projet'!$B$14,Paramètres!$A$1:$I$88,3,0)*0.475*44/12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projet'!$B$15,Paramètres!$A$1:$I$88,3,0)*VLOOKUP('Données projet'!$B$15,Paramètres!$A$1:$I$88,5,0)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projet'!$B$15,Paramètres!$A$1:$I$88,7,0))</f>
        <v>0</v>
      </c>
      <c r="ET175" s="17">
        <f>IF(ISNA(VLOOKUP(A175,'Données projet'!$A$191:$I$211,6,0)),0%,VLOOKUP(A175,'Données projet'!$A$191:$I$211,6,0)*VLOOKUP('Données projet'!$B$15,Paramètres!$A$1:$I$88,7,0))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projet'!$B$15,Paramètres!$A$1:$I$88,3,0)*0.475*44/12</f>
        <v>#N/A</v>
      </c>
      <c r="EW175" s="23" t="e">
        <f>EXP(-LN(2)/25)*EW174+(1-EXP(-LN(2)/25))/(LN(2)/25)*Calculateur!ER175*Calculateur!ET175*VLOOKUP('Données projet'!$B$15,Paramètres!$A$1:$I$88,3,0)*0.475*44/12</f>
        <v>#N/A</v>
      </c>
      <c r="EX175" s="23" t="e">
        <f>EXP(-LN(2)/2)*EX174+(1-EXP(-LN(2)/2))/(LN(2)/2)*ER175*EU175*VLOOKUP('Données projet'!$B$15,Paramètres!$A$1:$I$88,3,0)*0.475*44/12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projet'!$B$16,Paramètres!$A$1:$I$88,3,0)*VLOOKUP('Données projet'!$B$16,Paramètres!$A$1:$I$88,5,0)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projet'!$B$16,Paramètres!$A$1:$I$88,7,0))</f>
        <v>0</v>
      </c>
      <c r="FO175" s="17">
        <f>IF(ISNA(VLOOKUP(A175,'Données projet'!$A$217:$I$237,6,0)),0%,VLOOKUP(A175,'Données projet'!$A$217:$I$237,6,0)*VLOOKUP('Données projet'!$B$16,Paramètres!$A$1:$I$88,7,0))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projet'!$B$16,Paramètres!$A$1:$I$88,3,0)*0.475*44/12</f>
        <v>#N/A</v>
      </c>
      <c r="FR175" s="23" t="e">
        <f>EXP(-LN(2)/25)*FR174+(1-EXP(-LN(2)/25))/(LN(2)/25)*Calculateur!FM175*Calculateur!FO175*VLOOKUP('Données projet'!$B$16,Paramètres!$A$1:$I$88,3,0)*0.475*44/12</f>
        <v>#N/A</v>
      </c>
      <c r="FS175" s="23" t="e">
        <f>EXP(-LN(2)/2)*FS174+(1-EXP(-LN(2)/2))/(LN(2)/2)*FM175*FP175*VLOOKUP('Données projet'!$B$16,Paramètres!$A$1:$I$88,3,0)*0.475*44/12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projet'!$B$17,Paramètres!$A$1:$I$88,3,0)*VLOOKUP('Données projet'!$B$17,Paramètres!$A$1:$I$88,5,0)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projet'!$B$17,Paramètres!$A$1:$I$88,7,0))</f>
        <v>0</v>
      </c>
      <c r="GJ175" s="17">
        <f>IF(ISNA(VLOOKUP(A175,'Données projet'!$A$243:$I$263,6,0)),0%,VLOOKUP(A175,'Données projet'!$A$243:$I$263,6,0)*VLOOKUP('Données projet'!$B$17,Paramètres!$A$1:$I$88,7,0))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projet'!$B$17,Paramètres!$A$1:$I$88,3,0)*0.475*44/12</f>
        <v>#N/A</v>
      </c>
      <c r="GM175" s="23" t="e">
        <f>EXP(-LN(2)/25)*GM174+(1-EXP(-LN(2)/25))/(LN(2)/25)*Calculateur!GH175*Calculateur!GJ175*VLOOKUP('Données projet'!$B$17,Paramètres!$A$1:$I$88,3,0)*0.475*44/12</f>
        <v>#N/A</v>
      </c>
      <c r="GN175" s="23" t="e">
        <f>EXP(-LN(2)/2)*GN174+(1-EXP(-LN(2)/2))/(LN(2)/2)*GH175*GK175*VLOOKUP('Données projet'!$B$17,Paramètres!$A$1:$I$88,3,0)*0.475*44/12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projet'!$B$18,Paramètres!$A$1:$I$88,3,0)*VLOOKUP('Données projet'!$B$18,Paramètres!$A$1:$I$88,5,0)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projet'!$B$18,Paramètres!$A$1:$I$88,7,0))</f>
        <v>0</v>
      </c>
      <c r="HE175" s="17">
        <f>IF(ISNA(VLOOKUP(A175,'Données projet'!$A$269:$I$289,6,0)),0%,VLOOKUP(A175,'Données projet'!$A$269:$I$289,6,0)*VLOOKUP('Données projet'!$B$18,Paramètres!$A$1:$I$88,7,0))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projet'!$B$18,Paramètres!$A$1:$I$88,3,0)*0.475*44/12</f>
        <v>#N/A</v>
      </c>
      <c r="HH175" s="23" t="e">
        <f>EXP(-LN(2)/25)*HH174+(1-EXP(-LN(2)/25))/(LN(2)/25)*Calculateur!HC175*Calculateur!HE175*VLOOKUP('Données projet'!$B$18,Paramètres!$A$1:$I$88,3,0)*0.475*44/12</f>
        <v>#N/A</v>
      </c>
      <c r="HI175" s="23" t="e">
        <f>EXP(-LN(2)/2)*HI174+(1-EXP(-LN(2)/2))/(LN(2)/2)*HC175*HF175*VLOOKUP('Données projet'!$B$18,Paramètres!$A$1:$I$88,3,0)*0.475*44/12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projet'!$B$9,Paramètres!$A$1:$I$88,3,0)*VLOOKUP('Données projet'!$B$9,Paramètres!$A$1:$I$88,5,0)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175.05987582828078</v>
      </c>
      <c r="T176" s="62">
        <f t="shared" si="142"/>
        <v>268.54782308462387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projet'!$B$9,Paramètres!$A$1:$I$88,7,0))</f>
        <v>0</v>
      </c>
      <c r="X176" s="17">
        <f>IF(ISNA(VLOOKUP(A176,'Données projet'!$A$35:$I$55,6,0)),0%,VLOOKUP(A176,'Données projet'!$A$35:$I$55,6,0)*VLOOKUP('Données projet'!$B$9,Paramètres!$A$1:$I$88,7,0))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projet'!$B$9,Paramètres!$A$1:$I$88,3,0)*0.475*44/12</f>
        <v>0</v>
      </c>
      <c r="AA176" s="23">
        <f>EXP(-LN(2)/25)*AA175+(1-EXP(-LN(2)/25))/(LN(2)/25)*Calculateur!V176*Calculateur!X176*VLOOKUP('Données projet'!$B$9,Paramètres!$A$1:$I$88,3,0)*0.475*44/12</f>
        <v>0.19532362479170221</v>
      </c>
      <c r="AB176" s="23">
        <f>EXP(-LN(2)/2)*AB175+(1-EXP(-LN(2)/2))/(LN(2)/2)*V176*Y176*VLOOKUP('Données projet'!$B$9,Paramètres!$A$1:$I$88,3,0)*0.475*44/12</f>
        <v>4.9469136279152659E-21</v>
      </c>
      <c r="AC176" s="24">
        <f t="shared" si="163"/>
        <v>0.19532362479170221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-1.5916157281026244E-12</v>
      </c>
      <c r="AJ176" s="14">
        <f>AI176*VLOOKUP('Données projet'!$B$10,Paramètres!$A$1:$I$88,3,0)*VLOOKUP('Données projet'!$B$10,Paramètres!$A$1:$I$88,5,0)</f>
        <v>-7.6556716521736234E-13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576.61210817354549</v>
      </c>
      <c r="AO176" s="62">
        <f t="shared" si="144"/>
        <v>343.9428747444544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projet'!$B$10,Paramètres!$A$1:$I$88,7,0))</f>
        <v>0</v>
      </c>
      <c r="AS176" s="17">
        <f>IF(ISNA(VLOOKUP(A176,'Données projet'!$A$61:$I$81,6,0)),0%,VLOOKUP(A176,'Données projet'!$A$61:$I$81,6,0)*VLOOKUP('Données projet'!$B$10,Paramètres!$A$1:$I$88,7,0))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projet'!$B$10,Paramètres!$A$1:$I$88,3,0)*0.475*44/12</f>
        <v>0</v>
      </c>
      <c r="AV176" s="23">
        <f>EXP(-LN(2)/25)*AV175+(1-EXP(-LN(2)/25))/(LN(2)/25)*Calculateur!AQ176*Calculateur!AS176*VLOOKUP('Données projet'!$B$10,Paramètres!$A$1:$I$88,3,0)*0.475*44/12</f>
        <v>0.10743510274612598</v>
      </c>
      <c r="AW176" s="23">
        <f>EXP(-LN(2)/2)*AW175+(1-EXP(-LN(2)/2))/(LN(2)/2)*AQ176*AT176*VLOOKUP('Données projet'!$B$10,Paramètres!$A$1:$I$88,3,0)*0.475*44/12</f>
        <v>3.5228137011146388E-21</v>
      </c>
      <c r="AX176" s="23">
        <f t="shared" si="166"/>
        <v>0.10743510274612598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-5.6843418860808015E-14</v>
      </c>
      <c r="BE176" s="14">
        <f>BD176*VLOOKUP('Données projet'!$B$11,Paramètres!$A$1:$I$88,3,0)*VLOOKUP('Données projet'!$B$11,Paramètres!$A$1:$I$88,5,0)</f>
        <v>-4.5224624045658861E-14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298.38448036212861</v>
      </c>
      <c r="BJ176" s="62">
        <f t="shared" si="146"/>
        <v>270.4445531106897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projet'!$B$11,Paramètres!$A$1:$I$88,7,0))</f>
        <v>0</v>
      </c>
      <c r="BN176" s="17">
        <f>IF(ISNA(VLOOKUP(A176,'Données projet'!$A$87:$I$107,6,0)),0%,VLOOKUP(A176,'Données projet'!$A$87:$I$107,6,0)*VLOOKUP('Données projet'!$B$11,Paramètres!$A$1:$I$88,7,0))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projet'!$B$11,Paramètres!$A$1:$I$88,3,0)*0.475*44/12</f>
        <v>0</v>
      </c>
      <c r="BQ176" s="23">
        <f>EXP(-LN(2)/25)*BQ175+(1-EXP(-LN(2)/25))/(LN(2)/25)*Calculateur!BL176*Calculateur!BN176*VLOOKUP('Données projet'!$B$11,Paramètres!$A$1:$I$88,3,0)*0.475*44/12</f>
        <v>0</v>
      </c>
      <c r="BR176" s="23">
        <f>EXP(-LN(2)/2)*BR175+(1-EXP(-LN(2)/2))/(LN(2)/2)*BL176*BO176*VLOOKUP('Données projet'!$B$11,Paramètres!$A$1:$I$88,3,0)*0.475*44/12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5.6843418860808015E-14</v>
      </c>
      <c r="BZ176" s="14">
        <f>BY176*VLOOKUP('Données projet'!$B$12,Paramètres!$A$1:$I$88,3,0)*VLOOKUP('Données projet'!$B$12,Paramètres!$A$1:$I$88,5,0)</f>
        <v>4.4337866711430253E-14</v>
      </c>
      <c r="CA176" s="14">
        <f t="shared" si="170"/>
        <v>7.3222115536967035E-13</v>
      </c>
      <c r="CB176" s="22">
        <f t="shared" si="171"/>
        <v>1.3525069634579169E-12</v>
      </c>
      <c r="CC176" s="62">
        <f t="shared" si="119"/>
        <v>293.33333333333468</v>
      </c>
      <c r="CD176" s="62">
        <f ca="1">AVERAGE(OFFSET($CC$3,0,0,'Données projet'!$E$12+1,1))-AVERAGE(OFFSET($H$3,0,0,'Données projet'!$E$12+1,1))</f>
        <v>217.32600829266818</v>
      </c>
      <c r="CE176" s="62">
        <f t="shared" si="148"/>
        <v>208.79744153433245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projet'!$B$12,Paramètres!$A$1:$I$88,7,0))</f>
        <v>0</v>
      </c>
      <c r="CI176" s="17">
        <f>IF(ISNA(VLOOKUP(A176,'Données projet'!$A$113:$I$133,6,0)),0%,VLOOKUP(A176,'Données projet'!$A$113:$I$133,6,0)*VLOOKUP('Données projet'!$B$12,Paramètres!$A$1:$I$88,7,0))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projet'!$B$12,Paramètres!$A$1:$I$88,3,0)*0.475*44/12</f>
        <v>0</v>
      </c>
      <c r="CL176" s="23">
        <f>EXP(-LN(2)/25)*CL175+(1-EXP(-LN(2)/25))/(LN(2)/25)*Calculateur!CG176*Calculateur!CI176*VLOOKUP('Données projet'!$B$12,Paramètres!$A$1:$I$88,3,0)*0.475*44/12</f>
        <v>0</v>
      </c>
      <c r="CM176" s="23">
        <f>EXP(-LN(2)/2)*CM175+(1-EXP(-LN(2)/2))/(LN(2)/2)*CG176*CJ176*VLOOKUP('Données projet'!$B$12,Paramètres!$A$1:$I$88,3,0)*0.475*44/12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-3.4106051316484809E-13</v>
      </c>
      <c r="CU176" s="18">
        <f>CT176*VLOOKUP('Données projet'!$B$13,Paramètres!$A$1:$I$88,3,0)*VLOOKUP('Données projet'!$B$13,Paramètres!$A$1:$I$88,5,0)</f>
        <v>-1.9065282685915009E-13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302.20483575440988</v>
      </c>
      <c r="CZ176" s="62">
        <f t="shared" si="150"/>
        <v>275.32862097158687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projet'!$B$13,Paramètres!$A$1:$I$88,7,0))</f>
        <v>0</v>
      </c>
      <c r="DD176" s="17">
        <f>IF(ISNA(VLOOKUP(A176,'Données projet'!$A$139:$I$159,6,0)),0%,VLOOKUP(A176,'Données projet'!$A$139:$I$159,6,0)*VLOOKUP('Données projet'!$B$13,Paramètres!$A$1:$I$88,7,0))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projet'!$B$13,Paramètres!$A$1:$I$88,3,0)*0.475*44/12</f>
        <v>0</v>
      </c>
      <c r="DG176" s="23">
        <f>EXP(-LN(2)/25)*DG175+(1-EXP(-LN(2)/25))/(LN(2)/25)*Calculateur!DB176*Calculateur!DD176*VLOOKUP('Données projet'!$B$13,Paramètres!$A$1:$I$88,3,0)*0.475*44/12</f>
        <v>0.26232727410569023</v>
      </c>
      <c r="DH176" s="23">
        <f>EXP(-LN(2)/2)*DH175+(1-EXP(-LN(2)/2))/(LN(2)/2)*DB176*DE176*VLOOKUP('Données projet'!$B$13,Paramètres!$A$1:$I$88,3,0)*0.475*44/12</f>
        <v>2.0306817322193392E-21</v>
      </c>
      <c r="DI176" s="24">
        <f t="shared" si="175"/>
        <v>0.26232727410569023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projet'!$B$14,Paramètres!$A$1:$I$88,3,0)*VLOOKUP('Données projet'!$B$14,Paramètres!$A$1:$I$88,5,0)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projet'!$B$14,Paramètres!$A$1:$I$88,7,0))</f>
        <v>0</v>
      </c>
      <c r="DY176" s="17">
        <f>IF(ISNA(VLOOKUP(A176,'Données projet'!$A$165:$I$185,6,0)),0%,VLOOKUP(A176,'Données projet'!$A$165:$I$185,6,0)*VLOOKUP('Données projet'!$B$14,Paramètres!$A$1:$I$88,7,0))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projet'!$B$14,Paramètres!$A$1:$I$88,3,0)*0.475*44/12</f>
        <v>#N/A</v>
      </c>
      <c r="EB176" s="23" t="e">
        <f>EXP(-LN(2)/25)*EB175+(1-EXP(-LN(2)/25))/(LN(2)/25)*Calculateur!DW176*Calculateur!DY176*VLOOKUP('Données projet'!$B$14,Paramètres!$A$1:$I$88,3,0)*0.475*44/12</f>
        <v>#N/A</v>
      </c>
      <c r="EC176" s="23" t="e">
        <f>EXP(-LN(2)/2)*EC175+(1-EXP(-LN(2)/2))/(LN(2)/2)*DW176*DZ176*VLOOKUP('Données projet'!$B$14,Paramètres!$A$1:$I$88,3,0)*0.475*44/12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projet'!$B$15,Paramètres!$A$1:$I$88,3,0)*VLOOKUP('Données projet'!$B$15,Paramètres!$A$1:$I$88,5,0)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projet'!$B$15,Paramètres!$A$1:$I$88,7,0))</f>
        <v>0</v>
      </c>
      <c r="ET176" s="17">
        <f>IF(ISNA(VLOOKUP(A176,'Données projet'!$A$191:$I$211,6,0)),0%,VLOOKUP(A176,'Données projet'!$A$191:$I$211,6,0)*VLOOKUP('Données projet'!$B$15,Paramètres!$A$1:$I$88,7,0))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projet'!$B$15,Paramètres!$A$1:$I$88,3,0)*0.475*44/12</f>
        <v>#N/A</v>
      </c>
      <c r="EW176" s="23" t="e">
        <f>EXP(-LN(2)/25)*EW175+(1-EXP(-LN(2)/25))/(LN(2)/25)*Calculateur!ER176*Calculateur!ET176*VLOOKUP('Données projet'!$B$15,Paramètres!$A$1:$I$88,3,0)*0.475*44/12</f>
        <v>#N/A</v>
      </c>
      <c r="EX176" s="23" t="e">
        <f>EXP(-LN(2)/2)*EX175+(1-EXP(-LN(2)/2))/(LN(2)/2)*ER176*EU176*VLOOKUP('Données projet'!$B$15,Paramètres!$A$1:$I$88,3,0)*0.475*44/12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projet'!$B$16,Paramètres!$A$1:$I$88,3,0)*VLOOKUP('Données projet'!$B$16,Paramètres!$A$1:$I$88,5,0)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projet'!$B$16,Paramètres!$A$1:$I$88,7,0))</f>
        <v>0</v>
      </c>
      <c r="FO176" s="17">
        <f>IF(ISNA(VLOOKUP(A176,'Données projet'!$A$217:$I$237,6,0)),0%,VLOOKUP(A176,'Données projet'!$A$217:$I$237,6,0)*VLOOKUP('Données projet'!$B$16,Paramètres!$A$1:$I$88,7,0))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projet'!$B$16,Paramètres!$A$1:$I$88,3,0)*0.475*44/12</f>
        <v>#N/A</v>
      </c>
      <c r="FR176" s="23" t="e">
        <f>EXP(-LN(2)/25)*FR175+(1-EXP(-LN(2)/25))/(LN(2)/25)*Calculateur!FM176*Calculateur!FO176*VLOOKUP('Données projet'!$B$16,Paramètres!$A$1:$I$88,3,0)*0.475*44/12</f>
        <v>#N/A</v>
      </c>
      <c r="FS176" s="23" t="e">
        <f>EXP(-LN(2)/2)*FS175+(1-EXP(-LN(2)/2))/(LN(2)/2)*FM176*FP176*VLOOKUP('Données projet'!$B$16,Paramètres!$A$1:$I$88,3,0)*0.475*44/12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projet'!$B$17,Paramètres!$A$1:$I$88,3,0)*VLOOKUP('Données projet'!$B$17,Paramètres!$A$1:$I$88,5,0)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projet'!$B$17,Paramètres!$A$1:$I$88,7,0))</f>
        <v>0</v>
      </c>
      <c r="GJ176" s="17">
        <f>IF(ISNA(VLOOKUP(A176,'Données projet'!$A$243:$I$263,6,0)),0%,VLOOKUP(A176,'Données projet'!$A$243:$I$263,6,0)*VLOOKUP('Données projet'!$B$17,Paramètres!$A$1:$I$88,7,0))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projet'!$B$17,Paramètres!$A$1:$I$88,3,0)*0.475*44/12</f>
        <v>#N/A</v>
      </c>
      <c r="GM176" s="23" t="e">
        <f>EXP(-LN(2)/25)*GM175+(1-EXP(-LN(2)/25))/(LN(2)/25)*Calculateur!GH176*Calculateur!GJ176*VLOOKUP('Données projet'!$B$17,Paramètres!$A$1:$I$88,3,0)*0.475*44/12</f>
        <v>#N/A</v>
      </c>
      <c r="GN176" s="23" t="e">
        <f>EXP(-LN(2)/2)*GN175+(1-EXP(-LN(2)/2))/(LN(2)/2)*GH176*GK176*VLOOKUP('Données projet'!$B$17,Paramètres!$A$1:$I$88,3,0)*0.475*44/12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projet'!$B$18,Paramètres!$A$1:$I$88,3,0)*VLOOKUP('Données projet'!$B$18,Paramètres!$A$1:$I$88,5,0)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projet'!$B$18,Paramètres!$A$1:$I$88,7,0))</f>
        <v>0</v>
      </c>
      <c r="HE176" s="17">
        <f>IF(ISNA(VLOOKUP(A176,'Données projet'!$A$269:$I$289,6,0)),0%,VLOOKUP(A176,'Données projet'!$A$269:$I$289,6,0)*VLOOKUP('Données projet'!$B$18,Paramètres!$A$1:$I$88,7,0))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projet'!$B$18,Paramètres!$A$1:$I$88,3,0)*0.475*44/12</f>
        <v>#N/A</v>
      </c>
      <c r="HH176" s="23" t="e">
        <f>EXP(-LN(2)/25)*HH175+(1-EXP(-LN(2)/25))/(LN(2)/25)*Calculateur!HC176*Calculateur!HE176*VLOOKUP('Données projet'!$B$18,Paramètres!$A$1:$I$88,3,0)*0.475*44/12</f>
        <v>#N/A</v>
      </c>
      <c r="HI176" s="23" t="e">
        <f>EXP(-LN(2)/2)*HI175+(1-EXP(-LN(2)/2))/(LN(2)/2)*HC176*HF176*VLOOKUP('Données projet'!$B$18,Paramètres!$A$1:$I$88,3,0)*0.475*44/12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projet'!$B$9,Paramètres!$A$1:$I$88,3,0)*VLOOKUP('Données projet'!$B$9,Paramètres!$A$1:$I$88,5,0)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175.05987582828078</v>
      </c>
      <c r="T177" s="62">
        <f t="shared" si="142"/>
        <v>268.54782308462387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projet'!$B$9,Paramètres!$A$1:$I$88,7,0))</f>
        <v>0</v>
      </c>
      <c r="X177" s="17">
        <f>IF(ISNA(VLOOKUP(A177,'Données projet'!$A$35:$I$55,6,0)),0%,VLOOKUP(A177,'Données projet'!$A$35:$I$55,6,0)*VLOOKUP('Données projet'!$B$9,Paramètres!$A$1:$I$88,7,0))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projet'!$B$9,Paramètres!$A$1:$I$88,3,0)*0.475*44/12</f>
        <v>0</v>
      </c>
      <c r="AA177" s="23">
        <f>EXP(-LN(2)/25)*AA176+(1-EXP(-LN(2)/25))/(LN(2)/25)*Calculateur!V177*Calculateur!X177*VLOOKUP('Données projet'!$B$9,Paramètres!$A$1:$I$88,3,0)*0.475*44/12</f>
        <v>0.18998249000015011</v>
      </c>
      <c r="AB177" s="23">
        <f>EXP(-LN(2)/2)*AB176+(1-EXP(-LN(2)/2))/(LN(2)/2)*V177*Y177*VLOOKUP('Données projet'!$B$9,Paramètres!$A$1:$I$88,3,0)*0.475*44/12</f>
        <v>3.4979961722430299E-21</v>
      </c>
      <c r="AC177" s="24">
        <f t="shared" si="163"/>
        <v>0.18998249000015011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-1.5916157281026244E-12</v>
      </c>
      <c r="AJ177" s="14">
        <f>AI177*VLOOKUP('Données projet'!$B$10,Paramètres!$A$1:$I$88,3,0)*VLOOKUP('Données projet'!$B$10,Paramètres!$A$1:$I$88,5,0)</f>
        <v>-7.6556716521736234E-13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576.61210817354549</v>
      </c>
      <c r="AO177" s="62">
        <f t="shared" si="144"/>
        <v>343.9428747444544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projet'!$B$10,Paramètres!$A$1:$I$88,7,0))</f>
        <v>0</v>
      </c>
      <c r="AS177" s="17">
        <f>IF(ISNA(VLOOKUP(A177,'Données projet'!$A$61:$I$81,6,0)),0%,VLOOKUP(A177,'Données projet'!$A$61:$I$81,6,0)*VLOOKUP('Données projet'!$B$10,Paramètres!$A$1:$I$88,7,0))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projet'!$B$10,Paramètres!$A$1:$I$88,3,0)*0.475*44/12</f>
        <v>0</v>
      </c>
      <c r="AV177" s="23">
        <f>EXP(-LN(2)/25)*AV176+(1-EXP(-LN(2)/25))/(LN(2)/25)*Calculateur!AQ177*Calculateur!AS177*VLOOKUP('Données projet'!$B$10,Paramètres!$A$1:$I$88,3,0)*0.475*44/12</f>
        <v>0.10449728421176667</v>
      </c>
      <c r="AW177" s="23">
        <f>EXP(-LN(2)/2)*AW176+(1-EXP(-LN(2)/2))/(LN(2)/2)*AQ177*AT177*VLOOKUP('Données projet'!$B$10,Paramètres!$A$1:$I$88,3,0)*0.475*44/12</f>
        <v>2.4910054569150406E-21</v>
      </c>
      <c r="AX177" s="23">
        <f t="shared" si="166"/>
        <v>0.10449728421176667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-5.6843418860808015E-14</v>
      </c>
      <c r="BE177" s="14">
        <f>BD177*VLOOKUP('Données projet'!$B$11,Paramètres!$A$1:$I$88,3,0)*VLOOKUP('Données projet'!$B$11,Paramètres!$A$1:$I$88,5,0)</f>
        <v>-4.5224624045658861E-14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298.38448036212861</v>
      </c>
      <c r="BJ177" s="62">
        <f t="shared" si="146"/>
        <v>270.4445531106897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projet'!$B$11,Paramètres!$A$1:$I$88,7,0))</f>
        <v>0</v>
      </c>
      <c r="BN177" s="17">
        <f>IF(ISNA(VLOOKUP(A177,'Données projet'!$A$87:$I$107,6,0)),0%,VLOOKUP(A177,'Données projet'!$A$87:$I$107,6,0)*VLOOKUP('Données projet'!$B$11,Paramètres!$A$1:$I$88,7,0))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projet'!$B$11,Paramètres!$A$1:$I$88,3,0)*0.475*44/12</f>
        <v>0</v>
      </c>
      <c r="BQ177" s="23">
        <f>EXP(-LN(2)/25)*BQ176+(1-EXP(-LN(2)/25))/(LN(2)/25)*Calculateur!BL177*Calculateur!BN177*VLOOKUP('Données projet'!$B$11,Paramètres!$A$1:$I$88,3,0)*0.475*44/12</f>
        <v>0</v>
      </c>
      <c r="BR177" s="23">
        <f>EXP(-LN(2)/2)*BR176+(1-EXP(-LN(2)/2))/(LN(2)/2)*BL177*BO177*VLOOKUP('Données projet'!$B$11,Paramètres!$A$1:$I$88,3,0)*0.475*44/12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5.6843418860808015E-14</v>
      </c>
      <c r="BZ177" s="14">
        <f>BY177*VLOOKUP('Données projet'!$B$12,Paramètres!$A$1:$I$88,3,0)*VLOOKUP('Données projet'!$B$12,Paramètres!$A$1:$I$88,5,0)</f>
        <v>4.4337866711430253E-14</v>
      </c>
      <c r="CA177" s="14">
        <f t="shared" si="170"/>
        <v>7.3222115536967035E-13</v>
      </c>
      <c r="CB177" s="22">
        <f t="shared" si="171"/>
        <v>1.3525069634579169E-12</v>
      </c>
      <c r="CC177" s="62">
        <f t="shared" si="119"/>
        <v>293.33333333333468</v>
      </c>
      <c r="CD177" s="62">
        <f ca="1">AVERAGE(OFFSET($CC$3,0,0,'Données projet'!$E$12+1,1))-AVERAGE(OFFSET($H$3,0,0,'Données projet'!$E$12+1,1))</f>
        <v>217.32600829266818</v>
      </c>
      <c r="CE177" s="62">
        <f t="shared" si="148"/>
        <v>208.79744153433245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projet'!$B$12,Paramètres!$A$1:$I$88,7,0))</f>
        <v>0</v>
      </c>
      <c r="CI177" s="17">
        <f>IF(ISNA(VLOOKUP(A177,'Données projet'!$A$113:$I$133,6,0)),0%,VLOOKUP(A177,'Données projet'!$A$113:$I$133,6,0)*VLOOKUP('Données projet'!$B$12,Paramètres!$A$1:$I$88,7,0))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projet'!$B$12,Paramètres!$A$1:$I$88,3,0)*0.475*44/12</f>
        <v>0</v>
      </c>
      <c r="CL177" s="23">
        <f>EXP(-LN(2)/25)*CL176+(1-EXP(-LN(2)/25))/(LN(2)/25)*Calculateur!CG177*Calculateur!CI177*VLOOKUP('Données projet'!$B$12,Paramètres!$A$1:$I$88,3,0)*0.475*44/12</f>
        <v>0</v>
      </c>
      <c r="CM177" s="23">
        <f>EXP(-LN(2)/2)*CM176+(1-EXP(-LN(2)/2))/(LN(2)/2)*CG177*CJ177*VLOOKUP('Données projet'!$B$12,Paramètres!$A$1:$I$88,3,0)*0.475*44/12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-3.4106051316484809E-13</v>
      </c>
      <c r="CU177" s="18">
        <f>CT177*VLOOKUP('Données projet'!$B$13,Paramètres!$A$1:$I$88,3,0)*VLOOKUP('Données projet'!$B$13,Paramètres!$A$1:$I$88,5,0)</f>
        <v>-1.9065282685915009E-13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302.20483575440988</v>
      </c>
      <c r="CZ177" s="62">
        <f t="shared" si="150"/>
        <v>275.32862097158687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projet'!$B$13,Paramètres!$A$1:$I$88,7,0))</f>
        <v>0</v>
      </c>
      <c r="DD177" s="17">
        <f>IF(ISNA(VLOOKUP(A177,'Données projet'!$A$139:$I$159,6,0)),0%,VLOOKUP(A177,'Données projet'!$A$139:$I$159,6,0)*VLOOKUP('Données projet'!$B$13,Paramètres!$A$1:$I$88,7,0))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projet'!$B$13,Paramètres!$A$1:$I$88,3,0)*0.475*44/12</f>
        <v>0</v>
      </c>
      <c r="DG177" s="23">
        <f>EXP(-LN(2)/25)*DG176+(1-EXP(-LN(2)/25))/(LN(2)/25)*Calculateur!DB177*Calculateur!DD177*VLOOKUP('Données projet'!$B$13,Paramètres!$A$1:$I$88,3,0)*0.475*44/12</f>
        <v>0.25515392100007833</v>
      </c>
      <c r="DH177" s="23">
        <f>EXP(-LN(2)/2)*DH176+(1-EXP(-LN(2)/2))/(LN(2)/2)*DB177*DE177*VLOOKUP('Données projet'!$B$13,Paramètres!$A$1:$I$88,3,0)*0.475*44/12</f>
        <v>1.4359088232839396E-21</v>
      </c>
      <c r="DI177" s="24">
        <f t="shared" si="175"/>
        <v>0.25515392100007833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projet'!$B$14,Paramètres!$A$1:$I$88,3,0)*VLOOKUP('Données projet'!$B$14,Paramètres!$A$1:$I$88,5,0)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projet'!$B$14,Paramètres!$A$1:$I$88,7,0))</f>
        <v>0</v>
      </c>
      <c r="DY177" s="17">
        <f>IF(ISNA(VLOOKUP(A177,'Données projet'!$A$165:$I$185,6,0)),0%,VLOOKUP(A177,'Données projet'!$A$165:$I$185,6,0)*VLOOKUP('Données projet'!$B$14,Paramètres!$A$1:$I$88,7,0))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projet'!$B$14,Paramètres!$A$1:$I$88,3,0)*0.475*44/12</f>
        <v>#N/A</v>
      </c>
      <c r="EB177" s="23" t="e">
        <f>EXP(-LN(2)/25)*EB176+(1-EXP(-LN(2)/25))/(LN(2)/25)*Calculateur!DW177*Calculateur!DY177*VLOOKUP('Données projet'!$B$14,Paramètres!$A$1:$I$88,3,0)*0.475*44/12</f>
        <v>#N/A</v>
      </c>
      <c r="EC177" s="23" t="e">
        <f>EXP(-LN(2)/2)*EC176+(1-EXP(-LN(2)/2))/(LN(2)/2)*DW177*DZ177*VLOOKUP('Données projet'!$B$14,Paramètres!$A$1:$I$88,3,0)*0.475*44/12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projet'!$B$15,Paramètres!$A$1:$I$88,3,0)*VLOOKUP('Données projet'!$B$15,Paramètres!$A$1:$I$88,5,0)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projet'!$B$15,Paramètres!$A$1:$I$88,7,0))</f>
        <v>0</v>
      </c>
      <c r="ET177" s="17">
        <f>IF(ISNA(VLOOKUP(A177,'Données projet'!$A$191:$I$211,6,0)),0%,VLOOKUP(A177,'Données projet'!$A$191:$I$211,6,0)*VLOOKUP('Données projet'!$B$15,Paramètres!$A$1:$I$88,7,0))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projet'!$B$15,Paramètres!$A$1:$I$88,3,0)*0.475*44/12</f>
        <v>#N/A</v>
      </c>
      <c r="EW177" s="23" t="e">
        <f>EXP(-LN(2)/25)*EW176+(1-EXP(-LN(2)/25))/(LN(2)/25)*Calculateur!ER177*Calculateur!ET177*VLOOKUP('Données projet'!$B$15,Paramètres!$A$1:$I$88,3,0)*0.475*44/12</f>
        <v>#N/A</v>
      </c>
      <c r="EX177" s="23" t="e">
        <f>EXP(-LN(2)/2)*EX176+(1-EXP(-LN(2)/2))/(LN(2)/2)*ER177*EU177*VLOOKUP('Données projet'!$B$15,Paramètres!$A$1:$I$88,3,0)*0.475*44/12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projet'!$B$16,Paramètres!$A$1:$I$88,3,0)*VLOOKUP('Données projet'!$B$16,Paramètres!$A$1:$I$88,5,0)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projet'!$B$16,Paramètres!$A$1:$I$88,7,0))</f>
        <v>0</v>
      </c>
      <c r="FO177" s="17">
        <f>IF(ISNA(VLOOKUP(A177,'Données projet'!$A$217:$I$237,6,0)),0%,VLOOKUP(A177,'Données projet'!$A$217:$I$237,6,0)*VLOOKUP('Données projet'!$B$16,Paramètres!$A$1:$I$88,7,0))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projet'!$B$16,Paramètres!$A$1:$I$88,3,0)*0.475*44/12</f>
        <v>#N/A</v>
      </c>
      <c r="FR177" s="23" t="e">
        <f>EXP(-LN(2)/25)*FR176+(1-EXP(-LN(2)/25))/(LN(2)/25)*Calculateur!FM177*Calculateur!FO177*VLOOKUP('Données projet'!$B$16,Paramètres!$A$1:$I$88,3,0)*0.475*44/12</f>
        <v>#N/A</v>
      </c>
      <c r="FS177" s="23" t="e">
        <f>EXP(-LN(2)/2)*FS176+(1-EXP(-LN(2)/2))/(LN(2)/2)*FM177*FP177*VLOOKUP('Données projet'!$B$16,Paramètres!$A$1:$I$88,3,0)*0.475*44/12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projet'!$B$17,Paramètres!$A$1:$I$88,3,0)*VLOOKUP('Données projet'!$B$17,Paramètres!$A$1:$I$88,5,0)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projet'!$B$17,Paramètres!$A$1:$I$88,7,0))</f>
        <v>0</v>
      </c>
      <c r="GJ177" s="17">
        <f>IF(ISNA(VLOOKUP(A177,'Données projet'!$A$243:$I$263,6,0)),0%,VLOOKUP(A177,'Données projet'!$A$243:$I$263,6,0)*VLOOKUP('Données projet'!$B$17,Paramètres!$A$1:$I$88,7,0))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projet'!$B$17,Paramètres!$A$1:$I$88,3,0)*0.475*44/12</f>
        <v>#N/A</v>
      </c>
      <c r="GM177" s="23" t="e">
        <f>EXP(-LN(2)/25)*GM176+(1-EXP(-LN(2)/25))/(LN(2)/25)*Calculateur!GH177*Calculateur!GJ177*VLOOKUP('Données projet'!$B$17,Paramètres!$A$1:$I$88,3,0)*0.475*44/12</f>
        <v>#N/A</v>
      </c>
      <c r="GN177" s="23" t="e">
        <f>EXP(-LN(2)/2)*GN176+(1-EXP(-LN(2)/2))/(LN(2)/2)*GH177*GK177*VLOOKUP('Données projet'!$B$17,Paramètres!$A$1:$I$88,3,0)*0.475*44/12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projet'!$B$18,Paramètres!$A$1:$I$88,3,0)*VLOOKUP('Données projet'!$B$18,Paramètres!$A$1:$I$88,5,0)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projet'!$B$18,Paramètres!$A$1:$I$88,7,0))</f>
        <v>0</v>
      </c>
      <c r="HE177" s="17">
        <f>IF(ISNA(VLOOKUP(A177,'Données projet'!$A$269:$I$289,6,0)),0%,VLOOKUP(A177,'Données projet'!$A$269:$I$289,6,0)*VLOOKUP('Données projet'!$B$18,Paramètres!$A$1:$I$88,7,0))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projet'!$B$18,Paramètres!$A$1:$I$88,3,0)*0.475*44/12</f>
        <v>#N/A</v>
      </c>
      <c r="HH177" s="23" t="e">
        <f>EXP(-LN(2)/25)*HH176+(1-EXP(-LN(2)/25))/(LN(2)/25)*Calculateur!HC177*Calculateur!HE177*VLOOKUP('Données projet'!$B$18,Paramètres!$A$1:$I$88,3,0)*0.475*44/12</f>
        <v>#N/A</v>
      </c>
      <c r="HI177" s="23" t="e">
        <f>EXP(-LN(2)/2)*HI176+(1-EXP(-LN(2)/2))/(LN(2)/2)*HC177*HF177*VLOOKUP('Données projet'!$B$18,Paramètres!$A$1:$I$88,3,0)*0.475*44/12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projet'!$B$9,Paramètres!$A$1:$I$88,3,0)*VLOOKUP('Données projet'!$B$9,Paramètres!$A$1:$I$88,5,0)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175.05987582828078</v>
      </c>
      <c r="T178" s="62">
        <f t="shared" si="142"/>
        <v>268.54782308462387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projet'!$B$9,Paramètres!$A$1:$I$88,7,0))</f>
        <v>0</v>
      </c>
      <c r="X178" s="17">
        <f>IF(ISNA(VLOOKUP(A178,'Données projet'!$A$35:$I$55,6,0)),0%,VLOOKUP(A178,'Données projet'!$A$35:$I$55,6,0)*VLOOKUP('Données projet'!$B$9,Paramètres!$A$1:$I$88,7,0))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projet'!$B$9,Paramètres!$A$1:$I$88,3,0)*0.475*44/12</f>
        <v>0</v>
      </c>
      <c r="AA178" s="23">
        <f>EXP(-LN(2)/25)*AA177+(1-EXP(-LN(2)/25))/(LN(2)/25)*Calculateur!V178*Calculateur!X178*VLOOKUP('Données projet'!$B$9,Paramètres!$A$1:$I$88,3,0)*0.475*44/12</f>
        <v>0.18478740882035105</v>
      </c>
      <c r="AB178" s="23">
        <f>EXP(-LN(2)/2)*AB177+(1-EXP(-LN(2)/2))/(LN(2)/2)*V178*Y178*VLOOKUP('Données projet'!$B$9,Paramètres!$A$1:$I$88,3,0)*0.475*44/12</f>
        <v>2.473456813957633E-21</v>
      </c>
      <c r="AC178" s="24">
        <f t="shared" si="163"/>
        <v>0.18478740882035105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-1.5916157281026244E-12</v>
      </c>
      <c r="AJ178" s="14">
        <f>AI178*VLOOKUP('Données projet'!$B$10,Paramètres!$A$1:$I$88,3,0)*VLOOKUP('Données projet'!$B$10,Paramètres!$A$1:$I$88,5,0)</f>
        <v>-7.6556716521736234E-13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576.61210817354549</v>
      </c>
      <c r="AO178" s="62">
        <f t="shared" si="144"/>
        <v>343.9428747444544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projet'!$B$10,Paramètres!$A$1:$I$88,7,0))</f>
        <v>0</v>
      </c>
      <c r="AS178" s="17">
        <f>IF(ISNA(VLOOKUP(A178,'Données projet'!$A$61:$I$81,6,0)),0%,VLOOKUP(A178,'Données projet'!$A$61:$I$81,6,0)*VLOOKUP('Données projet'!$B$10,Paramètres!$A$1:$I$88,7,0))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projet'!$B$10,Paramètres!$A$1:$I$88,3,0)*0.475*44/12</f>
        <v>0</v>
      </c>
      <c r="AV178" s="23">
        <f>EXP(-LN(2)/25)*AV177+(1-EXP(-LN(2)/25))/(LN(2)/25)*Calculateur!AQ178*Calculateur!AS178*VLOOKUP('Données projet'!$B$10,Paramètres!$A$1:$I$88,3,0)*0.475*44/12</f>
        <v>0.10163980047972257</v>
      </c>
      <c r="AW178" s="23">
        <f>EXP(-LN(2)/2)*AW177+(1-EXP(-LN(2)/2))/(LN(2)/2)*AQ178*AT178*VLOOKUP('Données projet'!$B$10,Paramètres!$A$1:$I$88,3,0)*0.475*44/12</f>
        <v>1.7614068505573194E-21</v>
      </c>
      <c r="AX178" s="23">
        <f t="shared" si="166"/>
        <v>0.10163980047972257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-5.6843418860808015E-14</v>
      </c>
      <c r="BE178" s="14">
        <f>BD178*VLOOKUP('Données projet'!$B$11,Paramètres!$A$1:$I$88,3,0)*VLOOKUP('Données projet'!$B$11,Paramètres!$A$1:$I$88,5,0)</f>
        <v>-4.5224624045658861E-14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298.38448036212861</v>
      </c>
      <c r="BJ178" s="62">
        <f t="shared" si="146"/>
        <v>270.4445531106897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projet'!$B$11,Paramètres!$A$1:$I$88,7,0))</f>
        <v>0</v>
      </c>
      <c r="BN178" s="17">
        <f>IF(ISNA(VLOOKUP(A178,'Données projet'!$A$87:$I$107,6,0)),0%,VLOOKUP(A178,'Données projet'!$A$87:$I$107,6,0)*VLOOKUP('Données projet'!$B$11,Paramètres!$A$1:$I$88,7,0))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projet'!$B$11,Paramètres!$A$1:$I$88,3,0)*0.475*44/12</f>
        <v>0</v>
      </c>
      <c r="BQ178" s="23">
        <f>EXP(-LN(2)/25)*BQ177+(1-EXP(-LN(2)/25))/(LN(2)/25)*Calculateur!BL178*Calculateur!BN178*VLOOKUP('Données projet'!$B$11,Paramètres!$A$1:$I$88,3,0)*0.475*44/12</f>
        <v>0</v>
      </c>
      <c r="BR178" s="23">
        <f>EXP(-LN(2)/2)*BR177+(1-EXP(-LN(2)/2))/(LN(2)/2)*BL178*BO178*VLOOKUP('Données projet'!$B$11,Paramètres!$A$1:$I$88,3,0)*0.475*44/12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5.6843418860808015E-14</v>
      </c>
      <c r="BZ178" s="14">
        <f>BY178*VLOOKUP('Données projet'!$B$12,Paramètres!$A$1:$I$88,3,0)*VLOOKUP('Données projet'!$B$12,Paramètres!$A$1:$I$88,5,0)</f>
        <v>4.4337866711430253E-14</v>
      </c>
      <c r="CA178" s="14">
        <f t="shared" si="170"/>
        <v>7.3222115536967035E-13</v>
      </c>
      <c r="CB178" s="22">
        <f t="shared" si="171"/>
        <v>1.3525069634579169E-12</v>
      </c>
      <c r="CC178" s="62">
        <f t="shared" si="119"/>
        <v>293.33333333333468</v>
      </c>
      <c r="CD178" s="62">
        <f ca="1">AVERAGE(OFFSET($CC$3,0,0,'Données projet'!$E$12+1,1))-AVERAGE(OFFSET($H$3,0,0,'Données projet'!$E$12+1,1))</f>
        <v>217.32600829266818</v>
      </c>
      <c r="CE178" s="62">
        <f t="shared" si="148"/>
        <v>208.79744153433245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projet'!$B$12,Paramètres!$A$1:$I$88,7,0))</f>
        <v>0</v>
      </c>
      <c r="CI178" s="17">
        <f>IF(ISNA(VLOOKUP(A178,'Données projet'!$A$113:$I$133,6,0)),0%,VLOOKUP(A178,'Données projet'!$A$113:$I$133,6,0)*VLOOKUP('Données projet'!$B$12,Paramètres!$A$1:$I$88,7,0))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projet'!$B$12,Paramètres!$A$1:$I$88,3,0)*0.475*44/12</f>
        <v>0</v>
      </c>
      <c r="CL178" s="23">
        <f>EXP(-LN(2)/25)*CL177+(1-EXP(-LN(2)/25))/(LN(2)/25)*Calculateur!CG178*Calculateur!CI178*VLOOKUP('Données projet'!$B$12,Paramètres!$A$1:$I$88,3,0)*0.475*44/12</f>
        <v>0</v>
      </c>
      <c r="CM178" s="23">
        <f>EXP(-LN(2)/2)*CM177+(1-EXP(-LN(2)/2))/(LN(2)/2)*CG178*CJ178*VLOOKUP('Données projet'!$B$12,Paramètres!$A$1:$I$88,3,0)*0.475*44/12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-3.4106051316484809E-13</v>
      </c>
      <c r="CU178" s="18">
        <f>CT178*VLOOKUP('Données projet'!$B$13,Paramètres!$A$1:$I$88,3,0)*VLOOKUP('Données projet'!$B$13,Paramètres!$A$1:$I$88,5,0)</f>
        <v>-1.9065282685915009E-13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302.20483575440988</v>
      </c>
      <c r="CZ178" s="62">
        <f t="shared" si="150"/>
        <v>275.32862097158687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projet'!$B$13,Paramètres!$A$1:$I$88,7,0))</f>
        <v>0</v>
      </c>
      <c r="DD178" s="17">
        <f>IF(ISNA(VLOOKUP(A178,'Données projet'!$A$139:$I$159,6,0)),0%,VLOOKUP(A178,'Données projet'!$A$139:$I$159,6,0)*VLOOKUP('Données projet'!$B$13,Paramètres!$A$1:$I$88,7,0))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projet'!$B$13,Paramètres!$A$1:$I$88,3,0)*0.475*44/12</f>
        <v>0</v>
      </c>
      <c r="DG178" s="23">
        <f>EXP(-LN(2)/25)*DG177+(1-EXP(-LN(2)/25))/(LN(2)/25)*Calculateur!DB178*Calculateur!DD178*VLOOKUP('Données projet'!$B$13,Paramètres!$A$1:$I$88,3,0)*0.475*44/12</f>
        <v>0.24817672361236964</v>
      </c>
      <c r="DH178" s="23">
        <f>EXP(-LN(2)/2)*DH177+(1-EXP(-LN(2)/2))/(LN(2)/2)*DB178*DE178*VLOOKUP('Données projet'!$B$13,Paramètres!$A$1:$I$88,3,0)*0.475*44/12</f>
        <v>1.0153408661096696E-21</v>
      </c>
      <c r="DI178" s="24">
        <f t="shared" si="175"/>
        <v>0.24817672361236964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projet'!$B$14,Paramètres!$A$1:$I$88,3,0)*VLOOKUP('Données projet'!$B$14,Paramètres!$A$1:$I$88,5,0)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projet'!$B$14,Paramètres!$A$1:$I$88,7,0))</f>
        <v>0</v>
      </c>
      <c r="DY178" s="17">
        <f>IF(ISNA(VLOOKUP(A178,'Données projet'!$A$165:$I$185,6,0)),0%,VLOOKUP(A178,'Données projet'!$A$165:$I$185,6,0)*VLOOKUP('Données projet'!$B$14,Paramètres!$A$1:$I$88,7,0))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projet'!$B$14,Paramètres!$A$1:$I$88,3,0)*0.475*44/12</f>
        <v>#N/A</v>
      </c>
      <c r="EB178" s="23" t="e">
        <f>EXP(-LN(2)/25)*EB177+(1-EXP(-LN(2)/25))/(LN(2)/25)*Calculateur!DW178*Calculateur!DY178*VLOOKUP('Données projet'!$B$14,Paramètres!$A$1:$I$88,3,0)*0.475*44/12</f>
        <v>#N/A</v>
      </c>
      <c r="EC178" s="23" t="e">
        <f>EXP(-LN(2)/2)*EC177+(1-EXP(-LN(2)/2))/(LN(2)/2)*DW178*DZ178*VLOOKUP('Données projet'!$B$14,Paramètres!$A$1:$I$88,3,0)*0.475*44/12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projet'!$B$15,Paramètres!$A$1:$I$88,3,0)*VLOOKUP('Données projet'!$B$15,Paramètres!$A$1:$I$88,5,0)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projet'!$B$15,Paramètres!$A$1:$I$88,7,0))</f>
        <v>0</v>
      </c>
      <c r="ET178" s="17">
        <f>IF(ISNA(VLOOKUP(A178,'Données projet'!$A$191:$I$211,6,0)),0%,VLOOKUP(A178,'Données projet'!$A$191:$I$211,6,0)*VLOOKUP('Données projet'!$B$15,Paramètres!$A$1:$I$88,7,0))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projet'!$B$15,Paramètres!$A$1:$I$88,3,0)*0.475*44/12</f>
        <v>#N/A</v>
      </c>
      <c r="EW178" s="23" t="e">
        <f>EXP(-LN(2)/25)*EW177+(1-EXP(-LN(2)/25))/(LN(2)/25)*Calculateur!ER178*Calculateur!ET178*VLOOKUP('Données projet'!$B$15,Paramètres!$A$1:$I$88,3,0)*0.475*44/12</f>
        <v>#N/A</v>
      </c>
      <c r="EX178" s="23" t="e">
        <f>EXP(-LN(2)/2)*EX177+(1-EXP(-LN(2)/2))/(LN(2)/2)*ER178*EU178*VLOOKUP('Données projet'!$B$15,Paramètres!$A$1:$I$88,3,0)*0.475*44/12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projet'!$B$16,Paramètres!$A$1:$I$88,3,0)*VLOOKUP('Données projet'!$B$16,Paramètres!$A$1:$I$88,5,0)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projet'!$B$16,Paramètres!$A$1:$I$88,7,0))</f>
        <v>0</v>
      </c>
      <c r="FO178" s="17">
        <f>IF(ISNA(VLOOKUP(A178,'Données projet'!$A$217:$I$237,6,0)),0%,VLOOKUP(A178,'Données projet'!$A$217:$I$237,6,0)*VLOOKUP('Données projet'!$B$16,Paramètres!$A$1:$I$88,7,0))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projet'!$B$16,Paramètres!$A$1:$I$88,3,0)*0.475*44/12</f>
        <v>#N/A</v>
      </c>
      <c r="FR178" s="23" t="e">
        <f>EXP(-LN(2)/25)*FR177+(1-EXP(-LN(2)/25))/(LN(2)/25)*Calculateur!FM178*Calculateur!FO178*VLOOKUP('Données projet'!$B$16,Paramètres!$A$1:$I$88,3,0)*0.475*44/12</f>
        <v>#N/A</v>
      </c>
      <c r="FS178" s="23" t="e">
        <f>EXP(-LN(2)/2)*FS177+(1-EXP(-LN(2)/2))/(LN(2)/2)*FM178*FP178*VLOOKUP('Données projet'!$B$16,Paramètres!$A$1:$I$88,3,0)*0.475*44/12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projet'!$B$17,Paramètres!$A$1:$I$88,3,0)*VLOOKUP('Données projet'!$B$17,Paramètres!$A$1:$I$88,5,0)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projet'!$B$17,Paramètres!$A$1:$I$88,7,0))</f>
        <v>0</v>
      </c>
      <c r="GJ178" s="17">
        <f>IF(ISNA(VLOOKUP(A178,'Données projet'!$A$243:$I$263,6,0)),0%,VLOOKUP(A178,'Données projet'!$A$243:$I$263,6,0)*VLOOKUP('Données projet'!$B$17,Paramètres!$A$1:$I$88,7,0))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projet'!$B$17,Paramètres!$A$1:$I$88,3,0)*0.475*44/12</f>
        <v>#N/A</v>
      </c>
      <c r="GM178" s="23" t="e">
        <f>EXP(-LN(2)/25)*GM177+(1-EXP(-LN(2)/25))/(LN(2)/25)*Calculateur!GH178*Calculateur!GJ178*VLOOKUP('Données projet'!$B$17,Paramètres!$A$1:$I$88,3,0)*0.475*44/12</f>
        <v>#N/A</v>
      </c>
      <c r="GN178" s="23" t="e">
        <f>EXP(-LN(2)/2)*GN177+(1-EXP(-LN(2)/2))/(LN(2)/2)*GH178*GK178*VLOOKUP('Données projet'!$B$17,Paramètres!$A$1:$I$88,3,0)*0.475*44/12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projet'!$B$18,Paramètres!$A$1:$I$88,3,0)*VLOOKUP('Données projet'!$B$18,Paramètres!$A$1:$I$88,5,0)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projet'!$B$18,Paramètres!$A$1:$I$88,7,0))</f>
        <v>0</v>
      </c>
      <c r="HE178" s="17">
        <f>IF(ISNA(VLOOKUP(A178,'Données projet'!$A$269:$I$289,6,0)),0%,VLOOKUP(A178,'Données projet'!$A$269:$I$289,6,0)*VLOOKUP('Données projet'!$B$18,Paramètres!$A$1:$I$88,7,0))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projet'!$B$18,Paramètres!$A$1:$I$88,3,0)*0.475*44/12</f>
        <v>#N/A</v>
      </c>
      <c r="HH178" s="23" t="e">
        <f>EXP(-LN(2)/25)*HH177+(1-EXP(-LN(2)/25))/(LN(2)/25)*Calculateur!HC178*Calculateur!HE178*VLOOKUP('Données projet'!$B$18,Paramètres!$A$1:$I$88,3,0)*0.475*44/12</f>
        <v>#N/A</v>
      </c>
      <c r="HI178" s="23" t="e">
        <f>EXP(-LN(2)/2)*HI177+(1-EXP(-LN(2)/2))/(LN(2)/2)*HC178*HF178*VLOOKUP('Données projet'!$B$18,Paramètres!$A$1:$I$88,3,0)*0.475*44/12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projet'!$B$9,Paramètres!$A$1:$I$88,3,0)*VLOOKUP('Données projet'!$B$9,Paramètres!$A$1:$I$88,5,0)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175.05987582828078</v>
      </c>
      <c r="T179" s="62">
        <f t="shared" si="142"/>
        <v>268.54782308462387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projet'!$B$9,Paramètres!$A$1:$I$88,7,0))</f>
        <v>0</v>
      </c>
      <c r="X179" s="17">
        <f>IF(ISNA(VLOOKUP(A179,'Données projet'!$A$35:$I$55,6,0)),0%,VLOOKUP(A179,'Données projet'!$A$35:$I$55,6,0)*VLOOKUP('Données projet'!$B$9,Paramètres!$A$1:$I$88,7,0))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projet'!$B$9,Paramètres!$A$1:$I$88,3,0)*0.475*44/12</f>
        <v>0</v>
      </c>
      <c r="AA179" s="23">
        <f>EXP(-LN(2)/25)*AA178+(1-EXP(-LN(2)/25))/(LN(2)/25)*Calculateur!V179*Calculateur!X179*VLOOKUP('Données projet'!$B$9,Paramètres!$A$1:$I$88,3,0)*0.475*44/12</f>
        <v>0.17973438740861106</v>
      </c>
      <c r="AB179" s="23">
        <f>EXP(-LN(2)/2)*AB178+(1-EXP(-LN(2)/2))/(LN(2)/2)*V179*Y179*VLOOKUP('Données projet'!$B$9,Paramètres!$A$1:$I$88,3,0)*0.475*44/12</f>
        <v>1.7489980861215149E-21</v>
      </c>
      <c r="AC179" s="24">
        <f t="shared" si="163"/>
        <v>0.17973438740861106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-1.5916157281026244E-12</v>
      </c>
      <c r="AJ179" s="14">
        <f>AI179*VLOOKUP('Données projet'!$B$10,Paramètres!$A$1:$I$88,3,0)*VLOOKUP('Données projet'!$B$10,Paramètres!$A$1:$I$88,5,0)</f>
        <v>-7.6556716521736234E-13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576.61210817354549</v>
      </c>
      <c r="AO179" s="62">
        <f t="shared" si="144"/>
        <v>343.9428747444544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projet'!$B$10,Paramètres!$A$1:$I$88,7,0))</f>
        <v>0</v>
      </c>
      <c r="AS179" s="17">
        <f>IF(ISNA(VLOOKUP(A179,'Données projet'!$A$61:$I$81,6,0)),0%,VLOOKUP(A179,'Données projet'!$A$61:$I$81,6,0)*VLOOKUP('Données projet'!$B$10,Paramètres!$A$1:$I$88,7,0))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projet'!$B$10,Paramètres!$A$1:$I$88,3,0)*0.475*44/12</f>
        <v>0</v>
      </c>
      <c r="AV179" s="23">
        <f>EXP(-LN(2)/25)*AV178+(1-EXP(-LN(2)/25))/(LN(2)/25)*Calculateur!AQ179*Calculateur!AS179*VLOOKUP('Données projet'!$B$10,Paramètres!$A$1:$I$88,3,0)*0.475*44/12</f>
        <v>9.8860454790599753E-2</v>
      </c>
      <c r="AW179" s="23">
        <f>EXP(-LN(2)/2)*AW178+(1-EXP(-LN(2)/2))/(LN(2)/2)*AQ179*AT179*VLOOKUP('Données projet'!$B$10,Paramètres!$A$1:$I$88,3,0)*0.475*44/12</f>
        <v>1.2455027284575203E-21</v>
      </c>
      <c r="AX179" s="23">
        <f t="shared" si="166"/>
        <v>9.8860454790599753E-2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-5.6843418860808015E-14</v>
      </c>
      <c r="BE179" s="14">
        <f>BD179*VLOOKUP('Données projet'!$B$11,Paramètres!$A$1:$I$88,3,0)*VLOOKUP('Données projet'!$B$11,Paramètres!$A$1:$I$88,5,0)</f>
        <v>-4.5224624045658861E-14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298.38448036212861</v>
      </c>
      <c r="BJ179" s="62">
        <f t="shared" si="146"/>
        <v>270.4445531106897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projet'!$B$11,Paramètres!$A$1:$I$88,7,0))</f>
        <v>0</v>
      </c>
      <c r="BN179" s="17">
        <f>IF(ISNA(VLOOKUP(A179,'Données projet'!$A$87:$I$107,6,0)),0%,VLOOKUP(A179,'Données projet'!$A$87:$I$107,6,0)*VLOOKUP('Données projet'!$B$11,Paramètres!$A$1:$I$88,7,0))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projet'!$B$11,Paramètres!$A$1:$I$88,3,0)*0.475*44/12</f>
        <v>0</v>
      </c>
      <c r="BQ179" s="23">
        <f>EXP(-LN(2)/25)*BQ178+(1-EXP(-LN(2)/25))/(LN(2)/25)*Calculateur!BL179*Calculateur!BN179*VLOOKUP('Données projet'!$B$11,Paramètres!$A$1:$I$88,3,0)*0.475*44/12</f>
        <v>0</v>
      </c>
      <c r="BR179" s="23">
        <f>EXP(-LN(2)/2)*BR178+(1-EXP(-LN(2)/2))/(LN(2)/2)*BL179*BO179*VLOOKUP('Données projet'!$B$11,Paramètres!$A$1:$I$88,3,0)*0.475*44/12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5.6843418860808015E-14</v>
      </c>
      <c r="BZ179" s="14">
        <f>BY179*VLOOKUP('Données projet'!$B$12,Paramètres!$A$1:$I$88,3,0)*VLOOKUP('Données projet'!$B$12,Paramètres!$A$1:$I$88,5,0)</f>
        <v>4.4337866711430253E-14</v>
      </c>
      <c r="CA179" s="14">
        <f t="shared" si="170"/>
        <v>7.3222115536967035E-13</v>
      </c>
      <c r="CB179" s="22">
        <f t="shared" si="171"/>
        <v>1.3525069634579169E-12</v>
      </c>
      <c r="CC179" s="62">
        <f t="shared" si="119"/>
        <v>293.33333333333468</v>
      </c>
      <c r="CD179" s="62">
        <f ca="1">AVERAGE(OFFSET($CC$3,0,0,'Données projet'!$E$12+1,1))-AVERAGE(OFFSET($H$3,0,0,'Données projet'!$E$12+1,1))</f>
        <v>217.32600829266818</v>
      </c>
      <c r="CE179" s="62">
        <f t="shared" si="148"/>
        <v>208.79744153433245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projet'!$B$12,Paramètres!$A$1:$I$88,7,0))</f>
        <v>0</v>
      </c>
      <c r="CI179" s="17">
        <f>IF(ISNA(VLOOKUP(A179,'Données projet'!$A$113:$I$133,6,0)),0%,VLOOKUP(A179,'Données projet'!$A$113:$I$133,6,0)*VLOOKUP('Données projet'!$B$12,Paramètres!$A$1:$I$88,7,0))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projet'!$B$12,Paramètres!$A$1:$I$88,3,0)*0.475*44/12</f>
        <v>0</v>
      </c>
      <c r="CL179" s="23">
        <f>EXP(-LN(2)/25)*CL178+(1-EXP(-LN(2)/25))/(LN(2)/25)*Calculateur!CG179*Calculateur!CI179*VLOOKUP('Données projet'!$B$12,Paramètres!$A$1:$I$88,3,0)*0.475*44/12</f>
        <v>0</v>
      </c>
      <c r="CM179" s="23">
        <f>EXP(-LN(2)/2)*CM178+(1-EXP(-LN(2)/2))/(LN(2)/2)*CG179*CJ179*VLOOKUP('Données projet'!$B$12,Paramètres!$A$1:$I$88,3,0)*0.475*44/12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-3.4106051316484809E-13</v>
      </c>
      <c r="CU179" s="18">
        <f>CT179*VLOOKUP('Données projet'!$B$13,Paramètres!$A$1:$I$88,3,0)*VLOOKUP('Données projet'!$B$13,Paramètres!$A$1:$I$88,5,0)</f>
        <v>-1.9065282685915009E-13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302.20483575440988</v>
      </c>
      <c r="CZ179" s="62">
        <f t="shared" si="150"/>
        <v>275.32862097158687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projet'!$B$13,Paramètres!$A$1:$I$88,7,0))</f>
        <v>0</v>
      </c>
      <c r="DD179" s="17">
        <f>IF(ISNA(VLOOKUP(A179,'Données projet'!$A$139:$I$159,6,0)),0%,VLOOKUP(A179,'Données projet'!$A$139:$I$159,6,0)*VLOOKUP('Données projet'!$B$13,Paramètres!$A$1:$I$88,7,0))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projet'!$B$13,Paramètres!$A$1:$I$88,3,0)*0.475*44/12</f>
        <v>0</v>
      </c>
      <c r="DG179" s="23">
        <f>EXP(-LN(2)/25)*DG178+(1-EXP(-LN(2)/25))/(LN(2)/25)*Calculateur!DB179*Calculateur!DD179*VLOOKUP('Données projet'!$B$13,Paramètres!$A$1:$I$88,3,0)*0.475*44/12</f>
        <v>0.24139031805414271</v>
      </c>
      <c r="DH179" s="23">
        <f>EXP(-LN(2)/2)*DH178+(1-EXP(-LN(2)/2))/(LN(2)/2)*DB179*DE179*VLOOKUP('Données projet'!$B$13,Paramètres!$A$1:$I$88,3,0)*0.475*44/12</f>
        <v>7.1795441164196981E-22</v>
      </c>
      <c r="DI179" s="24">
        <f t="shared" si="175"/>
        <v>0.24139031805414271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projet'!$B$14,Paramètres!$A$1:$I$88,3,0)*VLOOKUP('Données projet'!$B$14,Paramètres!$A$1:$I$88,5,0)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projet'!$B$14,Paramètres!$A$1:$I$88,7,0))</f>
        <v>0</v>
      </c>
      <c r="DY179" s="17">
        <f>IF(ISNA(VLOOKUP(A179,'Données projet'!$A$165:$I$185,6,0)),0%,VLOOKUP(A179,'Données projet'!$A$165:$I$185,6,0)*VLOOKUP('Données projet'!$B$14,Paramètres!$A$1:$I$88,7,0))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projet'!$B$14,Paramètres!$A$1:$I$88,3,0)*0.475*44/12</f>
        <v>#N/A</v>
      </c>
      <c r="EB179" s="23" t="e">
        <f>EXP(-LN(2)/25)*EB178+(1-EXP(-LN(2)/25))/(LN(2)/25)*Calculateur!DW179*Calculateur!DY179*VLOOKUP('Données projet'!$B$14,Paramètres!$A$1:$I$88,3,0)*0.475*44/12</f>
        <v>#N/A</v>
      </c>
      <c r="EC179" s="23" t="e">
        <f>EXP(-LN(2)/2)*EC178+(1-EXP(-LN(2)/2))/(LN(2)/2)*DW179*DZ179*VLOOKUP('Données projet'!$B$14,Paramètres!$A$1:$I$88,3,0)*0.475*44/12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projet'!$B$15,Paramètres!$A$1:$I$88,3,0)*VLOOKUP('Données projet'!$B$15,Paramètres!$A$1:$I$88,5,0)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projet'!$B$15,Paramètres!$A$1:$I$88,7,0))</f>
        <v>0</v>
      </c>
      <c r="ET179" s="17">
        <f>IF(ISNA(VLOOKUP(A179,'Données projet'!$A$191:$I$211,6,0)),0%,VLOOKUP(A179,'Données projet'!$A$191:$I$211,6,0)*VLOOKUP('Données projet'!$B$15,Paramètres!$A$1:$I$88,7,0))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projet'!$B$15,Paramètres!$A$1:$I$88,3,0)*0.475*44/12</f>
        <v>#N/A</v>
      </c>
      <c r="EW179" s="23" t="e">
        <f>EXP(-LN(2)/25)*EW178+(1-EXP(-LN(2)/25))/(LN(2)/25)*Calculateur!ER179*Calculateur!ET179*VLOOKUP('Données projet'!$B$15,Paramètres!$A$1:$I$88,3,0)*0.475*44/12</f>
        <v>#N/A</v>
      </c>
      <c r="EX179" s="23" t="e">
        <f>EXP(-LN(2)/2)*EX178+(1-EXP(-LN(2)/2))/(LN(2)/2)*ER179*EU179*VLOOKUP('Données projet'!$B$15,Paramètres!$A$1:$I$88,3,0)*0.475*44/12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projet'!$B$16,Paramètres!$A$1:$I$88,3,0)*VLOOKUP('Données projet'!$B$16,Paramètres!$A$1:$I$88,5,0)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projet'!$B$16,Paramètres!$A$1:$I$88,7,0))</f>
        <v>0</v>
      </c>
      <c r="FO179" s="17">
        <f>IF(ISNA(VLOOKUP(A179,'Données projet'!$A$217:$I$237,6,0)),0%,VLOOKUP(A179,'Données projet'!$A$217:$I$237,6,0)*VLOOKUP('Données projet'!$B$16,Paramètres!$A$1:$I$88,7,0))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projet'!$B$16,Paramètres!$A$1:$I$88,3,0)*0.475*44/12</f>
        <v>#N/A</v>
      </c>
      <c r="FR179" s="23" t="e">
        <f>EXP(-LN(2)/25)*FR178+(1-EXP(-LN(2)/25))/(LN(2)/25)*Calculateur!FM179*Calculateur!FO179*VLOOKUP('Données projet'!$B$16,Paramètres!$A$1:$I$88,3,0)*0.475*44/12</f>
        <v>#N/A</v>
      </c>
      <c r="FS179" s="23" t="e">
        <f>EXP(-LN(2)/2)*FS178+(1-EXP(-LN(2)/2))/(LN(2)/2)*FM179*FP179*VLOOKUP('Données projet'!$B$16,Paramètres!$A$1:$I$88,3,0)*0.475*44/12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projet'!$B$17,Paramètres!$A$1:$I$88,3,0)*VLOOKUP('Données projet'!$B$17,Paramètres!$A$1:$I$88,5,0)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projet'!$B$17,Paramètres!$A$1:$I$88,7,0))</f>
        <v>0</v>
      </c>
      <c r="GJ179" s="17">
        <f>IF(ISNA(VLOOKUP(A179,'Données projet'!$A$243:$I$263,6,0)),0%,VLOOKUP(A179,'Données projet'!$A$243:$I$263,6,0)*VLOOKUP('Données projet'!$B$17,Paramètres!$A$1:$I$88,7,0))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projet'!$B$17,Paramètres!$A$1:$I$88,3,0)*0.475*44/12</f>
        <v>#N/A</v>
      </c>
      <c r="GM179" s="23" t="e">
        <f>EXP(-LN(2)/25)*GM178+(1-EXP(-LN(2)/25))/(LN(2)/25)*Calculateur!GH179*Calculateur!GJ179*VLOOKUP('Données projet'!$B$17,Paramètres!$A$1:$I$88,3,0)*0.475*44/12</f>
        <v>#N/A</v>
      </c>
      <c r="GN179" s="23" t="e">
        <f>EXP(-LN(2)/2)*GN178+(1-EXP(-LN(2)/2))/(LN(2)/2)*GH179*GK179*VLOOKUP('Données projet'!$B$17,Paramètres!$A$1:$I$88,3,0)*0.475*44/12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projet'!$B$18,Paramètres!$A$1:$I$88,3,0)*VLOOKUP('Données projet'!$B$18,Paramètres!$A$1:$I$88,5,0)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projet'!$B$18,Paramètres!$A$1:$I$88,7,0))</f>
        <v>0</v>
      </c>
      <c r="HE179" s="17">
        <f>IF(ISNA(VLOOKUP(A179,'Données projet'!$A$269:$I$289,6,0)),0%,VLOOKUP(A179,'Données projet'!$A$269:$I$289,6,0)*VLOOKUP('Données projet'!$B$18,Paramètres!$A$1:$I$88,7,0))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projet'!$B$18,Paramètres!$A$1:$I$88,3,0)*0.475*44/12</f>
        <v>#N/A</v>
      </c>
      <c r="HH179" s="23" t="e">
        <f>EXP(-LN(2)/25)*HH178+(1-EXP(-LN(2)/25))/(LN(2)/25)*Calculateur!HC179*Calculateur!HE179*VLOOKUP('Données projet'!$B$18,Paramètres!$A$1:$I$88,3,0)*0.475*44/12</f>
        <v>#N/A</v>
      </c>
      <c r="HI179" s="23" t="e">
        <f>EXP(-LN(2)/2)*HI178+(1-EXP(-LN(2)/2))/(LN(2)/2)*HC179*HF179*VLOOKUP('Données projet'!$B$18,Paramètres!$A$1:$I$88,3,0)*0.475*44/12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projet'!$B$9,Paramètres!$A$1:$I$88,3,0)*VLOOKUP('Données projet'!$B$9,Paramètres!$A$1:$I$88,5,0)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175.05987582828078</v>
      </c>
      <c r="T180" s="62">
        <f t="shared" si="142"/>
        <v>268.54782308462387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projet'!$B$9,Paramètres!$A$1:$I$88,7,0))</f>
        <v>0</v>
      </c>
      <c r="X180" s="17">
        <f>IF(ISNA(VLOOKUP(A180,'Données projet'!$A$35:$I$55,6,0)),0%,VLOOKUP(A180,'Données projet'!$A$35:$I$55,6,0)*VLOOKUP('Données projet'!$B$9,Paramètres!$A$1:$I$88,7,0))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projet'!$B$9,Paramètres!$A$1:$I$88,3,0)*0.475*44/12</f>
        <v>0</v>
      </c>
      <c r="AA180" s="23">
        <f>EXP(-LN(2)/25)*AA179+(1-EXP(-LN(2)/25))/(LN(2)/25)*Calculateur!V180*Calculateur!X180*VLOOKUP('Données projet'!$B$9,Paramètres!$A$1:$I$88,3,0)*0.475*44/12</f>
        <v>0.17481954113310194</v>
      </c>
      <c r="AB180" s="23">
        <f>EXP(-LN(2)/2)*AB179+(1-EXP(-LN(2)/2))/(LN(2)/2)*V180*Y180*VLOOKUP('Données projet'!$B$9,Paramètres!$A$1:$I$88,3,0)*0.475*44/12</f>
        <v>1.2367284069788165E-21</v>
      </c>
      <c r="AC180" s="24">
        <f t="shared" si="163"/>
        <v>0.17481954113310194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-1.5916157281026244E-12</v>
      </c>
      <c r="AJ180" s="14">
        <f>AI180*VLOOKUP('Données projet'!$B$10,Paramètres!$A$1:$I$88,3,0)*VLOOKUP('Données projet'!$B$10,Paramètres!$A$1:$I$88,5,0)</f>
        <v>-7.6556716521736234E-13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576.61210817354549</v>
      </c>
      <c r="AO180" s="62">
        <f t="shared" si="144"/>
        <v>343.9428747444544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projet'!$B$10,Paramètres!$A$1:$I$88,7,0))</f>
        <v>0</v>
      </c>
      <c r="AS180" s="17">
        <f>IF(ISNA(VLOOKUP(A180,'Données projet'!$A$61:$I$81,6,0)),0%,VLOOKUP(A180,'Données projet'!$A$61:$I$81,6,0)*VLOOKUP('Données projet'!$B$10,Paramètres!$A$1:$I$88,7,0))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projet'!$B$10,Paramètres!$A$1:$I$88,3,0)*0.475*44/12</f>
        <v>0</v>
      </c>
      <c r="AV180" s="23">
        <f>EXP(-LN(2)/25)*AV179+(1-EXP(-LN(2)/25))/(LN(2)/25)*Calculateur!AQ180*Calculateur!AS180*VLOOKUP('Données projet'!$B$10,Paramètres!$A$1:$I$88,3,0)*0.475*44/12</f>
        <v>9.6157110455505429E-2</v>
      </c>
      <c r="AW180" s="23">
        <f>EXP(-LN(2)/2)*AW179+(1-EXP(-LN(2)/2))/(LN(2)/2)*AQ180*AT180*VLOOKUP('Données projet'!$B$10,Paramètres!$A$1:$I$88,3,0)*0.475*44/12</f>
        <v>8.807034252786597E-22</v>
      </c>
      <c r="AX180" s="23">
        <f t="shared" si="166"/>
        <v>9.6157110455505429E-2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-5.6843418860808015E-14</v>
      </c>
      <c r="BE180" s="14">
        <f>BD180*VLOOKUP('Données projet'!$B$11,Paramètres!$A$1:$I$88,3,0)*VLOOKUP('Données projet'!$B$11,Paramètres!$A$1:$I$88,5,0)</f>
        <v>-4.5224624045658861E-14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298.38448036212861</v>
      </c>
      <c r="BJ180" s="62">
        <f t="shared" si="146"/>
        <v>270.4445531106897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projet'!$B$11,Paramètres!$A$1:$I$88,7,0))</f>
        <v>0</v>
      </c>
      <c r="BN180" s="17">
        <f>IF(ISNA(VLOOKUP(A180,'Données projet'!$A$87:$I$107,6,0)),0%,VLOOKUP(A180,'Données projet'!$A$87:$I$107,6,0)*VLOOKUP('Données projet'!$B$11,Paramètres!$A$1:$I$88,7,0))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projet'!$B$11,Paramètres!$A$1:$I$88,3,0)*0.475*44/12</f>
        <v>0</v>
      </c>
      <c r="BQ180" s="23">
        <f>EXP(-LN(2)/25)*BQ179+(1-EXP(-LN(2)/25))/(LN(2)/25)*Calculateur!BL180*Calculateur!BN180*VLOOKUP('Données projet'!$B$11,Paramètres!$A$1:$I$88,3,0)*0.475*44/12</f>
        <v>0</v>
      </c>
      <c r="BR180" s="23">
        <f>EXP(-LN(2)/2)*BR179+(1-EXP(-LN(2)/2))/(LN(2)/2)*BL180*BO180*VLOOKUP('Données projet'!$B$11,Paramètres!$A$1:$I$88,3,0)*0.475*44/12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5.6843418860808015E-14</v>
      </c>
      <c r="BZ180" s="14">
        <f>BY180*VLOOKUP('Données projet'!$B$12,Paramètres!$A$1:$I$88,3,0)*VLOOKUP('Données projet'!$B$12,Paramètres!$A$1:$I$88,5,0)</f>
        <v>4.4337866711430253E-14</v>
      </c>
      <c r="CA180" s="14">
        <f t="shared" si="170"/>
        <v>7.3222115536967035E-13</v>
      </c>
      <c r="CB180" s="22">
        <f t="shared" si="171"/>
        <v>1.3525069634579169E-12</v>
      </c>
      <c r="CC180" s="62">
        <f t="shared" si="119"/>
        <v>293.33333333333468</v>
      </c>
      <c r="CD180" s="62">
        <f ca="1">AVERAGE(OFFSET($CC$3,0,0,'Données projet'!$E$12+1,1))-AVERAGE(OFFSET($H$3,0,0,'Données projet'!$E$12+1,1))</f>
        <v>217.32600829266818</v>
      </c>
      <c r="CE180" s="62">
        <f t="shared" si="148"/>
        <v>208.79744153433245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projet'!$B$12,Paramètres!$A$1:$I$88,7,0))</f>
        <v>0</v>
      </c>
      <c r="CI180" s="17">
        <f>IF(ISNA(VLOOKUP(A180,'Données projet'!$A$113:$I$133,6,0)),0%,VLOOKUP(A180,'Données projet'!$A$113:$I$133,6,0)*VLOOKUP('Données projet'!$B$12,Paramètres!$A$1:$I$88,7,0))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projet'!$B$12,Paramètres!$A$1:$I$88,3,0)*0.475*44/12</f>
        <v>0</v>
      </c>
      <c r="CL180" s="23">
        <f>EXP(-LN(2)/25)*CL179+(1-EXP(-LN(2)/25))/(LN(2)/25)*Calculateur!CG180*Calculateur!CI180*VLOOKUP('Données projet'!$B$12,Paramètres!$A$1:$I$88,3,0)*0.475*44/12</f>
        <v>0</v>
      </c>
      <c r="CM180" s="23">
        <f>EXP(-LN(2)/2)*CM179+(1-EXP(-LN(2)/2))/(LN(2)/2)*CG180*CJ180*VLOOKUP('Données projet'!$B$12,Paramètres!$A$1:$I$88,3,0)*0.475*44/12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-3.4106051316484809E-13</v>
      </c>
      <c r="CU180" s="18">
        <f>CT180*VLOOKUP('Données projet'!$B$13,Paramètres!$A$1:$I$88,3,0)*VLOOKUP('Données projet'!$B$13,Paramètres!$A$1:$I$88,5,0)</f>
        <v>-1.9065282685915009E-13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302.20483575440988</v>
      </c>
      <c r="CZ180" s="62">
        <f t="shared" si="150"/>
        <v>275.32862097158687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projet'!$B$13,Paramètres!$A$1:$I$88,7,0))</f>
        <v>0</v>
      </c>
      <c r="DD180" s="17">
        <f>IF(ISNA(VLOOKUP(A180,'Données projet'!$A$139:$I$159,6,0)),0%,VLOOKUP(A180,'Données projet'!$A$139:$I$159,6,0)*VLOOKUP('Données projet'!$B$13,Paramètres!$A$1:$I$88,7,0))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projet'!$B$13,Paramètres!$A$1:$I$88,3,0)*0.475*44/12</f>
        <v>0</v>
      </c>
      <c r="DG180" s="23">
        <f>EXP(-LN(2)/25)*DG179+(1-EXP(-LN(2)/25))/(LN(2)/25)*Calculateur!DB180*Calculateur!DD180*VLOOKUP('Données projet'!$B$13,Paramètres!$A$1:$I$88,3,0)*0.475*44/12</f>
        <v>0.23478948711278705</v>
      </c>
      <c r="DH180" s="23">
        <f>EXP(-LN(2)/2)*DH179+(1-EXP(-LN(2)/2))/(LN(2)/2)*DB180*DE180*VLOOKUP('Données projet'!$B$13,Paramètres!$A$1:$I$88,3,0)*0.475*44/12</f>
        <v>5.0767043305483481E-22</v>
      </c>
      <c r="DI180" s="24">
        <f t="shared" si="175"/>
        <v>0.23478948711278705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projet'!$B$14,Paramètres!$A$1:$I$88,3,0)*VLOOKUP('Données projet'!$B$14,Paramètres!$A$1:$I$88,5,0)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projet'!$B$14,Paramètres!$A$1:$I$88,7,0))</f>
        <v>0</v>
      </c>
      <c r="DY180" s="17">
        <f>IF(ISNA(VLOOKUP(A180,'Données projet'!$A$165:$I$185,6,0)),0%,VLOOKUP(A180,'Données projet'!$A$165:$I$185,6,0)*VLOOKUP('Données projet'!$B$14,Paramètres!$A$1:$I$88,7,0))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projet'!$B$14,Paramètres!$A$1:$I$88,3,0)*0.475*44/12</f>
        <v>#N/A</v>
      </c>
      <c r="EB180" s="23" t="e">
        <f>EXP(-LN(2)/25)*EB179+(1-EXP(-LN(2)/25))/(LN(2)/25)*Calculateur!DW180*Calculateur!DY180*VLOOKUP('Données projet'!$B$14,Paramètres!$A$1:$I$88,3,0)*0.475*44/12</f>
        <v>#N/A</v>
      </c>
      <c r="EC180" s="23" t="e">
        <f>EXP(-LN(2)/2)*EC179+(1-EXP(-LN(2)/2))/(LN(2)/2)*DW180*DZ180*VLOOKUP('Données projet'!$B$14,Paramètres!$A$1:$I$88,3,0)*0.475*44/12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projet'!$B$15,Paramètres!$A$1:$I$88,3,0)*VLOOKUP('Données projet'!$B$15,Paramètres!$A$1:$I$88,5,0)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projet'!$B$15,Paramètres!$A$1:$I$88,7,0))</f>
        <v>0</v>
      </c>
      <c r="ET180" s="17">
        <f>IF(ISNA(VLOOKUP(A180,'Données projet'!$A$191:$I$211,6,0)),0%,VLOOKUP(A180,'Données projet'!$A$191:$I$211,6,0)*VLOOKUP('Données projet'!$B$15,Paramètres!$A$1:$I$88,7,0))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projet'!$B$15,Paramètres!$A$1:$I$88,3,0)*0.475*44/12</f>
        <v>#N/A</v>
      </c>
      <c r="EW180" s="23" t="e">
        <f>EXP(-LN(2)/25)*EW179+(1-EXP(-LN(2)/25))/(LN(2)/25)*Calculateur!ER180*Calculateur!ET180*VLOOKUP('Données projet'!$B$15,Paramètres!$A$1:$I$88,3,0)*0.475*44/12</f>
        <v>#N/A</v>
      </c>
      <c r="EX180" s="23" t="e">
        <f>EXP(-LN(2)/2)*EX179+(1-EXP(-LN(2)/2))/(LN(2)/2)*ER180*EU180*VLOOKUP('Données projet'!$B$15,Paramètres!$A$1:$I$88,3,0)*0.475*44/12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projet'!$B$16,Paramètres!$A$1:$I$88,3,0)*VLOOKUP('Données projet'!$B$16,Paramètres!$A$1:$I$88,5,0)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projet'!$B$16,Paramètres!$A$1:$I$88,7,0))</f>
        <v>0</v>
      </c>
      <c r="FO180" s="17">
        <f>IF(ISNA(VLOOKUP(A180,'Données projet'!$A$217:$I$237,6,0)),0%,VLOOKUP(A180,'Données projet'!$A$217:$I$237,6,0)*VLOOKUP('Données projet'!$B$16,Paramètres!$A$1:$I$88,7,0))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projet'!$B$16,Paramètres!$A$1:$I$88,3,0)*0.475*44/12</f>
        <v>#N/A</v>
      </c>
      <c r="FR180" s="23" t="e">
        <f>EXP(-LN(2)/25)*FR179+(1-EXP(-LN(2)/25))/(LN(2)/25)*Calculateur!FM180*Calculateur!FO180*VLOOKUP('Données projet'!$B$16,Paramètres!$A$1:$I$88,3,0)*0.475*44/12</f>
        <v>#N/A</v>
      </c>
      <c r="FS180" s="23" t="e">
        <f>EXP(-LN(2)/2)*FS179+(1-EXP(-LN(2)/2))/(LN(2)/2)*FM180*FP180*VLOOKUP('Données projet'!$B$16,Paramètres!$A$1:$I$88,3,0)*0.475*44/12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projet'!$B$17,Paramètres!$A$1:$I$88,3,0)*VLOOKUP('Données projet'!$B$17,Paramètres!$A$1:$I$88,5,0)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projet'!$B$17,Paramètres!$A$1:$I$88,7,0))</f>
        <v>0</v>
      </c>
      <c r="GJ180" s="17">
        <f>IF(ISNA(VLOOKUP(A180,'Données projet'!$A$243:$I$263,6,0)),0%,VLOOKUP(A180,'Données projet'!$A$243:$I$263,6,0)*VLOOKUP('Données projet'!$B$17,Paramètres!$A$1:$I$88,7,0))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projet'!$B$17,Paramètres!$A$1:$I$88,3,0)*0.475*44/12</f>
        <v>#N/A</v>
      </c>
      <c r="GM180" s="23" t="e">
        <f>EXP(-LN(2)/25)*GM179+(1-EXP(-LN(2)/25))/(LN(2)/25)*Calculateur!GH180*Calculateur!GJ180*VLOOKUP('Données projet'!$B$17,Paramètres!$A$1:$I$88,3,0)*0.475*44/12</f>
        <v>#N/A</v>
      </c>
      <c r="GN180" s="23" t="e">
        <f>EXP(-LN(2)/2)*GN179+(1-EXP(-LN(2)/2))/(LN(2)/2)*GH180*GK180*VLOOKUP('Données projet'!$B$17,Paramètres!$A$1:$I$88,3,0)*0.475*44/12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projet'!$B$18,Paramètres!$A$1:$I$88,3,0)*VLOOKUP('Données projet'!$B$18,Paramètres!$A$1:$I$88,5,0)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projet'!$B$18,Paramètres!$A$1:$I$88,7,0))</f>
        <v>0</v>
      </c>
      <c r="HE180" s="17">
        <f>IF(ISNA(VLOOKUP(A180,'Données projet'!$A$269:$I$289,6,0)),0%,VLOOKUP(A180,'Données projet'!$A$269:$I$289,6,0)*VLOOKUP('Données projet'!$B$18,Paramètres!$A$1:$I$88,7,0))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projet'!$B$18,Paramètres!$A$1:$I$88,3,0)*0.475*44/12</f>
        <v>#N/A</v>
      </c>
      <c r="HH180" s="23" t="e">
        <f>EXP(-LN(2)/25)*HH179+(1-EXP(-LN(2)/25))/(LN(2)/25)*Calculateur!HC180*Calculateur!HE180*VLOOKUP('Données projet'!$B$18,Paramètres!$A$1:$I$88,3,0)*0.475*44/12</f>
        <v>#N/A</v>
      </c>
      <c r="HI180" s="23" t="e">
        <f>EXP(-LN(2)/2)*HI179+(1-EXP(-LN(2)/2))/(LN(2)/2)*HC180*HF180*VLOOKUP('Données projet'!$B$18,Paramètres!$A$1:$I$88,3,0)*0.475*44/12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projet'!$B$9,Paramètres!$A$1:$I$88,3,0)*VLOOKUP('Données projet'!$B$9,Paramètres!$A$1:$I$88,5,0)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175.05987582828078</v>
      </c>
      <c r="T181" s="62">
        <f t="shared" si="142"/>
        <v>268.54782308462387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projet'!$B$9,Paramètres!$A$1:$I$88,7,0))</f>
        <v>0</v>
      </c>
      <c r="X181" s="17">
        <f>IF(ISNA(VLOOKUP(A181,'Données projet'!$A$35:$I$55,6,0)),0%,VLOOKUP(A181,'Données projet'!$A$35:$I$55,6,0)*VLOOKUP('Données projet'!$B$9,Paramètres!$A$1:$I$88,7,0))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projet'!$B$9,Paramètres!$A$1:$I$88,3,0)*0.475*44/12</f>
        <v>0</v>
      </c>
      <c r="AA181" s="23">
        <f>EXP(-LN(2)/25)*AA180+(1-EXP(-LN(2)/25))/(LN(2)/25)*Calculateur!V181*Calculateur!X181*VLOOKUP('Données projet'!$B$9,Paramètres!$A$1:$I$88,3,0)*0.475*44/12</f>
        <v>0.17003909158745717</v>
      </c>
      <c r="AB181" s="23">
        <f>EXP(-LN(2)/2)*AB180+(1-EXP(-LN(2)/2))/(LN(2)/2)*V181*Y181*VLOOKUP('Données projet'!$B$9,Paramètres!$A$1:$I$88,3,0)*0.475*44/12</f>
        <v>8.7449904306075747E-22</v>
      </c>
      <c r="AC181" s="24">
        <f t="shared" si="163"/>
        <v>0.17003909158745717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-1.5916157281026244E-12</v>
      </c>
      <c r="AJ181" s="14">
        <f>AI181*VLOOKUP('Données projet'!$B$10,Paramètres!$A$1:$I$88,3,0)*VLOOKUP('Données projet'!$B$10,Paramètres!$A$1:$I$88,5,0)</f>
        <v>-7.6556716521736234E-13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576.61210817354549</v>
      </c>
      <c r="AO181" s="62">
        <f t="shared" si="144"/>
        <v>343.9428747444544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projet'!$B$10,Paramètres!$A$1:$I$88,7,0))</f>
        <v>0</v>
      </c>
      <c r="AS181" s="17">
        <f>IF(ISNA(VLOOKUP(A181,'Données projet'!$A$61:$I$81,6,0)),0%,VLOOKUP(A181,'Données projet'!$A$61:$I$81,6,0)*VLOOKUP('Données projet'!$B$10,Paramètres!$A$1:$I$88,7,0))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projet'!$B$10,Paramètres!$A$1:$I$88,3,0)*0.475*44/12</f>
        <v>0</v>
      </c>
      <c r="AV181" s="23">
        <f>EXP(-LN(2)/25)*AV180+(1-EXP(-LN(2)/25))/(LN(2)/25)*Calculateur!AQ181*Calculateur!AS181*VLOOKUP('Données projet'!$B$10,Paramètres!$A$1:$I$88,3,0)*0.475*44/12</f>
        <v>9.3527689213416962E-2</v>
      </c>
      <c r="AW181" s="23">
        <f>EXP(-LN(2)/2)*AW180+(1-EXP(-LN(2)/2))/(LN(2)/2)*AQ181*AT181*VLOOKUP('Données projet'!$B$10,Paramètres!$A$1:$I$88,3,0)*0.475*44/12</f>
        <v>6.2275136422876015E-22</v>
      </c>
      <c r="AX181" s="23">
        <f t="shared" si="166"/>
        <v>9.3527689213416962E-2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-5.6843418860808015E-14</v>
      </c>
      <c r="BE181" s="14">
        <f>BD181*VLOOKUP('Données projet'!$B$11,Paramètres!$A$1:$I$88,3,0)*VLOOKUP('Données projet'!$B$11,Paramètres!$A$1:$I$88,5,0)</f>
        <v>-4.5224624045658861E-14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298.38448036212861</v>
      </c>
      <c r="BJ181" s="62">
        <f t="shared" si="146"/>
        <v>270.4445531106897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projet'!$B$11,Paramètres!$A$1:$I$88,7,0))</f>
        <v>0</v>
      </c>
      <c r="BN181" s="17">
        <f>IF(ISNA(VLOOKUP(A181,'Données projet'!$A$87:$I$107,6,0)),0%,VLOOKUP(A181,'Données projet'!$A$87:$I$107,6,0)*VLOOKUP('Données projet'!$B$11,Paramètres!$A$1:$I$88,7,0))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projet'!$B$11,Paramètres!$A$1:$I$88,3,0)*0.475*44/12</f>
        <v>0</v>
      </c>
      <c r="BQ181" s="23">
        <f>EXP(-LN(2)/25)*BQ180+(1-EXP(-LN(2)/25))/(LN(2)/25)*Calculateur!BL181*Calculateur!BN181*VLOOKUP('Données projet'!$B$11,Paramètres!$A$1:$I$88,3,0)*0.475*44/12</f>
        <v>0</v>
      </c>
      <c r="BR181" s="23">
        <f>EXP(-LN(2)/2)*BR180+(1-EXP(-LN(2)/2))/(LN(2)/2)*BL181*BO181*VLOOKUP('Données projet'!$B$11,Paramètres!$A$1:$I$88,3,0)*0.475*44/12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5.6843418860808015E-14</v>
      </c>
      <c r="BZ181" s="14">
        <f>BY181*VLOOKUP('Données projet'!$B$12,Paramètres!$A$1:$I$88,3,0)*VLOOKUP('Données projet'!$B$12,Paramètres!$A$1:$I$88,5,0)</f>
        <v>4.4337866711430253E-14</v>
      </c>
      <c r="CA181" s="14">
        <f t="shared" si="170"/>
        <v>7.3222115536967035E-13</v>
      </c>
      <c r="CB181" s="22">
        <f t="shared" si="171"/>
        <v>1.3525069634579169E-12</v>
      </c>
      <c r="CC181" s="62">
        <f t="shared" si="119"/>
        <v>293.33333333333468</v>
      </c>
      <c r="CD181" s="62">
        <f ca="1">AVERAGE(OFFSET($CC$3,0,0,'Données projet'!$E$12+1,1))-AVERAGE(OFFSET($H$3,0,0,'Données projet'!$E$12+1,1))</f>
        <v>217.32600829266818</v>
      </c>
      <c r="CE181" s="62">
        <f t="shared" si="148"/>
        <v>208.79744153433245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projet'!$B$12,Paramètres!$A$1:$I$88,7,0))</f>
        <v>0</v>
      </c>
      <c r="CI181" s="17">
        <f>IF(ISNA(VLOOKUP(A181,'Données projet'!$A$113:$I$133,6,0)),0%,VLOOKUP(A181,'Données projet'!$A$113:$I$133,6,0)*VLOOKUP('Données projet'!$B$12,Paramètres!$A$1:$I$88,7,0))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projet'!$B$12,Paramètres!$A$1:$I$88,3,0)*0.475*44/12</f>
        <v>0</v>
      </c>
      <c r="CL181" s="23">
        <f>EXP(-LN(2)/25)*CL180+(1-EXP(-LN(2)/25))/(LN(2)/25)*Calculateur!CG181*Calculateur!CI181*VLOOKUP('Données projet'!$B$12,Paramètres!$A$1:$I$88,3,0)*0.475*44/12</f>
        <v>0</v>
      </c>
      <c r="CM181" s="23">
        <f>EXP(-LN(2)/2)*CM180+(1-EXP(-LN(2)/2))/(LN(2)/2)*CG181*CJ181*VLOOKUP('Données projet'!$B$12,Paramètres!$A$1:$I$88,3,0)*0.475*44/12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-3.4106051316484809E-13</v>
      </c>
      <c r="CU181" s="18">
        <f>CT181*VLOOKUP('Données projet'!$B$13,Paramètres!$A$1:$I$88,3,0)*VLOOKUP('Données projet'!$B$13,Paramètres!$A$1:$I$88,5,0)</f>
        <v>-1.9065282685915009E-13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302.20483575440988</v>
      </c>
      <c r="CZ181" s="62">
        <f t="shared" si="150"/>
        <v>275.32862097158687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projet'!$B$13,Paramètres!$A$1:$I$88,7,0))</f>
        <v>0</v>
      </c>
      <c r="DD181" s="17">
        <f>IF(ISNA(VLOOKUP(A181,'Données projet'!$A$139:$I$159,6,0)),0%,VLOOKUP(A181,'Données projet'!$A$139:$I$159,6,0)*VLOOKUP('Données projet'!$B$13,Paramètres!$A$1:$I$88,7,0))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projet'!$B$13,Paramètres!$A$1:$I$88,3,0)*0.475*44/12</f>
        <v>0</v>
      </c>
      <c r="DG181" s="23">
        <f>EXP(-LN(2)/25)*DG180+(1-EXP(-LN(2)/25))/(LN(2)/25)*Calculateur!DB181*Calculateur!DD181*VLOOKUP('Données projet'!$B$13,Paramètres!$A$1:$I$88,3,0)*0.475*44/12</f>
        <v>0.22836915624064538</v>
      </c>
      <c r="DH181" s="23">
        <f>EXP(-LN(2)/2)*DH180+(1-EXP(-LN(2)/2))/(LN(2)/2)*DB181*DE181*VLOOKUP('Données projet'!$B$13,Paramètres!$A$1:$I$88,3,0)*0.475*44/12</f>
        <v>3.589772058209849E-22</v>
      </c>
      <c r="DI181" s="24">
        <f t="shared" si="175"/>
        <v>0.22836915624064538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projet'!$B$14,Paramètres!$A$1:$I$88,3,0)*VLOOKUP('Données projet'!$B$14,Paramètres!$A$1:$I$88,5,0)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projet'!$B$14,Paramètres!$A$1:$I$88,7,0))</f>
        <v>0</v>
      </c>
      <c r="DY181" s="17">
        <f>IF(ISNA(VLOOKUP(A181,'Données projet'!$A$165:$I$185,6,0)),0%,VLOOKUP(A181,'Données projet'!$A$165:$I$185,6,0)*VLOOKUP('Données projet'!$B$14,Paramètres!$A$1:$I$88,7,0))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projet'!$B$14,Paramètres!$A$1:$I$88,3,0)*0.475*44/12</f>
        <v>#N/A</v>
      </c>
      <c r="EB181" s="23" t="e">
        <f>EXP(-LN(2)/25)*EB180+(1-EXP(-LN(2)/25))/(LN(2)/25)*Calculateur!DW181*Calculateur!DY181*VLOOKUP('Données projet'!$B$14,Paramètres!$A$1:$I$88,3,0)*0.475*44/12</f>
        <v>#N/A</v>
      </c>
      <c r="EC181" s="23" t="e">
        <f>EXP(-LN(2)/2)*EC180+(1-EXP(-LN(2)/2))/(LN(2)/2)*DW181*DZ181*VLOOKUP('Données projet'!$B$14,Paramètres!$A$1:$I$88,3,0)*0.475*44/12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projet'!$B$15,Paramètres!$A$1:$I$88,3,0)*VLOOKUP('Données projet'!$B$15,Paramètres!$A$1:$I$88,5,0)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projet'!$B$15,Paramètres!$A$1:$I$88,7,0))</f>
        <v>0</v>
      </c>
      <c r="ET181" s="17">
        <f>IF(ISNA(VLOOKUP(A181,'Données projet'!$A$191:$I$211,6,0)),0%,VLOOKUP(A181,'Données projet'!$A$191:$I$211,6,0)*VLOOKUP('Données projet'!$B$15,Paramètres!$A$1:$I$88,7,0))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projet'!$B$15,Paramètres!$A$1:$I$88,3,0)*0.475*44/12</f>
        <v>#N/A</v>
      </c>
      <c r="EW181" s="23" t="e">
        <f>EXP(-LN(2)/25)*EW180+(1-EXP(-LN(2)/25))/(LN(2)/25)*Calculateur!ER181*Calculateur!ET181*VLOOKUP('Données projet'!$B$15,Paramètres!$A$1:$I$88,3,0)*0.475*44/12</f>
        <v>#N/A</v>
      </c>
      <c r="EX181" s="23" t="e">
        <f>EXP(-LN(2)/2)*EX180+(1-EXP(-LN(2)/2))/(LN(2)/2)*ER181*EU181*VLOOKUP('Données projet'!$B$15,Paramètres!$A$1:$I$88,3,0)*0.475*44/12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projet'!$B$16,Paramètres!$A$1:$I$88,3,0)*VLOOKUP('Données projet'!$B$16,Paramètres!$A$1:$I$88,5,0)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projet'!$B$16,Paramètres!$A$1:$I$88,7,0))</f>
        <v>0</v>
      </c>
      <c r="FO181" s="17">
        <f>IF(ISNA(VLOOKUP(A181,'Données projet'!$A$217:$I$237,6,0)),0%,VLOOKUP(A181,'Données projet'!$A$217:$I$237,6,0)*VLOOKUP('Données projet'!$B$16,Paramètres!$A$1:$I$88,7,0))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projet'!$B$16,Paramètres!$A$1:$I$88,3,0)*0.475*44/12</f>
        <v>#N/A</v>
      </c>
      <c r="FR181" s="23" t="e">
        <f>EXP(-LN(2)/25)*FR180+(1-EXP(-LN(2)/25))/(LN(2)/25)*Calculateur!FM181*Calculateur!FO181*VLOOKUP('Données projet'!$B$16,Paramètres!$A$1:$I$88,3,0)*0.475*44/12</f>
        <v>#N/A</v>
      </c>
      <c r="FS181" s="23" t="e">
        <f>EXP(-LN(2)/2)*FS180+(1-EXP(-LN(2)/2))/(LN(2)/2)*FM181*FP181*VLOOKUP('Données projet'!$B$16,Paramètres!$A$1:$I$88,3,0)*0.475*44/12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projet'!$B$17,Paramètres!$A$1:$I$88,3,0)*VLOOKUP('Données projet'!$B$17,Paramètres!$A$1:$I$88,5,0)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projet'!$B$17,Paramètres!$A$1:$I$88,7,0))</f>
        <v>0</v>
      </c>
      <c r="GJ181" s="17">
        <f>IF(ISNA(VLOOKUP(A181,'Données projet'!$A$243:$I$263,6,0)),0%,VLOOKUP(A181,'Données projet'!$A$243:$I$263,6,0)*VLOOKUP('Données projet'!$B$17,Paramètres!$A$1:$I$88,7,0))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projet'!$B$17,Paramètres!$A$1:$I$88,3,0)*0.475*44/12</f>
        <v>#N/A</v>
      </c>
      <c r="GM181" s="23" t="e">
        <f>EXP(-LN(2)/25)*GM180+(1-EXP(-LN(2)/25))/(LN(2)/25)*Calculateur!GH181*Calculateur!GJ181*VLOOKUP('Données projet'!$B$17,Paramètres!$A$1:$I$88,3,0)*0.475*44/12</f>
        <v>#N/A</v>
      </c>
      <c r="GN181" s="23" t="e">
        <f>EXP(-LN(2)/2)*GN180+(1-EXP(-LN(2)/2))/(LN(2)/2)*GH181*GK181*VLOOKUP('Données projet'!$B$17,Paramètres!$A$1:$I$88,3,0)*0.475*44/12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projet'!$B$18,Paramètres!$A$1:$I$88,3,0)*VLOOKUP('Données projet'!$B$18,Paramètres!$A$1:$I$88,5,0)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projet'!$B$18,Paramètres!$A$1:$I$88,7,0))</f>
        <v>0</v>
      </c>
      <c r="HE181" s="17">
        <f>IF(ISNA(VLOOKUP(A181,'Données projet'!$A$269:$I$289,6,0)),0%,VLOOKUP(A181,'Données projet'!$A$269:$I$289,6,0)*VLOOKUP('Données projet'!$B$18,Paramètres!$A$1:$I$88,7,0))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projet'!$B$18,Paramètres!$A$1:$I$88,3,0)*0.475*44/12</f>
        <v>#N/A</v>
      </c>
      <c r="HH181" s="23" t="e">
        <f>EXP(-LN(2)/25)*HH180+(1-EXP(-LN(2)/25))/(LN(2)/25)*Calculateur!HC181*Calculateur!HE181*VLOOKUP('Données projet'!$B$18,Paramètres!$A$1:$I$88,3,0)*0.475*44/12</f>
        <v>#N/A</v>
      </c>
      <c r="HI181" s="23" t="e">
        <f>EXP(-LN(2)/2)*HI180+(1-EXP(-LN(2)/2))/(LN(2)/2)*HC181*HF181*VLOOKUP('Données projet'!$B$18,Paramètres!$A$1:$I$88,3,0)*0.475*44/12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projet'!$B$9,Paramètres!$A$1:$I$88,3,0)*VLOOKUP('Données projet'!$B$9,Paramètres!$A$1:$I$88,5,0)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175.05987582828078</v>
      </c>
      <c r="T182" s="62">
        <f t="shared" si="142"/>
        <v>268.54782308462387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projet'!$B$9,Paramètres!$A$1:$I$88,7,0))</f>
        <v>0</v>
      </c>
      <c r="X182" s="17">
        <f>IF(ISNA(VLOOKUP(A182,'Données projet'!$A$35:$I$55,6,0)),0%,VLOOKUP(A182,'Données projet'!$A$35:$I$55,6,0)*VLOOKUP('Données projet'!$B$9,Paramètres!$A$1:$I$88,7,0))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projet'!$B$9,Paramètres!$A$1:$I$88,3,0)*0.475*44/12</f>
        <v>0</v>
      </c>
      <c r="AA182" s="23">
        <f>EXP(-LN(2)/25)*AA181+(1-EXP(-LN(2)/25))/(LN(2)/25)*Calculateur!V182*Calculateur!X182*VLOOKUP('Données projet'!$B$9,Paramètres!$A$1:$I$88,3,0)*0.475*44/12</f>
        <v>0.16538936368603097</v>
      </c>
      <c r="AB182" s="23">
        <f>EXP(-LN(2)/2)*AB181+(1-EXP(-LN(2)/2))/(LN(2)/2)*V182*Y182*VLOOKUP('Données projet'!$B$9,Paramètres!$A$1:$I$88,3,0)*0.475*44/12</f>
        <v>6.1836420348940824E-22</v>
      </c>
      <c r="AC182" s="24">
        <f t="shared" si="163"/>
        <v>0.16538936368603097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-1.5916157281026244E-12</v>
      </c>
      <c r="AJ182" s="14">
        <f>AI182*VLOOKUP('Données projet'!$B$10,Paramètres!$A$1:$I$88,3,0)*VLOOKUP('Données projet'!$B$10,Paramètres!$A$1:$I$88,5,0)</f>
        <v>-7.6556716521736234E-13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576.61210817354549</v>
      </c>
      <c r="AO182" s="62">
        <f t="shared" si="144"/>
        <v>343.9428747444544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projet'!$B$10,Paramètres!$A$1:$I$88,7,0))</f>
        <v>0</v>
      </c>
      <c r="AS182" s="17">
        <f>IF(ISNA(VLOOKUP(A182,'Données projet'!$A$61:$I$81,6,0)),0%,VLOOKUP(A182,'Données projet'!$A$61:$I$81,6,0)*VLOOKUP('Données projet'!$B$10,Paramètres!$A$1:$I$88,7,0))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projet'!$B$10,Paramètres!$A$1:$I$88,3,0)*0.475*44/12</f>
        <v>0</v>
      </c>
      <c r="AV182" s="23">
        <f>EXP(-LN(2)/25)*AV181+(1-EXP(-LN(2)/25))/(LN(2)/25)*Calculateur!AQ182*Calculateur!AS182*VLOOKUP('Données projet'!$B$10,Paramètres!$A$1:$I$88,3,0)*0.475*44/12</f>
        <v>9.0970169633468656E-2</v>
      </c>
      <c r="AW182" s="23">
        <f>EXP(-LN(2)/2)*AW181+(1-EXP(-LN(2)/2))/(LN(2)/2)*AQ182*AT182*VLOOKUP('Données projet'!$B$10,Paramètres!$A$1:$I$88,3,0)*0.475*44/12</f>
        <v>4.4035171263932985E-22</v>
      </c>
      <c r="AX182" s="23">
        <f t="shared" si="166"/>
        <v>9.0970169633468656E-2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-5.6843418860808015E-14</v>
      </c>
      <c r="BE182" s="14">
        <f>BD182*VLOOKUP('Données projet'!$B$11,Paramètres!$A$1:$I$88,3,0)*VLOOKUP('Données projet'!$B$11,Paramètres!$A$1:$I$88,5,0)</f>
        <v>-4.5224624045658861E-14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298.38448036212861</v>
      </c>
      <c r="BJ182" s="62">
        <f t="shared" si="146"/>
        <v>270.4445531106897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projet'!$B$11,Paramètres!$A$1:$I$88,7,0))</f>
        <v>0</v>
      </c>
      <c r="BN182" s="17">
        <f>IF(ISNA(VLOOKUP(A182,'Données projet'!$A$87:$I$107,6,0)),0%,VLOOKUP(A182,'Données projet'!$A$87:$I$107,6,0)*VLOOKUP('Données projet'!$B$11,Paramètres!$A$1:$I$88,7,0))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projet'!$B$11,Paramètres!$A$1:$I$88,3,0)*0.475*44/12</f>
        <v>0</v>
      </c>
      <c r="BQ182" s="23">
        <f>EXP(-LN(2)/25)*BQ181+(1-EXP(-LN(2)/25))/(LN(2)/25)*Calculateur!BL182*Calculateur!BN182*VLOOKUP('Données projet'!$B$11,Paramètres!$A$1:$I$88,3,0)*0.475*44/12</f>
        <v>0</v>
      </c>
      <c r="BR182" s="23">
        <f>EXP(-LN(2)/2)*BR181+(1-EXP(-LN(2)/2))/(LN(2)/2)*BL182*BO182*VLOOKUP('Données projet'!$B$11,Paramètres!$A$1:$I$88,3,0)*0.475*44/12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5.6843418860808015E-14</v>
      </c>
      <c r="BZ182" s="14">
        <f>BY182*VLOOKUP('Données projet'!$B$12,Paramètres!$A$1:$I$88,3,0)*VLOOKUP('Données projet'!$B$12,Paramètres!$A$1:$I$88,5,0)</f>
        <v>4.4337866711430253E-14</v>
      </c>
      <c r="CA182" s="14">
        <f t="shared" si="170"/>
        <v>7.3222115536967035E-13</v>
      </c>
      <c r="CB182" s="22">
        <f t="shared" si="171"/>
        <v>1.3525069634579169E-12</v>
      </c>
      <c r="CC182" s="62">
        <f t="shared" si="119"/>
        <v>293.33333333333468</v>
      </c>
      <c r="CD182" s="62">
        <f ca="1">AVERAGE(OFFSET($CC$3,0,0,'Données projet'!$E$12+1,1))-AVERAGE(OFFSET($H$3,0,0,'Données projet'!$E$12+1,1))</f>
        <v>217.32600829266818</v>
      </c>
      <c r="CE182" s="62">
        <f t="shared" si="148"/>
        <v>208.79744153433245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projet'!$B$12,Paramètres!$A$1:$I$88,7,0))</f>
        <v>0</v>
      </c>
      <c r="CI182" s="17">
        <f>IF(ISNA(VLOOKUP(A182,'Données projet'!$A$113:$I$133,6,0)),0%,VLOOKUP(A182,'Données projet'!$A$113:$I$133,6,0)*VLOOKUP('Données projet'!$B$12,Paramètres!$A$1:$I$88,7,0))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projet'!$B$12,Paramètres!$A$1:$I$88,3,0)*0.475*44/12</f>
        <v>0</v>
      </c>
      <c r="CL182" s="23">
        <f>EXP(-LN(2)/25)*CL181+(1-EXP(-LN(2)/25))/(LN(2)/25)*Calculateur!CG182*Calculateur!CI182*VLOOKUP('Données projet'!$B$12,Paramètres!$A$1:$I$88,3,0)*0.475*44/12</f>
        <v>0</v>
      </c>
      <c r="CM182" s="23">
        <f>EXP(-LN(2)/2)*CM181+(1-EXP(-LN(2)/2))/(LN(2)/2)*CG182*CJ182*VLOOKUP('Données projet'!$B$12,Paramètres!$A$1:$I$88,3,0)*0.475*44/12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-3.4106051316484809E-13</v>
      </c>
      <c r="CU182" s="18">
        <f>CT182*VLOOKUP('Données projet'!$B$13,Paramètres!$A$1:$I$88,3,0)*VLOOKUP('Données projet'!$B$13,Paramètres!$A$1:$I$88,5,0)</f>
        <v>-1.9065282685915009E-13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302.20483575440988</v>
      </c>
      <c r="CZ182" s="62">
        <f t="shared" si="150"/>
        <v>275.32862097158687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projet'!$B$13,Paramètres!$A$1:$I$88,7,0))</f>
        <v>0</v>
      </c>
      <c r="DD182" s="17">
        <f>IF(ISNA(VLOOKUP(A182,'Données projet'!$A$139:$I$159,6,0)),0%,VLOOKUP(A182,'Données projet'!$A$139:$I$159,6,0)*VLOOKUP('Données projet'!$B$13,Paramètres!$A$1:$I$88,7,0))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projet'!$B$13,Paramètres!$A$1:$I$88,3,0)*0.475*44/12</f>
        <v>0</v>
      </c>
      <c r="DG182" s="23">
        <f>EXP(-LN(2)/25)*DG181+(1-EXP(-LN(2)/25))/(LN(2)/25)*Calculateur!DB182*Calculateur!DD182*VLOOKUP('Données projet'!$B$13,Paramètres!$A$1:$I$88,3,0)*0.475*44/12</f>
        <v>0.22212438965383297</v>
      </c>
      <c r="DH182" s="23">
        <f>EXP(-LN(2)/2)*DH181+(1-EXP(-LN(2)/2))/(LN(2)/2)*DB182*DE182*VLOOKUP('Données projet'!$B$13,Paramètres!$A$1:$I$88,3,0)*0.475*44/12</f>
        <v>2.538352165274174E-22</v>
      </c>
      <c r="DI182" s="24">
        <f t="shared" si="175"/>
        <v>0.22212438965383297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projet'!$B$14,Paramètres!$A$1:$I$88,3,0)*VLOOKUP('Données projet'!$B$14,Paramètres!$A$1:$I$88,5,0)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projet'!$B$14,Paramètres!$A$1:$I$88,7,0))</f>
        <v>0</v>
      </c>
      <c r="DY182" s="17">
        <f>IF(ISNA(VLOOKUP(A182,'Données projet'!$A$165:$I$185,6,0)),0%,VLOOKUP(A182,'Données projet'!$A$165:$I$185,6,0)*VLOOKUP('Données projet'!$B$14,Paramètres!$A$1:$I$88,7,0))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projet'!$B$14,Paramètres!$A$1:$I$88,3,0)*0.475*44/12</f>
        <v>#N/A</v>
      </c>
      <c r="EB182" s="23" t="e">
        <f>EXP(-LN(2)/25)*EB181+(1-EXP(-LN(2)/25))/(LN(2)/25)*Calculateur!DW182*Calculateur!DY182*VLOOKUP('Données projet'!$B$14,Paramètres!$A$1:$I$88,3,0)*0.475*44/12</f>
        <v>#N/A</v>
      </c>
      <c r="EC182" s="23" t="e">
        <f>EXP(-LN(2)/2)*EC181+(1-EXP(-LN(2)/2))/(LN(2)/2)*DW182*DZ182*VLOOKUP('Données projet'!$B$14,Paramètres!$A$1:$I$88,3,0)*0.475*44/12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projet'!$B$15,Paramètres!$A$1:$I$88,3,0)*VLOOKUP('Données projet'!$B$15,Paramètres!$A$1:$I$88,5,0)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projet'!$B$15,Paramètres!$A$1:$I$88,7,0))</f>
        <v>0</v>
      </c>
      <c r="ET182" s="17">
        <f>IF(ISNA(VLOOKUP(A182,'Données projet'!$A$191:$I$211,6,0)),0%,VLOOKUP(A182,'Données projet'!$A$191:$I$211,6,0)*VLOOKUP('Données projet'!$B$15,Paramètres!$A$1:$I$88,7,0))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projet'!$B$15,Paramètres!$A$1:$I$88,3,0)*0.475*44/12</f>
        <v>#N/A</v>
      </c>
      <c r="EW182" s="23" t="e">
        <f>EXP(-LN(2)/25)*EW181+(1-EXP(-LN(2)/25))/(LN(2)/25)*Calculateur!ER182*Calculateur!ET182*VLOOKUP('Données projet'!$B$15,Paramètres!$A$1:$I$88,3,0)*0.475*44/12</f>
        <v>#N/A</v>
      </c>
      <c r="EX182" s="23" t="e">
        <f>EXP(-LN(2)/2)*EX181+(1-EXP(-LN(2)/2))/(LN(2)/2)*ER182*EU182*VLOOKUP('Données projet'!$B$15,Paramètres!$A$1:$I$88,3,0)*0.475*44/12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projet'!$B$16,Paramètres!$A$1:$I$88,3,0)*VLOOKUP('Données projet'!$B$16,Paramètres!$A$1:$I$88,5,0)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projet'!$B$16,Paramètres!$A$1:$I$88,7,0))</f>
        <v>0</v>
      </c>
      <c r="FO182" s="17">
        <f>IF(ISNA(VLOOKUP(A182,'Données projet'!$A$217:$I$237,6,0)),0%,VLOOKUP(A182,'Données projet'!$A$217:$I$237,6,0)*VLOOKUP('Données projet'!$B$16,Paramètres!$A$1:$I$88,7,0))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projet'!$B$16,Paramètres!$A$1:$I$88,3,0)*0.475*44/12</f>
        <v>#N/A</v>
      </c>
      <c r="FR182" s="23" t="e">
        <f>EXP(-LN(2)/25)*FR181+(1-EXP(-LN(2)/25))/(LN(2)/25)*Calculateur!FM182*Calculateur!FO182*VLOOKUP('Données projet'!$B$16,Paramètres!$A$1:$I$88,3,0)*0.475*44/12</f>
        <v>#N/A</v>
      </c>
      <c r="FS182" s="23" t="e">
        <f>EXP(-LN(2)/2)*FS181+(1-EXP(-LN(2)/2))/(LN(2)/2)*FM182*FP182*VLOOKUP('Données projet'!$B$16,Paramètres!$A$1:$I$88,3,0)*0.475*44/12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projet'!$B$17,Paramètres!$A$1:$I$88,3,0)*VLOOKUP('Données projet'!$B$17,Paramètres!$A$1:$I$88,5,0)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projet'!$B$17,Paramètres!$A$1:$I$88,7,0))</f>
        <v>0</v>
      </c>
      <c r="GJ182" s="17">
        <f>IF(ISNA(VLOOKUP(A182,'Données projet'!$A$243:$I$263,6,0)),0%,VLOOKUP(A182,'Données projet'!$A$243:$I$263,6,0)*VLOOKUP('Données projet'!$B$17,Paramètres!$A$1:$I$88,7,0))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projet'!$B$17,Paramètres!$A$1:$I$88,3,0)*0.475*44/12</f>
        <v>#N/A</v>
      </c>
      <c r="GM182" s="23" t="e">
        <f>EXP(-LN(2)/25)*GM181+(1-EXP(-LN(2)/25))/(LN(2)/25)*Calculateur!GH182*Calculateur!GJ182*VLOOKUP('Données projet'!$B$17,Paramètres!$A$1:$I$88,3,0)*0.475*44/12</f>
        <v>#N/A</v>
      </c>
      <c r="GN182" s="23" t="e">
        <f>EXP(-LN(2)/2)*GN181+(1-EXP(-LN(2)/2))/(LN(2)/2)*GH182*GK182*VLOOKUP('Données projet'!$B$17,Paramètres!$A$1:$I$88,3,0)*0.475*44/12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projet'!$B$18,Paramètres!$A$1:$I$88,3,0)*VLOOKUP('Données projet'!$B$18,Paramètres!$A$1:$I$88,5,0)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projet'!$B$18,Paramètres!$A$1:$I$88,7,0))</f>
        <v>0</v>
      </c>
      <c r="HE182" s="17">
        <f>IF(ISNA(VLOOKUP(A182,'Données projet'!$A$269:$I$289,6,0)),0%,VLOOKUP(A182,'Données projet'!$A$269:$I$289,6,0)*VLOOKUP('Données projet'!$B$18,Paramètres!$A$1:$I$88,7,0))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projet'!$B$18,Paramètres!$A$1:$I$88,3,0)*0.475*44/12</f>
        <v>#N/A</v>
      </c>
      <c r="HH182" s="23" t="e">
        <f>EXP(-LN(2)/25)*HH181+(1-EXP(-LN(2)/25))/(LN(2)/25)*Calculateur!HC182*Calculateur!HE182*VLOOKUP('Données projet'!$B$18,Paramètres!$A$1:$I$88,3,0)*0.475*44/12</f>
        <v>#N/A</v>
      </c>
      <c r="HI182" s="23" t="e">
        <f>EXP(-LN(2)/2)*HI181+(1-EXP(-LN(2)/2))/(LN(2)/2)*HC182*HF182*VLOOKUP('Données projet'!$B$18,Paramètres!$A$1:$I$88,3,0)*0.475*44/12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projet'!$B$9,Paramètres!$A$1:$I$88,3,0)*VLOOKUP('Données projet'!$B$9,Paramètres!$A$1:$I$88,5,0)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175.05987582828078</v>
      </c>
      <c r="T183" s="62">
        <f t="shared" si="142"/>
        <v>268.54782308462387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projet'!$B$9,Paramètres!$A$1:$I$88,7,0))</f>
        <v>0</v>
      </c>
      <c r="X183" s="17">
        <f>IF(ISNA(VLOOKUP(A183,'Données projet'!$A$35:$I$55,6,0)),0%,VLOOKUP(A183,'Données projet'!$A$35:$I$55,6,0)*VLOOKUP('Données projet'!$B$9,Paramètres!$A$1:$I$88,7,0))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projet'!$B$9,Paramètres!$A$1:$I$88,3,0)*0.475*44/12</f>
        <v>0</v>
      </c>
      <c r="AA183" s="23">
        <f>EXP(-LN(2)/25)*AA182+(1-EXP(-LN(2)/25))/(LN(2)/25)*Calculateur!V183*Calculateur!X183*VLOOKUP('Données projet'!$B$9,Paramètres!$A$1:$I$88,3,0)*0.475*44/12</f>
        <v>0.16086678283858782</v>
      </c>
      <c r="AB183" s="23">
        <f>EXP(-LN(2)/2)*AB182+(1-EXP(-LN(2)/2))/(LN(2)/2)*V183*Y183*VLOOKUP('Données projet'!$B$9,Paramètres!$A$1:$I$88,3,0)*0.475*44/12</f>
        <v>4.3724952153037874E-22</v>
      </c>
      <c r="AC183" s="24">
        <f t="shared" si="163"/>
        <v>0.16086678283858782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-1.5916157281026244E-12</v>
      </c>
      <c r="AJ183" s="14">
        <f>AI183*VLOOKUP('Données projet'!$B$10,Paramètres!$A$1:$I$88,3,0)*VLOOKUP('Données projet'!$B$10,Paramètres!$A$1:$I$88,5,0)</f>
        <v>-7.6556716521736234E-13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576.61210817354549</v>
      </c>
      <c r="AO183" s="62">
        <f t="shared" si="144"/>
        <v>343.9428747444544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projet'!$B$10,Paramètres!$A$1:$I$88,7,0))</f>
        <v>0</v>
      </c>
      <c r="AS183" s="17">
        <f>IF(ISNA(VLOOKUP(A183,'Données projet'!$A$61:$I$81,6,0)),0%,VLOOKUP(A183,'Données projet'!$A$61:$I$81,6,0)*VLOOKUP('Données projet'!$B$10,Paramètres!$A$1:$I$88,7,0))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projet'!$B$10,Paramètres!$A$1:$I$88,3,0)*0.475*44/12</f>
        <v>0</v>
      </c>
      <c r="AV183" s="23">
        <f>EXP(-LN(2)/25)*AV182+(1-EXP(-LN(2)/25))/(LN(2)/25)*Calculateur!AQ183*Calculateur!AS183*VLOOKUP('Données projet'!$B$10,Paramètres!$A$1:$I$88,3,0)*0.475*44/12</f>
        <v>8.8482585560928154E-2</v>
      </c>
      <c r="AW183" s="23">
        <f>EXP(-LN(2)/2)*AW182+(1-EXP(-LN(2)/2))/(LN(2)/2)*AQ183*AT183*VLOOKUP('Données projet'!$B$10,Paramètres!$A$1:$I$88,3,0)*0.475*44/12</f>
        <v>3.1137568211438007E-22</v>
      </c>
      <c r="AX183" s="23">
        <f t="shared" si="166"/>
        <v>8.8482585560928154E-2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-5.6843418860808015E-14</v>
      </c>
      <c r="BE183" s="14">
        <f>BD183*VLOOKUP('Données projet'!$B$11,Paramètres!$A$1:$I$88,3,0)*VLOOKUP('Données projet'!$B$11,Paramètres!$A$1:$I$88,5,0)</f>
        <v>-4.5224624045658861E-14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298.38448036212861</v>
      </c>
      <c r="BJ183" s="62">
        <f t="shared" si="146"/>
        <v>270.4445531106897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projet'!$B$11,Paramètres!$A$1:$I$88,7,0))</f>
        <v>0</v>
      </c>
      <c r="BN183" s="17">
        <f>IF(ISNA(VLOOKUP(A183,'Données projet'!$A$87:$I$107,6,0)),0%,VLOOKUP(A183,'Données projet'!$A$87:$I$107,6,0)*VLOOKUP('Données projet'!$B$11,Paramètres!$A$1:$I$88,7,0))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projet'!$B$11,Paramètres!$A$1:$I$88,3,0)*0.475*44/12</f>
        <v>0</v>
      </c>
      <c r="BQ183" s="23">
        <f>EXP(-LN(2)/25)*BQ182+(1-EXP(-LN(2)/25))/(LN(2)/25)*Calculateur!BL183*Calculateur!BN183*VLOOKUP('Données projet'!$B$11,Paramètres!$A$1:$I$88,3,0)*0.475*44/12</f>
        <v>0</v>
      </c>
      <c r="BR183" s="23">
        <f>EXP(-LN(2)/2)*BR182+(1-EXP(-LN(2)/2))/(LN(2)/2)*BL183*BO183*VLOOKUP('Données projet'!$B$11,Paramètres!$A$1:$I$88,3,0)*0.475*44/12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5.6843418860808015E-14</v>
      </c>
      <c r="BZ183" s="14">
        <f>BY183*VLOOKUP('Données projet'!$B$12,Paramètres!$A$1:$I$88,3,0)*VLOOKUP('Données projet'!$B$12,Paramètres!$A$1:$I$88,5,0)</f>
        <v>4.4337866711430253E-14</v>
      </c>
      <c r="CA183" s="14">
        <f t="shared" si="170"/>
        <v>7.3222115536967035E-13</v>
      </c>
      <c r="CB183" s="22">
        <f t="shared" si="171"/>
        <v>1.3525069634579169E-12</v>
      </c>
      <c r="CC183" s="62">
        <f t="shared" si="119"/>
        <v>293.33333333333468</v>
      </c>
      <c r="CD183" s="62">
        <f ca="1">AVERAGE(OFFSET($CC$3,0,0,'Données projet'!$E$12+1,1))-AVERAGE(OFFSET($H$3,0,0,'Données projet'!$E$12+1,1))</f>
        <v>217.32600829266818</v>
      </c>
      <c r="CE183" s="62">
        <f t="shared" si="148"/>
        <v>208.79744153433245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projet'!$B$12,Paramètres!$A$1:$I$88,7,0))</f>
        <v>0</v>
      </c>
      <c r="CI183" s="17">
        <f>IF(ISNA(VLOOKUP(A183,'Données projet'!$A$113:$I$133,6,0)),0%,VLOOKUP(A183,'Données projet'!$A$113:$I$133,6,0)*VLOOKUP('Données projet'!$B$12,Paramètres!$A$1:$I$88,7,0))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projet'!$B$12,Paramètres!$A$1:$I$88,3,0)*0.475*44/12</f>
        <v>0</v>
      </c>
      <c r="CL183" s="23">
        <f>EXP(-LN(2)/25)*CL182+(1-EXP(-LN(2)/25))/(LN(2)/25)*Calculateur!CG183*Calculateur!CI183*VLOOKUP('Données projet'!$B$12,Paramètres!$A$1:$I$88,3,0)*0.475*44/12</f>
        <v>0</v>
      </c>
      <c r="CM183" s="23">
        <f>EXP(-LN(2)/2)*CM182+(1-EXP(-LN(2)/2))/(LN(2)/2)*CG183*CJ183*VLOOKUP('Données projet'!$B$12,Paramètres!$A$1:$I$88,3,0)*0.475*44/12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-3.4106051316484809E-13</v>
      </c>
      <c r="CU183" s="18">
        <f>CT183*VLOOKUP('Données projet'!$B$13,Paramètres!$A$1:$I$88,3,0)*VLOOKUP('Données projet'!$B$13,Paramètres!$A$1:$I$88,5,0)</f>
        <v>-1.9065282685915009E-13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302.20483575440988</v>
      </c>
      <c r="CZ183" s="62">
        <f t="shared" si="150"/>
        <v>275.32862097158687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projet'!$B$13,Paramètres!$A$1:$I$88,7,0))</f>
        <v>0</v>
      </c>
      <c r="DD183" s="17">
        <f>IF(ISNA(VLOOKUP(A183,'Données projet'!$A$139:$I$159,6,0)),0%,VLOOKUP(A183,'Données projet'!$A$139:$I$159,6,0)*VLOOKUP('Données projet'!$B$13,Paramètres!$A$1:$I$88,7,0))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projet'!$B$13,Paramètres!$A$1:$I$88,3,0)*0.475*44/12</f>
        <v>0</v>
      </c>
      <c r="DG183" s="23">
        <f>EXP(-LN(2)/25)*DG182+(1-EXP(-LN(2)/25))/(LN(2)/25)*Calculateur!DB183*Calculateur!DD183*VLOOKUP('Données projet'!$B$13,Paramètres!$A$1:$I$88,3,0)*0.475*44/12</f>
        <v>0.21605038653773492</v>
      </c>
      <c r="DH183" s="23">
        <f>EXP(-LN(2)/2)*DH182+(1-EXP(-LN(2)/2))/(LN(2)/2)*DB183*DE183*VLOOKUP('Données projet'!$B$13,Paramètres!$A$1:$I$88,3,0)*0.475*44/12</f>
        <v>1.7948860291049245E-22</v>
      </c>
      <c r="DI183" s="24">
        <f t="shared" si="175"/>
        <v>0.21605038653773492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projet'!$B$14,Paramètres!$A$1:$I$88,3,0)*VLOOKUP('Données projet'!$B$14,Paramètres!$A$1:$I$88,5,0)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projet'!$B$14,Paramètres!$A$1:$I$88,7,0))</f>
        <v>0</v>
      </c>
      <c r="DY183" s="17">
        <f>IF(ISNA(VLOOKUP(A183,'Données projet'!$A$165:$I$185,6,0)),0%,VLOOKUP(A183,'Données projet'!$A$165:$I$185,6,0)*VLOOKUP('Données projet'!$B$14,Paramètres!$A$1:$I$88,7,0))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projet'!$B$14,Paramètres!$A$1:$I$88,3,0)*0.475*44/12</f>
        <v>#N/A</v>
      </c>
      <c r="EB183" s="23" t="e">
        <f>EXP(-LN(2)/25)*EB182+(1-EXP(-LN(2)/25))/(LN(2)/25)*Calculateur!DW183*Calculateur!DY183*VLOOKUP('Données projet'!$B$14,Paramètres!$A$1:$I$88,3,0)*0.475*44/12</f>
        <v>#N/A</v>
      </c>
      <c r="EC183" s="23" t="e">
        <f>EXP(-LN(2)/2)*EC182+(1-EXP(-LN(2)/2))/(LN(2)/2)*DW183*DZ183*VLOOKUP('Données projet'!$B$14,Paramètres!$A$1:$I$88,3,0)*0.475*44/12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projet'!$B$15,Paramètres!$A$1:$I$88,3,0)*VLOOKUP('Données projet'!$B$15,Paramètres!$A$1:$I$88,5,0)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projet'!$B$15,Paramètres!$A$1:$I$88,7,0))</f>
        <v>0</v>
      </c>
      <c r="ET183" s="17">
        <f>IF(ISNA(VLOOKUP(A183,'Données projet'!$A$191:$I$211,6,0)),0%,VLOOKUP(A183,'Données projet'!$A$191:$I$211,6,0)*VLOOKUP('Données projet'!$B$15,Paramètres!$A$1:$I$88,7,0))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projet'!$B$15,Paramètres!$A$1:$I$88,3,0)*0.475*44/12</f>
        <v>#N/A</v>
      </c>
      <c r="EW183" s="23" t="e">
        <f>EXP(-LN(2)/25)*EW182+(1-EXP(-LN(2)/25))/(LN(2)/25)*Calculateur!ER183*Calculateur!ET183*VLOOKUP('Données projet'!$B$15,Paramètres!$A$1:$I$88,3,0)*0.475*44/12</f>
        <v>#N/A</v>
      </c>
      <c r="EX183" s="23" t="e">
        <f>EXP(-LN(2)/2)*EX182+(1-EXP(-LN(2)/2))/(LN(2)/2)*ER183*EU183*VLOOKUP('Données projet'!$B$15,Paramètres!$A$1:$I$88,3,0)*0.475*44/12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projet'!$B$16,Paramètres!$A$1:$I$88,3,0)*VLOOKUP('Données projet'!$B$16,Paramètres!$A$1:$I$88,5,0)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projet'!$B$16,Paramètres!$A$1:$I$88,7,0))</f>
        <v>0</v>
      </c>
      <c r="FO183" s="17">
        <f>IF(ISNA(VLOOKUP(A183,'Données projet'!$A$217:$I$237,6,0)),0%,VLOOKUP(A183,'Données projet'!$A$217:$I$237,6,0)*VLOOKUP('Données projet'!$B$16,Paramètres!$A$1:$I$88,7,0))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projet'!$B$16,Paramètres!$A$1:$I$88,3,0)*0.475*44/12</f>
        <v>#N/A</v>
      </c>
      <c r="FR183" s="23" t="e">
        <f>EXP(-LN(2)/25)*FR182+(1-EXP(-LN(2)/25))/(LN(2)/25)*Calculateur!FM183*Calculateur!FO183*VLOOKUP('Données projet'!$B$16,Paramètres!$A$1:$I$88,3,0)*0.475*44/12</f>
        <v>#N/A</v>
      </c>
      <c r="FS183" s="23" t="e">
        <f>EXP(-LN(2)/2)*FS182+(1-EXP(-LN(2)/2))/(LN(2)/2)*FM183*FP183*VLOOKUP('Données projet'!$B$16,Paramètres!$A$1:$I$88,3,0)*0.475*44/12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projet'!$B$17,Paramètres!$A$1:$I$88,3,0)*VLOOKUP('Données projet'!$B$17,Paramètres!$A$1:$I$88,5,0)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projet'!$B$17,Paramètres!$A$1:$I$88,7,0))</f>
        <v>0</v>
      </c>
      <c r="GJ183" s="17">
        <f>IF(ISNA(VLOOKUP(A183,'Données projet'!$A$243:$I$263,6,0)),0%,VLOOKUP(A183,'Données projet'!$A$243:$I$263,6,0)*VLOOKUP('Données projet'!$B$17,Paramètres!$A$1:$I$88,7,0))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projet'!$B$17,Paramètres!$A$1:$I$88,3,0)*0.475*44/12</f>
        <v>#N/A</v>
      </c>
      <c r="GM183" s="23" t="e">
        <f>EXP(-LN(2)/25)*GM182+(1-EXP(-LN(2)/25))/(LN(2)/25)*Calculateur!GH183*Calculateur!GJ183*VLOOKUP('Données projet'!$B$17,Paramètres!$A$1:$I$88,3,0)*0.475*44/12</f>
        <v>#N/A</v>
      </c>
      <c r="GN183" s="23" t="e">
        <f>EXP(-LN(2)/2)*GN182+(1-EXP(-LN(2)/2))/(LN(2)/2)*GH183*GK183*VLOOKUP('Données projet'!$B$17,Paramètres!$A$1:$I$88,3,0)*0.475*44/12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projet'!$B$18,Paramètres!$A$1:$I$88,3,0)*VLOOKUP('Données projet'!$B$18,Paramètres!$A$1:$I$88,5,0)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projet'!$B$18,Paramètres!$A$1:$I$88,7,0))</f>
        <v>0</v>
      </c>
      <c r="HE183" s="17">
        <f>IF(ISNA(VLOOKUP(A183,'Données projet'!$A$269:$I$289,6,0)),0%,VLOOKUP(A183,'Données projet'!$A$269:$I$289,6,0)*VLOOKUP('Données projet'!$B$18,Paramètres!$A$1:$I$88,7,0))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projet'!$B$18,Paramètres!$A$1:$I$88,3,0)*0.475*44/12</f>
        <v>#N/A</v>
      </c>
      <c r="HH183" s="23" t="e">
        <f>EXP(-LN(2)/25)*HH182+(1-EXP(-LN(2)/25))/(LN(2)/25)*Calculateur!HC183*Calculateur!HE183*VLOOKUP('Données projet'!$B$18,Paramètres!$A$1:$I$88,3,0)*0.475*44/12</f>
        <v>#N/A</v>
      </c>
      <c r="HI183" s="23" t="e">
        <f>EXP(-LN(2)/2)*HI182+(1-EXP(-LN(2)/2))/(LN(2)/2)*HC183*HF183*VLOOKUP('Données projet'!$B$18,Paramètres!$A$1:$I$88,3,0)*0.475*44/12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projet'!$B$9,Paramètres!$A$1:$I$88,3,0)*VLOOKUP('Données projet'!$B$9,Paramètres!$A$1:$I$88,5,0)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175.05987582828078</v>
      </c>
      <c r="T184" s="62">
        <f t="shared" si="142"/>
        <v>268.54782308462387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projet'!$B$9,Paramètres!$A$1:$I$88,7,0))</f>
        <v>0</v>
      </c>
      <c r="X184" s="17">
        <f>IF(ISNA(VLOOKUP(A184,'Données projet'!$A$35:$I$55,6,0)),0%,VLOOKUP(A184,'Données projet'!$A$35:$I$55,6,0)*VLOOKUP('Données projet'!$B$9,Paramètres!$A$1:$I$88,7,0))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projet'!$B$9,Paramètres!$A$1:$I$88,3,0)*0.475*44/12</f>
        <v>0</v>
      </c>
      <c r="AA184" s="23">
        <f>EXP(-LN(2)/25)*AA183+(1-EXP(-LN(2)/25))/(LN(2)/25)*Calculateur!V184*Calculateur!X184*VLOOKUP('Données projet'!$B$9,Paramètres!$A$1:$I$88,3,0)*0.475*44/12</f>
        <v>0.1564678722022502</v>
      </c>
      <c r="AB184" s="23">
        <f>EXP(-LN(2)/2)*AB183+(1-EXP(-LN(2)/2))/(LN(2)/2)*V184*Y184*VLOOKUP('Données projet'!$B$9,Paramètres!$A$1:$I$88,3,0)*0.475*44/12</f>
        <v>3.0918210174470412E-22</v>
      </c>
      <c r="AC184" s="24">
        <f t="shared" si="163"/>
        <v>0.1564678722022502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-1.5916157281026244E-12</v>
      </c>
      <c r="AJ184" s="14">
        <f>AI184*VLOOKUP('Données projet'!$B$10,Paramètres!$A$1:$I$88,3,0)*VLOOKUP('Données projet'!$B$10,Paramètres!$A$1:$I$88,5,0)</f>
        <v>-7.6556716521736234E-13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576.61210817354549</v>
      </c>
      <c r="AO184" s="62">
        <f t="shared" si="144"/>
        <v>343.9428747444544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projet'!$B$10,Paramètres!$A$1:$I$88,7,0))</f>
        <v>0</v>
      </c>
      <c r="AS184" s="17">
        <f>IF(ISNA(VLOOKUP(A184,'Données projet'!$A$61:$I$81,6,0)),0%,VLOOKUP(A184,'Données projet'!$A$61:$I$81,6,0)*VLOOKUP('Données projet'!$B$10,Paramètres!$A$1:$I$88,7,0))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projet'!$B$10,Paramètres!$A$1:$I$88,3,0)*0.475*44/12</f>
        <v>0</v>
      </c>
      <c r="AV184" s="23">
        <f>EXP(-LN(2)/25)*AV183+(1-EXP(-LN(2)/25))/(LN(2)/25)*Calculateur!AQ184*Calculateur!AS184*VLOOKUP('Données projet'!$B$10,Paramètres!$A$1:$I$88,3,0)*0.475*44/12</f>
        <v>8.6063024605667629E-2</v>
      </c>
      <c r="AW184" s="23">
        <f>EXP(-LN(2)/2)*AW183+(1-EXP(-LN(2)/2))/(LN(2)/2)*AQ184*AT184*VLOOKUP('Données projet'!$B$10,Paramètres!$A$1:$I$88,3,0)*0.475*44/12</f>
        <v>2.2017585631966493E-22</v>
      </c>
      <c r="AX184" s="23">
        <f t="shared" si="166"/>
        <v>8.6063024605667629E-2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-5.6843418860808015E-14</v>
      </c>
      <c r="BE184" s="14">
        <f>BD184*VLOOKUP('Données projet'!$B$11,Paramètres!$A$1:$I$88,3,0)*VLOOKUP('Données projet'!$B$11,Paramètres!$A$1:$I$88,5,0)</f>
        <v>-4.5224624045658861E-14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298.38448036212861</v>
      </c>
      <c r="BJ184" s="62">
        <f t="shared" si="146"/>
        <v>270.4445531106897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projet'!$B$11,Paramètres!$A$1:$I$88,7,0))</f>
        <v>0</v>
      </c>
      <c r="BN184" s="17">
        <f>IF(ISNA(VLOOKUP(A184,'Données projet'!$A$87:$I$107,6,0)),0%,VLOOKUP(A184,'Données projet'!$A$87:$I$107,6,0)*VLOOKUP('Données projet'!$B$11,Paramètres!$A$1:$I$88,7,0))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projet'!$B$11,Paramètres!$A$1:$I$88,3,0)*0.475*44/12</f>
        <v>0</v>
      </c>
      <c r="BQ184" s="23">
        <f>EXP(-LN(2)/25)*BQ183+(1-EXP(-LN(2)/25))/(LN(2)/25)*Calculateur!BL184*Calculateur!BN184*VLOOKUP('Données projet'!$B$11,Paramètres!$A$1:$I$88,3,0)*0.475*44/12</f>
        <v>0</v>
      </c>
      <c r="BR184" s="23">
        <f>EXP(-LN(2)/2)*BR183+(1-EXP(-LN(2)/2))/(LN(2)/2)*BL184*BO184*VLOOKUP('Données projet'!$B$11,Paramètres!$A$1:$I$88,3,0)*0.475*44/12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5.6843418860808015E-14</v>
      </c>
      <c r="BZ184" s="14">
        <f>BY184*VLOOKUP('Données projet'!$B$12,Paramètres!$A$1:$I$88,3,0)*VLOOKUP('Données projet'!$B$12,Paramètres!$A$1:$I$88,5,0)</f>
        <v>4.4337866711430253E-14</v>
      </c>
      <c r="CA184" s="14">
        <f t="shared" si="170"/>
        <v>7.3222115536967035E-13</v>
      </c>
      <c r="CB184" s="22">
        <f t="shared" si="171"/>
        <v>1.3525069634579169E-12</v>
      </c>
      <c r="CC184" s="62">
        <f t="shared" si="119"/>
        <v>293.33333333333468</v>
      </c>
      <c r="CD184" s="62">
        <f ca="1">AVERAGE(OFFSET($CC$3,0,0,'Données projet'!$E$12+1,1))-AVERAGE(OFFSET($H$3,0,0,'Données projet'!$E$12+1,1))</f>
        <v>217.32600829266818</v>
      </c>
      <c r="CE184" s="62">
        <f t="shared" si="148"/>
        <v>208.79744153433245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projet'!$B$12,Paramètres!$A$1:$I$88,7,0))</f>
        <v>0</v>
      </c>
      <c r="CI184" s="17">
        <f>IF(ISNA(VLOOKUP(A184,'Données projet'!$A$113:$I$133,6,0)),0%,VLOOKUP(A184,'Données projet'!$A$113:$I$133,6,0)*VLOOKUP('Données projet'!$B$12,Paramètres!$A$1:$I$88,7,0))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projet'!$B$12,Paramètres!$A$1:$I$88,3,0)*0.475*44/12</f>
        <v>0</v>
      </c>
      <c r="CL184" s="23">
        <f>EXP(-LN(2)/25)*CL183+(1-EXP(-LN(2)/25))/(LN(2)/25)*Calculateur!CG184*Calculateur!CI184*VLOOKUP('Données projet'!$B$12,Paramètres!$A$1:$I$88,3,0)*0.475*44/12</f>
        <v>0</v>
      </c>
      <c r="CM184" s="23">
        <f>EXP(-LN(2)/2)*CM183+(1-EXP(-LN(2)/2))/(LN(2)/2)*CG184*CJ184*VLOOKUP('Données projet'!$B$12,Paramètres!$A$1:$I$88,3,0)*0.475*44/12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-3.4106051316484809E-13</v>
      </c>
      <c r="CU184" s="18">
        <f>CT184*VLOOKUP('Données projet'!$B$13,Paramètres!$A$1:$I$88,3,0)*VLOOKUP('Données projet'!$B$13,Paramètres!$A$1:$I$88,5,0)</f>
        <v>-1.9065282685915009E-13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302.20483575440988</v>
      </c>
      <c r="CZ184" s="62">
        <f t="shared" si="150"/>
        <v>275.32862097158687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projet'!$B$13,Paramètres!$A$1:$I$88,7,0))</f>
        <v>0</v>
      </c>
      <c r="DD184" s="17">
        <f>IF(ISNA(VLOOKUP(A184,'Données projet'!$A$139:$I$159,6,0)),0%,VLOOKUP(A184,'Données projet'!$A$139:$I$159,6,0)*VLOOKUP('Données projet'!$B$13,Paramètres!$A$1:$I$88,7,0))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projet'!$B$13,Paramètres!$A$1:$I$88,3,0)*0.475*44/12</f>
        <v>0</v>
      </c>
      <c r="DG184" s="23">
        <f>EXP(-LN(2)/25)*DG183+(1-EXP(-LN(2)/25))/(LN(2)/25)*Calculateur!DB184*Calculateur!DD184*VLOOKUP('Données projet'!$B$13,Paramètres!$A$1:$I$88,3,0)*0.475*44/12</f>
        <v>0.21014247735626451</v>
      </c>
      <c r="DH184" s="23">
        <f>EXP(-LN(2)/2)*DH183+(1-EXP(-LN(2)/2))/(LN(2)/2)*DB184*DE184*VLOOKUP('Données projet'!$B$13,Paramètres!$A$1:$I$88,3,0)*0.475*44/12</f>
        <v>1.269176082637087E-22</v>
      </c>
      <c r="DI184" s="24">
        <f t="shared" si="175"/>
        <v>0.21014247735626451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projet'!$B$14,Paramètres!$A$1:$I$88,3,0)*VLOOKUP('Données projet'!$B$14,Paramètres!$A$1:$I$88,5,0)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projet'!$B$14,Paramètres!$A$1:$I$88,7,0))</f>
        <v>0</v>
      </c>
      <c r="DY184" s="17">
        <f>IF(ISNA(VLOOKUP(A184,'Données projet'!$A$165:$I$185,6,0)),0%,VLOOKUP(A184,'Données projet'!$A$165:$I$185,6,0)*VLOOKUP('Données projet'!$B$14,Paramètres!$A$1:$I$88,7,0))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projet'!$B$14,Paramètres!$A$1:$I$88,3,0)*0.475*44/12</f>
        <v>#N/A</v>
      </c>
      <c r="EB184" s="23" t="e">
        <f>EXP(-LN(2)/25)*EB183+(1-EXP(-LN(2)/25))/(LN(2)/25)*Calculateur!DW184*Calculateur!DY184*VLOOKUP('Données projet'!$B$14,Paramètres!$A$1:$I$88,3,0)*0.475*44/12</f>
        <v>#N/A</v>
      </c>
      <c r="EC184" s="23" t="e">
        <f>EXP(-LN(2)/2)*EC183+(1-EXP(-LN(2)/2))/(LN(2)/2)*DW184*DZ184*VLOOKUP('Données projet'!$B$14,Paramètres!$A$1:$I$88,3,0)*0.475*44/12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projet'!$B$15,Paramètres!$A$1:$I$88,3,0)*VLOOKUP('Données projet'!$B$15,Paramètres!$A$1:$I$88,5,0)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projet'!$B$15,Paramètres!$A$1:$I$88,7,0))</f>
        <v>0</v>
      </c>
      <c r="ET184" s="17">
        <f>IF(ISNA(VLOOKUP(A184,'Données projet'!$A$191:$I$211,6,0)),0%,VLOOKUP(A184,'Données projet'!$A$191:$I$211,6,0)*VLOOKUP('Données projet'!$B$15,Paramètres!$A$1:$I$88,7,0))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projet'!$B$15,Paramètres!$A$1:$I$88,3,0)*0.475*44/12</f>
        <v>#N/A</v>
      </c>
      <c r="EW184" s="23" t="e">
        <f>EXP(-LN(2)/25)*EW183+(1-EXP(-LN(2)/25))/(LN(2)/25)*Calculateur!ER184*Calculateur!ET184*VLOOKUP('Données projet'!$B$15,Paramètres!$A$1:$I$88,3,0)*0.475*44/12</f>
        <v>#N/A</v>
      </c>
      <c r="EX184" s="23" t="e">
        <f>EXP(-LN(2)/2)*EX183+(1-EXP(-LN(2)/2))/(LN(2)/2)*ER184*EU184*VLOOKUP('Données projet'!$B$15,Paramètres!$A$1:$I$88,3,0)*0.475*44/12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projet'!$B$16,Paramètres!$A$1:$I$88,3,0)*VLOOKUP('Données projet'!$B$16,Paramètres!$A$1:$I$88,5,0)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projet'!$B$16,Paramètres!$A$1:$I$88,7,0))</f>
        <v>0</v>
      </c>
      <c r="FO184" s="17">
        <f>IF(ISNA(VLOOKUP(A184,'Données projet'!$A$217:$I$237,6,0)),0%,VLOOKUP(A184,'Données projet'!$A$217:$I$237,6,0)*VLOOKUP('Données projet'!$B$16,Paramètres!$A$1:$I$88,7,0))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projet'!$B$16,Paramètres!$A$1:$I$88,3,0)*0.475*44/12</f>
        <v>#N/A</v>
      </c>
      <c r="FR184" s="23" t="e">
        <f>EXP(-LN(2)/25)*FR183+(1-EXP(-LN(2)/25))/(LN(2)/25)*Calculateur!FM184*Calculateur!FO184*VLOOKUP('Données projet'!$B$16,Paramètres!$A$1:$I$88,3,0)*0.475*44/12</f>
        <v>#N/A</v>
      </c>
      <c r="FS184" s="23" t="e">
        <f>EXP(-LN(2)/2)*FS183+(1-EXP(-LN(2)/2))/(LN(2)/2)*FM184*FP184*VLOOKUP('Données projet'!$B$16,Paramètres!$A$1:$I$88,3,0)*0.475*44/12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projet'!$B$17,Paramètres!$A$1:$I$88,3,0)*VLOOKUP('Données projet'!$B$17,Paramètres!$A$1:$I$88,5,0)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projet'!$B$17,Paramètres!$A$1:$I$88,7,0))</f>
        <v>0</v>
      </c>
      <c r="GJ184" s="17">
        <f>IF(ISNA(VLOOKUP(A184,'Données projet'!$A$243:$I$263,6,0)),0%,VLOOKUP(A184,'Données projet'!$A$243:$I$263,6,0)*VLOOKUP('Données projet'!$B$17,Paramètres!$A$1:$I$88,7,0))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projet'!$B$17,Paramètres!$A$1:$I$88,3,0)*0.475*44/12</f>
        <v>#N/A</v>
      </c>
      <c r="GM184" s="23" t="e">
        <f>EXP(-LN(2)/25)*GM183+(1-EXP(-LN(2)/25))/(LN(2)/25)*Calculateur!GH184*Calculateur!GJ184*VLOOKUP('Données projet'!$B$17,Paramètres!$A$1:$I$88,3,0)*0.475*44/12</f>
        <v>#N/A</v>
      </c>
      <c r="GN184" s="23" t="e">
        <f>EXP(-LN(2)/2)*GN183+(1-EXP(-LN(2)/2))/(LN(2)/2)*GH184*GK184*VLOOKUP('Données projet'!$B$17,Paramètres!$A$1:$I$88,3,0)*0.475*44/12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projet'!$B$18,Paramètres!$A$1:$I$88,3,0)*VLOOKUP('Données projet'!$B$18,Paramètres!$A$1:$I$88,5,0)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projet'!$B$18,Paramètres!$A$1:$I$88,7,0))</f>
        <v>0</v>
      </c>
      <c r="HE184" s="17">
        <f>IF(ISNA(VLOOKUP(A184,'Données projet'!$A$269:$I$289,6,0)),0%,VLOOKUP(A184,'Données projet'!$A$269:$I$289,6,0)*VLOOKUP('Données projet'!$B$18,Paramètres!$A$1:$I$88,7,0))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projet'!$B$18,Paramètres!$A$1:$I$88,3,0)*0.475*44/12</f>
        <v>#N/A</v>
      </c>
      <c r="HH184" s="23" t="e">
        <f>EXP(-LN(2)/25)*HH183+(1-EXP(-LN(2)/25))/(LN(2)/25)*Calculateur!HC184*Calculateur!HE184*VLOOKUP('Données projet'!$B$18,Paramètres!$A$1:$I$88,3,0)*0.475*44/12</f>
        <v>#N/A</v>
      </c>
      <c r="HI184" s="23" t="e">
        <f>EXP(-LN(2)/2)*HI183+(1-EXP(-LN(2)/2))/(LN(2)/2)*HC184*HF184*VLOOKUP('Données projet'!$B$18,Paramètres!$A$1:$I$88,3,0)*0.475*44/12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projet'!$B$9,Paramètres!$A$1:$I$88,3,0)*VLOOKUP('Données projet'!$B$9,Paramètres!$A$1:$I$88,5,0)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175.05987582828078</v>
      </c>
      <c r="T185" s="62">
        <f t="shared" si="142"/>
        <v>268.54782308462387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projet'!$B$9,Paramètres!$A$1:$I$88,7,0))</f>
        <v>0</v>
      </c>
      <c r="X185" s="17">
        <f>IF(ISNA(VLOOKUP(A185,'Données projet'!$A$35:$I$55,6,0)),0%,VLOOKUP(A185,'Données projet'!$A$35:$I$55,6,0)*VLOOKUP('Données projet'!$B$9,Paramètres!$A$1:$I$88,7,0))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projet'!$B$9,Paramètres!$A$1:$I$88,3,0)*0.475*44/12</f>
        <v>0</v>
      </c>
      <c r="AA185" s="23">
        <f>EXP(-LN(2)/25)*AA184+(1-EXP(-LN(2)/25))/(LN(2)/25)*Calculateur!V185*Calculateur!X185*VLOOKUP('Données projet'!$B$9,Paramètres!$A$1:$I$88,3,0)*0.475*44/12</f>
        <v>0.15218925000859188</v>
      </c>
      <c r="AB185" s="23">
        <f>EXP(-LN(2)/2)*AB184+(1-EXP(-LN(2)/2))/(LN(2)/2)*V185*Y185*VLOOKUP('Données projet'!$B$9,Paramètres!$A$1:$I$88,3,0)*0.475*44/12</f>
        <v>2.1862476076518937E-22</v>
      </c>
      <c r="AC185" s="24">
        <f t="shared" si="163"/>
        <v>0.15218925000859188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-1.5916157281026244E-12</v>
      </c>
      <c r="AJ185" s="14">
        <f>AI185*VLOOKUP('Données projet'!$B$10,Paramètres!$A$1:$I$88,3,0)*VLOOKUP('Données projet'!$B$10,Paramètres!$A$1:$I$88,5,0)</f>
        <v>-7.6556716521736234E-13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576.61210817354549</v>
      </c>
      <c r="AO185" s="62">
        <f t="shared" si="144"/>
        <v>343.9428747444544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projet'!$B$10,Paramètres!$A$1:$I$88,7,0))</f>
        <v>0</v>
      </c>
      <c r="AS185" s="17">
        <f>IF(ISNA(VLOOKUP(A185,'Données projet'!$A$61:$I$81,6,0)),0%,VLOOKUP(A185,'Données projet'!$A$61:$I$81,6,0)*VLOOKUP('Données projet'!$B$10,Paramètres!$A$1:$I$88,7,0))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projet'!$B$10,Paramètres!$A$1:$I$88,3,0)*0.475*44/12</f>
        <v>0</v>
      </c>
      <c r="AV185" s="23">
        <f>EXP(-LN(2)/25)*AV184+(1-EXP(-LN(2)/25))/(LN(2)/25)*Calculateur!AQ185*Calculateur!AS185*VLOOKUP('Données projet'!$B$10,Paramètres!$A$1:$I$88,3,0)*0.475*44/12</f>
        <v>8.3709626671967879E-2</v>
      </c>
      <c r="AW185" s="23">
        <f>EXP(-LN(2)/2)*AW184+(1-EXP(-LN(2)/2))/(LN(2)/2)*AQ185*AT185*VLOOKUP('Données projet'!$B$10,Paramètres!$A$1:$I$88,3,0)*0.475*44/12</f>
        <v>1.5568784105719004E-22</v>
      </c>
      <c r="AX185" s="23">
        <f t="shared" si="166"/>
        <v>8.3709626671967879E-2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-5.6843418860808015E-14</v>
      </c>
      <c r="BE185" s="14">
        <f>BD185*VLOOKUP('Données projet'!$B$11,Paramètres!$A$1:$I$88,3,0)*VLOOKUP('Données projet'!$B$11,Paramètres!$A$1:$I$88,5,0)</f>
        <v>-4.5224624045658861E-14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298.38448036212861</v>
      </c>
      <c r="BJ185" s="62">
        <f t="shared" si="146"/>
        <v>270.4445531106897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projet'!$B$11,Paramètres!$A$1:$I$88,7,0))</f>
        <v>0</v>
      </c>
      <c r="BN185" s="17">
        <f>IF(ISNA(VLOOKUP(A185,'Données projet'!$A$87:$I$107,6,0)),0%,VLOOKUP(A185,'Données projet'!$A$87:$I$107,6,0)*VLOOKUP('Données projet'!$B$11,Paramètres!$A$1:$I$88,7,0))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projet'!$B$11,Paramètres!$A$1:$I$88,3,0)*0.475*44/12</f>
        <v>0</v>
      </c>
      <c r="BQ185" s="23">
        <f>EXP(-LN(2)/25)*BQ184+(1-EXP(-LN(2)/25))/(LN(2)/25)*Calculateur!BL185*Calculateur!BN185*VLOOKUP('Données projet'!$B$11,Paramètres!$A$1:$I$88,3,0)*0.475*44/12</f>
        <v>0</v>
      </c>
      <c r="BR185" s="23">
        <f>EXP(-LN(2)/2)*BR184+(1-EXP(-LN(2)/2))/(LN(2)/2)*BL185*BO185*VLOOKUP('Données projet'!$B$11,Paramètres!$A$1:$I$88,3,0)*0.475*44/12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5.6843418860808015E-14</v>
      </c>
      <c r="BZ185" s="14">
        <f>BY185*VLOOKUP('Données projet'!$B$12,Paramètres!$A$1:$I$88,3,0)*VLOOKUP('Données projet'!$B$12,Paramètres!$A$1:$I$88,5,0)</f>
        <v>4.4337866711430253E-14</v>
      </c>
      <c r="CA185" s="14">
        <f t="shared" si="170"/>
        <v>7.3222115536967035E-13</v>
      </c>
      <c r="CB185" s="22">
        <f t="shared" si="171"/>
        <v>1.3525069634579169E-12</v>
      </c>
      <c r="CC185" s="62">
        <f t="shared" si="119"/>
        <v>293.33333333333468</v>
      </c>
      <c r="CD185" s="62">
        <f ca="1">AVERAGE(OFFSET($CC$3,0,0,'Données projet'!$E$12+1,1))-AVERAGE(OFFSET($H$3,0,0,'Données projet'!$E$12+1,1))</f>
        <v>217.32600829266818</v>
      </c>
      <c r="CE185" s="62">
        <f t="shared" si="148"/>
        <v>208.79744153433245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projet'!$B$12,Paramètres!$A$1:$I$88,7,0))</f>
        <v>0</v>
      </c>
      <c r="CI185" s="17">
        <f>IF(ISNA(VLOOKUP(A185,'Données projet'!$A$113:$I$133,6,0)),0%,VLOOKUP(A185,'Données projet'!$A$113:$I$133,6,0)*VLOOKUP('Données projet'!$B$12,Paramètres!$A$1:$I$88,7,0))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projet'!$B$12,Paramètres!$A$1:$I$88,3,0)*0.475*44/12</f>
        <v>0</v>
      </c>
      <c r="CL185" s="23">
        <f>EXP(-LN(2)/25)*CL184+(1-EXP(-LN(2)/25))/(LN(2)/25)*Calculateur!CG185*Calculateur!CI185*VLOOKUP('Données projet'!$B$12,Paramètres!$A$1:$I$88,3,0)*0.475*44/12</f>
        <v>0</v>
      </c>
      <c r="CM185" s="23">
        <f>EXP(-LN(2)/2)*CM184+(1-EXP(-LN(2)/2))/(LN(2)/2)*CG185*CJ185*VLOOKUP('Données projet'!$B$12,Paramètres!$A$1:$I$88,3,0)*0.475*44/12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-3.4106051316484809E-13</v>
      </c>
      <c r="CU185" s="18">
        <f>CT185*VLOOKUP('Données projet'!$B$13,Paramètres!$A$1:$I$88,3,0)*VLOOKUP('Données projet'!$B$13,Paramètres!$A$1:$I$88,5,0)</f>
        <v>-1.9065282685915009E-13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302.20483575440988</v>
      </c>
      <c r="CZ185" s="62">
        <f t="shared" si="150"/>
        <v>275.32862097158687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projet'!$B$13,Paramètres!$A$1:$I$88,7,0))</f>
        <v>0</v>
      </c>
      <c r="DD185" s="17">
        <f>IF(ISNA(VLOOKUP(A185,'Données projet'!$A$139:$I$159,6,0)),0%,VLOOKUP(A185,'Données projet'!$A$139:$I$159,6,0)*VLOOKUP('Données projet'!$B$13,Paramètres!$A$1:$I$88,7,0))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projet'!$B$13,Paramètres!$A$1:$I$88,3,0)*0.475*44/12</f>
        <v>0</v>
      </c>
      <c r="DG185" s="23">
        <f>EXP(-LN(2)/25)*DG184+(1-EXP(-LN(2)/25))/(LN(2)/25)*Calculateur!DB185*Calculateur!DD185*VLOOKUP('Données projet'!$B$13,Paramètres!$A$1:$I$88,3,0)*0.475*44/12</f>
        <v>0.20439612026204487</v>
      </c>
      <c r="DH185" s="23">
        <f>EXP(-LN(2)/2)*DH184+(1-EXP(-LN(2)/2))/(LN(2)/2)*DB185*DE185*VLOOKUP('Données projet'!$B$13,Paramètres!$A$1:$I$88,3,0)*0.475*44/12</f>
        <v>8.9744301455246226E-23</v>
      </c>
      <c r="DI185" s="24">
        <f t="shared" si="175"/>
        <v>0.20439612026204487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projet'!$B$14,Paramètres!$A$1:$I$88,3,0)*VLOOKUP('Données projet'!$B$14,Paramètres!$A$1:$I$88,5,0)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projet'!$B$14,Paramètres!$A$1:$I$88,7,0))</f>
        <v>0</v>
      </c>
      <c r="DY185" s="17">
        <f>IF(ISNA(VLOOKUP(A185,'Données projet'!$A$165:$I$185,6,0)),0%,VLOOKUP(A185,'Données projet'!$A$165:$I$185,6,0)*VLOOKUP('Données projet'!$B$14,Paramètres!$A$1:$I$88,7,0))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projet'!$B$14,Paramètres!$A$1:$I$88,3,0)*0.475*44/12</f>
        <v>#N/A</v>
      </c>
      <c r="EB185" s="23" t="e">
        <f>EXP(-LN(2)/25)*EB184+(1-EXP(-LN(2)/25))/(LN(2)/25)*Calculateur!DW185*Calculateur!DY185*VLOOKUP('Données projet'!$B$14,Paramètres!$A$1:$I$88,3,0)*0.475*44/12</f>
        <v>#N/A</v>
      </c>
      <c r="EC185" s="23" t="e">
        <f>EXP(-LN(2)/2)*EC184+(1-EXP(-LN(2)/2))/(LN(2)/2)*DW185*DZ185*VLOOKUP('Données projet'!$B$14,Paramètres!$A$1:$I$88,3,0)*0.475*44/12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projet'!$B$15,Paramètres!$A$1:$I$88,3,0)*VLOOKUP('Données projet'!$B$15,Paramètres!$A$1:$I$88,5,0)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projet'!$B$15,Paramètres!$A$1:$I$88,7,0))</f>
        <v>0</v>
      </c>
      <c r="ET185" s="17">
        <f>IF(ISNA(VLOOKUP(A185,'Données projet'!$A$191:$I$211,6,0)),0%,VLOOKUP(A185,'Données projet'!$A$191:$I$211,6,0)*VLOOKUP('Données projet'!$B$15,Paramètres!$A$1:$I$88,7,0))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projet'!$B$15,Paramètres!$A$1:$I$88,3,0)*0.475*44/12</f>
        <v>#N/A</v>
      </c>
      <c r="EW185" s="23" t="e">
        <f>EXP(-LN(2)/25)*EW184+(1-EXP(-LN(2)/25))/(LN(2)/25)*Calculateur!ER185*Calculateur!ET185*VLOOKUP('Données projet'!$B$15,Paramètres!$A$1:$I$88,3,0)*0.475*44/12</f>
        <v>#N/A</v>
      </c>
      <c r="EX185" s="23" t="e">
        <f>EXP(-LN(2)/2)*EX184+(1-EXP(-LN(2)/2))/(LN(2)/2)*ER185*EU185*VLOOKUP('Données projet'!$B$15,Paramètres!$A$1:$I$88,3,0)*0.475*44/12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projet'!$B$16,Paramètres!$A$1:$I$88,3,0)*VLOOKUP('Données projet'!$B$16,Paramètres!$A$1:$I$88,5,0)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projet'!$B$16,Paramètres!$A$1:$I$88,7,0))</f>
        <v>0</v>
      </c>
      <c r="FO185" s="17">
        <f>IF(ISNA(VLOOKUP(A185,'Données projet'!$A$217:$I$237,6,0)),0%,VLOOKUP(A185,'Données projet'!$A$217:$I$237,6,0)*VLOOKUP('Données projet'!$B$16,Paramètres!$A$1:$I$88,7,0))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projet'!$B$16,Paramètres!$A$1:$I$88,3,0)*0.475*44/12</f>
        <v>#N/A</v>
      </c>
      <c r="FR185" s="23" t="e">
        <f>EXP(-LN(2)/25)*FR184+(1-EXP(-LN(2)/25))/(LN(2)/25)*Calculateur!FM185*Calculateur!FO185*VLOOKUP('Données projet'!$B$16,Paramètres!$A$1:$I$88,3,0)*0.475*44/12</f>
        <v>#N/A</v>
      </c>
      <c r="FS185" s="23" t="e">
        <f>EXP(-LN(2)/2)*FS184+(1-EXP(-LN(2)/2))/(LN(2)/2)*FM185*FP185*VLOOKUP('Données projet'!$B$16,Paramètres!$A$1:$I$88,3,0)*0.475*44/12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projet'!$B$17,Paramètres!$A$1:$I$88,3,0)*VLOOKUP('Données projet'!$B$17,Paramètres!$A$1:$I$88,5,0)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projet'!$B$17,Paramètres!$A$1:$I$88,7,0))</f>
        <v>0</v>
      </c>
      <c r="GJ185" s="17">
        <f>IF(ISNA(VLOOKUP(A185,'Données projet'!$A$243:$I$263,6,0)),0%,VLOOKUP(A185,'Données projet'!$A$243:$I$263,6,0)*VLOOKUP('Données projet'!$B$17,Paramètres!$A$1:$I$88,7,0))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projet'!$B$17,Paramètres!$A$1:$I$88,3,0)*0.475*44/12</f>
        <v>#N/A</v>
      </c>
      <c r="GM185" s="23" t="e">
        <f>EXP(-LN(2)/25)*GM184+(1-EXP(-LN(2)/25))/(LN(2)/25)*Calculateur!GH185*Calculateur!GJ185*VLOOKUP('Données projet'!$B$17,Paramètres!$A$1:$I$88,3,0)*0.475*44/12</f>
        <v>#N/A</v>
      </c>
      <c r="GN185" s="23" t="e">
        <f>EXP(-LN(2)/2)*GN184+(1-EXP(-LN(2)/2))/(LN(2)/2)*GH185*GK185*VLOOKUP('Données projet'!$B$17,Paramètres!$A$1:$I$88,3,0)*0.475*44/12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projet'!$B$18,Paramètres!$A$1:$I$88,3,0)*VLOOKUP('Données projet'!$B$18,Paramètres!$A$1:$I$88,5,0)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projet'!$B$18,Paramètres!$A$1:$I$88,7,0))</f>
        <v>0</v>
      </c>
      <c r="HE185" s="17">
        <f>IF(ISNA(VLOOKUP(A185,'Données projet'!$A$269:$I$289,6,0)),0%,VLOOKUP(A185,'Données projet'!$A$269:$I$289,6,0)*VLOOKUP('Données projet'!$B$18,Paramètres!$A$1:$I$88,7,0))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projet'!$B$18,Paramètres!$A$1:$I$88,3,0)*0.475*44/12</f>
        <v>#N/A</v>
      </c>
      <c r="HH185" s="23" t="e">
        <f>EXP(-LN(2)/25)*HH184+(1-EXP(-LN(2)/25))/(LN(2)/25)*Calculateur!HC185*Calculateur!HE185*VLOOKUP('Données projet'!$B$18,Paramètres!$A$1:$I$88,3,0)*0.475*44/12</f>
        <v>#N/A</v>
      </c>
      <c r="HI185" s="23" t="e">
        <f>EXP(-LN(2)/2)*HI184+(1-EXP(-LN(2)/2))/(LN(2)/2)*HC185*HF185*VLOOKUP('Données projet'!$B$18,Paramètres!$A$1:$I$88,3,0)*0.475*44/12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projet'!$B$9,Paramètres!$A$1:$I$88,3,0)*VLOOKUP('Données projet'!$B$9,Paramètres!$A$1:$I$88,5,0)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175.05987582828078</v>
      </c>
      <c r="T186" s="62">
        <f t="shared" si="142"/>
        <v>268.54782308462387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projet'!$B$9,Paramètres!$A$1:$I$88,7,0))</f>
        <v>0</v>
      </c>
      <c r="X186" s="17">
        <f>IF(ISNA(VLOOKUP(A186,'Données projet'!$A$35:$I$55,6,0)),0%,VLOOKUP(A186,'Données projet'!$A$35:$I$55,6,0)*VLOOKUP('Données projet'!$B$9,Paramètres!$A$1:$I$88,7,0))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projet'!$B$9,Paramètres!$A$1:$I$88,3,0)*0.475*44/12</f>
        <v>0</v>
      </c>
      <c r="AA186" s="23">
        <f>EXP(-LN(2)/25)*AA185+(1-EXP(-LN(2)/25))/(LN(2)/25)*Calculateur!V186*Calculateur!X186*VLOOKUP('Données projet'!$B$9,Paramètres!$A$1:$I$88,3,0)*0.475*44/12</f>
        <v>0.1480276269638221</v>
      </c>
      <c r="AB186" s="23">
        <f>EXP(-LN(2)/2)*AB185+(1-EXP(-LN(2)/2))/(LN(2)/2)*V186*Y186*VLOOKUP('Données projet'!$B$9,Paramètres!$A$1:$I$88,3,0)*0.475*44/12</f>
        <v>1.5459105087235206E-22</v>
      </c>
      <c r="AC186" s="24">
        <f t="shared" si="163"/>
        <v>0.1480276269638221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-1.5916157281026244E-12</v>
      </c>
      <c r="AJ186" s="14">
        <f>AI186*VLOOKUP('Données projet'!$B$10,Paramètres!$A$1:$I$88,3,0)*VLOOKUP('Données projet'!$B$10,Paramètres!$A$1:$I$88,5,0)</f>
        <v>-7.6556716521736234E-13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576.61210817354549</v>
      </c>
      <c r="AO186" s="62">
        <f t="shared" si="144"/>
        <v>343.9428747444544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projet'!$B$10,Paramètres!$A$1:$I$88,7,0))</f>
        <v>0</v>
      </c>
      <c r="AS186" s="17">
        <f>IF(ISNA(VLOOKUP(A186,'Données projet'!$A$61:$I$81,6,0)),0%,VLOOKUP(A186,'Données projet'!$A$61:$I$81,6,0)*VLOOKUP('Données projet'!$B$10,Paramètres!$A$1:$I$88,7,0))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projet'!$B$10,Paramètres!$A$1:$I$88,3,0)*0.475*44/12</f>
        <v>0</v>
      </c>
      <c r="AV186" s="23">
        <f>EXP(-LN(2)/25)*AV185+(1-EXP(-LN(2)/25))/(LN(2)/25)*Calculateur!AQ186*Calculateur!AS186*VLOOKUP('Données projet'!$B$10,Paramètres!$A$1:$I$88,3,0)*0.475*44/12</f>
        <v>8.1420582528524965E-2</v>
      </c>
      <c r="AW186" s="23">
        <f>EXP(-LN(2)/2)*AW185+(1-EXP(-LN(2)/2))/(LN(2)/2)*AQ186*AT186*VLOOKUP('Données projet'!$B$10,Paramètres!$A$1:$I$88,3,0)*0.475*44/12</f>
        <v>1.1008792815983246E-22</v>
      </c>
      <c r="AX186" s="23">
        <f t="shared" si="166"/>
        <v>8.1420582528524965E-2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-5.6843418860808015E-14</v>
      </c>
      <c r="BE186" s="14">
        <f>BD186*VLOOKUP('Données projet'!$B$11,Paramètres!$A$1:$I$88,3,0)*VLOOKUP('Données projet'!$B$11,Paramètres!$A$1:$I$88,5,0)</f>
        <v>-4.5224624045658861E-14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298.38448036212861</v>
      </c>
      <c r="BJ186" s="62">
        <f t="shared" si="146"/>
        <v>270.4445531106897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projet'!$B$11,Paramètres!$A$1:$I$88,7,0))</f>
        <v>0</v>
      </c>
      <c r="BN186" s="17">
        <f>IF(ISNA(VLOOKUP(A186,'Données projet'!$A$87:$I$107,6,0)),0%,VLOOKUP(A186,'Données projet'!$A$87:$I$107,6,0)*VLOOKUP('Données projet'!$B$11,Paramètres!$A$1:$I$88,7,0))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projet'!$B$11,Paramètres!$A$1:$I$88,3,0)*0.475*44/12</f>
        <v>0</v>
      </c>
      <c r="BQ186" s="23">
        <f>EXP(-LN(2)/25)*BQ185+(1-EXP(-LN(2)/25))/(LN(2)/25)*Calculateur!BL186*Calculateur!BN186*VLOOKUP('Données projet'!$B$11,Paramètres!$A$1:$I$88,3,0)*0.475*44/12</f>
        <v>0</v>
      </c>
      <c r="BR186" s="23">
        <f>EXP(-LN(2)/2)*BR185+(1-EXP(-LN(2)/2))/(LN(2)/2)*BL186*BO186*VLOOKUP('Données projet'!$B$11,Paramètres!$A$1:$I$88,3,0)*0.475*44/12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5.6843418860808015E-14</v>
      </c>
      <c r="BZ186" s="14">
        <f>BY186*VLOOKUP('Données projet'!$B$12,Paramètres!$A$1:$I$88,3,0)*VLOOKUP('Données projet'!$B$12,Paramètres!$A$1:$I$88,5,0)</f>
        <v>4.4337866711430253E-14</v>
      </c>
      <c r="CA186" s="14">
        <f t="shared" si="170"/>
        <v>7.3222115536967035E-13</v>
      </c>
      <c r="CB186" s="22">
        <f t="shared" si="171"/>
        <v>1.3525069634579169E-12</v>
      </c>
      <c r="CC186" s="62">
        <f t="shared" si="119"/>
        <v>293.33333333333468</v>
      </c>
      <c r="CD186" s="62">
        <f ca="1">AVERAGE(OFFSET($CC$3,0,0,'Données projet'!$E$12+1,1))-AVERAGE(OFFSET($H$3,0,0,'Données projet'!$E$12+1,1))</f>
        <v>217.32600829266818</v>
      </c>
      <c r="CE186" s="62">
        <f t="shared" si="148"/>
        <v>208.79744153433245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projet'!$B$12,Paramètres!$A$1:$I$88,7,0))</f>
        <v>0</v>
      </c>
      <c r="CI186" s="17">
        <f>IF(ISNA(VLOOKUP(A186,'Données projet'!$A$113:$I$133,6,0)),0%,VLOOKUP(A186,'Données projet'!$A$113:$I$133,6,0)*VLOOKUP('Données projet'!$B$12,Paramètres!$A$1:$I$88,7,0))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projet'!$B$12,Paramètres!$A$1:$I$88,3,0)*0.475*44/12</f>
        <v>0</v>
      </c>
      <c r="CL186" s="23">
        <f>EXP(-LN(2)/25)*CL185+(1-EXP(-LN(2)/25))/(LN(2)/25)*Calculateur!CG186*Calculateur!CI186*VLOOKUP('Données projet'!$B$12,Paramètres!$A$1:$I$88,3,0)*0.475*44/12</f>
        <v>0</v>
      </c>
      <c r="CM186" s="23">
        <f>EXP(-LN(2)/2)*CM185+(1-EXP(-LN(2)/2))/(LN(2)/2)*CG186*CJ186*VLOOKUP('Données projet'!$B$12,Paramètres!$A$1:$I$88,3,0)*0.475*44/12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-3.4106051316484809E-13</v>
      </c>
      <c r="CU186" s="18">
        <f>CT186*VLOOKUP('Données projet'!$B$13,Paramètres!$A$1:$I$88,3,0)*VLOOKUP('Données projet'!$B$13,Paramètres!$A$1:$I$88,5,0)</f>
        <v>-1.9065282685915009E-13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302.20483575440988</v>
      </c>
      <c r="CZ186" s="62">
        <f t="shared" si="150"/>
        <v>275.32862097158687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projet'!$B$13,Paramètres!$A$1:$I$88,7,0))</f>
        <v>0</v>
      </c>
      <c r="DD186" s="17">
        <f>IF(ISNA(VLOOKUP(A186,'Données projet'!$A$139:$I$159,6,0)),0%,VLOOKUP(A186,'Données projet'!$A$139:$I$159,6,0)*VLOOKUP('Données projet'!$B$13,Paramètres!$A$1:$I$88,7,0))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projet'!$B$13,Paramètres!$A$1:$I$88,3,0)*0.475*44/12</f>
        <v>0</v>
      </c>
      <c r="DG186" s="23">
        <f>EXP(-LN(2)/25)*DG185+(1-EXP(-LN(2)/25))/(LN(2)/25)*Calculateur!DB186*Calculateur!DD186*VLOOKUP('Données projet'!$B$13,Paramètres!$A$1:$I$88,3,0)*0.475*44/12</f>
        <v>0.19880689760475445</v>
      </c>
      <c r="DH186" s="23">
        <f>EXP(-LN(2)/2)*DH185+(1-EXP(-LN(2)/2))/(LN(2)/2)*DB186*DE186*VLOOKUP('Données projet'!$B$13,Paramètres!$A$1:$I$88,3,0)*0.475*44/12</f>
        <v>6.3458804131854351E-23</v>
      </c>
      <c r="DI186" s="24">
        <f t="shared" si="175"/>
        <v>0.19880689760475445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projet'!$B$14,Paramètres!$A$1:$I$88,3,0)*VLOOKUP('Données projet'!$B$14,Paramètres!$A$1:$I$88,5,0)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projet'!$B$14,Paramètres!$A$1:$I$88,7,0))</f>
        <v>0</v>
      </c>
      <c r="DY186" s="17">
        <f>IF(ISNA(VLOOKUP(A186,'Données projet'!$A$165:$I$185,6,0)),0%,VLOOKUP(A186,'Données projet'!$A$165:$I$185,6,0)*VLOOKUP('Données projet'!$B$14,Paramètres!$A$1:$I$88,7,0))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projet'!$B$14,Paramètres!$A$1:$I$88,3,0)*0.475*44/12</f>
        <v>#N/A</v>
      </c>
      <c r="EB186" s="23" t="e">
        <f>EXP(-LN(2)/25)*EB185+(1-EXP(-LN(2)/25))/(LN(2)/25)*Calculateur!DW186*Calculateur!DY186*VLOOKUP('Données projet'!$B$14,Paramètres!$A$1:$I$88,3,0)*0.475*44/12</f>
        <v>#N/A</v>
      </c>
      <c r="EC186" s="23" t="e">
        <f>EXP(-LN(2)/2)*EC185+(1-EXP(-LN(2)/2))/(LN(2)/2)*DW186*DZ186*VLOOKUP('Données projet'!$B$14,Paramètres!$A$1:$I$88,3,0)*0.475*44/12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projet'!$B$15,Paramètres!$A$1:$I$88,3,0)*VLOOKUP('Données projet'!$B$15,Paramètres!$A$1:$I$88,5,0)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projet'!$B$15,Paramètres!$A$1:$I$88,7,0))</f>
        <v>0</v>
      </c>
      <c r="ET186" s="17">
        <f>IF(ISNA(VLOOKUP(A186,'Données projet'!$A$191:$I$211,6,0)),0%,VLOOKUP(A186,'Données projet'!$A$191:$I$211,6,0)*VLOOKUP('Données projet'!$B$15,Paramètres!$A$1:$I$88,7,0))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projet'!$B$15,Paramètres!$A$1:$I$88,3,0)*0.475*44/12</f>
        <v>#N/A</v>
      </c>
      <c r="EW186" s="23" t="e">
        <f>EXP(-LN(2)/25)*EW185+(1-EXP(-LN(2)/25))/(LN(2)/25)*Calculateur!ER186*Calculateur!ET186*VLOOKUP('Données projet'!$B$15,Paramètres!$A$1:$I$88,3,0)*0.475*44/12</f>
        <v>#N/A</v>
      </c>
      <c r="EX186" s="23" t="e">
        <f>EXP(-LN(2)/2)*EX185+(1-EXP(-LN(2)/2))/(LN(2)/2)*ER186*EU186*VLOOKUP('Données projet'!$B$15,Paramètres!$A$1:$I$88,3,0)*0.475*44/12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projet'!$B$16,Paramètres!$A$1:$I$88,3,0)*VLOOKUP('Données projet'!$B$16,Paramètres!$A$1:$I$88,5,0)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projet'!$B$16,Paramètres!$A$1:$I$88,7,0))</f>
        <v>0</v>
      </c>
      <c r="FO186" s="17">
        <f>IF(ISNA(VLOOKUP(A186,'Données projet'!$A$217:$I$237,6,0)),0%,VLOOKUP(A186,'Données projet'!$A$217:$I$237,6,0)*VLOOKUP('Données projet'!$B$16,Paramètres!$A$1:$I$88,7,0))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projet'!$B$16,Paramètres!$A$1:$I$88,3,0)*0.475*44/12</f>
        <v>#N/A</v>
      </c>
      <c r="FR186" s="23" t="e">
        <f>EXP(-LN(2)/25)*FR185+(1-EXP(-LN(2)/25))/(LN(2)/25)*Calculateur!FM186*Calculateur!FO186*VLOOKUP('Données projet'!$B$16,Paramètres!$A$1:$I$88,3,0)*0.475*44/12</f>
        <v>#N/A</v>
      </c>
      <c r="FS186" s="23" t="e">
        <f>EXP(-LN(2)/2)*FS185+(1-EXP(-LN(2)/2))/(LN(2)/2)*FM186*FP186*VLOOKUP('Données projet'!$B$16,Paramètres!$A$1:$I$88,3,0)*0.475*44/12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projet'!$B$17,Paramètres!$A$1:$I$88,3,0)*VLOOKUP('Données projet'!$B$17,Paramètres!$A$1:$I$88,5,0)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projet'!$B$17,Paramètres!$A$1:$I$88,7,0))</f>
        <v>0</v>
      </c>
      <c r="GJ186" s="17">
        <f>IF(ISNA(VLOOKUP(A186,'Données projet'!$A$243:$I$263,6,0)),0%,VLOOKUP(A186,'Données projet'!$A$243:$I$263,6,0)*VLOOKUP('Données projet'!$B$17,Paramètres!$A$1:$I$88,7,0))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projet'!$B$17,Paramètres!$A$1:$I$88,3,0)*0.475*44/12</f>
        <v>#N/A</v>
      </c>
      <c r="GM186" s="23" t="e">
        <f>EXP(-LN(2)/25)*GM185+(1-EXP(-LN(2)/25))/(LN(2)/25)*Calculateur!GH186*Calculateur!GJ186*VLOOKUP('Données projet'!$B$17,Paramètres!$A$1:$I$88,3,0)*0.475*44/12</f>
        <v>#N/A</v>
      </c>
      <c r="GN186" s="23" t="e">
        <f>EXP(-LN(2)/2)*GN185+(1-EXP(-LN(2)/2))/(LN(2)/2)*GH186*GK186*VLOOKUP('Données projet'!$B$17,Paramètres!$A$1:$I$88,3,0)*0.475*44/12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projet'!$B$18,Paramètres!$A$1:$I$88,3,0)*VLOOKUP('Données projet'!$B$18,Paramètres!$A$1:$I$88,5,0)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projet'!$B$18,Paramètres!$A$1:$I$88,7,0))</f>
        <v>0</v>
      </c>
      <c r="HE186" s="17">
        <f>IF(ISNA(VLOOKUP(A186,'Données projet'!$A$269:$I$289,6,0)),0%,VLOOKUP(A186,'Données projet'!$A$269:$I$289,6,0)*VLOOKUP('Données projet'!$B$18,Paramètres!$A$1:$I$88,7,0))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projet'!$B$18,Paramètres!$A$1:$I$88,3,0)*0.475*44/12</f>
        <v>#N/A</v>
      </c>
      <c r="HH186" s="23" t="e">
        <f>EXP(-LN(2)/25)*HH185+(1-EXP(-LN(2)/25))/(LN(2)/25)*Calculateur!HC186*Calculateur!HE186*VLOOKUP('Données projet'!$B$18,Paramètres!$A$1:$I$88,3,0)*0.475*44/12</f>
        <v>#N/A</v>
      </c>
      <c r="HI186" s="23" t="e">
        <f>EXP(-LN(2)/2)*HI185+(1-EXP(-LN(2)/2))/(LN(2)/2)*HC186*HF186*VLOOKUP('Données projet'!$B$18,Paramètres!$A$1:$I$88,3,0)*0.475*44/12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projet'!$B$9,Paramètres!$A$1:$I$88,3,0)*VLOOKUP('Données projet'!$B$9,Paramètres!$A$1:$I$88,5,0)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175.05987582828078</v>
      </c>
      <c r="T187" s="62">
        <f t="shared" si="142"/>
        <v>268.54782308462387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projet'!$B$9,Paramètres!$A$1:$I$88,7,0))</f>
        <v>0</v>
      </c>
      <c r="X187" s="17">
        <f>IF(ISNA(VLOOKUP(A187,'Données projet'!$A$35:$I$55,6,0)),0%,VLOOKUP(A187,'Données projet'!$A$35:$I$55,6,0)*VLOOKUP('Données projet'!$B$9,Paramètres!$A$1:$I$88,7,0))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projet'!$B$9,Paramètres!$A$1:$I$88,3,0)*0.475*44/12</f>
        <v>0</v>
      </c>
      <c r="AA187" s="23">
        <f>EXP(-LN(2)/25)*AA186+(1-EXP(-LN(2)/25))/(LN(2)/25)*Calculateur!V187*Calculateur!X187*VLOOKUP('Données projet'!$B$9,Paramètres!$A$1:$I$88,3,0)*0.475*44/12</f>
        <v>0.14397980372006181</v>
      </c>
      <c r="AB187" s="23">
        <f>EXP(-LN(2)/2)*AB186+(1-EXP(-LN(2)/2))/(LN(2)/2)*V187*Y187*VLOOKUP('Données projet'!$B$9,Paramètres!$A$1:$I$88,3,0)*0.475*44/12</f>
        <v>1.0931238038259468E-22</v>
      </c>
      <c r="AC187" s="24">
        <f t="shared" si="163"/>
        <v>0.14397980372006181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-1.5916157281026244E-12</v>
      </c>
      <c r="AJ187" s="14">
        <f>AI187*VLOOKUP('Données projet'!$B$10,Paramètres!$A$1:$I$88,3,0)*VLOOKUP('Données projet'!$B$10,Paramètres!$A$1:$I$88,5,0)</f>
        <v>-7.6556716521736234E-13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576.61210817354549</v>
      </c>
      <c r="AO187" s="62">
        <f t="shared" si="144"/>
        <v>343.9428747444544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projet'!$B$10,Paramètres!$A$1:$I$88,7,0))</f>
        <v>0</v>
      </c>
      <c r="AS187" s="17">
        <f>IF(ISNA(VLOOKUP(A187,'Données projet'!$A$61:$I$81,6,0)),0%,VLOOKUP(A187,'Données projet'!$A$61:$I$81,6,0)*VLOOKUP('Données projet'!$B$10,Paramètres!$A$1:$I$88,7,0))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projet'!$B$10,Paramètres!$A$1:$I$88,3,0)*0.475*44/12</f>
        <v>0</v>
      </c>
      <c r="AV187" s="23">
        <f>EXP(-LN(2)/25)*AV186+(1-EXP(-LN(2)/25))/(LN(2)/25)*Calculateur!AQ187*Calculateur!AS187*VLOOKUP('Données projet'!$B$10,Paramètres!$A$1:$I$88,3,0)*0.475*44/12</f>
        <v>7.9194132417560098E-2</v>
      </c>
      <c r="AW187" s="23">
        <f>EXP(-LN(2)/2)*AW186+(1-EXP(-LN(2)/2))/(LN(2)/2)*AQ187*AT187*VLOOKUP('Données projet'!$B$10,Paramètres!$A$1:$I$88,3,0)*0.475*44/12</f>
        <v>7.7843920528595018E-23</v>
      </c>
      <c r="AX187" s="23">
        <f t="shared" si="166"/>
        <v>7.9194132417560098E-2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-5.6843418860808015E-14</v>
      </c>
      <c r="BE187" s="14">
        <f>BD187*VLOOKUP('Données projet'!$B$11,Paramètres!$A$1:$I$88,3,0)*VLOOKUP('Données projet'!$B$11,Paramètres!$A$1:$I$88,5,0)</f>
        <v>-4.5224624045658861E-14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298.38448036212861</v>
      </c>
      <c r="BJ187" s="62">
        <f t="shared" si="146"/>
        <v>270.4445531106897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projet'!$B$11,Paramètres!$A$1:$I$88,7,0))</f>
        <v>0</v>
      </c>
      <c r="BN187" s="17">
        <f>IF(ISNA(VLOOKUP(A187,'Données projet'!$A$87:$I$107,6,0)),0%,VLOOKUP(A187,'Données projet'!$A$87:$I$107,6,0)*VLOOKUP('Données projet'!$B$11,Paramètres!$A$1:$I$88,7,0))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projet'!$B$11,Paramètres!$A$1:$I$88,3,0)*0.475*44/12</f>
        <v>0</v>
      </c>
      <c r="BQ187" s="23">
        <f>EXP(-LN(2)/25)*BQ186+(1-EXP(-LN(2)/25))/(LN(2)/25)*Calculateur!BL187*Calculateur!BN187*VLOOKUP('Données projet'!$B$11,Paramètres!$A$1:$I$88,3,0)*0.475*44/12</f>
        <v>0</v>
      </c>
      <c r="BR187" s="23">
        <f>EXP(-LN(2)/2)*BR186+(1-EXP(-LN(2)/2))/(LN(2)/2)*BL187*BO187*VLOOKUP('Données projet'!$B$11,Paramètres!$A$1:$I$88,3,0)*0.475*44/12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5.6843418860808015E-14</v>
      </c>
      <c r="BZ187" s="14">
        <f>BY187*VLOOKUP('Données projet'!$B$12,Paramètres!$A$1:$I$88,3,0)*VLOOKUP('Données projet'!$B$12,Paramètres!$A$1:$I$88,5,0)</f>
        <v>4.4337866711430253E-14</v>
      </c>
      <c r="CA187" s="14">
        <f t="shared" si="170"/>
        <v>7.3222115536967035E-13</v>
      </c>
      <c r="CB187" s="22">
        <f t="shared" si="171"/>
        <v>1.3525069634579169E-12</v>
      </c>
      <c r="CC187" s="62">
        <f t="shared" si="119"/>
        <v>293.33333333333468</v>
      </c>
      <c r="CD187" s="62">
        <f ca="1">AVERAGE(OFFSET($CC$3,0,0,'Données projet'!$E$12+1,1))-AVERAGE(OFFSET($H$3,0,0,'Données projet'!$E$12+1,1))</f>
        <v>217.32600829266818</v>
      </c>
      <c r="CE187" s="62">
        <f t="shared" si="148"/>
        <v>208.79744153433245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projet'!$B$12,Paramètres!$A$1:$I$88,7,0))</f>
        <v>0</v>
      </c>
      <c r="CI187" s="17">
        <f>IF(ISNA(VLOOKUP(A187,'Données projet'!$A$113:$I$133,6,0)),0%,VLOOKUP(A187,'Données projet'!$A$113:$I$133,6,0)*VLOOKUP('Données projet'!$B$12,Paramètres!$A$1:$I$88,7,0))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projet'!$B$12,Paramètres!$A$1:$I$88,3,0)*0.475*44/12</f>
        <v>0</v>
      </c>
      <c r="CL187" s="23">
        <f>EXP(-LN(2)/25)*CL186+(1-EXP(-LN(2)/25))/(LN(2)/25)*Calculateur!CG187*Calculateur!CI187*VLOOKUP('Données projet'!$B$12,Paramètres!$A$1:$I$88,3,0)*0.475*44/12</f>
        <v>0</v>
      </c>
      <c r="CM187" s="23">
        <f>EXP(-LN(2)/2)*CM186+(1-EXP(-LN(2)/2))/(LN(2)/2)*CG187*CJ187*VLOOKUP('Données projet'!$B$12,Paramètres!$A$1:$I$88,3,0)*0.475*44/12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-3.4106051316484809E-13</v>
      </c>
      <c r="CU187" s="18">
        <f>CT187*VLOOKUP('Données projet'!$B$13,Paramètres!$A$1:$I$88,3,0)*VLOOKUP('Données projet'!$B$13,Paramètres!$A$1:$I$88,5,0)</f>
        <v>-1.9065282685915009E-13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302.20483575440988</v>
      </c>
      <c r="CZ187" s="62">
        <f t="shared" si="150"/>
        <v>275.32862097158687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projet'!$B$13,Paramètres!$A$1:$I$88,7,0))</f>
        <v>0</v>
      </c>
      <c r="DD187" s="17">
        <f>IF(ISNA(VLOOKUP(A187,'Données projet'!$A$139:$I$159,6,0)),0%,VLOOKUP(A187,'Données projet'!$A$139:$I$159,6,0)*VLOOKUP('Données projet'!$B$13,Paramètres!$A$1:$I$88,7,0))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projet'!$B$13,Paramètres!$A$1:$I$88,3,0)*0.475*44/12</f>
        <v>0</v>
      </c>
      <c r="DG187" s="23">
        <f>EXP(-LN(2)/25)*DG186+(1-EXP(-LN(2)/25))/(LN(2)/25)*Calculateur!DB187*Calculateur!DD187*VLOOKUP('Données projet'!$B$13,Paramètres!$A$1:$I$88,3,0)*0.475*44/12</f>
        <v>0.19337051253495208</v>
      </c>
      <c r="DH187" s="23">
        <f>EXP(-LN(2)/2)*DH186+(1-EXP(-LN(2)/2))/(LN(2)/2)*DB187*DE187*VLOOKUP('Données projet'!$B$13,Paramètres!$A$1:$I$88,3,0)*0.475*44/12</f>
        <v>4.4872150727623113E-23</v>
      </c>
      <c r="DI187" s="24">
        <f t="shared" si="175"/>
        <v>0.19337051253495208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projet'!$B$14,Paramètres!$A$1:$I$88,3,0)*VLOOKUP('Données projet'!$B$14,Paramètres!$A$1:$I$88,5,0)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projet'!$B$14,Paramètres!$A$1:$I$88,7,0))</f>
        <v>0</v>
      </c>
      <c r="DY187" s="17">
        <f>IF(ISNA(VLOOKUP(A187,'Données projet'!$A$165:$I$185,6,0)),0%,VLOOKUP(A187,'Données projet'!$A$165:$I$185,6,0)*VLOOKUP('Données projet'!$B$14,Paramètres!$A$1:$I$88,7,0))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projet'!$B$14,Paramètres!$A$1:$I$88,3,0)*0.475*44/12</f>
        <v>#N/A</v>
      </c>
      <c r="EB187" s="23" t="e">
        <f>EXP(-LN(2)/25)*EB186+(1-EXP(-LN(2)/25))/(LN(2)/25)*Calculateur!DW187*Calculateur!DY187*VLOOKUP('Données projet'!$B$14,Paramètres!$A$1:$I$88,3,0)*0.475*44/12</f>
        <v>#N/A</v>
      </c>
      <c r="EC187" s="23" t="e">
        <f>EXP(-LN(2)/2)*EC186+(1-EXP(-LN(2)/2))/(LN(2)/2)*DW187*DZ187*VLOOKUP('Données projet'!$B$14,Paramètres!$A$1:$I$88,3,0)*0.475*44/12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projet'!$B$15,Paramètres!$A$1:$I$88,3,0)*VLOOKUP('Données projet'!$B$15,Paramètres!$A$1:$I$88,5,0)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projet'!$B$15,Paramètres!$A$1:$I$88,7,0))</f>
        <v>0</v>
      </c>
      <c r="ET187" s="17">
        <f>IF(ISNA(VLOOKUP(A187,'Données projet'!$A$191:$I$211,6,0)),0%,VLOOKUP(A187,'Données projet'!$A$191:$I$211,6,0)*VLOOKUP('Données projet'!$B$15,Paramètres!$A$1:$I$88,7,0))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projet'!$B$15,Paramètres!$A$1:$I$88,3,0)*0.475*44/12</f>
        <v>#N/A</v>
      </c>
      <c r="EW187" s="23" t="e">
        <f>EXP(-LN(2)/25)*EW186+(1-EXP(-LN(2)/25))/(LN(2)/25)*Calculateur!ER187*Calculateur!ET187*VLOOKUP('Données projet'!$B$15,Paramètres!$A$1:$I$88,3,0)*0.475*44/12</f>
        <v>#N/A</v>
      </c>
      <c r="EX187" s="23" t="e">
        <f>EXP(-LN(2)/2)*EX186+(1-EXP(-LN(2)/2))/(LN(2)/2)*ER187*EU187*VLOOKUP('Données projet'!$B$15,Paramètres!$A$1:$I$88,3,0)*0.475*44/12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projet'!$B$16,Paramètres!$A$1:$I$88,3,0)*VLOOKUP('Données projet'!$B$16,Paramètres!$A$1:$I$88,5,0)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projet'!$B$16,Paramètres!$A$1:$I$88,7,0))</f>
        <v>0</v>
      </c>
      <c r="FO187" s="17">
        <f>IF(ISNA(VLOOKUP(A187,'Données projet'!$A$217:$I$237,6,0)),0%,VLOOKUP(A187,'Données projet'!$A$217:$I$237,6,0)*VLOOKUP('Données projet'!$B$16,Paramètres!$A$1:$I$88,7,0))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projet'!$B$16,Paramètres!$A$1:$I$88,3,0)*0.475*44/12</f>
        <v>#N/A</v>
      </c>
      <c r="FR187" s="23" t="e">
        <f>EXP(-LN(2)/25)*FR186+(1-EXP(-LN(2)/25))/(LN(2)/25)*Calculateur!FM187*Calculateur!FO187*VLOOKUP('Données projet'!$B$16,Paramètres!$A$1:$I$88,3,0)*0.475*44/12</f>
        <v>#N/A</v>
      </c>
      <c r="FS187" s="23" t="e">
        <f>EXP(-LN(2)/2)*FS186+(1-EXP(-LN(2)/2))/(LN(2)/2)*FM187*FP187*VLOOKUP('Données projet'!$B$16,Paramètres!$A$1:$I$88,3,0)*0.475*44/12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projet'!$B$17,Paramètres!$A$1:$I$88,3,0)*VLOOKUP('Données projet'!$B$17,Paramètres!$A$1:$I$88,5,0)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projet'!$B$17,Paramètres!$A$1:$I$88,7,0))</f>
        <v>0</v>
      </c>
      <c r="GJ187" s="17">
        <f>IF(ISNA(VLOOKUP(A187,'Données projet'!$A$243:$I$263,6,0)),0%,VLOOKUP(A187,'Données projet'!$A$243:$I$263,6,0)*VLOOKUP('Données projet'!$B$17,Paramètres!$A$1:$I$88,7,0))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projet'!$B$17,Paramètres!$A$1:$I$88,3,0)*0.475*44/12</f>
        <v>#N/A</v>
      </c>
      <c r="GM187" s="23" t="e">
        <f>EXP(-LN(2)/25)*GM186+(1-EXP(-LN(2)/25))/(LN(2)/25)*Calculateur!GH187*Calculateur!GJ187*VLOOKUP('Données projet'!$B$17,Paramètres!$A$1:$I$88,3,0)*0.475*44/12</f>
        <v>#N/A</v>
      </c>
      <c r="GN187" s="23" t="e">
        <f>EXP(-LN(2)/2)*GN186+(1-EXP(-LN(2)/2))/(LN(2)/2)*GH187*GK187*VLOOKUP('Données projet'!$B$17,Paramètres!$A$1:$I$88,3,0)*0.475*44/12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projet'!$B$18,Paramètres!$A$1:$I$88,3,0)*VLOOKUP('Données projet'!$B$18,Paramètres!$A$1:$I$88,5,0)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projet'!$B$18,Paramètres!$A$1:$I$88,7,0))</f>
        <v>0</v>
      </c>
      <c r="HE187" s="17">
        <f>IF(ISNA(VLOOKUP(A187,'Données projet'!$A$269:$I$289,6,0)),0%,VLOOKUP(A187,'Données projet'!$A$269:$I$289,6,0)*VLOOKUP('Données projet'!$B$18,Paramètres!$A$1:$I$88,7,0))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projet'!$B$18,Paramètres!$A$1:$I$88,3,0)*0.475*44/12</f>
        <v>#N/A</v>
      </c>
      <c r="HH187" s="23" t="e">
        <f>EXP(-LN(2)/25)*HH186+(1-EXP(-LN(2)/25))/(LN(2)/25)*Calculateur!HC187*Calculateur!HE187*VLOOKUP('Données projet'!$B$18,Paramètres!$A$1:$I$88,3,0)*0.475*44/12</f>
        <v>#N/A</v>
      </c>
      <c r="HI187" s="23" t="e">
        <f>EXP(-LN(2)/2)*HI186+(1-EXP(-LN(2)/2))/(LN(2)/2)*HC187*HF187*VLOOKUP('Données projet'!$B$18,Paramètres!$A$1:$I$88,3,0)*0.475*44/12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projet'!$B$9,Paramètres!$A$1:$I$88,3,0)*VLOOKUP('Données projet'!$B$9,Paramètres!$A$1:$I$88,5,0)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175.05987582828078</v>
      </c>
      <c r="T188" s="62">
        <f t="shared" si="142"/>
        <v>268.54782308462387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projet'!$B$9,Paramètres!$A$1:$I$88,7,0))</f>
        <v>0</v>
      </c>
      <c r="X188" s="17">
        <f>IF(ISNA(VLOOKUP(A188,'Données projet'!$A$35:$I$55,6,0)),0%,VLOOKUP(A188,'Données projet'!$A$35:$I$55,6,0)*VLOOKUP('Données projet'!$B$9,Paramètres!$A$1:$I$88,7,0))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projet'!$B$9,Paramètres!$A$1:$I$88,3,0)*0.475*44/12</f>
        <v>0</v>
      </c>
      <c r="AA188" s="23">
        <f>EXP(-LN(2)/25)*AA187+(1-EXP(-LN(2)/25))/(LN(2)/25)*Calculateur!V188*Calculateur!X188*VLOOKUP('Données projet'!$B$9,Paramètres!$A$1:$I$88,3,0)*0.475*44/12</f>
        <v>0.1400426684157679</v>
      </c>
      <c r="AB188" s="23">
        <f>EXP(-LN(2)/2)*AB187+(1-EXP(-LN(2)/2))/(LN(2)/2)*V188*Y188*VLOOKUP('Données projet'!$B$9,Paramètres!$A$1:$I$88,3,0)*0.475*44/12</f>
        <v>7.729552543617603E-23</v>
      </c>
      <c r="AC188" s="24">
        <f t="shared" si="163"/>
        <v>0.1400426684157679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-1.5916157281026244E-12</v>
      </c>
      <c r="AJ188" s="14">
        <f>AI188*VLOOKUP('Données projet'!$B$10,Paramètres!$A$1:$I$88,3,0)*VLOOKUP('Données projet'!$B$10,Paramètres!$A$1:$I$88,5,0)</f>
        <v>-7.6556716521736234E-13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576.61210817354549</v>
      </c>
      <c r="AO188" s="62">
        <f t="shared" si="144"/>
        <v>343.9428747444544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projet'!$B$10,Paramètres!$A$1:$I$88,7,0))</f>
        <v>0</v>
      </c>
      <c r="AS188" s="17">
        <f>IF(ISNA(VLOOKUP(A188,'Données projet'!$A$61:$I$81,6,0)),0%,VLOOKUP(A188,'Données projet'!$A$61:$I$81,6,0)*VLOOKUP('Données projet'!$B$10,Paramètres!$A$1:$I$88,7,0))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projet'!$B$10,Paramètres!$A$1:$I$88,3,0)*0.475*44/12</f>
        <v>0</v>
      </c>
      <c r="AV188" s="23">
        <f>EXP(-LN(2)/25)*AV187+(1-EXP(-LN(2)/25))/(LN(2)/25)*Calculateur!AQ188*Calculateur!AS188*VLOOKUP('Données projet'!$B$10,Paramètres!$A$1:$I$88,3,0)*0.475*44/12</f>
        <v>7.7028564701963495E-2</v>
      </c>
      <c r="AW188" s="23">
        <f>EXP(-LN(2)/2)*AW187+(1-EXP(-LN(2)/2))/(LN(2)/2)*AQ188*AT188*VLOOKUP('Données projet'!$B$10,Paramètres!$A$1:$I$88,3,0)*0.475*44/12</f>
        <v>5.5043964079916231E-23</v>
      </c>
      <c r="AX188" s="23">
        <f t="shared" si="166"/>
        <v>7.7028564701963495E-2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-5.6843418860808015E-14</v>
      </c>
      <c r="BE188" s="14">
        <f>BD188*VLOOKUP('Données projet'!$B$11,Paramètres!$A$1:$I$88,3,0)*VLOOKUP('Données projet'!$B$11,Paramètres!$A$1:$I$88,5,0)</f>
        <v>-4.5224624045658861E-14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298.38448036212861</v>
      </c>
      <c r="BJ188" s="62">
        <f t="shared" si="146"/>
        <v>270.4445531106897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projet'!$B$11,Paramètres!$A$1:$I$88,7,0))</f>
        <v>0</v>
      </c>
      <c r="BN188" s="17">
        <f>IF(ISNA(VLOOKUP(A188,'Données projet'!$A$87:$I$107,6,0)),0%,VLOOKUP(A188,'Données projet'!$A$87:$I$107,6,0)*VLOOKUP('Données projet'!$B$11,Paramètres!$A$1:$I$88,7,0))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projet'!$B$11,Paramètres!$A$1:$I$88,3,0)*0.475*44/12</f>
        <v>0</v>
      </c>
      <c r="BQ188" s="23">
        <f>EXP(-LN(2)/25)*BQ187+(1-EXP(-LN(2)/25))/(LN(2)/25)*Calculateur!BL188*Calculateur!BN188*VLOOKUP('Données projet'!$B$11,Paramètres!$A$1:$I$88,3,0)*0.475*44/12</f>
        <v>0</v>
      </c>
      <c r="BR188" s="23">
        <f>EXP(-LN(2)/2)*BR187+(1-EXP(-LN(2)/2))/(LN(2)/2)*BL188*BO188*VLOOKUP('Données projet'!$B$11,Paramètres!$A$1:$I$88,3,0)*0.475*44/12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5.6843418860808015E-14</v>
      </c>
      <c r="BZ188" s="14">
        <f>BY188*VLOOKUP('Données projet'!$B$12,Paramètres!$A$1:$I$88,3,0)*VLOOKUP('Données projet'!$B$12,Paramètres!$A$1:$I$88,5,0)</f>
        <v>4.4337866711430253E-14</v>
      </c>
      <c r="CA188" s="14">
        <f t="shared" si="170"/>
        <v>7.3222115536967035E-13</v>
      </c>
      <c r="CB188" s="22">
        <f t="shared" si="171"/>
        <v>1.3525069634579169E-12</v>
      </c>
      <c r="CC188" s="62">
        <f t="shared" si="119"/>
        <v>293.33333333333468</v>
      </c>
      <c r="CD188" s="62">
        <f ca="1">AVERAGE(OFFSET($CC$3,0,0,'Données projet'!$E$12+1,1))-AVERAGE(OFFSET($H$3,0,0,'Données projet'!$E$12+1,1))</f>
        <v>217.32600829266818</v>
      </c>
      <c r="CE188" s="62">
        <f t="shared" si="148"/>
        <v>208.79744153433245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projet'!$B$12,Paramètres!$A$1:$I$88,7,0))</f>
        <v>0</v>
      </c>
      <c r="CI188" s="17">
        <f>IF(ISNA(VLOOKUP(A188,'Données projet'!$A$113:$I$133,6,0)),0%,VLOOKUP(A188,'Données projet'!$A$113:$I$133,6,0)*VLOOKUP('Données projet'!$B$12,Paramètres!$A$1:$I$88,7,0))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projet'!$B$12,Paramètres!$A$1:$I$88,3,0)*0.475*44/12</f>
        <v>0</v>
      </c>
      <c r="CL188" s="23">
        <f>EXP(-LN(2)/25)*CL187+(1-EXP(-LN(2)/25))/(LN(2)/25)*Calculateur!CG188*Calculateur!CI188*VLOOKUP('Données projet'!$B$12,Paramètres!$A$1:$I$88,3,0)*0.475*44/12</f>
        <v>0</v>
      </c>
      <c r="CM188" s="23">
        <f>EXP(-LN(2)/2)*CM187+(1-EXP(-LN(2)/2))/(LN(2)/2)*CG188*CJ188*VLOOKUP('Données projet'!$B$12,Paramètres!$A$1:$I$88,3,0)*0.475*44/12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-3.4106051316484809E-13</v>
      </c>
      <c r="CU188" s="18">
        <f>CT188*VLOOKUP('Données projet'!$B$13,Paramètres!$A$1:$I$88,3,0)*VLOOKUP('Données projet'!$B$13,Paramètres!$A$1:$I$88,5,0)</f>
        <v>-1.9065282685915009E-13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302.20483575440988</v>
      </c>
      <c r="CZ188" s="62">
        <f t="shared" si="150"/>
        <v>275.32862097158687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projet'!$B$13,Paramètres!$A$1:$I$88,7,0))</f>
        <v>0</v>
      </c>
      <c r="DD188" s="17">
        <f>IF(ISNA(VLOOKUP(A188,'Données projet'!$A$139:$I$159,6,0)),0%,VLOOKUP(A188,'Données projet'!$A$139:$I$159,6,0)*VLOOKUP('Données projet'!$B$13,Paramètres!$A$1:$I$88,7,0))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projet'!$B$13,Paramètres!$A$1:$I$88,3,0)*0.475*44/12</f>
        <v>0</v>
      </c>
      <c r="DG188" s="23">
        <f>EXP(-LN(2)/25)*DG187+(1-EXP(-LN(2)/25))/(LN(2)/25)*Calculateur!DB188*Calculateur!DD188*VLOOKUP('Données projet'!$B$13,Paramètres!$A$1:$I$88,3,0)*0.475*44/12</f>
        <v>0.1880827857007705</v>
      </c>
      <c r="DH188" s="23">
        <f>EXP(-LN(2)/2)*DH187+(1-EXP(-LN(2)/2))/(LN(2)/2)*DB188*DE188*VLOOKUP('Données projet'!$B$13,Paramètres!$A$1:$I$88,3,0)*0.475*44/12</f>
        <v>3.1729402065927175E-23</v>
      </c>
      <c r="DI188" s="24">
        <f t="shared" si="175"/>
        <v>0.1880827857007705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projet'!$B$14,Paramètres!$A$1:$I$88,3,0)*VLOOKUP('Données projet'!$B$14,Paramètres!$A$1:$I$88,5,0)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projet'!$B$14,Paramètres!$A$1:$I$88,7,0))</f>
        <v>0</v>
      </c>
      <c r="DY188" s="17">
        <f>IF(ISNA(VLOOKUP(A188,'Données projet'!$A$165:$I$185,6,0)),0%,VLOOKUP(A188,'Données projet'!$A$165:$I$185,6,0)*VLOOKUP('Données projet'!$B$14,Paramètres!$A$1:$I$88,7,0))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projet'!$B$14,Paramètres!$A$1:$I$88,3,0)*0.475*44/12</f>
        <v>#N/A</v>
      </c>
      <c r="EB188" s="23" t="e">
        <f>EXP(-LN(2)/25)*EB187+(1-EXP(-LN(2)/25))/(LN(2)/25)*Calculateur!DW188*Calculateur!DY188*VLOOKUP('Données projet'!$B$14,Paramètres!$A$1:$I$88,3,0)*0.475*44/12</f>
        <v>#N/A</v>
      </c>
      <c r="EC188" s="23" t="e">
        <f>EXP(-LN(2)/2)*EC187+(1-EXP(-LN(2)/2))/(LN(2)/2)*DW188*DZ188*VLOOKUP('Données projet'!$B$14,Paramètres!$A$1:$I$88,3,0)*0.475*44/12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projet'!$B$15,Paramètres!$A$1:$I$88,3,0)*VLOOKUP('Données projet'!$B$15,Paramètres!$A$1:$I$88,5,0)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projet'!$B$15,Paramètres!$A$1:$I$88,7,0))</f>
        <v>0</v>
      </c>
      <c r="ET188" s="17">
        <f>IF(ISNA(VLOOKUP(A188,'Données projet'!$A$191:$I$211,6,0)),0%,VLOOKUP(A188,'Données projet'!$A$191:$I$211,6,0)*VLOOKUP('Données projet'!$B$15,Paramètres!$A$1:$I$88,7,0))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projet'!$B$15,Paramètres!$A$1:$I$88,3,0)*0.475*44/12</f>
        <v>#N/A</v>
      </c>
      <c r="EW188" s="23" t="e">
        <f>EXP(-LN(2)/25)*EW187+(1-EXP(-LN(2)/25))/(LN(2)/25)*Calculateur!ER188*Calculateur!ET188*VLOOKUP('Données projet'!$B$15,Paramètres!$A$1:$I$88,3,0)*0.475*44/12</f>
        <v>#N/A</v>
      </c>
      <c r="EX188" s="23" t="e">
        <f>EXP(-LN(2)/2)*EX187+(1-EXP(-LN(2)/2))/(LN(2)/2)*ER188*EU188*VLOOKUP('Données projet'!$B$15,Paramètres!$A$1:$I$88,3,0)*0.475*44/12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projet'!$B$16,Paramètres!$A$1:$I$88,3,0)*VLOOKUP('Données projet'!$B$16,Paramètres!$A$1:$I$88,5,0)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projet'!$B$16,Paramètres!$A$1:$I$88,7,0))</f>
        <v>0</v>
      </c>
      <c r="FO188" s="17">
        <f>IF(ISNA(VLOOKUP(A188,'Données projet'!$A$217:$I$237,6,0)),0%,VLOOKUP(A188,'Données projet'!$A$217:$I$237,6,0)*VLOOKUP('Données projet'!$B$16,Paramètres!$A$1:$I$88,7,0))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projet'!$B$16,Paramètres!$A$1:$I$88,3,0)*0.475*44/12</f>
        <v>#N/A</v>
      </c>
      <c r="FR188" s="23" t="e">
        <f>EXP(-LN(2)/25)*FR187+(1-EXP(-LN(2)/25))/(LN(2)/25)*Calculateur!FM188*Calculateur!FO188*VLOOKUP('Données projet'!$B$16,Paramètres!$A$1:$I$88,3,0)*0.475*44/12</f>
        <v>#N/A</v>
      </c>
      <c r="FS188" s="23" t="e">
        <f>EXP(-LN(2)/2)*FS187+(1-EXP(-LN(2)/2))/(LN(2)/2)*FM188*FP188*VLOOKUP('Données projet'!$B$16,Paramètres!$A$1:$I$88,3,0)*0.475*44/12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projet'!$B$17,Paramètres!$A$1:$I$88,3,0)*VLOOKUP('Données projet'!$B$17,Paramètres!$A$1:$I$88,5,0)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projet'!$B$17,Paramètres!$A$1:$I$88,7,0))</f>
        <v>0</v>
      </c>
      <c r="GJ188" s="17">
        <f>IF(ISNA(VLOOKUP(A188,'Données projet'!$A$243:$I$263,6,0)),0%,VLOOKUP(A188,'Données projet'!$A$243:$I$263,6,0)*VLOOKUP('Données projet'!$B$17,Paramètres!$A$1:$I$88,7,0))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projet'!$B$17,Paramètres!$A$1:$I$88,3,0)*0.475*44/12</f>
        <v>#N/A</v>
      </c>
      <c r="GM188" s="23" t="e">
        <f>EXP(-LN(2)/25)*GM187+(1-EXP(-LN(2)/25))/(LN(2)/25)*Calculateur!GH188*Calculateur!GJ188*VLOOKUP('Données projet'!$B$17,Paramètres!$A$1:$I$88,3,0)*0.475*44/12</f>
        <v>#N/A</v>
      </c>
      <c r="GN188" s="23" t="e">
        <f>EXP(-LN(2)/2)*GN187+(1-EXP(-LN(2)/2))/(LN(2)/2)*GH188*GK188*VLOOKUP('Données projet'!$B$17,Paramètres!$A$1:$I$88,3,0)*0.475*44/12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projet'!$B$18,Paramètres!$A$1:$I$88,3,0)*VLOOKUP('Données projet'!$B$18,Paramètres!$A$1:$I$88,5,0)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projet'!$B$18,Paramètres!$A$1:$I$88,7,0))</f>
        <v>0</v>
      </c>
      <c r="HE188" s="17">
        <f>IF(ISNA(VLOOKUP(A188,'Données projet'!$A$269:$I$289,6,0)),0%,VLOOKUP(A188,'Données projet'!$A$269:$I$289,6,0)*VLOOKUP('Données projet'!$B$18,Paramètres!$A$1:$I$88,7,0))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projet'!$B$18,Paramètres!$A$1:$I$88,3,0)*0.475*44/12</f>
        <v>#N/A</v>
      </c>
      <c r="HH188" s="23" t="e">
        <f>EXP(-LN(2)/25)*HH187+(1-EXP(-LN(2)/25))/(LN(2)/25)*Calculateur!HC188*Calculateur!HE188*VLOOKUP('Données projet'!$B$18,Paramètres!$A$1:$I$88,3,0)*0.475*44/12</f>
        <v>#N/A</v>
      </c>
      <c r="HI188" s="23" t="e">
        <f>EXP(-LN(2)/2)*HI187+(1-EXP(-LN(2)/2))/(LN(2)/2)*HC188*HF188*VLOOKUP('Données projet'!$B$18,Paramètres!$A$1:$I$88,3,0)*0.475*44/12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projet'!$B$9,Paramètres!$A$1:$I$88,3,0)*VLOOKUP('Données projet'!$B$9,Paramètres!$A$1:$I$88,5,0)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175.05987582828078</v>
      </c>
      <c r="T189" s="62">
        <f t="shared" si="142"/>
        <v>268.54782308462387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projet'!$B$9,Paramètres!$A$1:$I$88,7,0))</f>
        <v>0</v>
      </c>
      <c r="X189" s="17">
        <f>IF(ISNA(VLOOKUP(A189,'Données projet'!$A$35:$I$55,6,0)),0%,VLOOKUP(A189,'Données projet'!$A$35:$I$55,6,0)*VLOOKUP('Données projet'!$B$9,Paramètres!$A$1:$I$88,7,0))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projet'!$B$9,Paramètres!$A$1:$I$88,3,0)*0.475*44/12</f>
        <v>0</v>
      </c>
      <c r="AA189" s="23">
        <f>EXP(-LN(2)/25)*AA188+(1-EXP(-LN(2)/25))/(LN(2)/25)*Calculateur!V189*Calculateur!X189*VLOOKUP('Données projet'!$B$9,Paramètres!$A$1:$I$88,3,0)*0.475*44/12</f>
        <v>0.13621319428341486</v>
      </c>
      <c r="AB189" s="23">
        <f>EXP(-LN(2)/2)*AB188+(1-EXP(-LN(2)/2))/(LN(2)/2)*V189*Y189*VLOOKUP('Données projet'!$B$9,Paramètres!$A$1:$I$88,3,0)*0.475*44/12</f>
        <v>5.4656190191297342E-23</v>
      </c>
      <c r="AC189" s="24">
        <f t="shared" si="163"/>
        <v>0.13621319428341486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-1.5916157281026244E-12</v>
      </c>
      <c r="AJ189" s="14">
        <f>AI189*VLOOKUP('Données projet'!$B$10,Paramètres!$A$1:$I$88,3,0)*VLOOKUP('Données projet'!$B$10,Paramètres!$A$1:$I$88,5,0)</f>
        <v>-7.6556716521736234E-13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576.61210817354549</v>
      </c>
      <c r="AO189" s="62">
        <f t="shared" si="144"/>
        <v>343.9428747444544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projet'!$B$10,Paramètres!$A$1:$I$88,7,0))</f>
        <v>0</v>
      </c>
      <c r="AS189" s="17">
        <f>IF(ISNA(VLOOKUP(A189,'Données projet'!$A$61:$I$81,6,0)),0%,VLOOKUP(A189,'Données projet'!$A$61:$I$81,6,0)*VLOOKUP('Données projet'!$B$10,Paramètres!$A$1:$I$88,7,0))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projet'!$B$10,Paramètres!$A$1:$I$88,3,0)*0.475*44/12</f>
        <v>0</v>
      </c>
      <c r="AV189" s="23">
        <f>EXP(-LN(2)/25)*AV188+(1-EXP(-LN(2)/25))/(LN(2)/25)*Calculateur!AQ189*Calculateur!AS189*VLOOKUP('Données projet'!$B$10,Paramètres!$A$1:$I$88,3,0)*0.475*44/12</f>
        <v>7.492221454943214E-2</v>
      </c>
      <c r="AW189" s="23">
        <f>EXP(-LN(2)/2)*AW188+(1-EXP(-LN(2)/2))/(LN(2)/2)*AQ189*AT189*VLOOKUP('Données projet'!$B$10,Paramètres!$A$1:$I$88,3,0)*0.475*44/12</f>
        <v>3.8921960264297509E-23</v>
      </c>
      <c r="AX189" s="23">
        <f t="shared" si="166"/>
        <v>7.492221454943214E-2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-5.6843418860808015E-14</v>
      </c>
      <c r="BE189" s="14">
        <f>BD189*VLOOKUP('Données projet'!$B$11,Paramètres!$A$1:$I$88,3,0)*VLOOKUP('Données projet'!$B$11,Paramètres!$A$1:$I$88,5,0)</f>
        <v>-4.5224624045658861E-14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298.38448036212861</v>
      </c>
      <c r="BJ189" s="62">
        <f t="shared" si="146"/>
        <v>270.4445531106897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projet'!$B$11,Paramètres!$A$1:$I$88,7,0))</f>
        <v>0</v>
      </c>
      <c r="BN189" s="17">
        <f>IF(ISNA(VLOOKUP(A189,'Données projet'!$A$87:$I$107,6,0)),0%,VLOOKUP(A189,'Données projet'!$A$87:$I$107,6,0)*VLOOKUP('Données projet'!$B$11,Paramètres!$A$1:$I$88,7,0))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projet'!$B$11,Paramètres!$A$1:$I$88,3,0)*0.475*44/12</f>
        <v>0</v>
      </c>
      <c r="BQ189" s="23">
        <f>EXP(-LN(2)/25)*BQ188+(1-EXP(-LN(2)/25))/(LN(2)/25)*Calculateur!BL189*Calculateur!BN189*VLOOKUP('Données projet'!$B$11,Paramètres!$A$1:$I$88,3,0)*0.475*44/12</f>
        <v>0</v>
      </c>
      <c r="BR189" s="23">
        <f>EXP(-LN(2)/2)*BR188+(1-EXP(-LN(2)/2))/(LN(2)/2)*BL189*BO189*VLOOKUP('Données projet'!$B$11,Paramètres!$A$1:$I$88,3,0)*0.475*44/12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5.6843418860808015E-14</v>
      </c>
      <c r="BZ189" s="14">
        <f>BY189*VLOOKUP('Données projet'!$B$12,Paramètres!$A$1:$I$88,3,0)*VLOOKUP('Données projet'!$B$12,Paramètres!$A$1:$I$88,5,0)</f>
        <v>4.4337866711430253E-14</v>
      </c>
      <c r="CA189" s="14">
        <f t="shared" si="170"/>
        <v>7.3222115536967035E-13</v>
      </c>
      <c r="CB189" s="22">
        <f t="shared" si="171"/>
        <v>1.3525069634579169E-12</v>
      </c>
      <c r="CC189" s="62">
        <f t="shared" si="119"/>
        <v>293.33333333333468</v>
      </c>
      <c r="CD189" s="62">
        <f ca="1">AVERAGE(OFFSET($CC$3,0,0,'Données projet'!$E$12+1,1))-AVERAGE(OFFSET($H$3,0,0,'Données projet'!$E$12+1,1))</f>
        <v>217.32600829266818</v>
      </c>
      <c r="CE189" s="62">
        <f t="shared" si="148"/>
        <v>208.79744153433245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projet'!$B$12,Paramètres!$A$1:$I$88,7,0))</f>
        <v>0</v>
      </c>
      <c r="CI189" s="17">
        <f>IF(ISNA(VLOOKUP(A189,'Données projet'!$A$113:$I$133,6,0)),0%,VLOOKUP(A189,'Données projet'!$A$113:$I$133,6,0)*VLOOKUP('Données projet'!$B$12,Paramètres!$A$1:$I$88,7,0))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projet'!$B$12,Paramètres!$A$1:$I$88,3,0)*0.475*44/12</f>
        <v>0</v>
      </c>
      <c r="CL189" s="23">
        <f>EXP(-LN(2)/25)*CL188+(1-EXP(-LN(2)/25))/(LN(2)/25)*Calculateur!CG189*Calculateur!CI189*VLOOKUP('Données projet'!$B$12,Paramètres!$A$1:$I$88,3,0)*0.475*44/12</f>
        <v>0</v>
      </c>
      <c r="CM189" s="23">
        <f>EXP(-LN(2)/2)*CM188+(1-EXP(-LN(2)/2))/(LN(2)/2)*CG189*CJ189*VLOOKUP('Données projet'!$B$12,Paramètres!$A$1:$I$88,3,0)*0.475*44/12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-3.4106051316484809E-13</v>
      </c>
      <c r="CU189" s="18">
        <f>CT189*VLOOKUP('Données projet'!$B$13,Paramètres!$A$1:$I$88,3,0)*VLOOKUP('Données projet'!$B$13,Paramètres!$A$1:$I$88,5,0)</f>
        <v>-1.9065282685915009E-13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302.20483575440988</v>
      </c>
      <c r="CZ189" s="62">
        <f t="shared" si="150"/>
        <v>275.32862097158687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projet'!$B$13,Paramètres!$A$1:$I$88,7,0))</f>
        <v>0</v>
      </c>
      <c r="DD189" s="17">
        <f>IF(ISNA(VLOOKUP(A189,'Données projet'!$A$139:$I$159,6,0)),0%,VLOOKUP(A189,'Données projet'!$A$139:$I$159,6,0)*VLOOKUP('Données projet'!$B$13,Paramètres!$A$1:$I$88,7,0))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projet'!$B$13,Paramètres!$A$1:$I$88,3,0)*0.475*44/12</f>
        <v>0</v>
      </c>
      <c r="DG189" s="23">
        <f>EXP(-LN(2)/25)*DG188+(1-EXP(-LN(2)/25))/(LN(2)/25)*Calculateur!DB189*Calculateur!DD189*VLOOKUP('Données projet'!$B$13,Paramètres!$A$1:$I$88,3,0)*0.475*44/12</f>
        <v>0.18293965203493909</v>
      </c>
      <c r="DH189" s="23">
        <f>EXP(-LN(2)/2)*DH188+(1-EXP(-LN(2)/2))/(LN(2)/2)*DB189*DE189*VLOOKUP('Données projet'!$B$13,Paramètres!$A$1:$I$88,3,0)*0.475*44/12</f>
        <v>2.2436075363811557E-23</v>
      </c>
      <c r="DI189" s="24">
        <f t="shared" si="175"/>
        <v>0.18293965203493909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projet'!$B$14,Paramètres!$A$1:$I$88,3,0)*VLOOKUP('Données projet'!$B$14,Paramètres!$A$1:$I$88,5,0)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projet'!$B$14,Paramètres!$A$1:$I$88,7,0))</f>
        <v>0</v>
      </c>
      <c r="DY189" s="17">
        <f>IF(ISNA(VLOOKUP(A189,'Données projet'!$A$165:$I$185,6,0)),0%,VLOOKUP(A189,'Données projet'!$A$165:$I$185,6,0)*VLOOKUP('Données projet'!$B$14,Paramètres!$A$1:$I$88,7,0))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projet'!$B$14,Paramètres!$A$1:$I$88,3,0)*0.475*44/12</f>
        <v>#N/A</v>
      </c>
      <c r="EB189" s="23" t="e">
        <f>EXP(-LN(2)/25)*EB188+(1-EXP(-LN(2)/25))/(LN(2)/25)*Calculateur!DW189*Calculateur!DY189*VLOOKUP('Données projet'!$B$14,Paramètres!$A$1:$I$88,3,0)*0.475*44/12</f>
        <v>#N/A</v>
      </c>
      <c r="EC189" s="23" t="e">
        <f>EXP(-LN(2)/2)*EC188+(1-EXP(-LN(2)/2))/(LN(2)/2)*DW189*DZ189*VLOOKUP('Données projet'!$B$14,Paramètres!$A$1:$I$88,3,0)*0.475*44/12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projet'!$B$15,Paramètres!$A$1:$I$88,3,0)*VLOOKUP('Données projet'!$B$15,Paramètres!$A$1:$I$88,5,0)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projet'!$B$15,Paramètres!$A$1:$I$88,7,0))</f>
        <v>0</v>
      </c>
      <c r="ET189" s="17">
        <f>IF(ISNA(VLOOKUP(A189,'Données projet'!$A$191:$I$211,6,0)),0%,VLOOKUP(A189,'Données projet'!$A$191:$I$211,6,0)*VLOOKUP('Données projet'!$B$15,Paramètres!$A$1:$I$88,7,0))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projet'!$B$15,Paramètres!$A$1:$I$88,3,0)*0.475*44/12</f>
        <v>#N/A</v>
      </c>
      <c r="EW189" s="23" t="e">
        <f>EXP(-LN(2)/25)*EW188+(1-EXP(-LN(2)/25))/(LN(2)/25)*Calculateur!ER189*Calculateur!ET189*VLOOKUP('Données projet'!$B$15,Paramètres!$A$1:$I$88,3,0)*0.475*44/12</f>
        <v>#N/A</v>
      </c>
      <c r="EX189" s="23" t="e">
        <f>EXP(-LN(2)/2)*EX188+(1-EXP(-LN(2)/2))/(LN(2)/2)*ER189*EU189*VLOOKUP('Données projet'!$B$15,Paramètres!$A$1:$I$88,3,0)*0.475*44/12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projet'!$B$16,Paramètres!$A$1:$I$88,3,0)*VLOOKUP('Données projet'!$B$16,Paramètres!$A$1:$I$88,5,0)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projet'!$B$16,Paramètres!$A$1:$I$88,7,0))</f>
        <v>0</v>
      </c>
      <c r="FO189" s="17">
        <f>IF(ISNA(VLOOKUP(A189,'Données projet'!$A$217:$I$237,6,0)),0%,VLOOKUP(A189,'Données projet'!$A$217:$I$237,6,0)*VLOOKUP('Données projet'!$B$16,Paramètres!$A$1:$I$88,7,0))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projet'!$B$16,Paramètres!$A$1:$I$88,3,0)*0.475*44/12</f>
        <v>#N/A</v>
      </c>
      <c r="FR189" s="23" t="e">
        <f>EXP(-LN(2)/25)*FR188+(1-EXP(-LN(2)/25))/(LN(2)/25)*Calculateur!FM189*Calculateur!FO189*VLOOKUP('Données projet'!$B$16,Paramètres!$A$1:$I$88,3,0)*0.475*44/12</f>
        <v>#N/A</v>
      </c>
      <c r="FS189" s="23" t="e">
        <f>EXP(-LN(2)/2)*FS188+(1-EXP(-LN(2)/2))/(LN(2)/2)*FM189*FP189*VLOOKUP('Données projet'!$B$16,Paramètres!$A$1:$I$88,3,0)*0.475*44/12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projet'!$B$17,Paramètres!$A$1:$I$88,3,0)*VLOOKUP('Données projet'!$B$17,Paramètres!$A$1:$I$88,5,0)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projet'!$B$17,Paramètres!$A$1:$I$88,7,0))</f>
        <v>0</v>
      </c>
      <c r="GJ189" s="17">
        <f>IF(ISNA(VLOOKUP(A189,'Données projet'!$A$243:$I$263,6,0)),0%,VLOOKUP(A189,'Données projet'!$A$243:$I$263,6,0)*VLOOKUP('Données projet'!$B$17,Paramètres!$A$1:$I$88,7,0))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projet'!$B$17,Paramètres!$A$1:$I$88,3,0)*0.475*44/12</f>
        <v>#N/A</v>
      </c>
      <c r="GM189" s="23" t="e">
        <f>EXP(-LN(2)/25)*GM188+(1-EXP(-LN(2)/25))/(LN(2)/25)*Calculateur!GH189*Calculateur!GJ189*VLOOKUP('Données projet'!$B$17,Paramètres!$A$1:$I$88,3,0)*0.475*44/12</f>
        <v>#N/A</v>
      </c>
      <c r="GN189" s="23" t="e">
        <f>EXP(-LN(2)/2)*GN188+(1-EXP(-LN(2)/2))/(LN(2)/2)*GH189*GK189*VLOOKUP('Données projet'!$B$17,Paramètres!$A$1:$I$88,3,0)*0.475*44/12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projet'!$B$18,Paramètres!$A$1:$I$88,3,0)*VLOOKUP('Données projet'!$B$18,Paramètres!$A$1:$I$88,5,0)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projet'!$B$18,Paramètres!$A$1:$I$88,7,0))</f>
        <v>0</v>
      </c>
      <c r="HE189" s="17">
        <f>IF(ISNA(VLOOKUP(A189,'Données projet'!$A$269:$I$289,6,0)),0%,VLOOKUP(A189,'Données projet'!$A$269:$I$289,6,0)*VLOOKUP('Données projet'!$B$18,Paramètres!$A$1:$I$88,7,0))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projet'!$B$18,Paramètres!$A$1:$I$88,3,0)*0.475*44/12</f>
        <v>#N/A</v>
      </c>
      <c r="HH189" s="23" t="e">
        <f>EXP(-LN(2)/25)*HH188+(1-EXP(-LN(2)/25))/(LN(2)/25)*Calculateur!HC189*Calculateur!HE189*VLOOKUP('Données projet'!$B$18,Paramètres!$A$1:$I$88,3,0)*0.475*44/12</f>
        <v>#N/A</v>
      </c>
      <c r="HI189" s="23" t="e">
        <f>EXP(-LN(2)/2)*HI188+(1-EXP(-LN(2)/2))/(LN(2)/2)*HC189*HF189*VLOOKUP('Données projet'!$B$18,Paramètres!$A$1:$I$88,3,0)*0.475*44/12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projet'!$B$9,Paramètres!$A$1:$I$88,3,0)*VLOOKUP('Données projet'!$B$9,Paramètres!$A$1:$I$88,5,0)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175.05987582828078</v>
      </c>
      <c r="T190" s="62">
        <f t="shared" si="142"/>
        <v>268.54782308462387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projet'!$B$9,Paramètres!$A$1:$I$88,7,0))</f>
        <v>0</v>
      </c>
      <c r="X190" s="17">
        <f>IF(ISNA(VLOOKUP(A190,'Données projet'!$A$35:$I$55,6,0)),0%,VLOOKUP(A190,'Données projet'!$A$35:$I$55,6,0)*VLOOKUP('Données projet'!$B$9,Paramètres!$A$1:$I$88,7,0))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projet'!$B$9,Paramètres!$A$1:$I$88,3,0)*0.475*44/12</f>
        <v>0</v>
      </c>
      <c r="AA190" s="23">
        <f>EXP(-LN(2)/25)*AA189+(1-EXP(-LN(2)/25))/(LN(2)/25)*Calculateur!V190*Calculateur!X190*VLOOKUP('Données projet'!$B$9,Paramètres!$A$1:$I$88,3,0)*0.475*44/12</f>
        <v>0.1324884373225943</v>
      </c>
      <c r="AB190" s="23">
        <f>EXP(-LN(2)/2)*AB189+(1-EXP(-LN(2)/2))/(LN(2)/2)*V190*Y190*VLOOKUP('Données projet'!$B$9,Paramètres!$A$1:$I$88,3,0)*0.475*44/12</f>
        <v>3.8647762718088015E-23</v>
      </c>
      <c r="AC190" s="24">
        <f t="shared" si="163"/>
        <v>0.1324884373225943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-1.5916157281026244E-12</v>
      </c>
      <c r="AJ190" s="14">
        <f>AI190*VLOOKUP('Données projet'!$B$10,Paramètres!$A$1:$I$88,3,0)*VLOOKUP('Données projet'!$B$10,Paramètres!$A$1:$I$88,5,0)</f>
        <v>-7.6556716521736234E-13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576.61210817354549</v>
      </c>
      <c r="AO190" s="62">
        <f t="shared" si="144"/>
        <v>343.9428747444544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projet'!$B$10,Paramètres!$A$1:$I$88,7,0))</f>
        <v>0</v>
      </c>
      <c r="AS190" s="17">
        <f>IF(ISNA(VLOOKUP(A190,'Données projet'!$A$61:$I$81,6,0)),0%,VLOOKUP(A190,'Données projet'!$A$61:$I$81,6,0)*VLOOKUP('Données projet'!$B$10,Paramètres!$A$1:$I$88,7,0))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projet'!$B$10,Paramètres!$A$1:$I$88,3,0)*0.475*44/12</f>
        <v>0</v>
      </c>
      <c r="AV190" s="23">
        <f>EXP(-LN(2)/25)*AV189+(1-EXP(-LN(2)/25))/(LN(2)/25)*Calculateur!AQ190*Calculateur!AS190*VLOOKUP('Données projet'!$B$10,Paramètres!$A$1:$I$88,3,0)*0.475*44/12</f>
        <v>7.2873462652589885E-2</v>
      </c>
      <c r="AW190" s="23">
        <f>EXP(-LN(2)/2)*AW189+(1-EXP(-LN(2)/2))/(LN(2)/2)*AQ190*AT190*VLOOKUP('Données projet'!$B$10,Paramètres!$A$1:$I$88,3,0)*0.475*44/12</f>
        <v>2.7521982039958116E-23</v>
      </c>
      <c r="AX190" s="23">
        <f t="shared" si="166"/>
        <v>7.2873462652589885E-2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-5.6843418860808015E-14</v>
      </c>
      <c r="BE190" s="14">
        <f>BD190*VLOOKUP('Données projet'!$B$11,Paramètres!$A$1:$I$88,3,0)*VLOOKUP('Données projet'!$B$11,Paramètres!$A$1:$I$88,5,0)</f>
        <v>-4.5224624045658861E-14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298.38448036212861</v>
      </c>
      <c r="BJ190" s="62">
        <f t="shared" si="146"/>
        <v>270.4445531106897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projet'!$B$11,Paramètres!$A$1:$I$88,7,0))</f>
        <v>0</v>
      </c>
      <c r="BN190" s="17">
        <f>IF(ISNA(VLOOKUP(A190,'Données projet'!$A$87:$I$107,6,0)),0%,VLOOKUP(A190,'Données projet'!$A$87:$I$107,6,0)*VLOOKUP('Données projet'!$B$11,Paramètres!$A$1:$I$88,7,0))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projet'!$B$11,Paramètres!$A$1:$I$88,3,0)*0.475*44/12</f>
        <v>0</v>
      </c>
      <c r="BQ190" s="23">
        <f>EXP(-LN(2)/25)*BQ189+(1-EXP(-LN(2)/25))/(LN(2)/25)*Calculateur!BL190*Calculateur!BN190*VLOOKUP('Données projet'!$B$11,Paramètres!$A$1:$I$88,3,0)*0.475*44/12</f>
        <v>0</v>
      </c>
      <c r="BR190" s="23">
        <f>EXP(-LN(2)/2)*BR189+(1-EXP(-LN(2)/2))/(LN(2)/2)*BL190*BO190*VLOOKUP('Données projet'!$B$11,Paramètres!$A$1:$I$88,3,0)*0.475*44/12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5.6843418860808015E-14</v>
      </c>
      <c r="BZ190" s="14">
        <f>BY190*VLOOKUP('Données projet'!$B$12,Paramètres!$A$1:$I$88,3,0)*VLOOKUP('Données projet'!$B$12,Paramètres!$A$1:$I$88,5,0)</f>
        <v>4.4337866711430253E-14</v>
      </c>
      <c r="CA190" s="14">
        <f t="shared" si="170"/>
        <v>7.3222115536967035E-13</v>
      </c>
      <c r="CB190" s="22">
        <f t="shared" si="171"/>
        <v>1.3525069634579169E-12</v>
      </c>
      <c r="CC190" s="62">
        <f t="shared" si="119"/>
        <v>293.33333333333468</v>
      </c>
      <c r="CD190" s="62">
        <f ca="1">AVERAGE(OFFSET($CC$3,0,0,'Données projet'!$E$12+1,1))-AVERAGE(OFFSET($H$3,0,0,'Données projet'!$E$12+1,1))</f>
        <v>217.32600829266818</v>
      </c>
      <c r="CE190" s="62">
        <f t="shared" si="148"/>
        <v>208.79744153433245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projet'!$B$12,Paramètres!$A$1:$I$88,7,0))</f>
        <v>0</v>
      </c>
      <c r="CI190" s="17">
        <f>IF(ISNA(VLOOKUP(A190,'Données projet'!$A$113:$I$133,6,0)),0%,VLOOKUP(A190,'Données projet'!$A$113:$I$133,6,0)*VLOOKUP('Données projet'!$B$12,Paramètres!$A$1:$I$88,7,0))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projet'!$B$12,Paramètres!$A$1:$I$88,3,0)*0.475*44/12</f>
        <v>0</v>
      </c>
      <c r="CL190" s="23">
        <f>EXP(-LN(2)/25)*CL189+(1-EXP(-LN(2)/25))/(LN(2)/25)*Calculateur!CG190*Calculateur!CI190*VLOOKUP('Données projet'!$B$12,Paramètres!$A$1:$I$88,3,0)*0.475*44/12</f>
        <v>0</v>
      </c>
      <c r="CM190" s="23">
        <f>EXP(-LN(2)/2)*CM189+(1-EXP(-LN(2)/2))/(LN(2)/2)*CG190*CJ190*VLOOKUP('Données projet'!$B$12,Paramètres!$A$1:$I$88,3,0)*0.475*44/12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-3.4106051316484809E-13</v>
      </c>
      <c r="CU190" s="18">
        <f>CT190*VLOOKUP('Données projet'!$B$13,Paramètres!$A$1:$I$88,3,0)*VLOOKUP('Données projet'!$B$13,Paramètres!$A$1:$I$88,5,0)</f>
        <v>-1.9065282685915009E-13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302.20483575440988</v>
      </c>
      <c r="CZ190" s="62">
        <f t="shared" si="150"/>
        <v>275.32862097158687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projet'!$B$13,Paramètres!$A$1:$I$88,7,0))</f>
        <v>0</v>
      </c>
      <c r="DD190" s="17">
        <f>IF(ISNA(VLOOKUP(A190,'Données projet'!$A$139:$I$159,6,0)),0%,VLOOKUP(A190,'Données projet'!$A$139:$I$159,6,0)*VLOOKUP('Données projet'!$B$13,Paramètres!$A$1:$I$88,7,0))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projet'!$B$13,Paramètres!$A$1:$I$88,3,0)*0.475*44/12</f>
        <v>0</v>
      </c>
      <c r="DG190" s="23">
        <f>EXP(-LN(2)/25)*DG189+(1-EXP(-LN(2)/25))/(LN(2)/25)*Calculateur!DB190*Calculateur!DD190*VLOOKUP('Données projet'!$B$13,Paramètres!$A$1:$I$88,3,0)*0.475*44/12</f>
        <v>0.1779371576296655</v>
      </c>
      <c r="DH190" s="23">
        <f>EXP(-LN(2)/2)*DH189+(1-EXP(-LN(2)/2))/(LN(2)/2)*DB190*DE190*VLOOKUP('Données projet'!$B$13,Paramètres!$A$1:$I$88,3,0)*0.475*44/12</f>
        <v>1.5864701032963588E-23</v>
      </c>
      <c r="DI190" s="24">
        <f t="shared" si="175"/>
        <v>0.1779371576296655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projet'!$B$14,Paramètres!$A$1:$I$88,3,0)*VLOOKUP('Données projet'!$B$14,Paramètres!$A$1:$I$88,5,0)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projet'!$B$14,Paramètres!$A$1:$I$88,7,0))</f>
        <v>0</v>
      </c>
      <c r="DY190" s="17">
        <f>IF(ISNA(VLOOKUP(A190,'Données projet'!$A$165:$I$185,6,0)),0%,VLOOKUP(A190,'Données projet'!$A$165:$I$185,6,0)*VLOOKUP('Données projet'!$B$14,Paramètres!$A$1:$I$88,7,0))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projet'!$B$14,Paramètres!$A$1:$I$88,3,0)*0.475*44/12</f>
        <v>#N/A</v>
      </c>
      <c r="EB190" s="23" t="e">
        <f>EXP(-LN(2)/25)*EB189+(1-EXP(-LN(2)/25))/(LN(2)/25)*Calculateur!DW190*Calculateur!DY190*VLOOKUP('Données projet'!$B$14,Paramètres!$A$1:$I$88,3,0)*0.475*44/12</f>
        <v>#N/A</v>
      </c>
      <c r="EC190" s="23" t="e">
        <f>EXP(-LN(2)/2)*EC189+(1-EXP(-LN(2)/2))/(LN(2)/2)*DW190*DZ190*VLOOKUP('Données projet'!$B$14,Paramètres!$A$1:$I$88,3,0)*0.475*44/12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projet'!$B$15,Paramètres!$A$1:$I$88,3,0)*VLOOKUP('Données projet'!$B$15,Paramètres!$A$1:$I$88,5,0)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projet'!$B$15,Paramètres!$A$1:$I$88,7,0))</f>
        <v>0</v>
      </c>
      <c r="ET190" s="17">
        <f>IF(ISNA(VLOOKUP(A190,'Données projet'!$A$191:$I$211,6,0)),0%,VLOOKUP(A190,'Données projet'!$A$191:$I$211,6,0)*VLOOKUP('Données projet'!$B$15,Paramètres!$A$1:$I$88,7,0))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projet'!$B$15,Paramètres!$A$1:$I$88,3,0)*0.475*44/12</f>
        <v>#N/A</v>
      </c>
      <c r="EW190" s="23" t="e">
        <f>EXP(-LN(2)/25)*EW189+(1-EXP(-LN(2)/25))/(LN(2)/25)*Calculateur!ER190*Calculateur!ET190*VLOOKUP('Données projet'!$B$15,Paramètres!$A$1:$I$88,3,0)*0.475*44/12</f>
        <v>#N/A</v>
      </c>
      <c r="EX190" s="23" t="e">
        <f>EXP(-LN(2)/2)*EX189+(1-EXP(-LN(2)/2))/(LN(2)/2)*ER190*EU190*VLOOKUP('Données projet'!$B$15,Paramètres!$A$1:$I$88,3,0)*0.475*44/12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projet'!$B$16,Paramètres!$A$1:$I$88,3,0)*VLOOKUP('Données projet'!$B$16,Paramètres!$A$1:$I$88,5,0)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projet'!$B$16,Paramètres!$A$1:$I$88,7,0))</f>
        <v>0</v>
      </c>
      <c r="FO190" s="17">
        <f>IF(ISNA(VLOOKUP(A190,'Données projet'!$A$217:$I$237,6,0)),0%,VLOOKUP(A190,'Données projet'!$A$217:$I$237,6,0)*VLOOKUP('Données projet'!$B$16,Paramètres!$A$1:$I$88,7,0))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projet'!$B$16,Paramètres!$A$1:$I$88,3,0)*0.475*44/12</f>
        <v>#N/A</v>
      </c>
      <c r="FR190" s="23" t="e">
        <f>EXP(-LN(2)/25)*FR189+(1-EXP(-LN(2)/25))/(LN(2)/25)*Calculateur!FM190*Calculateur!FO190*VLOOKUP('Données projet'!$B$16,Paramètres!$A$1:$I$88,3,0)*0.475*44/12</f>
        <v>#N/A</v>
      </c>
      <c r="FS190" s="23" t="e">
        <f>EXP(-LN(2)/2)*FS189+(1-EXP(-LN(2)/2))/(LN(2)/2)*FM190*FP190*VLOOKUP('Données projet'!$B$16,Paramètres!$A$1:$I$88,3,0)*0.475*44/12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projet'!$B$17,Paramètres!$A$1:$I$88,3,0)*VLOOKUP('Données projet'!$B$17,Paramètres!$A$1:$I$88,5,0)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projet'!$B$17,Paramètres!$A$1:$I$88,7,0))</f>
        <v>0</v>
      </c>
      <c r="GJ190" s="17">
        <f>IF(ISNA(VLOOKUP(A190,'Données projet'!$A$243:$I$263,6,0)),0%,VLOOKUP(A190,'Données projet'!$A$243:$I$263,6,0)*VLOOKUP('Données projet'!$B$17,Paramètres!$A$1:$I$88,7,0))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projet'!$B$17,Paramètres!$A$1:$I$88,3,0)*0.475*44/12</f>
        <v>#N/A</v>
      </c>
      <c r="GM190" s="23" t="e">
        <f>EXP(-LN(2)/25)*GM189+(1-EXP(-LN(2)/25))/(LN(2)/25)*Calculateur!GH190*Calculateur!GJ190*VLOOKUP('Données projet'!$B$17,Paramètres!$A$1:$I$88,3,0)*0.475*44/12</f>
        <v>#N/A</v>
      </c>
      <c r="GN190" s="23" t="e">
        <f>EXP(-LN(2)/2)*GN189+(1-EXP(-LN(2)/2))/(LN(2)/2)*GH190*GK190*VLOOKUP('Données projet'!$B$17,Paramètres!$A$1:$I$88,3,0)*0.475*44/12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projet'!$B$18,Paramètres!$A$1:$I$88,3,0)*VLOOKUP('Données projet'!$B$18,Paramètres!$A$1:$I$88,5,0)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projet'!$B$18,Paramètres!$A$1:$I$88,7,0))</f>
        <v>0</v>
      </c>
      <c r="HE190" s="17">
        <f>IF(ISNA(VLOOKUP(A190,'Données projet'!$A$269:$I$289,6,0)),0%,VLOOKUP(A190,'Données projet'!$A$269:$I$289,6,0)*VLOOKUP('Données projet'!$B$18,Paramètres!$A$1:$I$88,7,0))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projet'!$B$18,Paramètres!$A$1:$I$88,3,0)*0.475*44/12</f>
        <v>#N/A</v>
      </c>
      <c r="HH190" s="23" t="e">
        <f>EXP(-LN(2)/25)*HH189+(1-EXP(-LN(2)/25))/(LN(2)/25)*Calculateur!HC190*Calculateur!HE190*VLOOKUP('Données projet'!$B$18,Paramètres!$A$1:$I$88,3,0)*0.475*44/12</f>
        <v>#N/A</v>
      </c>
      <c r="HI190" s="23" t="e">
        <f>EXP(-LN(2)/2)*HI189+(1-EXP(-LN(2)/2))/(LN(2)/2)*HC190*HF190*VLOOKUP('Données projet'!$B$18,Paramètres!$A$1:$I$88,3,0)*0.475*44/12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projet'!$B$9,Paramètres!$A$1:$I$88,3,0)*VLOOKUP('Données projet'!$B$9,Paramètres!$A$1:$I$88,5,0)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175.05987582828078</v>
      </c>
      <c r="T191" s="62">
        <f t="shared" si="142"/>
        <v>268.54782308462387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projet'!$B$9,Paramètres!$A$1:$I$88,7,0))</f>
        <v>0</v>
      </c>
      <c r="X191" s="17">
        <f>IF(ISNA(VLOOKUP(A191,'Données projet'!$A$35:$I$55,6,0)),0%,VLOOKUP(A191,'Données projet'!$A$35:$I$55,6,0)*VLOOKUP('Données projet'!$B$9,Paramètres!$A$1:$I$88,7,0))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projet'!$B$9,Paramètres!$A$1:$I$88,3,0)*0.475*44/12</f>
        <v>0</v>
      </c>
      <c r="AA191" s="23">
        <f>EXP(-LN(2)/25)*AA190+(1-EXP(-LN(2)/25))/(LN(2)/25)*Calculateur!V191*Calculateur!X191*VLOOKUP('Données projet'!$B$9,Paramètres!$A$1:$I$88,3,0)*0.475*44/12</f>
        <v>0.12886553403674383</v>
      </c>
      <c r="AB191" s="23">
        <f>EXP(-LN(2)/2)*AB190+(1-EXP(-LN(2)/2))/(LN(2)/2)*V191*Y191*VLOOKUP('Données projet'!$B$9,Paramètres!$A$1:$I$88,3,0)*0.475*44/12</f>
        <v>2.7328095095648671E-23</v>
      </c>
      <c r="AC191" s="24">
        <f t="shared" si="163"/>
        <v>0.12886553403674383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-1.5916157281026244E-12</v>
      </c>
      <c r="AJ191" s="14">
        <f>AI191*VLOOKUP('Données projet'!$B$10,Paramètres!$A$1:$I$88,3,0)*VLOOKUP('Données projet'!$B$10,Paramètres!$A$1:$I$88,5,0)</f>
        <v>-7.6556716521736234E-13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576.61210817354549</v>
      </c>
      <c r="AO191" s="62">
        <f t="shared" si="144"/>
        <v>343.9428747444544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projet'!$B$10,Paramètres!$A$1:$I$88,7,0))</f>
        <v>0</v>
      </c>
      <c r="AS191" s="17">
        <f>IF(ISNA(VLOOKUP(A191,'Données projet'!$A$61:$I$81,6,0)),0%,VLOOKUP(A191,'Données projet'!$A$61:$I$81,6,0)*VLOOKUP('Données projet'!$B$10,Paramètres!$A$1:$I$88,7,0))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projet'!$B$10,Paramètres!$A$1:$I$88,3,0)*0.475*44/12</f>
        <v>0</v>
      </c>
      <c r="AV191" s="23">
        <f>EXP(-LN(2)/25)*AV190+(1-EXP(-LN(2)/25))/(LN(2)/25)*Calculateur!AQ191*Calculateur!AS191*VLOOKUP('Données projet'!$B$10,Paramètres!$A$1:$I$88,3,0)*0.475*44/12</f>
        <v>7.0880733984105965E-2</v>
      </c>
      <c r="AW191" s="23">
        <f>EXP(-LN(2)/2)*AW190+(1-EXP(-LN(2)/2))/(LN(2)/2)*AQ191*AT191*VLOOKUP('Données projet'!$B$10,Paramètres!$A$1:$I$88,3,0)*0.475*44/12</f>
        <v>1.9460980132148755E-23</v>
      </c>
      <c r="AX191" s="23">
        <f t="shared" si="166"/>
        <v>7.0880733984105965E-2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-5.6843418860808015E-14</v>
      </c>
      <c r="BE191" s="14">
        <f>BD191*VLOOKUP('Données projet'!$B$11,Paramètres!$A$1:$I$88,3,0)*VLOOKUP('Données projet'!$B$11,Paramètres!$A$1:$I$88,5,0)</f>
        <v>-4.5224624045658861E-14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298.38448036212861</v>
      </c>
      <c r="BJ191" s="62">
        <f t="shared" si="146"/>
        <v>270.4445531106897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projet'!$B$11,Paramètres!$A$1:$I$88,7,0))</f>
        <v>0</v>
      </c>
      <c r="BN191" s="17">
        <f>IF(ISNA(VLOOKUP(A191,'Données projet'!$A$87:$I$107,6,0)),0%,VLOOKUP(A191,'Données projet'!$A$87:$I$107,6,0)*VLOOKUP('Données projet'!$B$11,Paramètres!$A$1:$I$88,7,0))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projet'!$B$11,Paramètres!$A$1:$I$88,3,0)*0.475*44/12</f>
        <v>0</v>
      </c>
      <c r="BQ191" s="23">
        <f>EXP(-LN(2)/25)*BQ190+(1-EXP(-LN(2)/25))/(LN(2)/25)*Calculateur!BL191*Calculateur!BN191*VLOOKUP('Données projet'!$B$11,Paramètres!$A$1:$I$88,3,0)*0.475*44/12</f>
        <v>0</v>
      </c>
      <c r="BR191" s="23">
        <f>EXP(-LN(2)/2)*BR190+(1-EXP(-LN(2)/2))/(LN(2)/2)*BL191*BO191*VLOOKUP('Données projet'!$B$11,Paramètres!$A$1:$I$88,3,0)*0.475*44/12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5.6843418860808015E-14</v>
      </c>
      <c r="BZ191" s="14">
        <f>BY191*VLOOKUP('Données projet'!$B$12,Paramètres!$A$1:$I$88,3,0)*VLOOKUP('Données projet'!$B$12,Paramètres!$A$1:$I$88,5,0)</f>
        <v>4.4337866711430253E-14</v>
      </c>
      <c r="CA191" s="14">
        <f t="shared" si="170"/>
        <v>7.3222115536967035E-13</v>
      </c>
      <c r="CB191" s="22">
        <f t="shared" si="171"/>
        <v>1.3525069634579169E-12</v>
      </c>
      <c r="CC191" s="62">
        <f t="shared" si="119"/>
        <v>293.33333333333468</v>
      </c>
      <c r="CD191" s="62">
        <f ca="1">AVERAGE(OFFSET($CC$3,0,0,'Données projet'!$E$12+1,1))-AVERAGE(OFFSET($H$3,0,0,'Données projet'!$E$12+1,1))</f>
        <v>217.32600829266818</v>
      </c>
      <c r="CE191" s="62">
        <f t="shared" si="148"/>
        <v>208.79744153433245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projet'!$B$12,Paramètres!$A$1:$I$88,7,0))</f>
        <v>0</v>
      </c>
      <c r="CI191" s="17">
        <f>IF(ISNA(VLOOKUP(A191,'Données projet'!$A$113:$I$133,6,0)),0%,VLOOKUP(A191,'Données projet'!$A$113:$I$133,6,0)*VLOOKUP('Données projet'!$B$12,Paramètres!$A$1:$I$88,7,0))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projet'!$B$12,Paramètres!$A$1:$I$88,3,0)*0.475*44/12</f>
        <v>0</v>
      </c>
      <c r="CL191" s="23">
        <f>EXP(-LN(2)/25)*CL190+(1-EXP(-LN(2)/25))/(LN(2)/25)*Calculateur!CG191*Calculateur!CI191*VLOOKUP('Données projet'!$B$12,Paramètres!$A$1:$I$88,3,0)*0.475*44/12</f>
        <v>0</v>
      </c>
      <c r="CM191" s="23">
        <f>EXP(-LN(2)/2)*CM190+(1-EXP(-LN(2)/2))/(LN(2)/2)*CG191*CJ191*VLOOKUP('Données projet'!$B$12,Paramètres!$A$1:$I$88,3,0)*0.475*44/12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-3.4106051316484809E-13</v>
      </c>
      <c r="CU191" s="18">
        <f>CT191*VLOOKUP('Données projet'!$B$13,Paramètres!$A$1:$I$88,3,0)*VLOOKUP('Données projet'!$B$13,Paramètres!$A$1:$I$88,5,0)</f>
        <v>-1.9065282685915009E-13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302.20483575440988</v>
      </c>
      <c r="CZ191" s="62">
        <f t="shared" si="150"/>
        <v>275.32862097158687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projet'!$B$13,Paramètres!$A$1:$I$88,7,0))</f>
        <v>0</v>
      </c>
      <c r="DD191" s="17">
        <f>IF(ISNA(VLOOKUP(A191,'Données projet'!$A$139:$I$159,6,0)),0%,VLOOKUP(A191,'Données projet'!$A$139:$I$159,6,0)*VLOOKUP('Données projet'!$B$13,Paramètres!$A$1:$I$88,7,0))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projet'!$B$13,Paramètres!$A$1:$I$88,3,0)*0.475*44/12</f>
        <v>0</v>
      </c>
      <c r="DG191" s="23">
        <f>EXP(-LN(2)/25)*DG190+(1-EXP(-LN(2)/25))/(LN(2)/25)*Calculateur!DB191*Calculateur!DD191*VLOOKUP('Données projet'!$B$13,Paramètres!$A$1:$I$88,3,0)*0.475*44/12</f>
        <v>0.17307145669697385</v>
      </c>
      <c r="DH191" s="23">
        <f>EXP(-LN(2)/2)*DH190+(1-EXP(-LN(2)/2))/(LN(2)/2)*DB191*DE191*VLOOKUP('Données projet'!$B$13,Paramètres!$A$1:$I$88,3,0)*0.475*44/12</f>
        <v>1.1218037681905778E-23</v>
      </c>
      <c r="DI191" s="24">
        <f t="shared" si="175"/>
        <v>0.17307145669697385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projet'!$B$14,Paramètres!$A$1:$I$88,3,0)*VLOOKUP('Données projet'!$B$14,Paramètres!$A$1:$I$88,5,0)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projet'!$B$14,Paramètres!$A$1:$I$88,7,0))</f>
        <v>0</v>
      </c>
      <c r="DY191" s="17">
        <f>IF(ISNA(VLOOKUP(A191,'Données projet'!$A$165:$I$185,6,0)),0%,VLOOKUP(A191,'Données projet'!$A$165:$I$185,6,0)*VLOOKUP('Données projet'!$B$14,Paramètres!$A$1:$I$88,7,0))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projet'!$B$14,Paramètres!$A$1:$I$88,3,0)*0.475*44/12</f>
        <v>#N/A</v>
      </c>
      <c r="EB191" s="23" t="e">
        <f>EXP(-LN(2)/25)*EB190+(1-EXP(-LN(2)/25))/(LN(2)/25)*Calculateur!DW191*Calculateur!DY191*VLOOKUP('Données projet'!$B$14,Paramètres!$A$1:$I$88,3,0)*0.475*44/12</f>
        <v>#N/A</v>
      </c>
      <c r="EC191" s="23" t="e">
        <f>EXP(-LN(2)/2)*EC190+(1-EXP(-LN(2)/2))/(LN(2)/2)*DW191*DZ191*VLOOKUP('Données projet'!$B$14,Paramètres!$A$1:$I$88,3,0)*0.475*44/12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projet'!$B$15,Paramètres!$A$1:$I$88,3,0)*VLOOKUP('Données projet'!$B$15,Paramètres!$A$1:$I$88,5,0)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projet'!$B$15,Paramètres!$A$1:$I$88,7,0))</f>
        <v>0</v>
      </c>
      <c r="ET191" s="17">
        <f>IF(ISNA(VLOOKUP(A191,'Données projet'!$A$191:$I$211,6,0)),0%,VLOOKUP(A191,'Données projet'!$A$191:$I$211,6,0)*VLOOKUP('Données projet'!$B$15,Paramètres!$A$1:$I$88,7,0))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projet'!$B$15,Paramètres!$A$1:$I$88,3,0)*0.475*44/12</f>
        <v>#N/A</v>
      </c>
      <c r="EW191" s="23" t="e">
        <f>EXP(-LN(2)/25)*EW190+(1-EXP(-LN(2)/25))/(LN(2)/25)*Calculateur!ER191*Calculateur!ET191*VLOOKUP('Données projet'!$B$15,Paramètres!$A$1:$I$88,3,0)*0.475*44/12</f>
        <v>#N/A</v>
      </c>
      <c r="EX191" s="23" t="e">
        <f>EXP(-LN(2)/2)*EX190+(1-EXP(-LN(2)/2))/(LN(2)/2)*ER191*EU191*VLOOKUP('Données projet'!$B$15,Paramètres!$A$1:$I$88,3,0)*0.475*44/12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projet'!$B$16,Paramètres!$A$1:$I$88,3,0)*VLOOKUP('Données projet'!$B$16,Paramètres!$A$1:$I$88,5,0)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projet'!$B$16,Paramètres!$A$1:$I$88,7,0))</f>
        <v>0</v>
      </c>
      <c r="FO191" s="17">
        <f>IF(ISNA(VLOOKUP(A191,'Données projet'!$A$217:$I$237,6,0)),0%,VLOOKUP(A191,'Données projet'!$A$217:$I$237,6,0)*VLOOKUP('Données projet'!$B$16,Paramètres!$A$1:$I$88,7,0))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projet'!$B$16,Paramètres!$A$1:$I$88,3,0)*0.475*44/12</f>
        <v>#N/A</v>
      </c>
      <c r="FR191" s="23" t="e">
        <f>EXP(-LN(2)/25)*FR190+(1-EXP(-LN(2)/25))/(LN(2)/25)*Calculateur!FM191*Calculateur!FO191*VLOOKUP('Données projet'!$B$16,Paramètres!$A$1:$I$88,3,0)*0.475*44/12</f>
        <v>#N/A</v>
      </c>
      <c r="FS191" s="23" t="e">
        <f>EXP(-LN(2)/2)*FS190+(1-EXP(-LN(2)/2))/(LN(2)/2)*FM191*FP191*VLOOKUP('Données projet'!$B$16,Paramètres!$A$1:$I$88,3,0)*0.475*44/12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projet'!$B$17,Paramètres!$A$1:$I$88,3,0)*VLOOKUP('Données projet'!$B$17,Paramètres!$A$1:$I$88,5,0)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projet'!$B$17,Paramètres!$A$1:$I$88,7,0))</f>
        <v>0</v>
      </c>
      <c r="GJ191" s="17">
        <f>IF(ISNA(VLOOKUP(A191,'Données projet'!$A$243:$I$263,6,0)),0%,VLOOKUP(A191,'Données projet'!$A$243:$I$263,6,0)*VLOOKUP('Données projet'!$B$17,Paramètres!$A$1:$I$88,7,0))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projet'!$B$17,Paramètres!$A$1:$I$88,3,0)*0.475*44/12</f>
        <v>#N/A</v>
      </c>
      <c r="GM191" s="23" t="e">
        <f>EXP(-LN(2)/25)*GM190+(1-EXP(-LN(2)/25))/(LN(2)/25)*Calculateur!GH191*Calculateur!GJ191*VLOOKUP('Données projet'!$B$17,Paramètres!$A$1:$I$88,3,0)*0.475*44/12</f>
        <v>#N/A</v>
      </c>
      <c r="GN191" s="23" t="e">
        <f>EXP(-LN(2)/2)*GN190+(1-EXP(-LN(2)/2))/(LN(2)/2)*GH191*GK191*VLOOKUP('Données projet'!$B$17,Paramètres!$A$1:$I$88,3,0)*0.475*44/12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projet'!$B$18,Paramètres!$A$1:$I$88,3,0)*VLOOKUP('Données projet'!$B$18,Paramètres!$A$1:$I$88,5,0)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projet'!$B$18,Paramètres!$A$1:$I$88,7,0))</f>
        <v>0</v>
      </c>
      <c r="HE191" s="17">
        <f>IF(ISNA(VLOOKUP(A191,'Données projet'!$A$269:$I$289,6,0)),0%,VLOOKUP(A191,'Données projet'!$A$269:$I$289,6,0)*VLOOKUP('Données projet'!$B$18,Paramètres!$A$1:$I$88,7,0))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projet'!$B$18,Paramètres!$A$1:$I$88,3,0)*0.475*44/12</f>
        <v>#N/A</v>
      </c>
      <c r="HH191" s="23" t="e">
        <f>EXP(-LN(2)/25)*HH190+(1-EXP(-LN(2)/25))/(LN(2)/25)*Calculateur!HC191*Calculateur!HE191*VLOOKUP('Données projet'!$B$18,Paramètres!$A$1:$I$88,3,0)*0.475*44/12</f>
        <v>#N/A</v>
      </c>
      <c r="HI191" s="23" t="e">
        <f>EXP(-LN(2)/2)*HI190+(1-EXP(-LN(2)/2))/(LN(2)/2)*HC191*HF191*VLOOKUP('Données projet'!$B$18,Paramètres!$A$1:$I$88,3,0)*0.475*44/12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projet'!$B$9,Paramètres!$A$1:$I$88,3,0)*VLOOKUP('Données projet'!$B$9,Paramètres!$A$1:$I$88,5,0)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175.05987582828078</v>
      </c>
      <c r="T192" s="62">
        <f t="shared" si="142"/>
        <v>268.54782308462387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projet'!$B$9,Paramètres!$A$1:$I$88,7,0))</f>
        <v>0</v>
      </c>
      <c r="X192" s="17">
        <f>IF(ISNA(VLOOKUP(A192,'Données projet'!$A$35:$I$55,6,0)),0%,VLOOKUP(A192,'Données projet'!$A$35:$I$55,6,0)*VLOOKUP('Données projet'!$B$9,Paramètres!$A$1:$I$88,7,0))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projet'!$B$9,Paramètres!$A$1:$I$88,3,0)*0.475*44/12</f>
        <v>0</v>
      </c>
      <c r="AA192" s="23">
        <f>EXP(-LN(2)/25)*AA191+(1-EXP(-LN(2)/25))/(LN(2)/25)*Calculateur!V192*Calculateur!X192*VLOOKUP('Données projet'!$B$9,Paramètres!$A$1:$I$88,3,0)*0.475*44/12</f>
        <v>0.12534169923176516</v>
      </c>
      <c r="AB192" s="23">
        <f>EXP(-LN(2)/2)*AB191+(1-EXP(-LN(2)/2))/(LN(2)/2)*V192*Y192*VLOOKUP('Données projet'!$B$9,Paramètres!$A$1:$I$88,3,0)*0.475*44/12</f>
        <v>1.9323881359044008E-23</v>
      </c>
      <c r="AC192" s="24">
        <f t="shared" si="163"/>
        <v>0.12534169923176516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-1.5916157281026244E-12</v>
      </c>
      <c r="AJ192" s="14">
        <f>AI192*VLOOKUP('Données projet'!$B$10,Paramètres!$A$1:$I$88,3,0)*VLOOKUP('Données projet'!$B$10,Paramètres!$A$1:$I$88,5,0)</f>
        <v>-7.6556716521736234E-13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576.61210817354549</v>
      </c>
      <c r="AO192" s="62">
        <f t="shared" si="144"/>
        <v>343.9428747444544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projet'!$B$10,Paramètres!$A$1:$I$88,7,0))</f>
        <v>0</v>
      </c>
      <c r="AS192" s="17">
        <f>IF(ISNA(VLOOKUP(A192,'Données projet'!$A$61:$I$81,6,0)),0%,VLOOKUP(A192,'Données projet'!$A$61:$I$81,6,0)*VLOOKUP('Données projet'!$B$10,Paramètres!$A$1:$I$88,7,0))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projet'!$B$10,Paramètres!$A$1:$I$88,3,0)*0.475*44/12</f>
        <v>0</v>
      </c>
      <c r="AV192" s="23">
        <f>EXP(-LN(2)/25)*AV191+(1-EXP(-LN(2)/25))/(LN(2)/25)*Calculateur!AQ192*Calculateur!AS192*VLOOKUP('Données projet'!$B$10,Paramètres!$A$1:$I$88,3,0)*0.475*44/12</f>
        <v>6.8942496585854787E-2</v>
      </c>
      <c r="AW192" s="23">
        <f>EXP(-LN(2)/2)*AW191+(1-EXP(-LN(2)/2))/(LN(2)/2)*AQ192*AT192*VLOOKUP('Données projet'!$B$10,Paramètres!$A$1:$I$88,3,0)*0.475*44/12</f>
        <v>1.3760991019979058E-23</v>
      </c>
      <c r="AX192" s="23">
        <f t="shared" si="166"/>
        <v>6.8942496585854787E-2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-5.6843418860808015E-14</v>
      </c>
      <c r="BE192" s="14">
        <f>BD192*VLOOKUP('Données projet'!$B$11,Paramètres!$A$1:$I$88,3,0)*VLOOKUP('Données projet'!$B$11,Paramètres!$A$1:$I$88,5,0)</f>
        <v>-4.5224624045658861E-14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298.38448036212861</v>
      </c>
      <c r="BJ192" s="62">
        <f t="shared" si="146"/>
        <v>270.4445531106897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projet'!$B$11,Paramètres!$A$1:$I$88,7,0))</f>
        <v>0</v>
      </c>
      <c r="BN192" s="17">
        <f>IF(ISNA(VLOOKUP(A192,'Données projet'!$A$87:$I$107,6,0)),0%,VLOOKUP(A192,'Données projet'!$A$87:$I$107,6,0)*VLOOKUP('Données projet'!$B$11,Paramètres!$A$1:$I$88,7,0))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projet'!$B$11,Paramètres!$A$1:$I$88,3,0)*0.475*44/12</f>
        <v>0</v>
      </c>
      <c r="BQ192" s="23">
        <f>EXP(-LN(2)/25)*BQ191+(1-EXP(-LN(2)/25))/(LN(2)/25)*Calculateur!BL192*Calculateur!BN192*VLOOKUP('Données projet'!$B$11,Paramètres!$A$1:$I$88,3,0)*0.475*44/12</f>
        <v>0</v>
      </c>
      <c r="BR192" s="23">
        <f>EXP(-LN(2)/2)*BR191+(1-EXP(-LN(2)/2))/(LN(2)/2)*BL192*BO192*VLOOKUP('Données projet'!$B$11,Paramètres!$A$1:$I$88,3,0)*0.475*44/12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5.6843418860808015E-14</v>
      </c>
      <c r="BZ192" s="14">
        <f>BY192*VLOOKUP('Données projet'!$B$12,Paramètres!$A$1:$I$88,3,0)*VLOOKUP('Données projet'!$B$12,Paramètres!$A$1:$I$88,5,0)</f>
        <v>4.4337866711430253E-14</v>
      </c>
      <c r="CA192" s="14">
        <f t="shared" si="170"/>
        <v>7.3222115536967035E-13</v>
      </c>
      <c r="CB192" s="22">
        <f t="shared" si="171"/>
        <v>1.3525069634579169E-12</v>
      </c>
      <c r="CC192" s="62">
        <f t="shared" si="119"/>
        <v>293.33333333333468</v>
      </c>
      <c r="CD192" s="62">
        <f ca="1">AVERAGE(OFFSET($CC$3,0,0,'Données projet'!$E$12+1,1))-AVERAGE(OFFSET($H$3,0,0,'Données projet'!$E$12+1,1))</f>
        <v>217.32600829266818</v>
      </c>
      <c r="CE192" s="62">
        <f t="shared" si="148"/>
        <v>208.79744153433245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projet'!$B$12,Paramètres!$A$1:$I$88,7,0))</f>
        <v>0</v>
      </c>
      <c r="CI192" s="17">
        <f>IF(ISNA(VLOOKUP(A192,'Données projet'!$A$113:$I$133,6,0)),0%,VLOOKUP(A192,'Données projet'!$A$113:$I$133,6,0)*VLOOKUP('Données projet'!$B$12,Paramètres!$A$1:$I$88,7,0))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projet'!$B$12,Paramètres!$A$1:$I$88,3,0)*0.475*44/12</f>
        <v>0</v>
      </c>
      <c r="CL192" s="23">
        <f>EXP(-LN(2)/25)*CL191+(1-EXP(-LN(2)/25))/(LN(2)/25)*Calculateur!CG192*Calculateur!CI192*VLOOKUP('Données projet'!$B$12,Paramètres!$A$1:$I$88,3,0)*0.475*44/12</f>
        <v>0</v>
      </c>
      <c r="CM192" s="23">
        <f>EXP(-LN(2)/2)*CM191+(1-EXP(-LN(2)/2))/(LN(2)/2)*CG192*CJ192*VLOOKUP('Données projet'!$B$12,Paramètres!$A$1:$I$88,3,0)*0.475*44/12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-3.4106051316484809E-13</v>
      </c>
      <c r="CU192" s="18">
        <f>CT192*VLOOKUP('Données projet'!$B$13,Paramètres!$A$1:$I$88,3,0)*VLOOKUP('Données projet'!$B$13,Paramètres!$A$1:$I$88,5,0)</f>
        <v>-1.9065282685915009E-13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302.20483575440988</v>
      </c>
      <c r="CZ192" s="62">
        <f t="shared" si="150"/>
        <v>275.32862097158687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projet'!$B$13,Paramètres!$A$1:$I$88,7,0))</f>
        <v>0</v>
      </c>
      <c r="DD192" s="17">
        <f>IF(ISNA(VLOOKUP(A192,'Données projet'!$A$139:$I$159,6,0)),0%,VLOOKUP(A192,'Données projet'!$A$139:$I$159,6,0)*VLOOKUP('Données projet'!$B$13,Paramètres!$A$1:$I$88,7,0))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projet'!$B$13,Paramètres!$A$1:$I$88,3,0)*0.475*44/12</f>
        <v>0</v>
      </c>
      <c r="DG192" s="23">
        <f>EXP(-LN(2)/25)*DG191+(1-EXP(-LN(2)/25))/(LN(2)/25)*Calculateur!DB192*Calculateur!DD192*VLOOKUP('Données projet'!$B$13,Paramètres!$A$1:$I$88,3,0)*0.475*44/12</f>
        <v>0.16833880861216274</v>
      </c>
      <c r="DH192" s="23">
        <f>EXP(-LN(2)/2)*DH191+(1-EXP(-LN(2)/2))/(LN(2)/2)*DB192*DE192*VLOOKUP('Données projet'!$B$13,Paramètres!$A$1:$I$88,3,0)*0.475*44/12</f>
        <v>7.9323505164817938E-24</v>
      </c>
      <c r="DI192" s="24">
        <f t="shared" si="175"/>
        <v>0.16833880861216274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projet'!$B$14,Paramètres!$A$1:$I$88,3,0)*VLOOKUP('Données projet'!$B$14,Paramètres!$A$1:$I$88,5,0)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projet'!$B$14,Paramètres!$A$1:$I$88,7,0))</f>
        <v>0</v>
      </c>
      <c r="DY192" s="17">
        <f>IF(ISNA(VLOOKUP(A192,'Données projet'!$A$165:$I$185,6,0)),0%,VLOOKUP(A192,'Données projet'!$A$165:$I$185,6,0)*VLOOKUP('Données projet'!$B$14,Paramètres!$A$1:$I$88,7,0))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projet'!$B$14,Paramètres!$A$1:$I$88,3,0)*0.475*44/12</f>
        <v>#N/A</v>
      </c>
      <c r="EB192" s="23" t="e">
        <f>EXP(-LN(2)/25)*EB191+(1-EXP(-LN(2)/25))/(LN(2)/25)*Calculateur!DW192*Calculateur!DY192*VLOOKUP('Données projet'!$B$14,Paramètres!$A$1:$I$88,3,0)*0.475*44/12</f>
        <v>#N/A</v>
      </c>
      <c r="EC192" s="23" t="e">
        <f>EXP(-LN(2)/2)*EC191+(1-EXP(-LN(2)/2))/(LN(2)/2)*DW192*DZ192*VLOOKUP('Données projet'!$B$14,Paramètres!$A$1:$I$88,3,0)*0.475*44/12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projet'!$B$15,Paramètres!$A$1:$I$88,3,0)*VLOOKUP('Données projet'!$B$15,Paramètres!$A$1:$I$88,5,0)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projet'!$B$15,Paramètres!$A$1:$I$88,7,0))</f>
        <v>0</v>
      </c>
      <c r="ET192" s="17">
        <f>IF(ISNA(VLOOKUP(A192,'Données projet'!$A$191:$I$211,6,0)),0%,VLOOKUP(A192,'Données projet'!$A$191:$I$211,6,0)*VLOOKUP('Données projet'!$B$15,Paramètres!$A$1:$I$88,7,0))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projet'!$B$15,Paramètres!$A$1:$I$88,3,0)*0.475*44/12</f>
        <v>#N/A</v>
      </c>
      <c r="EW192" s="23" t="e">
        <f>EXP(-LN(2)/25)*EW191+(1-EXP(-LN(2)/25))/(LN(2)/25)*Calculateur!ER192*Calculateur!ET192*VLOOKUP('Données projet'!$B$15,Paramètres!$A$1:$I$88,3,0)*0.475*44/12</f>
        <v>#N/A</v>
      </c>
      <c r="EX192" s="23" t="e">
        <f>EXP(-LN(2)/2)*EX191+(1-EXP(-LN(2)/2))/(LN(2)/2)*ER192*EU192*VLOOKUP('Données projet'!$B$15,Paramètres!$A$1:$I$88,3,0)*0.475*44/12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projet'!$B$16,Paramètres!$A$1:$I$88,3,0)*VLOOKUP('Données projet'!$B$16,Paramètres!$A$1:$I$88,5,0)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projet'!$B$16,Paramètres!$A$1:$I$88,7,0))</f>
        <v>0</v>
      </c>
      <c r="FO192" s="17">
        <f>IF(ISNA(VLOOKUP(A192,'Données projet'!$A$217:$I$237,6,0)),0%,VLOOKUP(A192,'Données projet'!$A$217:$I$237,6,0)*VLOOKUP('Données projet'!$B$16,Paramètres!$A$1:$I$88,7,0))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projet'!$B$16,Paramètres!$A$1:$I$88,3,0)*0.475*44/12</f>
        <v>#N/A</v>
      </c>
      <c r="FR192" s="23" t="e">
        <f>EXP(-LN(2)/25)*FR191+(1-EXP(-LN(2)/25))/(LN(2)/25)*Calculateur!FM192*Calculateur!FO192*VLOOKUP('Données projet'!$B$16,Paramètres!$A$1:$I$88,3,0)*0.475*44/12</f>
        <v>#N/A</v>
      </c>
      <c r="FS192" s="23" t="e">
        <f>EXP(-LN(2)/2)*FS191+(1-EXP(-LN(2)/2))/(LN(2)/2)*FM192*FP192*VLOOKUP('Données projet'!$B$16,Paramètres!$A$1:$I$88,3,0)*0.475*44/12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projet'!$B$17,Paramètres!$A$1:$I$88,3,0)*VLOOKUP('Données projet'!$B$17,Paramètres!$A$1:$I$88,5,0)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projet'!$B$17,Paramètres!$A$1:$I$88,7,0))</f>
        <v>0</v>
      </c>
      <c r="GJ192" s="17">
        <f>IF(ISNA(VLOOKUP(A192,'Données projet'!$A$243:$I$263,6,0)),0%,VLOOKUP(A192,'Données projet'!$A$243:$I$263,6,0)*VLOOKUP('Données projet'!$B$17,Paramètres!$A$1:$I$88,7,0))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projet'!$B$17,Paramètres!$A$1:$I$88,3,0)*0.475*44/12</f>
        <v>#N/A</v>
      </c>
      <c r="GM192" s="23" t="e">
        <f>EXP(-LN(2)/25)*GM191+(1-EXP(-LN(2)/25))/(LN(2)/25)*Calculateur!GH192*Calculateur!GJ192*VLOOKUP('Données projet'!$B$17,Paramètres!$A$1:$I$88,3,0)*0.475*44/12</f>
        <v>#N/A</v>
      </c>
      <c r="GN192" s="23" t="e">
        <f>EXP(-LN(2)/2)*GN191+(1-EXP(-LN(2)/2))/(LN(2)/2)*GH192*GK192*VLOOKUP('Données projet'!$B$17,Paramètres!$A$1:$I$88,3,0)*0.475*44/12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projet'!$B$18,Paramètres!$A$1:$I$88,3,0)*VLOOKUP('Données projet'!$B$18,Paramètres!$A$1:$I$88,5,0)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projet'!$B$18,Paramètres!$A$1:$I$88,7,0))</f>
        <v>0</v>
      </c>
      <c r="HE192" s="17">
        <f>IF(ISNA(VLOOKUP(A192,'Données projet'!$A$269:$I$289,6,0)),0%,VLOOKUP(A192,'Données projet'!$A$269:$I$289,6,0)*VLOOKUP('Données projet'!$B$18,Paramètres!$A$1:$I$88,7,0))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projet'!$B$18,Paramètres!$A$1:$I$88,3,0)*0.475*44/12</f>
        <v>#N/A</v>
      </c>
      <c r="HH192" s="23" t="e">
        <f>EXP(-LN(2)/25)*HH191+(1-EXP(-LN(2)/25))/(LN(2)/25)*Calculateur!HC192*Calculateur!HE192*VLOOKUP('Données projet'!$B$18,Paramètres!$A$1:$I$88,3,0)*0.475*44/12</f>
        <v>#N/A</v>
      </c>
      <c r="HI192" s="23" t="e">
        <f>EXP(-LN(2)/2)*HI191+(1-EXP(-LN(2)/2))/(LN(2)/2)*HC192*HF192*VLOOKUP('Données projet'!$B$18,Paramètres!$A$1:$I$88,3,0)*0.475*44/12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projet'!$B$9,Paramètres!$A$1:$I$88,3,0)*VLOOKUP('Données projet'!$B$9,Paramètres!$A$1:$I$88,5,0)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175.05987582828078</v>
      </c>
      <c r="T193" s="62">
        <f t="shared" si="142"/>
        <v>268.54782308462387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projet'!$B$9,Paramètres!$A$1:$I$88,7,0))</f>
        <v>0</v>
      </c>
      <c r="X193" s="17">
        <f>IF(ISNA(VLOOKUP(A193,'Données projet'!$A$35:$I$55,6,0)),0%,VLOOKUP(A193,'Données projet'!$A$35:$I$55,6,0)*VLOOKUP('Données projet'!$B$9,Paramètres!$A$1:$I$88,7,0))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projet'!$B$9,Paramètres!$A$1:$I$88,3,0)*0.475*44/12</f>
        <v>0</v>
      </c>
      <c r="AA193" s="23">
        <f>EXP(-LN(2)/25)*AA192+(1-EXP(-LN(2)/25))/(LN(2)/25)*Calculateur!V193*Calculateur!X193*VLOOKUP('Données projet'!$B$9,Paramètres!$A$1:$I$88,3,0)*0.475*44/12</f>
        <v>0.12191422387483905</v>
      </c>
      <c r="AB193" s="23">
        <f>EXP(-LN(2)/2)*AB192+(1-EXP(-LN(2)/2))/(LN(2)/2)*V193*Y193*VLOOKUP('Données projet'!$B$9,Paramètres!$A$1:$I$88,3,0)*0.475*44/12</f>
        <v>1.3664047547824336E-23</v>
      </c>
      <c r="AC193" s="24">
        <f t="shared" si="163"/>
        <v>0.12191422387483905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-1.5916157281026244E-12</v>
      </c>
      <c r="AJ193" s="14">
        <f>AI193*VLOOKUP('Données projet'!$B$10,Paramètres!$A$1:$I$88,3,0)*VLOOKUP('Données projet'!$B$10,Paramètres!$A$1:$I$88,5,0)</f>
        <v>-7.6556716521736234E-13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576.61210817354549</v>
      </c>
      <c r="AO193" s="62">
        <f t="shared" si="144"/>
        <v>343.9428747444544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projet'!$B$10,Paramètres!$A$1:$I$88,7,0))</f>
        <v>0</v>
      </c>
      <c r="AS193" s="17">
        <f>IF(ISNA(VLOOKUP(A193,'Données projet'!$A$61:$I$81,6,0)),0%,VLOOKUP(A193,'Données projet'!$A$61:$I$81,6,0)*VLOOKUP('Données projet'!$B$10,Paramètres!$A$1:$I$88,7,0))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projet'!$B$10,Paramètres!$A$1:$I$88,3,0)*0.475*44/12</f>
        <v>0</v>
      </c>
      <c r="AV193" s="23">
        <f>EXP(-LN(2)/25)*AV192+(1-EXP(-LN(2)/25))/(LN(2)/25)*Calculateur!AQ193*Calculateur!AS193*VLOOKUP('Données projet'!$B$10,Paramètres!$A$1:$I$88,3,0)*0.475*44/12</f>
        <v>6.7057260391186257E-2</v>
      </c>
      <c r="AW193" s="23">
        <f>EXP(-LN(2)/2)*AW192+(1-EXP(-LN(2)/2))/(LN(2)/2)*AQ193*AT193*VLOOKUP('Données projet'!$B$10,Paramètres!$A$1:$I$88,3,0)*0.475*44/12</f>
        <v>9.7304900660743773E-24</v>
      </c>
      <c r="AX193" s="23">
        <f t="shared" si="166"/>
        <v>6.7057260391186257E-2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-5.6843418860808015E-14</v>
      </c>
      <c r="BE193" s="14">
        <f>BD193*VLOOKUP('Données projet'!$B$11,Paramètres!$A$1:$I$88,3,0)*VLOOKUP('Données projet'!$B$11,Paramètres!$A$1:$I$88,5,0)</f>
        <v>-4.5224624045658861E-14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298.38448036212861</v>
      </c>
      <c r="BJ193" s="62">
        <f t="shared" si="146"/>
        <v>270.4445531106897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projet'!$B$11,Paramètres!$A$1:$I$88,7,0))</f>
        <v>0</v>
      </c>
      <c r="BN193" s="17">
        <f>IF(ISNA(VLOOKUP(A193,'Données projet'!$A$87:$I$107,6,0)),0%,VLOOKUP(A193,'Données projet'!$A$87:$I$107,6,0)*VLOOKUP('Données projet'!$B$11,Paramètres!$A$1:$I$88,7,0))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projet'!$B$11,Paramètres!$A$1:$I$88,3,0)*0.475*44/12</f>
        <v>0</v>
      </c>
      <c r="BQ193" s="23">
        <f>EXP(-LN(2)/25)*BQ192+(1-EXP(-LN(2)/25))/(LN(2)/25)*Calculateur!BL193*Calculateur!BN193*VLOOKUP('Données projet'!$B$11,Paramètres!$A$1:$I$88,3,0)*0.475*44/12</f>
        <v>0</v>
      </c>
      <c r="BR193" s="23">
        <f>EXP(-LN(2)/2)*BR192+(1-EXP(-LN(2)/2))/(LN(2)/2)*BL193*BO193*VLOOKUP('Données projet'!$B$11,Paramètres!$A$1:$I$88,3,0)*0.475*44/12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5.6843418860808015E-14</v>
      </c>
      <c r="BZ193" s="14">
        <f>BY193*VLOOKUP('Données projet'!$B$12,Paramètres!$A$1:$I$88,3,0)*VLOOKUP('Données projet'!$B$12,Paramètres!$A$1:$I$88,5,0)</f>
        <v>4.4337866711430253E-14</v>
      </c>
      <c r="CA193" s="14">
        <f t="shared" si="170"/>
        <v>7.3222115536967035E-13</v>
      </c>
      <c r="CB193" s="22">
        <f t="shared" si="171"/>
        <v>1.3525069634579169E-12</v>
      </c>
      <c r="CC193" s="62">
        <f t="shared" si="119"/>
        <v>293.33333333333468</v>
      </c>
      <c r="CD193" s="62">
        <f ca="1">AVERAGE(OFFSET($CC$3,0,0,'Données projet'!$E$12+1,1))-AVERAGE(OFFSET($H$3,0,0,'Données projet'!$E$12+1,1))</f>
        <v>217.32600829266818</v>
      </c>
      <c r="CE193" s="62">
        <f t="shared" si="148"/>
        <v>208.79744153433245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projet'!$B$12,Paramètres!$A$1:$I$88,7,0))</f>
        <v>0</v>
      </c>
      <c r="CI193" s="17">
        <f>IF(ISNA(VLOOKUP(A193,'Données projet'!$A$113:$I$133,6,0)),0%,VLOOKUP(A193,'Données projet'!$A$113:$I$133,6,0)*VLOOKUP('Données projet'!$B$12,Paramètres!$A$1:$I$88,7,0))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projet'!$B$12,Paramètres!$A$1:$I$88,3,0)*0.475*44/12</f>
        <v>0</v>
      </c>
      <c r="CL193" s="23">
        <f>EXP(-LN(2)/25)*CL192+(1-EXP(-LN(2)/25))/(LN(2)/25)*Calculateur!CG193*Calculateur!CI193*VLOOKUP('Données projet'!$B$12,Paramètres!$A$1:$I$88,3,0)*0.475*44/12</f>
        <v>0</v>
      </c>
      <c r="CM193" s="23">
        <f>EXP(-LN(2)/2)*CM192+(1-EXP(-LN(2)/2))/(LN(2)/2)*CG193*CJ193*VLOOKUP('Données projet'!$B$12,Paramètres!$A$1:$I$88,3,0)*0.475*44/12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-3.4106051316484809E-13</v>
      </c>
      <c r="CU193" s="18">
        <f>CT193*VLOOKUP('Données projet'!$B$13,Paramètres!$A$1:$I$88,3,0)*VLOOKUP('Données projet'!$B$13,Paramètres!$A$1:$I$88,5,0)</f>
        <v>-1.9065282685915009E-13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302.20483575440988</v>
      </c>
      <c r="CZ193" s="62">
        <f t="shared" si="150"/>
        <v>275.32862097158687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projet'!$B$13,Paramètres!$A$1:$I$88,7,0))</f>
        <v>0</v>
      </c>
      <c r="DD193" s="17">
        <f>IF(ISNA(VLOOKUP(A193,'Données projet'!$A$139:$I$159,6,0)),0%,VLOOKUP(A193,'Données projet'!$A$139:$I$159,6,0)*VLOOKUP('Données projet'!$B$13,Paramètres!$A$1:$I$88,7,0))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projet'!$B$13,Paramètres!$A$1:$I$88,3,0)*0.475*44/12</f>
        <v>0</v>
      </c>
      <c r="DG193" s="23">
        <f>EXP(-LN(2)/25)*DG192+(1-EXP(-LN(2)/25))/(LN(2)/25)*Calculateur!DB193*Calculateur!DD193*VLOOKUP('Données projet'!$B$13,Paramètres!$A$1:$I$88,3,0)*0.475*44/12</f>
        <v>0.16373557503810995</v>
      </c>
      <c r="DH193" s="23">
        <f>EXP(-LN(2)/2)*DH192+(1-EXP(-LN(2)/2))/(LN(2)/2)*DB193*DE193*VLOOKUP('Données projet'!$B$13,Paramètres!$A$1:$I$88,3,0)*0.475*44/12</f>
        <v>5.6090188409528891E-24</v>
      </c>
      <c r="DI193" s="24">
        <f t="shared" si="175"/>
        <v>0.16373557503810995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projet'!$B$14,Paramètres!$A$1:$I$88,3,0)*VLOOKUP('Données projet'!$B$14,Paramètres!$A$1:$I$88,5,0)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projet'!$B$14,Paramètres!$A$1:$I$88,7,0))</f>
        <v>0</v>
      </c>
      <c r="DY193" s="17">
        <f>IF(ISNA(VLOOKUP(A193,'Données projet'!$A$165:$I$185,6,0)),0%,VLOOKUP(A193,'Données projet'!$A$165:$I$185,6,0)*VLOOKUP('Données projet'!$B$14,Paramètres!$A$1:$I$88,7,0))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projet'!$B$14,Paramètres!$A$1:$I$88,3,0)*0.475*44/12</f>
        <v>#N/A</v>
      </c>
      <c r="EB193" s="23" t="e">
        <f>EXP(-LN(2)/25)*EB192+(1-EXP(-LN(2)/25))/(LN(2)/25)*Calculateur!DW193*Calculateur!DY193*VLOOKUP('Données projet'!$B$14,Paramètres!$A$1:$I$88,3,0)*0.475*44/12</f>
        <v>#N/A</v>
      </c>
      <c r="EC193" s="23" t="e">
        <f>EXP(-LN(2)/2)*EC192+(1-EXP(-LN(2)/2))/(LN(2)/2)*DW193*DZ193*VLOOKUP('Données projet'!$B$14,Paramètres!$A$1:$I$88,3,0)*0.475*44/12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projet'!$B$15,Paramètres!$A$1:$I$88,3,0)*VLOOKUP('Données projet'!$B$15,Paramètres!$A$1:$I$88,5,0)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projet'!$B$15,Paramètres!$A$1:$I$88,7,0))</f>
        <v>0</v>
      </c>
      <c r="ET193" s="17">
        <f>IF(ISNA(VLOOKUP(A193,'Données projet'!$A$191:$I$211,6,0)),0%,VLOOKUP(A193,'Données projet'!$A$191:$I$211,6,0)*VLOOKUP('Données projet'!$B$15,Paramètres!$A$1:$I$88,7,0))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projet'!$B$15,Paramètres!$A$1:$I$88,3,0)*0.475*44/12</f>
        <v>#N/A</v>
      </c>
      <c r="EW193" s="23" t="e">
        <f>EXP(-LN(2)/25)*EW192+(1-EXP(-LN(2)/25))/(LN(2)/25)*Calculateur!ER193*Calculateur!ET193*VLOOKUP('Données projet'!$B$15,Paramètres!$A$1:$I$88,3,0)*0.475*44/12</f>
        <v>#N/A</v>
      </c>
      <c r="EX193" s="23" t="e">
        <f>EXP(-LN(2)/2)*EX192+(1-EXP(-LN(2)/2))/(LN(2)/2)*ER193*EU193*VLOOKUP('Données projet'!$B$15,Paramètres!$A$1:$I$88,3,0)*0.475*44/12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projet'!$B$16,Paramètres!$A$1:$I$88,3,0)*VLOOKUP('Données projet'!$B$16,Paramètres!$A$1:$I$88,5,0)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projet'!$B$16,Paramètres!$A$1:$I$88,7,0))</f>
        <v>0</v>
      </c>
      <c r="FO193" s="17">
        <f>IF(ISNA(VLOOKUP(A193,'Données projet'!$A$217:$I$237,6,0)),0%,VLOOKUP(A193,'Données projet'!$A$217:$I$237,6,0)*VLOOKUP('Données projet'!$B$16,Paramètres!$A$1:$I$88,7,0))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projet'!$B$16,Paramètres!$A$1:$I$88,3,0)*0.475*44/12</f>
        <v>#N/A</v>
      </c>
      <c r="FR193" s="23" t="e">
        <f>EXP(-LN(2)/25)*FR192+(1-EXP(-LN(2)/25))/(LN(2)/25)*Calculateur!FM193*Calculateur!FO193*VLOOKUP('Données projet'!$B$16,Paramètres!$A$1:$I$88,3,0)*0.475*44/12</f>
        <v>#N/A</v>
      </c>
      <c r="FS193" s="23" t="e">
        <f>EXP(-LN(2)/2)*FS192+(1-EXP(-LN(2)/2))/(LN(2)/2)*FM193*FP193*VLOOKUP('Données projet'!$B$16,Paramètres!$A$1:$I$88,3,0)*0.475*44/12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projet'!$B$17,Paramètres!$A$1:$I$88,3,0)*VLOOKUP('Données projet'!$B$17,Paramètres!$A$1:$I$88,5,0)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projet'!$B$17,Paramètres!$A$1:$I$88,7,0))</f>
        <v>0</v>
      </c>
      <c r="GJ193" s="17">
        <f>IF(ISNA(VLOOKUP(A193,'Données projet'!$A$243:$I$263,6,0)),0%,VLOOKUP(A193,'Données projet'!$A$243:$I$263,6,0)*VLOOKUP('Données projet'!$B$17,Paramètres!$A$1:$I$88,7,0))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projet'!$B$17,Paramètres!$A$1:$I$88,3,0)*0.475*44/12</f>
        <v>#N/A</v>
      </c>
      <c r="GM193" s="23" t="e">
        <f>EXP(-LN(2)/25)*GM192+(1-EXP(-LN(2)/25))/(LN(2)/25)*Calculateur!GH193*Calculateur!GJ193*VLOOKUP('Données projet'!$B$17,Paramètres!$A$1:$I$88,3,0)*0.475*44/12</f>
        <v>#N/A</v>
      </c>
      <c r="GN193" s="23" t="e">
        <f>EXP(-LN(2)/2)*GN192+(1-EXP(-LN(2)/2))/(LN(2)/2)*GH193*GK193*VLOOKUP('Données projet'!$B$17,Paramètres!$A$1:$I$88,3,0)*0.475*44/12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projet'!$B$18,Paramètres!$A$1:$I$88,3,0)*VLOOKUP('Données projet'!$B$18,Paramètres!$A$1:$I$88,5,0)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projet'!$B$18,Paramètres!$A$1:$I$88,7,0))</f>
        <v>0</v>
      </c>
      <c r="HE193" s="17">
        <f>IF(ISNA(VLOOKUP(A193,'Données projet'!$A$269:$I$289,6,0)),0%,VLOOKUP(A193,'Données projet'!$A$269:$I$289,6,0)*VLOOKUP('Données projet'!$B$18,Paramètres!$A$1:$I$88,7,0))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projet'!$B$18,Paramètres!$A$1:$I$88,3,0)*0.475*44/12</f>
        <v>#N/A</v>
      </c>
      <c r="HH193" s="23" t="e">
        <f>EXP(-LN(2)/25)*HH192+(1-EXP(-LN(2)/25))/(LN(2)/25)*Calculateur!HC193*Calculateur!HE193*VLOOKUP('Données projet'!$B$18,Paramètres!$A$1:$I$88,3,0)*0.475*44/12</f>
        <v>#N/A</v>
      </c>
      <c r="HI193" s="23" t="e">
        <f>EXP(-LN(2)/2)*HI192+(1-EXP(-LN(2)/2))/(LN(2)/2)*HC193*HF193*VLOOKUP('Données projet'!$B$18,Paramètres!$A$1:$I$88,3,0)*0.475*44/12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projet'!$B$9,Paramètres!$A$1:$I$88,3,0)*VLOOKUP('Données projet'!$B$9,Paramètres!$A$1:$I$88,5,0)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175.05987582828078</v>
      </c>
      <c r="T194" s="62">
        <f t="shared" si="142"/>
        <v>268.54782308462387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projet'!$B$9,Paramètres!$A$1:$I$88,7,0))</f>
        <v>0</v>
      </c>
      <c r="X194" s="17">
        <f>IF(ISNA(VLOOKUP(A194,'Données projet'!$A$35:$I$55,6,0)),0%,VLOOKUP(A194,'Données projet'!$A$35:$I$55,6,0)*VLOOKUP('Données projet'!$B$9,Paramètres!$A$1:$I$88,7,0))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projet'!$B$9,Paramètres!$A$1:$I$88,3,0)*0.475*44/12</f>
        <v>0</v>
      </c>
      <c r="AA194" s="23">
        <f>EXP(-LN(2)/25)*AA193+(1-EXP(-LN(2)/25))/(LN(2)/25)*Calculateur!V194*Calculateur!X194*VLOOKUP('Données projet'!$B$9,Paramètres!$A$1:$I$88,3,0)*0.475*44/12</f>
        <v>0.11858047301179118</v>
      </c>
      <c r="AB194" s="23">
        <f>EXP(-LN(2)/2)*AB193+(1-EXP(-LN(2)/2))/(LN(2)/2)*V194*Y194*VLOOKUP('Données projet'!$B$9,Paramètres!$A$1:$I$88,3,0)*0.475*44/12</f>
        <v>9.6619406795220038E-24</v>
      </c>
      <c r="AC194" s="24">
        <f t="shared" si="163"/>
        <v>0.11858047301179118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-1.5916157281026244E-12</v>
      </c>
      <c r="AJ194" s="14">
        <f>AI194*VLOOKUP('Données projet'!$B$10,Paramètres!$A$1:$I$88,3,0)*VLOOKUP('Données projet'!$B$10,Paramètres!$A$1:$I$88,5,0)</f>
        <v>-7.6556716521736234E-13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576.61210817354549</v>
      </c>
      <c r="AO194" s="62">
        <f t="shared" si="144"/>
        <v>343.9428747444544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projet'!$B$10,Paramètres!$A$1:$I$88,7,0))</f>
        <v>0</v>
      </c>
      <c r="AS194" s="17">
        <f>IF(ISNA(VLOOKUP(A194,'Données projet'!$A$61:$I$81,6,0)),0%,VLOOKUP(A194,'Données projet'!$A$61:$I$81,6,0)*VLOOKUP('Données projet'!$B$10,Paramètres!$A$1:$I$88,7,0))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projet'!$B$10,Paramètres!$A$1:$I$88,3,0)*0.475*44/12</f>
        <v>0</v>
      </c>
      <c r="AV194" s="23">
        <f>EXP(-LN(2)/25)*AV193+(1-EXP(-LN(2)/25))/(LN(2)/25)*Calculateur!AQ194*Calculateur!AS194*VLOOKUP('Données projet'!$B$10,Paramètres!$A$1:$I$88,3,0)*0.475*44/12</f>
        <v>6.5223576079401213E-2</v>
      </c>
      <c r="AW194" s="23">
        <f>EXP(-LN(2)/2)*AW193+(1-EXP(-LN(2)/2))/(LN(2)/2)*AQ194*AT194*VLOOKUP('Données projet'!$B$10,Paramètres!$A$1:$I$88,3,0)*0.475*44/12</f>
        <v>6.8804955099895289E-24</v>
      </c>
      <c r="AX194" s="23">
        <f t="shared" si="166"/>
        <v>6.5223576079401213E-2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-5.6843418860808015E-14</v>
      </c>
      <c r="BE194" s="14">
        <f>BD194*VLOOKUP('Données projet'!$B$11,Paramètres!$A$1:$I$88,3,0)*VLOOKUP('Données projet'!$B$11,Paramètres!$A$1:$I$88,5,0)</f>
        <v>-4.5224624045658861E-14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298.38448036212861</v>
      </c>
      <c r="BJ194" s="62">
        <f t="shared" si="146"/>
        <v>270.4445531106897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projet'!$B$11,Paramètres!$A$1:$I$88,7,0))</f>
        <v>0</v>
      </c>
      <c r="BN194" s="17">
        <f>IF(ISNA(VLOOKUP(A194,'Données projet'!$A$87:$I$107,6,0)),0%,VLOOKUP(A194,'Données projet'!$A$87:$I$107,6,0)*VLOOKUP('Données projet'!$B$11,Paramètres!$A$1:$I$88,7,0))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projet'!$B$11,Paramètres!$A$1:$I$88,3,0)*0.475*44/12</f>
        <v>0</v>
      </c>
      <c r="BQ194" s="23">
        <f>EXP(-LN(2)/25)*BQ193+(1-EXP(-LN(2)/25))/(LN(2)/25)*Calculateur!BL194*Calculateur!BN194*VLOOKUP('Données projet'!$B$11,Paramètres!$A$1:$I$88,3,0)*0.475*44/12</f>
        <v>0</v>
      </c>
      <c r="BR194" s="23">
        <f>EXP(-LN(2)/2)*BR193+(1-EXP(-LN(2)/2))/(LN(2)/2)*BL194*BO194*VLOOKUP('Données projet'!$B$11,Paramètres!$A$1:$I$88,3,0)*0.475*44/12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5.6843418860808015E-14</v>
      </c>
      <c r="BZ194" s="14">
        <f>BY194*VLOOKUP('Données projet'!$B$12,Paramètres!$A$1:$I$88,3,0)*VLOOKUP('Données projet'!$B$12,Paramètres!$A$1:$I$88,5,0)</f>
        <v>4.4337866711430253E-14</v>
      </c>
      <c r="CA194" s="14">
        <f t="shared" si="170"/>
        <v>7.3222115536967035E-13</v>
      </c>
      <c r="CB194" s="22">
        <f t="shared" si="171"/>
        <v>1.3525069634579169E-12</v>
      </c>
      <c r="CC194" s="62">
        <f t="shared" si="119"/>
        <v>293.33333333333468</v>
      </c>
      <c r="CD194" s="62">
        <f ca="1">AVERAGE(OFFSET($CC$3,0,0,'Données projet'!$E$12+1,1))-AVERAGE(OFFSET($H$3,0,0,'Données projet'!$E$12+1,1))</f>
        <v>217.32600829266818</v>
      </c>
      <c r="CE194" s="62">
        <f t="shared" si="148"/>
        <v>208.79744153433245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projet'!$B$12,Paramètres!$A$1:$I$88,7,0))</f>
        <v>0</v>
      </c>
      <c r="CI194" s="17">
        <f>IF(ISNA(VLOOKUP(A194,'Données projet'!$A$113:$I$133,6,0)),0%,VLOOKUP(A194,'Données projet'!$A$113:$I$133,6,0)*VLOOKUP('Données projet'!$B$12,Paramètres!$A$1:$I$88,7,0))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projet'!$B$12,Paramètres!$A$1:$I$88,3,0)*0.475*44/12</f>
        <v>0</v>
      </c>
      <c r="CL194" s="23">
        <f>EXP(-LN(2)/25)*CL193+(1-EXP(-LN(2)/25))/(LN(2)/25)*Calculateur!CG194*Calculateur!CI194*VLOOKUP('Données projet'!$B$12,Paramètres!$A$1:$I$88,3,0)*0.475*44/12</f>
        <v>0</v>
      </c>
      <c r="CM194" s="23">
        <f>EXP(-LN(2)/2)*CM193+(1-EXP(-LN(2)/2))/(LN(2)/2)*CG194*CJ194*VLOOKUP('Données projet'!$B$12,Paramètres!$A$1:$I$88,3,0)*0.475*44/12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-3.4106051316484809E-13</v>
      </c>
      <c r="CU194" s="18">
        <f>CT194*VLOOKUP('Données projet'!$B$13,Paramètres!$A$1:$I$88,3,0)*VLOOKUP('Données projet'!$B$13,Paramètres!$A$1:$I$88,5,0)</f>
        <v>-1.9065282685915009E-13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302.20483575440988</v>
      </c>
      <c r="CZ194" s="62">
        <f t="shared" si="150"/>
        <v>275.32862097158687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projet'!$B$13,Paramètres!$A$1:$I$88,7,0))</f>
        <v>0</v>
      </c>
      <c r="DD194" s="17">
        <f>IF(ISNA(VLOOKUP(A194,'Données projet'!$A$139:$I$159,6,0)),0%,VLOOKUP(A194,'Données projet'!$A$139:$I$159,6,0)*VLOOKUP('Données projet'!$B$13,Paramètres!$A$1:$I$88,7,0))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projet'!$B$13,Paramètres!$A$1:$I$88,3,0)*0.475*44/12</f>
        <v>0</v>
      </c>
      <c r="DG194" s="23">
        <f>EXP(-LN(2)/25)*DG193+(1-EXP(-LN(2)/25))/(LN(2)/25)*Calculateur!DB194*Calculateur!DD194*VLOOKUP('Données projet'!$B$13,Paramètres!$A$1:$I$88,3,0)*0.475*44/12</f>
        <v>0.15925821712821317</v>
      </c>
      <c r="DH194" s="23">
        <f>EXP(-LN(2)/2)*DH193+(1-EXP(-LN(2)/2))/(LN(2)/2)*DB194*DE194*VLOOKUP('Données projet'!$B$13,Paramètres!$A$1:$I$88,3,0)*0.475*44/12</f>
        <v>3.9661752582408969E-24</v>
      </c>
      <c r="DI194" s="24">
        <f t="shared" si="175"/>
        <v>0.15925821712821317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projet'!$B$14,Paramètres!$A$1:$I$88,3,0)*VLOOKUP('Données projet'!$B$14,Paramètres!$A$1:$I$88,5,0)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projet'!$B$14,Paramètres!$A$1:$I$88,7,0))</f>
        <v>0</v>
      </c>
      <c r="DY194" s="17">
        <f>IF(ISNA(VLOOKUP(A194,'Données projet'!$A$165:$I$185,6,0)),0%,VLOOKUP(A194,'Données projet'!$A$165:$I$185,6,0)*VLOOKUP('Données projet'!$B$14,Paramètres!$A$1:$I$88,7,0))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projet'!$B$14,Paramètres!$A$1:$I$88,3,0)*0.475*44/12</f>
        <v>#N/A</v>
      </c>
      <c r="EB194" s="23" t="e">
        <f>EXP(-LN(2)/25)*EB193+(1-EXP(-LN(2)/25))/(LN(2)/25)*Calculateur!DW194*Calculateur!DY194*VLOOKUP('Données projet'!$B$14,Paramètres!$A$1:$I$88,3,0)*0.475*44/12</f>
        <v>#N/A</v>
      </c>
      <c r="EC194" s="23" t="e">
        <f>EXP(-LN(2)/2)*EC193+(1-EXP(-LN(2)/2))/(LN(2)/2)*DW194*DZ194*VLOOKUP('Données projet'!$B$14,Paramètres!$A$1:$I$88,3,0)*0.475*44/12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projet'!$B$15,Paramètres!$A$1:$I$88,3,0)*VLOOKUP('Données projet'!$B$15,Paramètres!$A$1:$I$88,5,0)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projet'!$B$15,Paramètres!$A$1:$I$88,7,0))</f>
        <v>0</v>
      </c>
      <c r="ET194" s="17">
        <f>IF(ISNA(VLOOKUP(A194,'Données projet'!$A$191:$I$211,6,0)),0%,VLOOKUP(A194,'Données projet'!$A$191:$I$211,6,0)*VLOOKUP('Données projet'!$B$15,Paramètres!$A$1:$I$88,7,0))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projet'!$B$15,Paramètres!$A$1:$I$88,3,0)*0.475*44/12</f>
        <v>#N/A</v>
      </c>
      <c r="EW194" s="23" t="e">
        <f>EXP(-LN(2)/25)*EW193+(1-EXP(-LN(2)/25))/(LN(2)/25)*Calculateur!ER194*Calculateur!ET194*VLOOKUP('Données projet'!$B$15,Paramètres!$A$1:$I$88,3,0)*0.475*44/12</f>
        <v>#N/A</v>
      </c>
      <c r="EX194" s="23" t="e">
        <f>EXP(-LN(2)/2)*EX193+(1-EXP(-LN(2)/2))/(LN(2)/2)*ER194*EU194*VLOOKUP('Données projet'!$B$15,Paramètres!$A$1:$I$88,3,0)*0.475*44/12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projet'!$B$16,Paramètres!$A$1:$I$88,3,0)*VLOOKUP('Données projet'!$B$16,Paramètres!$A$1:$I$88,5,0)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projet'!$B$16,Paramètres!$A$1:$I$88,7,0))</f>
        <v>0</v>
      </c>
      <c r="FO194" s="17">
        <f>IF(ISNA(VLOOKUP(A194,'Données projet'!$A$217:$I$237,6,0)),0%,VLOOKUP(A194,'Données projet'!$A$217:$I$237,6,0)*VLOOKUP('Données projet'!$B$16,Paramètres!$A$1:$I$88,7,0))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projet'!$B$16,Paramètres!$A$1:$I$88,3,0)*0.475*44/12</f>
        <v>#N/A</v>
      </c>
      <c r="FR194" s="23" t="e">
        <f>EXP(-LN(2)/25)*FR193+(1-EXP(-LN(2)/25))/(LN(2)/25)*Calculateur!FM194*Calculateur!FO194*VLOOKUP('Données projet'!$B$16,Paramètres!$A$1:$I$88,3,0)*0.475*44/12</f>
        <v>#N/A</v>
      </c>
      <c r="FS194" s="23" t="e">
        <f>EXP(-LN(2)/2)*FS193+(1-EXP(-LN(2)/2))/(LN(2)/2)*FM194*FP194*VLOOKUP('Données projet'!$B$16,Paramètres!$A$1:$I$88,3,0)*0.475*44/12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projet'!$B$17,Paramètres!$A$1:$I$88,3,0)*VLOOKUP('Données projet'!$B$17,Paramètres!$A$1:$I$88,5,0)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projet'!$B$17,Paramètres!$A$1:$I$88,7,0))</f>
        <v>0</v>
      </c>
      <c r="GJ194" s="17">
        <f>IF(ISNA(VLOOKUP(A194,'Données projet'!$A$243:$I$263,6,0)),0%,VLOOKUP(A194,'Données projet'!$A$243:$I$263,6,0)*VLOOKUP('Données projet'!$B$17,Paramètres!$A$1:$I$88,7,0))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projet'!$B$17,Paramètres!$A$1:$I$88,3,0)*0.475*44/12</f>
        <v>#N/A</v>
      </c>
      <c r="GM194" s="23" t="e">
        <f>EXP(-LN(2)/25)*GM193+(1-EXP(-LN(2)/25))/(LN(2)/25)*Calculateur!GH194*Calculateur!GJ194*VLOOKUP('Données projet'!$B$17,Paramètres!$A$1:$I$88,3,0)*0.475*44/12</f>
        <v>#N/A</v>
      </c>
      <c r="GN194" s="23" t="e">
        <f>EXP(-LN(2)/2)*GN193+(1-EXP(-LN(2)/2))/(LN(2)/2)*GH194*GK194*VLOOKUP('Données projet'!$B$17,Paramètres!$A$1:$I$88,3,0)*0.475*44/12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projet'!$B$18,Paramètres!$A$1:$I$88,3,0)*VLOOKUP('Données projet'!$B$18,Paramètres!$A$1:$I$88,5,0)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projet'!$B$18,Paramètres!$A$1:$I$88,7,0))</f>
        <v>0</v>
      </c>
      <c r="HE194" s="17">
        <f>IF(ISNA(VLOOKUP(A194,'Données projet'!$A$269:$I$289,6,0)),0%,VLOOKUP(A194,'Données projet'!$A$269:$I$289,6,0)*VLOOKUP('Données projet'!$B$18,Paramètres!$A$1:$I$88,7,0))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projet'!$B$18,Paramètres!$A$1:$I$88,3,0)*0.475*44/12</f>
        <v>#N/A</v>
      </c>
      <c r="HH194" s="23" t="e">
        <f>EXP(-LN(2)/25)*HH193+(1-EXP(-LN(2)/25))/(LN(2)/25)*Calculateur!HC194*Calculateur!HE194*VLOOKUP('Données projet'!$B$18,Paramètres!$A$1:$I$88,3,0)*0.475*44/12</f>
        <v>#N/A</v>
      </c>
      <c r="HI194" s="23" t="e">
        <f>EXP(-LN(2)/2)*HI193+(1-EXP(-LN(2)/2))/(LN(2)/2)*HC194*HF194*VLOOKUP('Données projet'!$B$18,Paramètres!$A$1:$I$88,3,0)*0.475*44/12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projet'!$B$9,Paramètres!$A$1:$I$88,3,0)*VLOOKUP('Données projet'!$B$9,Paramètres!$A$1:$I$88,5,0)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175.05987582828078</v>
      </c>
      <c r="T195" s="62">
        <f t="shared" si="142"/>
        <v>268.54782308462387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projet'!$B$9,Paramètres!$A$1:$I$88,7,0))</f>
        <v>0</v>
      </c>
      <c r="X195" s="17">
        <f>IF(ISNA(VLOOKUP(A195,'Données projet'!$A$35:$I$55,6,0)),0%,VLOOKUP(A195,'Données projet'!$A$35:$I$55,6,0)*VLOOKUP('Données projet'!$B$9,Paramètres!$A$1:$I$88,7,0))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projet'!$B$9,Paramètres!$A$1:$I$88,3,0)*0.475*44/12</f>
        <v>0</v>
      </c>
      <c r="AA195" s="23">
        <f>EXP(-LN(2)/25)*AA194+(1-EXP(-LN(2)/25))/(LN(2)/25)*Calculateur!V195*Calculateur!X195*VLOOKUP('Données projet'!$B$9,Paramètres!$A$1:$I$88,3,0)*0.475*44/12</f>
        <v>0.1153378837414077</v>
      </c>
      <c r="AB195" s="23">
        <f>EXP(-LN(2)/2)*AB194+(1-EXP(-LN(2)/2))/(LN(2)/2)*V195*Y195*VLOOKUP('Données projet'!$B$9,Paramètres!$A$1:$I$88,3,0)*0.475*44/12</f>
        <v>6.8320237739121678E-24</v>
      </c>
      <c r="AC195" s="24">
        <f t="shared" si="163"/>
        <v>0.1153378837414077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-1.5916157281026244E-12</v>
      </c>
      <c r="AJ195" s="14">
        <f>AI195*VLOOKUP('Données projet'!$B$10,Paramètres!$A$1:$I$88,3,0)*VLOOKUP('Données projet'!$B$10,Paramètres!$A$1:$I$88,5,0)</f>
        <v>-7.6556716521736234E-13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576.61210817354549</v>
      </c>
      <c r="AO195" s="62">
        <f t="shared" si="144"/>
        <v>343.9428747444544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projet'!$B$10,Paramètres!$A$1:$I$88,7,0))</f>
        <v>0</v>
      </c>
      <c r="AS195" s="17">
        <f>IF(ISNA(VLOOKUP(A195,'Données projet'!$A$61:$I$81,6,0)),0%,VLOOKUP(A195,'Données projet'!$A$61:$I$81,6,0)*VLOOKUP('Données projet'!$B$10,Paramètres!$A$1:$I$88,7,0))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projet'!$B$10,Paramètres!$A$1:$I$88,3,0)*0.475*44/12</f>
        <v>0</v>
      </c>
      <c r="AV195" s="23">
        <f>EXP(-LN(2)/25)*AV194+(1-EXP(-LN(2)/25))/(LN(2)/25)*Calculateur!AQ195*Calculateur!AS195*VLOOKUP('Données projet'!$B$10,Paramètres!$A$1:$I$88,3,0)*0.475*44/12</f>
        <v>6.3440033961551193E-2</v>
      </c>
      <c r="AW195" s="23">
        <f>EXP(-LN(2)/2)*AW194+(1-EXP(-LN(2)/2))/(LN(2)/2)*AQ195*AT195*VLOOKUP('Données projet'!$B$10,Paramètres!$A$1:$I$88,3,0)*0.475*44/12</f>
        <v>4.8652450330371886E-24</v>
      </c>
      <c r="AX195" s="23">
        <f t="shared" si="166"/>
        <v>6.3440033961551193E-2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-5.6843418860808015E-14</v>
      </c>
      <c r="BE195" s="14">
        <f>BD195*VLOOKUP('Données projet'!$B$11,Paramètres!$A$1:$I$88,3,0)*VLOOKUP('Données projet'!$B$11,Paramètres!$A$1:$I$88,5,0)</f>
        <v>-4.5224624045658861E-14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298.38448036212861</v>
      </c>
      <c r="BJ195" s="62">
        <f t="shared" si="146"/>
        <v>270.4445531106897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projet'!$B$11,Paramètres!$A$1:$I$88,7,0))</f>
        <v>0</v>
      </c>
      <c r="BN195" s="17">
        <f>IF(ISNA(VLOOKUP(A195,'Données projet'!$A$87:$I$107,6,0)),0%,VLOOKUP(A195,'Données projet'!$A$87:$I$107,6,0)*VLOOKUP('Données projet'!$B$11,Paramètres!$A$1:$I$88,7,0))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projet'!$B$11,Paramètres!$A$1:$I$88,3,0)*0.475*44/12</f>
        <v>0</v>
      </c>
      <c r="BQ195" s="23">
        <f>EXP(-LN(2)/25)*BQ194+(1-EXP(-LN(2)/25))/(LN(2)/25)*Calculateur!BL195*Calculateur!BN195*VLOOKUP('Données projet'!$B$11,Paramètres!$A$1:$I$88,3,0)*0.475*44/12</f>
        <v>0</v>
      </c>
      <c r="BR195" s="23">
        <f>EXP(-LN(2)/2)*BR194+(1-EXP(-LN(2)/2))/(LN(2)/2)*BL195*BO195*VLOOKUP('Données projet'!$B$11,Paramètres!$A$1:$I$88,3,0)*0.475*44/12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5.6843418860808015E-14</v>
      </c>
      <c r="BZ195" s="14">
        <f>BY195*VLOOKUP('Données projet'!$B$12,Paramètres!$A$1:$I$88,3,0)*VLOOKUP('Données projet'!$B$12,Paramètres!$A$1:$I$88,5,0)</f>
        <v>4.4337866711430253E-14</v>
      </c>
      <c r="CA195" s="14">
        <f t="shared" si="170"/>
        <v>7.3222115536967035E-13</v>
      </c>
      <c r="CB195" s="22">
        <f t="shared" si="171"/>
        <v>1.3525069634579169E-12</v>
      </c>
      <c r="CC195" s="62">
        <f t="shared" si="119"/>
        <v>293.33333333333468</v>
      </c>
      <c r="CD195" s="62">
        <f ca="1">AVERAGE(OFFSET($CC$3,0,0,'Données projet'!$E$12+1,1))-AVERAGE(OFFSET($H$3,0,0,'Données projet'!$E$12+1,1))</f>
        <v>217.32600829266818</v>
      </c>
      <c r="CE195" s="62">
        <f t="shared" si="148"/>
        <v>208.79744153433245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projet'!$B$12,Paramètres!$A$1:$I$88,7,0))</f>
        <v>0</v>
      </c>
      <c r="CI195" s="17">
        <f>IF(ISNA(VLOOKUP(A195,'Données projet'!$A$113:$I$133,6,0)),0%,VLOOKUP(A195,'Données projet'!$A$113:$I$133,6,0)*VLOOKUP('Données projet'!$B$12,Paramètres!$A$1:$I$88,7,0))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projet'!$B$12,Paramètres!$A$1:$I$88,3,0)*0.475*44/12</f>
        <v>0</v>
      </c>
      <c r="CL195" s="23">
        <f>EXP(-LN(2)/25)*CL194+(1-EXP(-LN(2)/25))/(LN(2)/25)*Calculateur!CG195*Calculateur!CI195*VLOOKUP('Données projet'!$B$12,Paramètres!$A$1:$I$88,3,0)*0.475*44/12</f>
        <v>0</v>
      </c>
      <c r="CM195" s="23">
        <f>EXP(-LN(2)/2)*CM194+(1-EXP(-LN(2)/2))/(LN(2)/2)*CG195*CJ195*VLOOKUP('Données projet'!$B$12,Paramètres!$A$1:$I$88,3,0)*0.475*44/12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-3.4106051316484809E-13</v>
      </c>
      <c r="CU195" s="18">
        <f>CT195*VLOOKUP('Données projet'!$B$13,Paramètres!$A$1:$I$88,3,0)*VLOOKUP('Données projet'!$B$13,Paramètres!$A$1:$I$88,5,0)</f>
        <v>-1.9065282685915009E-13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302.20483575440988</v>
      </c>
      <c r="CZ195" s="62">
        <f t="shared" si="150"/>
        <v>275.32862097158687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projet'!$B$13,Paramètres!$A$1:$I$88,7,0))</f>
        <v>0</v>
      </c>
      <c r="DD195" s="17">
        <f>IF(ISNA(VLOOKUP(A195,'Données projet'!$A$139:$I$159,6,0)),0%,VLOOKUP(A195,'Données projet'!$A$139:$I$159,6,0)*VLOOKUP('Données projet'!$B$13,Paramètres!$A$1:$I$88,7,0))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projet'!$B$13,Paramètres!$A$1:$I$88,3,0)*0.475*44/12</f>
        <v>0</v>
      </c>
      <c r="DG195" s="23">
        <f>EXP(-LN(2)/25)*DG194+(1-EXP(-LN(2)/25))/(LN(2)/25)*Calculateur!DB195*Calculateur!DD195*VLOOKUP('Données projet'!$B$13,Paramètres!$A$1:$I$88,3,0)*0.475*44/12</f>
        <v>0.15490329280581652</v>
      </c>
      <c r="DH195" s="23">
        <f>EXP(-LN(2)/2)*DH194+(1-EXP(-LN(2)/2))/(LN(2)/2)*DB195*DE195*VLOOKUP('Données projet'!$B$13,Paramètres!$A$1:$I$88,3,0)*0.475*44/12</f>
        <v>2.8045094204764446E-24</v>
      </c>
      <c r="DI195" s="24">
        <f t="shared" si="175"/>
        <v>0.15490329280581652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projet'!$B$14,Paramètres!$A$1:$I$88,3,0)*VLOOKUP('Données projet'!$B$14,Paramètres!$A$1:$I$88,5,0)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projet'!$B$14,Paramètres!$A$1:$I$88,7,0))</f>
        <v>0</v>
      </c>
      <c r="DY195" s="17">
        <f>IF(ISNA(VLOOKUP(A195,'Données projet'!$A$165:$I$185,6,0)),0%,VLOOKUP(A195,'Données projet'!$A$165:$I$185,6,0)*VLOOKUP('Données projet'!$B$14,Paramètres!$A$1:$I$88,7,0))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projet'!$B$14,Paramètres!$A$1:$I$88,3,0)*0.475*44/12</f>
        <v>#N/A</v>
      </c>
      <c r="EB195" s="23" t="e">
        <f>EXP(-LN(2)/25)*EB194+(1-EXP(-LN(2)/25))/(LN(2)/25)*Calculateur!DW195*Calculateur!DY195*VLOOKUP('Données projet'!$B$14,Paramètres!$A$1:$I$88,3,0)*0.475*44/12</f>
        <v>#N/A</v>
      </c>
      <c r="EC195" s="23" t="e">
        <f>EXP(-LN(2)/2)*EC194+(1-EXP(-LN(2)/2))/(LN(2)/2)*DW195*DZ195*VLOOKUP('Données projet'!$B$14,Paramètres!$A$1:$I$88,3,0)*0.475*44/12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projet'!$B$15,Paramètres!$A$1:$I$88,3,0)*VLOOKUP('Données projet'!$B$15,Paramètres!$A$1:$I$88,5,0)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projet'!$B$15,Paramètres!$A$1:$I$88,7,0))</f>
        <v>0</v>
      </c>
      <c r="ET195" s="17">
        <f>IF(ISNA(VLOOKUP(A195,'Données projet'!$A$191:$I$211,6,0)),0%,VLOOKUP(A195,'Données projet'!$A$191:$I$211,6,0)*VLOOKUP('Données projet'!$B$15,Paramètres!$A$1:$I$88,7,0))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projet'!$B$15,Paramètres!$A$1:$I$88,3,0)*0.475*44/12</f>
        <v>#N/A</v>
      </c>
      <c r="EW195" s="23" t="e">
        <f>EXP(-LN(2)/25)*EW194+(1-EXP(-LN(2)/25))/(LN(2)/25)*Calculateur!ER195*Calculateur!ET195*VLOOKUP('Données projet'!$B$15,Paramètres!$A$1:$I$88,3,0)*0.475*44/12</f>
        <v>#N/A</v>
      </c>
      <c r="EX195" s="23" t="e">
        <f>EXP(-LN(2)/2)*EX194+(1-EXP(-LN(2)/2))/(LN(2)/2)*ER195*EU195*VLOOKUP('Données projet'!$B$15,Paramètres!$A$1:$I$88,3,0)*0.475*44/12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projet'!$B$16,Paramètres!$A$1:$I$88,3,0)*VLOOKUP('Données projet'!$B$16,Paramètres!$A$1:$I$88,5,0)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projet'!$B$16,Paramètres!$A$1:$I$88,7,0))</f>
        <v>0</v>
      </c>
      <c r="FO195" s="17">
        <f>IF(ISNA(VLOOKUP(A195,'Données projet'!$A$217:$I$237,6,0)),0%,VLOOKUP(A195,'Données projet'!$A$217:$I$237,6,0)*VLOOKUP('Données projet'!$B$16,Paramètres!$A$1:$I$88,7,0))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projet'!$B$16,Paramètres!$A$1:$I$88,3,0)*0.475*44/12</f>
        <v>#N/A</v>
      </c>
      <c r="FR195" s="23" t="e">
        <f>EXP(-LN(2)/25)*FR194+(1-EXP(-LN(2)/25))/(LN(2)/25)*Calculateur!FM195*Calculateur!FO195*VLOOKUP('Données projet'!$B$16,Paramètres!$A$1:$I$88,3,0)*0.475*44/12</f>
        <v>#N/A</v>
      </c>
      <c r="FS195" s="23" t="e">
        <f>EXP(-LN(2)/2)*FS194+(1-EXP(-LN(2)/2))/(LN(2)/2)*FM195*FP195*VLOOKUP('Données projet'!$B$16,Paramètres!$A$1:$I$88,3,0)*0.475*44/12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projet'!$B$17,Paramètres!$A$1:$I$88,3,0)*VLOOKUP('Données projet'!$B$17,Paramètres!$A$1:$I$88,5,0)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projet'!$B$17,Paramètres!$A$1:$I$88,7,0))</f>
        <v>0</v>
      </c>
      <c r="GJ195" s="17">
        <f>IF(ISNA(VLOOKUP(A195,'Données projet'!$A$243:$I$263,6,0)),0%,VLOOKUP(A195,'Données projet'!$A$243:$I$263,6,0)*VLOOKUP('Données projet'!$B$17,Paramètres!$A$1:$I$88,7,0))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projet'!$B$17,Paramètres!$A$1:$I$88,3,0)*0.475*44/12</f>
        <v>#N/A</v>
      </c>
      <c r="GM195" s="23" t="e">
        <f>EXP(-LN(2)/25)*GM194+(1-EXP(-LN(2)/25))/(LN(2)/25)*Calculateur!GH195*Calculateur!GJ195*VLOOKUP('Données projet'!$B$17,Paramètres!$A$1:$I$88,3,0)*0.475*44/12</f>
        <v>#N/A</v>
      </c>
      <c r="GN195" s="23" t="e">
        <f>EXP(-LN(2)/2)*GN194+(1-EXP(-LN(2)/2))/(LN(2)/2)*GH195*GK195*VLOOKUP('Données projet'!$B$17,Paramètres!$A$1:$I$88,3,0)*0.475*44/12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projet'!$B$18,Paramètres!$A$1:$I$88,3,0)*VLOOKUP('Données projet'!$B$18,Paramètres!$A$1:$I$88,5,0)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projet'!$B$18,Paramètres!$A$1:$I$88,7,0))</f>
        <v>0</v>
      </c>
      <c r="HE195" s="17">
        <f>IF(ISNA(VLOOKUP(A195,'Données projet'!$A$269:$I$289,6,0)),0%,VLOOKUP(A195,'Données projet'!$A$269:$I$289,6,0)*VLOOKUP('Données projet'!$B$18,Paramètres!$A$1:$I$88,7,0))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projet'!$B$18,Paramètres!$A$1:$I$88,3,0)*0.475*44/12</f>
        <v>#N/A</v>
      </c>
      <c r="HH195" s="23" t="e">
        <f>EXP(-LN(2)/25)*HH194+(1-EXP(-LN(2)/25))/(LN(2)/25)*Calculateur!HC195*Calculateur!HE195*VLOOKUP('Données projet'!$B$18,Paramètres!$A$1:$I$88,3,0)*0.475*44/12</f>
        <v>#N/A</v>
      </c>
      <c r="HI195" s="23" t="e">
        <f>EXP(-LN(2)/2)*HI194+(1-EXP(-LN(2)/2))/(LN(2)/2)*HC195*HF195*VLOOKUP('Données projet'!$B$18,Paramètres!$A$1:$I$88,3,0)*0.475*44/12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projet'!$B$9,Paramètres!$A$1:$I$88,3,0)*VLOOKUP('Données projet'!$B$9,Paramètres!$A$1:$I$88,5,0)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175.05987582828078</v>
      </c>
      <c r="T196" s="62">
        <f t="shared" si="142"/>
        <v>268.54782308462387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projet'!$B$9,Paramètres!$A$1:$I$88,7,0))</f>
        <v>0</v>
      </c>
      <c r="X196" s="17">
        <f>IF(ISNA(VLOOKUP(A196,'Données projet'!$A$35:$I$55,6,0)),0%,VLOOKUP(A196,'Données projet'!$A$35:$I$55,6,0)*VLOOKUP('Données projet'!$B$9,Paramètres!$A$1:$I$88,7,0))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projet'!$B$9,Paramètres!$A$1:$I$88,3,0)*0.475*44/12</f>
        <v>0</v>
      </c>
      <c r="AA196" s="23">
        <f>EXP(-LN(2)/25)*AA195+(1-EXP(-LN(2)/25))/(LN(2)/25)*Calculateur!V196*Calculateur!X196*VLOOKUP('Données projet'!$B$9,Paramètres!$A$1:$I$88,3,0)*0.475*44/12</f>
        <v>0.11218396324514321</v>
      </c>
      <c r="AB196" s="23">
        <f>EXP(-LN(2)/2)*AB195+(1-EXP(-LN(2)/2))/(LN(2)/2)*V196*Y196*VLOOKUP('Données projet'!$B$9,Paramètres!$A$1:$I$88,3,0)*0.475*44/12</f>
        <v>4.8309703397610019E-24</v>
      </c>
      <c r="AC196" s="24">
        <f t="shared" si="163"/>
        <v>0.11218396324514321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-1.5916157281026244E-12</v>
      </c>
      <c r="AJ196" s="14">
        <f>AI196*VLOOKUP('Données projet'!$B$10,Paramètres!$A$1:$I$88,3,0)*VLOOKUP('Données projet'!$B$10,Paramètres!$A$1:$I$88,5,0)</f>
        <v>-7.6556716521736234E-13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576.61210817354549</v>
      </c>
      <c r="AO196" s="62">
        <f t="shared" si="144"/>
        <v>343.9428747444544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projet'!$B$10,Paramètres!$A$1:$I$88,7,0))</f>
        <v>0</v>
      </c>
      <c r="AS196" s="17">
        <f>IF(ISNA(VLOOKUP(A196,'Données projet'!$A$61:$I$81,6,0)),0%,VLOOKUP(A196,'Données projet'!$A$61:$I$81,6,0)*VLOOKUP('Données projet'!$B$10,Paramètres!$A$1:$I$88,7,0))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projet'!$B$10,Paramètres!$A$1:$I$88,3,0)*0.475*44/12</f>
        <v>0</v>
      </c>
      <c r="AV196" s="23">
        <f>EXP(-LN(2)/25)*AV195+(1-EXP(-LN(2)/25))/(LN(2)/25)*Calculateur!AQ196*Calculateur!AS196*VLOOKUP('Données projet'!$B$10,Paramètres!$A$1:$I$88,3,0)*0.475*44/12</f>
        <v>6.1705262896706185E-2</v>
      </c>
      <c r="AW196" s="23">
        <f>EXP(-LN(2)/2)*AW195+(1-EXP(-LN(2)/2))/(LN(2)/2)*AQ196*AT196*VLOOKUP('Données projet'!$B$10,Paramètres!$A$1:$I$88,3,0)*0.475*44/12</f>
        <v>3.4402477549947645E-24</v>
      </c>
      <c r="AX196" s="23">
        <f t="shared" si="166"/>
        <v>6.1705262896706185E-2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-5.6843418860808015E-14</v>
      </c>
      <c r="BE196" s="14">
        <f>BD196*VLOOKUP('Données projet'!$B$11,Paramètres!$A$1:$I$88,3,0)*VLOOKUP('Données projet'!$B$11,Paramètres!$A$1:$I$88,5,0)</f>
        <v>-4.5224624045658861E-14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298.38448036212861</v>
      </c>
      <c r="BJ196" s="62">
        <f t="shared" si="146"/>
        <v>270.4445531106897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projet'!$B$11,Paramètres!$A$1:$I$88,7,0))</f>
        <v>0</v>
      </c>
      <c r="BN196" s="17">
        <f>IF(ISNA(VLOOKUP(A196,'Données projet'!$A$87:$I$107,6,0)),0%,VLOOKUP(A196,'Données projet'!$A$87:$I$107,6,0)*VLOOKUP('Données projet'!$B$11,Paramètres!$A$1:$I$88,7,0))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projet'!$B$11,Paramètres!$A$1:$I$88,3,0)*0.475*44/12</f>
        <v>0</v>
      </c>
      <c r="BQ196" s="23">
        <f>EXP(-LN(2)/25)*BQ195+(1-EXP(-LN(2)/25))/(LN(2)/25)*Calculateur!BL196*Calculateur!BN196*VLOOKUP('Données projet'!$B$11,Paramètres!$A$1:$I$88,3,0)*0.475*44/12</f>
        <v>0</v>
      </c>
      <c r="BR196" s="23">
        <f>EXP(-LN(2)/2)*BR195+(1-EXP(-LN(2)/2))/(LN(2)/2)*BL196*BO196*VLOOKUP('Données projet'!$B$11,Paramètres!$A$1:$I$88,3,0)*0.475*44/12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5.6843418860808015E-14</v>
      </c>
      <c r="BZ196" s="14">
        <f>BY196*VLOOKUP('Données projet'!$B$12,Paramètres!$A$1:$I$88,3,0)*VLOOKUP('Données projet'!$B$12,Paramètres!$A$1:$I$88,5,0)</f>
        <v>4.4337866711430253E-14</v>
      </c>
      <c r="CA196" s="14">
        <f t="shared" si="170"/>
        <v>7.3222115536967035E-13</v>
      </c>
      <c r="CB196" s="22">
        <f t="shared" si="171"/>
        <v>1.3525069634579169E-12</v>
      </c>
      <c r="CC196" s="62">
        <f t="shared" ref="CC196:CC203" si="195">CB196+(BT196+BU196)*44/12</f>
        <v>293.33333333333468</v>
      </c>
      <c r="CD196" s="62">
        <f ca="1">AVERAGE(OFFSET($CC$3,0,0,'Données projet'!$E$12+1,1))-AVERAGE(OFFSET($H$3,0,0,'Données projet'!$E$12+1,1))</f>
        <v>217.32600829266818</v>
      </c>
      <c r="CE196" s="62">
        <f t="shared" si="148"/>
        <v>208.79744153433245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projet'!$B$12,Paramètres!$A$1:$I$88,7,0))</f>
        <v>0</v>
      </c>
      <c r="CI196" s="17">
        <f>IF(ISNA(VLOOKUP(A196,'Données projet'!$A$113:$I$133,6,0)),0%,VLOOKUP(A196,'Données projet'!$A$113:$I$133,6,0)*VLOOKUP('Données projet'!$B$12,Paramètres!$A$1:$I$88,7,0))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projet'!$B$12,Paramètres!$A$1:$I$88,3,0)*0.475*44/12</f>
        <v>0</v>
      </c>
      <c r="CL196" s="23">
        <f>EXP(-LN(2)/25)*CL195+(1-EXP(-LN(2)/25))/(LN(2)/25)*Calculateur!CG196*Calculateur!CI196*VLOOKUP('Données projet'!$B$12,Paramètres!$A$1:$I$88,3,0)*0.475*44/12</f>
        <v>0</v>
      </c>
      <c r="CM196" s="23">
        <f>EXP(-LN(2)/2)*CM195+(1-EXP(-LN(2)/2))/(LN(2)/2)*CG196*CJ196*VLOOKUP('Données projet'!$B$12,Paramètres!$A$1:$I$88,3,0)*0.475*44/12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-3.4106051316484809E-13</v>
      </c>
      <c r="CU196" s="18">
        <f>CT196*VLOOKUP('Données projet'!$B$13,Paramètres!$A$1:$I$88,3,0)*VLOOKUP('Données projet'!$B$13,Paramètres!$A$1:$I$88,5,0)</f>
        <v>-1.9065282685915009E-13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302.20483575440988</v>
      </c>
      <c r="CZ196" s="62">
        <f t="shared" si="150"/>
        <v>275.32862097158687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projet'!$B$13,Paramètres!$A$1:$I$88,7,0))</f>
        <v>0</v>
      </c>
      <c r="DD196" s="17">
        <f>IF(ISNA(VLOOKUP(A196,'Données projet'!$A$139:$I$159,6,0)),0%,VLOOKUP(A196,'Données projet'!$A$139:$I$159,6,0)*VLOOKUP('Données projet'!$B$13,Paramètres!$A$1:$I$88,7,0))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projet'!$B$13,Paramètres!$A$1:$I$88,3,0)*0.475*44/12</f>
        <v>0</v>
      </c>
      <c r="DG196" s="23">
        <f>EXP(-LN(2)/25)*DG195+(1-EXP(-LN(2)/25))/(LN(2)/25)*Calculateur!DB196*Calculateur!DD196*VLOOKUP('Données projet'!$B$13,Paramètres!$A$1:$I$88,3,0)*0.475*44/12</f>
        <v>0.15066745411803134</v>
      </c>
      <c r="DH196" s="23">
        <f>EXP(-LN(2)/2)*DH195+(1-EXP(-LN(2)/2))/(LN(2)/2)*DB196*DE196*VLOOKUP('Données projet'!$B$13,Paramètres!$A$1:$I$88,3,0)*0.475*44/12</f>
        <v>1.9830876291204485E-24</v>
      </c>
      <c r="DI196" s="24">
        <f t="shared" si="175"/>
        <v>0.15066745411803134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projet'!$B$14,Paramètres!$A$1:$I$88,3,0)*VLOOKUP('Données projet'!$B$14,Paramètres!$A$1:$I$88,5,0)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projet'!$B$14,Paramètres!$A$1:$I$88,7,0))</f>
        <v>0</v>
      </c>
      <c r="DY196" s="17">
        <f>IF(ISNA(VLOOKUP(A196,'Données projet'!$A$165:$I$185,6,0)),0%,VLOOKUP(A196,'Données projet'!$A$165:$I$185,6,0)*VLOOKUP('Données projet'!$B$14,Paramètres!$A$1:$I$88,7,0))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projet'!$B$14,Paramètres!$A$1:$I$88,3,0)*0.475*44/12</f>
        <v>#N/A</v>
      </c>
      <c r="EB196" s="23" t="e">
        <f>EXP(-LN(2)/25)*EB195+(1-EXP(-LN(2)/25))/(LN(2)/25)*Calculateur!DW196*Calculateur!DY196*VLOOKUP('Données projet'!$B$14,Paramètres!$A$1:$I$88,3,0)*0.475*44/12</f>
        <v>#N/A</v>
      </c>
      <c r="EC196" s="23" t="e">
        <f>EXP(-LN(2)/2)*EC195+(1-EXP(-LN(2)/2))/(LN(2)/2)*DW196*DZ196*VLOOKUP('Données projet'!$B$14,Paramètres!$A$1:$I$88,3,0)*0.475*44/12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projet'!$B$15,Paramètres!$A$1:$I$88,3,0)*VLOOKUP('Données projet'!$B$15,Paramètres!$A$1:$I$88,5,0)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projet'!$B$15,Paramètres!$A$1:$I$88,7,0))</f>
        <v>0</v>
      </c>
      <c r="ET196" s="17">
        <f>IF(ISNA(VLOOKUP(A196,'Données projet'!$A$191:$I$211,6,0)),0%,VLOOKUP(A196,'Données projet'!$A$191:$I$211,6,0)*VLOOKUP('Données projet'!$B$15,Paramètres!$A$1:$I$88,7,0))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projet'!$B$15,Paramètres!$A$1:$I$88,3,0)*0.475*44/12</f>
        <v>#N/A</v>
      </c>
      <c r="EW196" s="23" t="e">
        <f>EXP(-LN(2)/25)*EW195+(1-EXP(-LN(2)/25))/(LN(2)/25)*Calculateur!ER196*Calculateur!ET196*VLOOKUP('Données projet'!$B$15,Paramètres!$A$1:$I$88,3,0)*0.475*44/12</f>
        <v>#N/A</v>
      </c>
      <c r="EX196" s="23" t="e">
        <f>EXP(-LN(2)/2)*EX195+(1-EXP(-LN(2)/2))/(LN(2)/2)*ER196*EU196*VLOOKUP('Données projet'!$B$15,Paramètres!$A$1:$I$88,3,0)*0.475*44/12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projet'!$B$16,Paramètres!$A$1:$I$88,3,0)*VLOOKUP('Données projet'!$B$16,Paramètres!$A$1:$I$88,5,0)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projet'!$B$16,Paramètres!$A$1:$I$88,7,0))</f>
        <v>0</v>
      </c>
      <c r="FO196" s="17">
        <f>IF(ISNA(VLOOKUP(A196,'Données projet'!$A$217:$I$237,6,0)),0%,VLOOKUP(A196,'Données projet'!$A$217:$I$237,6,0)*VLOOKUP('Données projet'!$B$16,Paramètres!$A$1:$I$88,7,0))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projet'!$B$16,Paramètres!$A$1:$I$88,3,0)*0.475*44/12</f>
        <v>#N/A</v>
      </c>
      <c r="FR196" s="23" t="e">
        <f>EXP(-LN(2)/25)*FR195+(1-EXP(-LN(2)/25))/(LN(2)/25)*Calculateur!FM196*Calculateur!FO196*VLOOKUP('Données projet'!$B$16,Paramètres!$A$1:$I$88,3,0)*0.475*44/12</f>
        <v>#N/A</v>
      </c>
      <c r="FS196" s="23" t="e">
        <f>EXP(-LN(2)/2)*FS195+(1-EXP(-LN(2)/2))/(LN(2)/2)*FM196*FP196*VLOOKUP('Données projet'!$B$16,Paramètres!$A$1:$I$88,3,0)*0.475*44/12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projet'!$B$17,Paramètres!$A$1:$I$88,3,0)*VLOOKUP('Données projet'!$B$17,Paramètres!$A$1:$I$88,5,0)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projet'!$B$17,Paramètres!$A$1:$I$88,7,0))</f>
        <v>0</v>
      </c>
      <c r="GJ196" s="17">
        <f>IF(ISNA(VLOOKUP(A196,'Données projet'!$A$243:$I$263,6,0)),0%,VLOOKUP(A196,'Données projet'!$A$243:$I$263,6,0)*VLOOKUP('Données projet'!$B$17,Paramètres!$A$1:$I$88,7,0))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projet'!$B$17,Paramètres!$A$1:$I$88,3,0)*0.475*44/12</f>
        <v>#N/A</v>
      </c>
      <c r="GM196" s="23" t="e">
        <f>EXP(-LN(2)/25)*GM195+(1-EXP(-LN(2)/25))/(LN(2)/25)*Calculateur!GH196*Calculateur!GJ196*VLOOKUP('Données projet'!$B$17,Paramètres!$A$1:$I$88,3,0)*0.475*44/12</f>
        <v>#N/A</v>
      </c>
      <c r="GN196" s="23" t="e">
        <f>EXP(-LN(2)/2)*GN195+(1-EXP(-LN(2)/2))/(LN(2)/2)*GH196*GK196*VLOOKUP('Données projet'!$B$17,Paramètres!$A$1:$I$88,3,0)*0.475*44/12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projet'!$B$18,Paramètres!$A$1:$I$88,3,0)*VLOOKUP('Données projet'!$B$18,Paramètres!$A$1:$I$88,5,0)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projet'!$B$18,Paramètres!$A$1:$I$88,7,0))</f>
        <v>0</v>
      </c>
      <c r="HE196" s="17">
        <f>IF(ISNA(VLOOKUP(A196,'Données projet'!$A$269:$I$289,6,0)),0%,VLOOKUP(A196,'Données projet'!$A$269:$I$289,6,0)*VLOOKUP('Données projet'!$B$18,Paramètres!$A$1:$I$88,7,0))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projet'!$B$18,Paramètres!$A$1:$I$88,3,0)*0.475*44/12</f>
        <v>#N/A</v>
      </c>
      <c r="HH196" s="23" t="e">
        <f>EXP(-LN(2)/25)*HH195+(1-EXP(-LN(2)/25))/(LN(2)/25)*Calculateur!HC196*Calculateur!HE196*VLOOKUP('Données projet'!$B$18,Paramètres!$A$1:$I$88,3,0)*0.475*44/12</f>
        <v>#N/A</v>
      </c>
      <c r="HI196" s="23" t="e">
        <f>EXP(-LN(2)/2)*HI195+(1-EXP(-LN(2)/2))/(LN(2)/2)*HC196*HF196*VLOOKUP('Données projet'!$B$18,Paramètres!$A$1:$I$88,3,0)*0.475*44/12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projet'!$B$9,Paramètres!$A$1:$I$88,3,0)*VLOOKUP('Données projet'!$B$9,Paramètres!$A$1:$I$88,5,0)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175.05987582828078</v>
      </c>
      <c r="T197" s="62">
        <f t="shared" ref="T197:T203" si="204">$T$3</f>
        <v>268.54782308462387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projet'!$B$9,Paramètres!$A$1:$I$88,7,0))</f>
        <v>0</v>
      </c>
      <c r="X197" s="17">
        <f>IF(ISNA(VLOOKUP(A197,'Données projet'!$A$35:$I$55,6,0)),0%,VLOOKUP(A197,'Données projet'!$A$35:$I$55,6,0)*VLOOKUP('Données projet'!$B$9,Paramètres!$A$1:$I$88,7,0))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projet'!$B$9,Paramètres!$A$1:$I$88,3,0)*0.475*44/12</f>
        <v>0</v>
      </c>
      <c r="AA197" s="23">
        <f>EXP(-LN(2)/25)*AA196+(1-EXP(-LN(2)/25))/(LN(2)/25)*Calculateur!V197*Calculateur!X197*VLOOKUP('Données projet'!$B$9,Paramètres!$A$1:$I$88,3,0)*0.475*44/12</f>
        <v>0.10911628687070654</v>
      </c>
      <c r="AB197" s="23">
        <f>EXP(-LN(2)/2)*AB196+(1-EXP(-LN(2)/2))/(LN(2)/2)*V197*Y197*VLOOKUP('Données projet'!$B$9,Paramètres!$A$1:$I$88,3,0)*0.475*44/12</f>
        <v>3.4160118869560839E-24</v>
      </c>
      <c r="AC197" s="24">
        <f t="shared" si="163"/>
        <v>0.10911628687070654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-1.5916157281026244E-12</v>
      </c>
      <c r="AJ197" s="14">
        <f>AI197*VLOOKUP('Données projet'!$B$10,Paramètres!$A$1:$I$88,3,0)*VLOOKUP('Données projet'!$B$10,Paramètres!$A$1:$I$88,5,0)</f>
        <v>-7.6556716521736234E-13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576.61210817354549</v>
      </c>
      <c r="AO197" s="62">
        <f t="shared" ref="AO197:AO203" si="205">$AO$3</f>
        <v>343.9428747444544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projet'!$B$10,Paramètres!$A$1:$I$88,7,0))</f>
        <v>0</v>
      </c>
      <c r="AS197" s="17">
        <f>IF(ISNA(VLOOKUP(A197,'Données projet'!$A$61:$I$81,6,0)),0%,VLOOKUP(A197,'Données projet'!$A$61:$I$81,6,0)*VLOOKUP('Données projet'!$B$10,Paramètres!$A$1:$I$88,7,0))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projet'!$B$10,Paramètres!$A$1:$I$88,3,0)*0.475*44/12</f>
        <v>0</v>
      </c>
      <c r="AV197" s="23">
        <f>EXP(-LN(2)/25)*AV196+(1-EXP(-LN(2)/25))/(LN(2)/25)*Calculateur!AQ197*Calculateur!AS197*VLOOKUP('Données projet'!$B$10,Paramètres!$A$1:$I$88,3,0)*0.475*44/12</f>
        <v>6.001792923785701E-2</v>
      </c>
      <c r="AW197" s="23">
        <f>EXP(-LN(2)/2)*AW196+(1-EXP(-LN(2)/2))/(LN(2)/2)*AQ197*AT197*VLOOKUP('Données projet'!$B$10,Paramètres!$A$1:$I$88,3,0)*0.475*44/12</f>
        <v>2.4326225165185943E-24</v>
      </c>
      <c r="AX197" s="23">
        <f t="shared" si="166"/>
        <v>6.001792923785701E-2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-5.6843418860808015E-14</v>
      </c>
      <c r="BE197" s="14">
        <f>BD197*VLOOKUP('Données projet'!$B$11,Paramètres!$A$1:$I$88,3,0)*VLOOKUP('Données projet'!$B$11,Paramètres!$A$1:$I$88,5,0)</f>
        <v>-4.5224624045658861E-14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298.38448036212861</v>
      </c>
      <c r="BJ197" s="62">
        <f t="shared" ref="BJ197:BJ203" si="206">$BJ$3</f>
        <v>270.4445531106897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projet'!$B$11,Paramètres!$A$1:$I$88,7,0))</f>
        <v>0</v>
      </c>
      <c r="BN197" s="17">
        <f>IF(ISNA(VLOOKUP(A197,'Données projet'!$A$87:$I$107,6,0)),0%,VLOOKUP(A197,'Données projet'!$A$87:$I$107,6,0)*VLOOKUP('Données projet'!$B$11,Paramètres!$A$1:$I$88,7,0))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projet'!$B$11,Paramètres!$A$1:$I$88,3,0)*0.475*44/12</f>
        <v>0</v>
      </c>
      <c r="BQ197" s="23">
        <f>EXP(-LN(2)/25)*BQ196+(1-EXP(-LN(2)/25))/(LN(2)/25)*Calculateur!BL197*Calculateur!BN197*VLOOKUP('Données projet'!$B$11,Paramètres!$A$1:$I$88,3,0)*0.475*44/12</f>
        <v>0</v>
      </c>
      <c r="BR197" s="23">
        <f>EXP(-LN(2)/2)*BR196+(1-EXP(-LN(2)/2))/(LN(2)/2)*BL197*BO197*VLOOKUP('Données projet'!$B$11,Paramètres!$A$1:$I$88,3,0)*0.475*44/12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5.6843418860808015E-14</v>
      </c>
      <c r="BZ197" s="14">
        <f>BY197*VLOOKUP('Données projet'!$B$12,Paramètres!$A$1:$I$88,3,0)*VLOOKUP('Données projet'!$B$12,Paramètres!$A$1:$I$88,5,0)</f>
        <v>4.4337866711430253E-14</v>
      </c>
      <c r="CA197" s="14">
        <f t="shared" si="170"/>
        <v>7.3222115536967035E-13</v>
      </c>
      <c r="CB197" s="22">
        <f t="shared" si="171"/>
        <v>1.3525069634579169E-12</v>
      </c>
      <c r="CC197" s="62">
        <f t="shared" si="195"/>
        <v>293.33333333333468</v>
      </c>
      <c r="CD197" s="62">
        <f ca="1">AVERAGE(OFFSET($CC$3,0,0,'Données projet'!$E$12+1,1))-AVERAGE(OFFSET($H$3,0,0,'Données projet'!$E$12+1,1))</f>
        <v>217.32600829266818</v>
      </c>
      <c r="CE197" s="62">
        <f t="shared" ref="CE197:CE203" si="207">$CE$3</f>
        <v>208.79744153433245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projet'!$B$12,Paramètres!$A$1:$I$88,7,0))</f>
        <v>0</v>
      </c>
      <c r="CI197" s="17">
        <f>IF(ISNA(VLOOKUP(A197,'Données projet'!$A$113:$I$133,6,0)),0%,VLOOKUP(A197,'Données projet'!$A$113:$I$133,6,0)*VLOOKUP('Données projet'!$B$12,Paramètres!$A$1:$I$88,7,0))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projet'!$B$12,Paramètres!$A$1:$I$88,3,0)*0.475*44/12</f>
        <v>0</v>
      </c>
      <c r="CL197" s="23">
        <f>EXP(-LN(2)/25)*CL196+(1-EXP(-LN(2)/25))/(LN(2)/25)*Calculateur!CG197*Calculateur!CI197*VLOOKUP('Données projet'!$B$12,Paramètres!$A$1:$I$88,3,0)*0.475*44/12</f>
        <v>0</v>
      </c>
      <c r="CM197" s="23">
        <f>EXP(-LN(2)/2)*CM196+(1-EXP(-LN(2)/2))/(LN(2)/2)*CG197*CJ197*VLOOKUP('Données projet'!$B$12,Paramètres!$A$1:$I$88,3,0)*0.475*44/12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-3.4106051316484809E-13</v>
      </c>
      <c r="CU197" s="18">
        <f>CT197*VLOOKUP('Données projet'!$B$13,Paramètres!$A$1:$I$88,3,0)*VLOOKUP('Données projet'!$B$13,Paramètres!$A$1:$I$88,5,0)</f>
        <v>-1.9065282685915009E-13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302.20483575440988</v>
      </c>
      <c r="CZ197" s="62">
        <f t="shared" ref="CZ197:CZ203" si="208">$CZ$3</f>
        <v>275.32862097158687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projet'!$B$13,Paramètres!$A$1:$I$88,7,0))</f>
        <v>0</v>
      </c>
      <c r="DD197" s="17">
        <f>IF(ISNA(VLOOKUP(A197,'Données projet'!$A$139:$I$159,6,0)),0%,VLOOKUP(A197,'Données projet'!$A$139:$I$159,6,0)*VLOOKUP('Données projet'!$B$13,Paramètres!$A$1:$I$88,7,0))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projet'!$B$13,Paramètres!$A$1:$I$88,3,0)*0.475*44/12</f>
        <v>0</v>
      </c>
      <c r="DG197" s="23">
        <f>EXP(-LN(2)/25)*DG196+(1-EXP(-LN(2)/25))/(LN(2)/25)*Calculateur!DB197*Calculateur!DD197*VLOOKUP('Données projet'!$B$13,Paramètres!$A$1:$I$88,3,0)*0.475*44/12</f>
        <v>0.14654744466191671</v>
      </c>
      <c r="DH197" s="23">
        <f>EXP(-LN(2)/2)*DH196+(1-EXP(-LN(2)/2))/(LN(2)/2)*DB197*DE197*VLOOKUP('Données projet'!$B$13,Paramètres!$A$1:$I$88,3,0)*0.475*44/12</f>
        <v>1.4022547102382223E-24</v>
      </c>
      <c r="DI197" s="24">
        <f t="shared" si="175"/>
        <v>0.14654744466191671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projet'!$B$14,Paramètres!$A$1:$I$88,3,0)*VLOOKUP('Données projet'!$B$14,Paramètres!$A$1:$I$88,5,0)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projet'!$B$14,Paramètres!$A$1:$I$88,7,0))</f>
        <v>0</v>
      </c>
      <c r="DY197" s="17">
        <f>IF(ISNA(VLOOKUP(A197,'Données projet'!$A$165:$I$185,6,0)),0%,VLOOKUP(A197,'Données projet'!$A$165:$I$185,6,0)*VLOOKUP('Données projet'!$B$14,Paramètres!$A$1:$I$88,7,0))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projet'!$B$14,Paramètres!$A$1:$I$88,3,0)*0.475*44/12</f>
        <v>#N/A</v>
      </c>
      <c r="EB197" s="23" t="e">
        <f>EXP(-LN(2)/25)*EB196+(1-EXP(-LN(2)/25))/(LN(2)/25)*Calculateur!DW197*Calculateur!DY197*VLOOKUP('Données projet'!$B$14,Paramètres!$A$1:$I$88,3,0)*0.475*44/12</f>
        <v>#N/A</v>
      </c>
      <c r="EC197" s="23" t="e">
        <f>EXP(-LN(2)/2)*EC196+(1-EXP(-LN(2)/2))/(LN(2)/2)*DW197*DZ197*VLOOKUP('Données projet'!$B$14,Paramètres!$A$1:$I$88,3,0)*0.475*44/12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projet'!$B$15,Paramètres!$A$1:$I$88,3,0)*VLOOKUP('Données projet'!$B$15,Paramètres!$A$1:$I$88,5,0)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projet'!$B$15,Paramètres!$A$1:$I$88,7,0))</f>
        <v>0</v>
      </c>
      <c r="ET197" s="17">
        <f>IF(ISNA(VLOOKUP(A197,'Données projet'!$A$191:$I$211,6,0)),0%,VLOOKUP(A197,'Données projet'!$A$191:$I$211,6,0)*VLOOKUP('Données projet'!$B$15,Paramètres!$A$1:$I$88,7,0))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projet'!$B$15,Paramètres!$A$1:$I$88,3,0)*0.475*44/12</f>
        <v>#N/A</v>
      </c>
      <c r="EW197" s="23" t="e">
        <f>EXP(-LN(2)/25)*EW196+(1-EXP(-LN(2)/25))/(LN(2)/25)*Calculateur!ER197*Calculateur!ET197*VLOOKUP('Données projet'!$B$15,Paramètres!$A$1:$I$88,3,0)*0.475*44/12</f>
        <v>#N/A</v>
      </c>
      <c r="EX197" s="23" t="e">
        <f>EXP(-LN(2)/2)*EX196+(1-EXP(-LN(2)/2))/(LN(2)/2)*ER197*EU197*VLOOKUP('Données projet'!$B$15,Paramètres!$A$1:$I$88,3,0)*0.475*44/12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projet'!$B$16,Paramètres!$A$1:$I$88,3,0)*VLOOKUP('Données projet'!$B$16,Paramètres!$A$1:$I$88,5,0)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projet'!$B$16,Paramètres!$A$1:$I$88,7,0))</f>
        <v>0</v>
      </c>
      <c r="FO197" s="17">
        <f>IF(ISNA(VLOOKUP(A197,'Données projet'!$A$217:$I$237,6,0)),0%,VLOOKUP(A197,'Données projet'!$A$217:$I$237,6,0)*VLOOKUP('Données projet'!$B$16,Paramètres!$A$1:$I$88,7,0))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projet'!$B$16,Paramètres!$A$1:$I$88,3,0)*0.475*44/12</f>
        <v>#N/A</v>
      </c>
      <c r="FR197" s="23" t="e">
        <f>EXP(-LN(2)/25)*FR196+(1-EXP(-LN(2)/25))/(LN(2)/25)*Calculateur!FM197*Calculateur!FO197*VLOOKUP('Données projet'!$B$16,Paramètres!$A$1:$I$88,3,0)*0.475*44/12</f>
        <v>#N/A</v>
      </c>
      <c r="FS197" s="23" t="e">
        <f>EXP(-LN(2)/2)*FS196+(1-EXP(-LN(2)/2))/(LN(2)/2)*FM197*FP197*VLOOKUP('Données projet'!$B$16,Paramètres!$A$1:$I$88,3,0)*0.475*44/12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projet'!$B$17,Paramètres!$A$1:$I$88,3,0)*VLOOKUP('Données projet'!$B$17,Paramètres!$A$1:$I$88,5,0)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projet'!$B$17,Paramètres!$A$1:$I$88,7,0))</f>
        <v>0</v>
      </c>
      <c r="GJ197" s="17">
        <f>IF(ISNA(VLOOKUP(A197,'Données projet'!$A$243:$I$263,6,0)),0%,VLOOKUP(A197,'Données projet'!$A$243:$I$263,6,0)*VLOOKUP('Données projet'!$B$17,Paramètres!$A$1:$I$88,7,0))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projet'!$B$17,Paramètres!$A$1:$I$88,3,0)*0.475*44/12</f>
        <v>#N/A</v>
      </c>
      <c r="GM197" s="23" t="e">
        <f>EXP(-LN(2)/25)*GM196+(1-EXP(-LN(2)/25))/(LN(2)/25)*Calculateur!GH197*Calculateur!GJ197*VLOOKUP('Données projet'!$B$17,Paramètres!$A$1:$I$88,3,0)*0.475*44/12</f>
        <v>#N/A</v>
      </c>
      <c r="GN197" s="23" t="e">
        <f>EXP(-LN(2)/2)*GN196+(1-EXP(-LN(2)/2))/(LN(2)/2)*GH197*GK197*VLOOKUP('Données projet'!$B$17,Paramètres!$A$1:$I$88,3,0)*0.475*44/12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projet'!$B$18,Paramètres!$A$1:$I$88,3,0)*VLOOKUP('Données projet'!$B$18,Paramètres!$A$1:$I$88,5,0)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projet'!$B$18,Paramètres!$A$1:$I$88,7,0))</f>
        <v>0</v>
      </c>
      <c r="HE197" s="17">
        <f>IF(ISNA(VLOOKUP(A197,'Données projet'!$A$269:$I$289,6,0)),0%,VLOOKUP(A197,'Données projet'!$A$269:$I$289,6,0)*VLOOKUP('Données projet'!$B$18,Paramètres!$A$1:$I$88,7,0))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projet'!$B$18,Paramètres!$A$1:$I$88,3,0)*0.475*44/12</f>
        <v>#N/A</v>
      </c>
      <c r="HH197" s="23" t="e">
        <f>EXP(-LN(2)/25)*HH196+(1-EXP(-LN(2)/25))/(LN(2)/25)*Calculateur!HC197*Calculateur!HE197*VLOOKUP('Données projet'!$B$18,Paramètres!$A$1:$I$88,3,0)*0.475*44/12</f>
        <v>#N/A</v>
      </c>
      <c r="HI197" s="23" t="e">
        <f>EXP(-LN(2)/2)*HI196+(1-EXP(-LN(2)/2))/(LN(2)/2)*HC197*HF197*VLOOKUP('Données projet'!$B$18,Paramètres!$A$1:$I$88,3,0)*0.475*44/12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projet'!$B$9,Paramètres!$A$1:$I$88,3,0)*VLOOKUP('Données projet'!$B$9,Paramètres!$A$1:$I$88,5,0)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175.05987582828078</v>
      </c>
      <c r="T198" s="62">
        <f t="shared" si="204"/>
        <v>268.54782308462387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projet'!$B$9,Paramètres!$A$1:$I$88,7,0))</f>
        <v>0</v>
      </c>
      <c r="X198" s="17">
        <f>IF(ISNA(VLOOKUP(A198,'Données projet'!$A$35:$I$55,6,0)),0%,VLOOKUP(A198,'Données projet'!$A$35:$I$55,6,0)*VLOOKUP('Données projet'!$B$9,Paramètres!$A$1:$I$88,7,0))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projet'!$B$9,Paramètres!$A$1:$I$88,3,0)*0.475*44/12</f>
        <v>0</v>
      </c>
      <c r="AA198" s="23">
        <f>EXP(-LN(2)/25)*AA197+(1-EXP(-LN(2)/25))/(LN(2)/25)*Calculateur!V198*Calculateur!X198*VLOOKUP('Données projet'!$B$9,Paramètres!$A$1:$I$88,3,0)*0.475*44/12</f>
        <v>0.10613249626805094</v>
      </c>
      <c r="AB198" s="23">
        <f>EXP(-LN(2)/2)*AB197+(1-EXP(-LN(2)/2))/(LN(2)/2)*V198*Y198*VLOOKUP('Données projet'!$B$9,Paramètres!$A$1:$I$88,3,0)*0.475*44/12</f>
        <v>2.4154851698805009E-24</v>
      </c>
      <c r="AC198" s="24">
        <f t="shared" si="163"/>
        <v>0.10613249626805094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-1.5916157281026244E-12</v>
      </c>
      <c r="AJ198" s="14">
        <f>AI198*VLOOKUP('Données projet'!$B$10,Paramètres!$A$1:$I$88,3,0)*VLOOKUP('Données projet'!$B$10,Paramètres!$A$1:$I$88,5,0)</f>
        <v>-7.6556716521736234E-13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576.61210817354549</v>
      </c>
      <c r="AO198" s="62">
        <f t="shared" si="205"/>
        <v>343.9428747444544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projet'!$B$10,Paramètres!$A$1:$I$88,7,0))</f>
        <v>0</v>
      </c>
      <c r="AS198" s="17">
        <f>IF(ISNA(VLOOKUP(A198,'Données projet'!$A$61:$I$81,6,0)),0%,VLOOKUP(A198,'Données projet'!$A$61:$I$81,6,0)*VLOOKUP('Données projet'!$B$10,Paramètres!$A$1:$I$88,7,0))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projet'!$B$10,Paramètres!$A$1:$I$88,3,0)*0.475*44/12</f>
        <v>0</v>
      </c>
      <c r="AV198" s="23">
        <f>EXP(-LN(2)/25)*AV197+(1-EXP(-LN(2)/25))/(LN(2)/25)*Calculateur!AQ198*Calculateur!AS198*VLOOKUP('Données projet'!$B$10,Paramètres!$A$1:$I$88,3,0)*0.475*44/12</f>
        <v>5.8376735806642086E-2</v>
      </c>
      <c r="AW198" s="23">
        <f>EXP(-LN(2)/2)*AW197+(1-EXP(-LN(2)/2))/(LN(2)/2)*AQ198*AT198*VLOOKUP('Données projet'!$B$10,Paramètres!$A$1:$I$88,3,0)*0.475*44/12</f>
        <v>1.7201238774973822E-24</v>
      </c>
      <c r="AX198" s="23">
        <f t="shared" si="166"/>
        <v>5.8376735806642086E-2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-5.6843418860808015E-14</v>
      </c>
      <c r="BE198" s="14">
        <f>BD198*VLOOKUP('Données projet'!$B$11,Paramètres!$A$1:$I$88,3,0)*VLOOKUP('Données projet'!$B$11,Paramètres!$A$1:$I$88,5,0)</f>
        <v>-4.5224624045658861E-14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298.38448036212861</v>
      </c>
      <c r="BJ198" s="62">
        <f t="shared" si="206"/>
        <v>270.4445531106897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projet'!$B$11,Paramètres!$A$1:$I$88,7,0))</f>
        <v>0</v>
      </c>
      <c r="BN198" s="17">
        <f>IF(ISNA(VLOOKUP(A198,'Données projet'!$A$87:$I$107,6,0)),0%,VLOOKUP(A198,'Données projet'!$A$87:$I$107,6,0)*VLOOKUP('Données projet'!$B$11,Paramètres!$A$1:$I$88,7,0))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projet'!$B$11,Paramètres!$A$1:$I$88,3,0)*0.475*44/12</f>
        <v>0</v>
      </c>
      <c r="BQ198" s="23">
        <f>EXP(-LN(2)/25)*BQ197+(1-EXP(-LN(2)/25))/(LN(2)/25)*Calculateur!BL198*Calculateur!BN198*VLOOKUP('Données projet'!$B$11,Paramètres!$A$1:$I$88,3,0)*0.475*44/12</f>
        <v>0</v>
      </c>
      <c r="BR198" s="23">
        <f>EXP(-LN(2)/2)*BR197+(1-EXP(-LN(2)/2))/(LN(2)/2)*BL198*BO198*VLOOKUP('Données projet'!$B$11,Paramètres!$A$1:$I$88,3,0)*0.475*44/12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5.6843418860808015E-14</v>
      </c>
      <c r="BZ198" s="14">
        <f>BY198*VLOOKUP('Données projet'!$B$12,Paramètres!$A$1:$I$88,3,0)*VLOOKUP('Données projet'!$B$12,Paramètres!$A$1:$I$88,5,0)</f>
        <v>4.4337866711430253E-14</v>
      </c>
      <c r="CA198" s="14">
        <f t="shared" si="170"/>
        <v>7.3222115536967035E-13</v>
      </c>
      <c r="CB198" s="22">
        <f t="shared" si="171"/>
        <v>1.3525069634579169E-12</v>
      </c>
      <c r="CC198" s="62">
        <f t="shared" si="195"/>
        <v>293.33333333333468</v>
      </c>
      <c r="CD198" s="62">
        <f ca="1">AVERAGE(OFFSET($CC$3,0,0,'Données projet'!$E$12+1,1))-AVERAGE(OFFSET($H$3,0,0,'Données projet'!$E$12+1,1))</f>
        <v>217.32600829266818</v>
      </c>
      <c r="CE198" s="62">
        <f t="shared" si="207"/>
        <v>208.79744153433245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projet'!$B$12,Paramètres!$A$1:$I$88,7,0))</f>
        <v>0</v>
      </c>
      <c r="CI198" s="17">
        <f>IF(ISNA(VLOOKUP(A198,'Données projet'!$A$113:$I$133,6,0)),0%,VLOOKUP(A198,'Données projet'!$A$113:$I$133,6,0)*VLOOKUP('Données projet'!$B$12,Paramètres!$A$1:$I$88,7,0))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projet'!$B$12,Paramètres!$A$1:$I$88,3,0)*0.475*44/12</f>
        <v>0</v>
      </c>
      <c r="CL198" s="23">
        <f>EXP(-LN(2)/25)*CL197+(1-EXP(-LN(2)/25))/(LN(2)/25)*Calculateur!CG198*Calculateur!CI198*VLOOKUP('Données projet'!$B$12,Paramètres!$A$1:$I$88,3,0)*0.475*44/12</f>
        <v>0</v>
      </c>
      <c r="CM198" s="23">
        <f>EXP(-LN(2)/2)*CM197+(1-EXP(-LN(2)/2))/(LN(2)/2)*CG198*CJ198*VLOOKUP('Données projet'!$B$12,Paramètres!$A$1:$I$88,3,0)*0.475*44/12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-3.4106051316484809E-13</v>
      </c>
      <c r="CU198" s="18">
        <f>CT198*VLOOKUP('Données projet'!$B$13,Paramètres!$A$1:$I$88,3,0)*VLOOKUP('Données projet'!$B$13,Paramètres!$A$1:$I$88,5,0)</f>
        <v>-1.9065282685915009E-13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302.20483575440988</v>
      </c>
      <c r="CZ198" s="62">
        <f t="shared" si="208"/>
        <v>275.32862097158687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projet'!$B$13,Paramètres!$A$1:$I$88,7,0))</f>
        <v>0</v>
      </c>
      <c r="DD198" s="17">
        <f>IF(ISNA(VLOOKUP(A198,'Données projet'!$A$139:$I$159,6,0)),0%,VLOOKUP(A198,'Données projet'!$A$139:$I$159,6,0)*VLOOKUP('Données projet'!$B$13,Paramètres!$A$1:$I$88,7,0))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projet'!$B$13,Paramètres!$A$1:$I$88,3,0)*0.475*44/12</f>
        <v>0</v>
      </c>
      <c r="DG198" s="23">
        <f>EXP(-LN(2)/25)*DG197+(1-EXP(-LN(2)/25))/(LN(2)/25)*Calculateur!DB198*Calculateur!DD198*VLOOKUP('Données projet'!$B$13,Paramètres!$A$1:$I$88,3,0)*0.475*44/12</f>
        <v>0.14254009708104143</v>
      </c>
      <c r="DH198" s="23">
        <f>EXP(-LN(2)/2)*DH197+(1-EXP(-LN(2)/2))/(LN(2)/2)*DB198*DE198*VLOOKUP('Données projet'!$B$13,Paramètres!$A$1:$I$88,3,0)*0.475*44/12</f>
        <v>9.9154381456022423E-25</v>
      </c>
      <c r="DI198" s="24">
        <f t="shared" si="175"/>
        <v>0.14254009708104143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projet'!$B$14,Paramètres!$A$1:$I$88,3,0)*VLOOKUP('Données projet'!$B$14,Paramètres!$A$1:$I$88,5,0)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projet'!$B$14,Paramètres!$A$1:$I$88,7,0))</f>
        <v>0</v>
      </c>
      <c r="DY198" s="17">
        <f>IF(ISNA(VLOOKUP(A198,'Données projet'!$A$165:$I$185,6,0)),0%,VLOOKUP(A198,'Données projet'!$A$165:$I$185,6,0)*VLOOKUP('Données projet'!$B$14,Paramètres!$A$1:$I$88,7,0))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projet'!$B$14,Paramètres!$A$1:$I$88,3,0)*0.475*44/12</f>
        <v>#N/A</v>
      </c>
      <c r="EB198" s="23" t="e">
        <f>EXP(-LN(2)/25)*EB197+(1-EXP(-LN(2)/25))/(LN(2)/25)*Calculateur!DW198*Calculateur!DY198*VLOOKUP('Données projet'!$B$14,Paramètres!$A$1:$I$88,3,0)*0.475*44/12</f>
        <v>#N/A</v>
      </c>
      <c r="EC198" s="23" t="e">
        <f>EXP(-LN(2)/2)*EC197+(1-EXP(-LN(2)/2))/(LN(2)/2)*DW198*DZ198*VLOOKUP('Données projet'!$B$14,Paramètres!$A$1:$I$88,3,0)*0.475*44/12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projet'!$B$15,Paramètres!$A$1:$I$88,3,0)*VLOOKUP('Données projet'!$B$15,Paramètres!$A$1:$I$88,5,0)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projet'!$B$15,Paramètres!$A$1:$I$88,7,0))</f>
        <v>0</v>
      </c>
      <c r="ET198" s="17">
        <f>IF(ISNA(VLOOKUP(A198,'Données projet'!$A$191:$I$211,6,0)),0%,VLOOKUP(A198,'Données projet'!$A$191:$I$211,6,0)*VLOOKUP('Données projet'!$B$15,Paramètres!$A$1:$I$88,7,0))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projet'!$B$15,Paramètres!$A$1:$I$88,3,0)*0.475*44/12</f>
        <v>#N/A</v>
      </c>
      <c r="EW198" s="23" t="e">
        <f>EXP(-LN(2)/25)*EW197+(1-EXP(-LN(2)/25))/(LN(2)/25)*Calculateur!ER198*Calculateur!ET198*VLOOKUP('Données projet'!$B$15,Paramètres!$A$1:$I$88,3,0)*0.475*44/12</f>
        <v>#N/A</v>
      </c>
      <c r="EX198" s="23" t="e">
        <f>EXP(-LN(2)/2)*EX197+(1-EXP(-LN(2)/2))/(LN(2)/2)*ER198*EU198*VLOOKUP('Données projet'!$B$15,Paramètres!$A$1:$I$88,3,0)*0.475*44/12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projet'!$B$16,Paramètres!$A$1:$I$88,3,0)*VLOOKUP('Données projet'!$B$16,Paramètres!$A$1:$I$88,5,0)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projet'!$B$16,Paramètres!$A$1:$I$88,7,0))</f>
        <v>0</v>
      </c>
      <c r="FO198" s="17">
        <f>IF(ISNA(VLOOKUP(A198,'Données projet'!$A$217:$I$237,6,0)),0%,VLOOKUP(A198,'Données projet'!$A$217:$I$237,6,0)*VLOOKUP('Données projet'!$B$16,Paramètres!$A$1:$I$88,7,0))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projet'!$B$16,Paramètres!$A$1:$I$88,3,0)*0.475*44/12</f>
        <v>#N/A</v>
      </c>
      <c r="FR198" s="23" t="e">
        <f>EXP(-LN(2)/25)*FR197+(1-EXP(-LN(2)/25))/(LN(2)/25)*Calculateur!FM198*Calculateur!FO198*VLOOKUP('Données projet'!$B$16,Paramètres!$A$1:$I$88,3,0)*0.475*44/12</f>
        <v>#N/A</v>
      </c>
      <c r="FS198" s="23" t="e">
        <f>EXP(-LN(2)/2)*FS197+(1-EXP(-LN(2)/2))/(LN(2)/2)*FM198*FP198*VLOOKUP('Données projet'!$B$16,Paramètres!$A$1:$I$88,3,0)*0.475*44/12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projet'!$B$17,Paramètres!$A$1:$I$88,3,0)*VLOOKUP('Données projet'!$B$17,Paramètres!$A$1:$I$88,5,0)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projet'!$B$17,Paramètres!$A$1:$I$88,7,0))</f>
        <v>0</v>
      </c>
      <c r="GJ198" s="17">
        <f>IF(ISNA(VLOOKUP(A198,'Données projet'!$A$243:$I$263,6,0)),0%,VLOOKUP(A198,'Données projet'!$A$243:$I$263,6,0)*VLOOKUP('Données projet'!$B$17,Paramètres!$A$1:$I$88,7,0))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projet'!$B$17,Paramètres!$A$1:$I$88,3,0)*0.475*44/12</f>
        <v>#N/A</v>
      </c>
      <c r="GM198" s="23" t="e">
        <f>EXP(-LN(2)/25)*GM197+(1-EXP(-LN(2)/25))/(LN(2)/25)*Calculateur!GH198*Calculateur!GJ198*VLOOKUP('Données projet'!$B$17,Paramètres!$A$1:$I$88,3,0)*0.475*44/12</f>
        <v>#N/A</v>
      </c>
      <c r="GN198" s="23" t="e">
        <f>EXP(-LN(2)/2)*GN197+(1-EXP(-LN(2)/2))/(LN(2)/2)*GH198*GK198*VLOOKUP('Données projet'!$B$17,Paramètres!$A$1:$I$88,3,0)*0.475*44/12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projet'!$B$18,Paramètres!$A$1:$I$88,3,0)*VLOOKUP('Données projet'!$B$18,Paramètres!$A$1:$I$88,5,0)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projet'!$B$18,Paramètres!$A$1:$I$88,7,0))</f>
        <v>0</v>
      </c>
      <c r="HE198" s="17">
        <f>IF(ISNA(VLOOKUP(A198,'Données projet'!$A$269:$I$289,6,0)),0%,VLOOKUP(A198,'Données projet'!$A$269:$I$289,6,0)*VLOOKUP('Données projet'!$B$18,Paramètres!$A$1:$I$88,7,0))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projet'!$B$18,Paramètres!$A$1:$I$88,3,0)*0.475*44/12</f>
        <v>#N/A</v>
      </c>
      <c r="HH198" s="23" t="e">
        <f>EXP(-LN(2)/25)*HH197+(1-EXP(-LN(2)/25))/(LN(2)/25)*Calculateur!HC198*Calculateur!HE198*VLOOKUP('Données projet'!$B$18,Paramètres!$A$1:$I$88,3,0)*0.475*44/12</f>
        <v>#N/A</v>
      </c>
      <c r="HI198" s="23" t="e">
        <f>EXP(-LN(2)/2)*HI197+(1-EXP(-LN(2)/2))/(LN(2)/2)*HC198*HF198*VLOOKUP('Données projet'!$B$18,Paramètres!$A$1:$I$88,3,0)*0.475*44/12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projet'!$B$9,Paramètres!$A$1:$I$88,3,0)*VLOOKUP('Données projet'!$B$9,Paramètres!$A$1:$I$88,5,0)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175.05987582828078</v>
      </c>
      <c r="T199" s="62">
        <f t="shared" si="204"/>
        <v>268.54782308462387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projet'!$B$9,Paramètres!$A$1:$I$88,7,0))</f>
        <v>0</v>
      </c>
      <c r="X199" s="17">
        <f>IF(ISNA(VLOOKUP(A199,'Données projet'!$A$35:$I$55,6,0)),0%,VLOOKUP(A199,'Données projet'!$A$35:$I$55,6,0)*VLOOKUP('Données projet'!$B$9,Paramètres!$A$1:$I$88,7,0))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projet'!$B$9,Paramètres!$A$1:$I$88,3,0)*0.475*44/12</f>
        <v>0</v>
      </c>
      <c r="AA199" s="23">
        <f>EXP(-LN(2)/25)*AA198+(1-EXP(-LN(2)/25))/(LN(2)/25)*Calculateur!V199*Calculateur!X199*VLOOKUP('Données projet'!$B$9,Paramètres!$A$1:$I$88,3,0)*0.475*44/12</f>
        <v>0.10323029757633567</v>
      </c>
      <c r="AB199" s="23">
        <f>EXP(-LN(2)/2)*AB198+(1-EXP(-LN(2)/2))/(LN(2)/2)*V199*Y199*VLOOKUP('Données projet'!$B$9,Paramètres!$A$1:$I$88,3,0)*0.475*44/12</f>
        <v>1.7080059434780419E-24</v>
      </c>
      <c r="AC199" s="24">
        <f t="shared" si="163"/>
        <v>0.10323029757633567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-1.5916157281026244E-12</v>
      </c>
      <c r="AJ199" s="14">
        <f>AI199*VLOOKUP('Données projet'!$B$10,Paramètres!$A$1:$I$88,3,0)*VLOOKUP('Données projet'!$B$10,Paramètres!$A$1:$I$88,5,0)</f>
        <v>-7.6556716521736234E-13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576.61210817354549</v>
      </c>
      <c r="AO199" s="62">
        <f t="shared" si="205"/>
        <v>343.9428747444544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projet'!$B$10,Paramètres!$A$1:$I$88,7,0))</f>
        <v>0</v>
      </c>
      <c r="AS199" s="17">
        <f>IF(ISNA(VLOOKUP(A199,'Données projet'!$A$61:$I$81,6,0)),0%,VLOOKUP(A199,'Données projet'!$A$61:$I$81,6,0)*VLOOKUP('Données projet'!$B$10,Paramètres!$A$1:$I$88,7,0))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projet'!$B$10,Paramètres!$A$1:$I$88,3,0)*0.475*44/12</f>
        <v>0</v>
      </c>
      <c r="AV199" s="23">
        <f>EXP(-LN(2)/25)*AV198+(1-EXP(-LN(2)/25))/(LN(2)/25)*Calculateur!AQ199*Calculateur!AS199*VLOOKUP('Données projet'!$B$10,Paramètres!$A$1:$I$88,3,0)*0.475*44/12</f>
        <v>5.6780420896110344E-2</v>
      </c>
      <c r="AW199" s="23">
        <f>EXP(-LN(2)/2)*AW198+(1-EXP(-LN(2)/2))/(LN(2)/2)*AQ199*AT199*VLOOKUP('Données projet'!$B$10,Paramètres!$A$1:$I$88,3,0)*0.475*44/12</f>
        <v>1.2163112582592972E-24</v>
      </c>
      <c r="AX199" s="23">
        <f t="shared" si="166"/>
        <v>5.6780420896110344E-2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-5.6843418860808015E-14</v>
      </c>
      <c r="BE199" s="14">
        <f>BD199*VLOOKUP('Données projet'!$B$11,Paramètres!$A$1:$I$88,3,0)*VLOOKUP('Données projet'!$B$11,Paramètres!$A$1:$I$88,5,0)</f>
        <v>-4.5224624045658861E-14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298.38448036212861</v>
      </c>
      <c r="BJ199" s="62">
        <f t="shared" si="206"/>
        <v>270.4445531106897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projet'!$B$11,Paramètres!$A$1:$I$88,7,0))</f>
        <v>0</v>
      </c>
      <c r="BN199" s="17">
        <f>IF(ISNA(VLOOKUP(A199,'Données projet'!$A$87:$I$107,6,0)),0%,VLOOKUP(A199,'Données projet'!$A$87:$I$107,6,0)*VLOOKUP('Données projet'!$B$11,Paramètres!$A$1:$I$88,7,0))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projet'!$B$11,Paramètres!$A$1:$I$88,3,0)*0.475*44/12</f>
        <v>0</v>
      </c>
      <c r="BQ199" s="23">
        <f>EXP(-LN(2)/25)*BQ198+(1-EXP(-LN(2)/25))/(LN(2)/25)*Calculateur!BL199*Calculateur!BN199*VLOOKUP('Données projet'!$B$11,Paramètres!$A$1:$I$88,3,0)*0.475*44/12</f>
        <v>0</v>
      </c>
      <c r="BR199" s="23">
        <f>EXP(-LN(2)/2)*BR198+(1-EXP(-LN(2)/2))/(LN(2)/2)*BL199*BO199*VLOOKUP('Données projet'!$B$11,Paramètres!$A$1:$I$88,3,0)*0.475*44/12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5.6843418860808015E-14</v>
      </c>
      <c r="BZ199" s="14">
        <f>BY199*VLOOKUP('Données projet'!$B$12,Paramètres!$A$1:$I$88,3,0)*VLOOKUP('Données projet'!$B$12,Paramètres!$A$1:$I$88,5,0)</f>
        <v>4.4337866711430253E-14</v>
      </c>
      <c r="CA199" s="14">
        <f t="shared" si="170"/>
        <v>7.3222115536967035E-13</v>
      </c>
      <c r="CB199" s="22">
        <f t="shared" si="171"/>
        <v>1.3525069634579169E-12</v>
      </c>
      <c r="CC199" s="62">
        <f t="shared" si="195"/>
        <v>293.33333333333468</v>
      </c>
      <c r="CD199" s="62">
        <f ca="1">AVERAGE(OFFSET($CC$3,0,0,'Données projet'!$E$12+1,1))-AVERAGE(OFFSET($H$3,0,0,'Données projet'!$E$12+1,1))</f>
        <v>217.32600829266818</v>
      </c>
      <c r="CE199" s="62">
        <f t="shared" si="207"/>
        <v>208.79744153433245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projet'!$B$12,Paramètres!$A$1:$I$88,7,0))</f>
        <v>0</v>
      </c>
      <c r="CI199" s="17">
        <f>IF(ISNA(VLOOKUP(A199,'Données projet'!$A$113:$I$133,6,0)),0%,VLOOKUP(A199,'Données projet'!$A$113:$I$133,6,0)*VLOOKUP('Données projet'!$B$12,Paramètres!$A$1:$I$88,7,0))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projet'!$B$12,Paramètres!$A$1:$I$88,3,0)*0.475*44/12</f>
        <v>0</v>
      </c>
      <c r="CL199" s="23">
        <f>EXP(-LN(2)/25)*CL198+(1-EXP(-LN(2)/25))/(LN(2)/25)*Calculateur!CG199*Calculateur!CI199*VLOOKUP('Données projet'!$B$12,Paramètres!$A$1:$I$88,3,0)*0.475*44/12</f>
        <v>0</v>
      </c>
      <c r="CM199" s="23">
        <f>EXP(-LN(2)/2)*CM198+(1-EXP(-LN(2)/2))/(LN(2)/2)*CG199*CJ199*VLOOKUP('Données projet'!$B$12,Paramètres!$A$1:$I$88,3,0)*0.475*44/12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-3.4106051316484809E-13</v>
      </c>
      <c r="CU199" s="18">
        <f>CT199*VLOOKUP('Données projet'!$B$13,Paramètres!$A$1:$I$88,3,0)*VLOOKUP('Données projet'!$B$13,Paramètres!$A$1:$I$88,5,0)</f>
        <v>-1.9065282685915009E-13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302.20483575440988</v>
      </c>
      <c r="CZ199" s="62">
        <f t="shared" si="208"/>
        <v>275.32862097158687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projet'!$B$13,Paramètres!$A$1:$I$88,7,0))</f>
        <v>0</v>
      </c>
      <c r="DD199" s="17">
        <f>IF(ISNA(VLOOKUP(A199,'Données projet'!$A$139:$I$159,6,0)),0%,VLOOKUP(A199,'Données projet'!$A$139:$I$159,6,0)*VLOOKUP('Données projet'!$B$13,Paramètres!$A$1:$I$88,7,0))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projet'!$B$13,Paramètres!$A$1:$I$88,3,0)*0.475*44/12</f>
        <v>0</v>
      </c>
      <c r="DG199" s="23">
        <f>EXP(-LN(2)/25)*DG198+(1-EXP(-LN(2)/25))/(LN(2)/25)*Calculateur!DB199*Calculateur!DD199*VLOOKUP('Données projet'!$B$13,Paramètres!$A$1:$I$88,3,0)*0.475*44/12</f>
        <v>0.13864233063050244</v>
      </c>
      <c r="DH199" s="23">
        <f>EXP(-LN(2)/2)*DH198+(1-EXP(-LN(2)/2))/(LN(2)/2)*DB199*DE199*VLOOKUP('Données projet'!$B$13,Paramètres!$A$1:$I$88,3,0)*0.475*44/12</f>
        <v>7.0112735511911114E-25</v>
      </c>
      <c r="DI199" s="24">
        <f t="shared" si="175"/>
        <v>0.13864233063050244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projet'!$B$14,Paramètres!$A$1:$I$88,3,0)*VLOOKUP('Données projet'!$B$14,Paramètres!$A$1:$I$88,5,0)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projet'!$B$14,Paramètres!$A$1:$I$88,7,0))</f>
        <v>0</v>
      </c>
      <c r="DY199" s="17">
        <f>IF(ISNA(VLOOKUP(A199,'Données projet'!$A$165:$I$185,6,0)),0%,VLOOKUP(A199,'Données projet'!$A$165:$I$185,6,0)*VLOOKUP('Données projet'!$B$14,Paramètres!$A$1:$I$88,7,0))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projet'!$B$14,Paramètres!$A$1:$I$88,3,0)*0.475*44/12</f>
        <v>#N/A</v>
      </c>
      <c r="EB199" s="23" t="e">
        <f>EXP(-LN(2)/25)*EB198+(1-EXP(-LN(2)/25))/(LN(2)/25)*Calculateur!DW199*Calculateur!DY199*VLOOKUP('Données projet'!$B$14,Paramètres!$A$1:$I$88,3,0)*0.475*44/12</f>
        <v>#N/A</v>
      </c>
      <c r="EC199" s="23" t="e">
        <f>EXP(-LN(2)/2)*EC198+(1-EXP(-LN(2)/2))/(LN(2)/2)*DW199*DZ199*VLOOKUP('Données projet'!$B$14,Paramètres!$A$1:$I$88,3,0)*0.475*44/12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projet'!$B$15,Paramètres!$A$1:$I$88,3,0)*VLOOKUP('Données projet'!$B$15,Paramètres!$A$1:$I$88,5,0)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projet'!$B$15,Paramètres!$A$1:$I$88,7,0))</f>
        <v>0</v>
      </c>
      <c r="ET199" s="17">
        <f>IF(ISNA(VLOOKUP(A199,'Données projet'!$A$191:$I$211,6,0)),0%,VLOOKUP(A199,'Données projet'!$A$191:$I$211,6,0)*VLOOKUP('Données projet'!$B$15,Paramètres!$A$1:$I$88,7,0))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projet'!$B$15,Paramètres!$A$1:$I$88,3,0)*0.475*44/12</f>
        <v>#N/A</v>
      </c>
      <c r="EW199" s="23" t="e">
        <f>EXP(-LN(2)/25)*EW198+(1-EXP(-LN(2)/25))/(LN(2)/25)*Calculateur!ER199*Calculateur!ET199*VLOOKUP('Données projet'!$B$15,Paramètres!$A$1:$I$88,3,0)*0.475*44/12</f>
        <v>#N/A</v>
      </c>
      <c r="EX199" s="23" t="e">
        <f>EXP(-LN(2)/2)*EX198+(1-EXP(-LN(2)/2))/(LN(2)/2)*ER199*EU199*VLOOKUP('Données projet'!$B$15,Paramètres!$A$1:$I$88,3,0)*0.475*44/12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projet'!$B$16,Paramètres!$A$1:$I$88,3,0)*VLOOKUP('Données projet'!$B$16,Paramètres!$A$1:$I$88,5,0)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projet'!$B$16,Paramètres!$A$1:$I$88,7,0))</f>
        <v>0</v>
      </c>
      <c r="FO199" s="17">
        <f>IF(ISNA(VLOOKUP(A199,'Données projet'!$A$217:$I$237,6,0)),0%,VLOOKUP(A199,'Données projet'!$A$217:$I$237,6,0)*VLOOKUP('Données projet'!$B$16,Paramètres!$A$1:$I$88,7,0))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projet'!$B$16,Paramètres!$A$1:$I$88,3,0)*0.475*44/12</f>
        <v>#N/A</v>
      </c>
      <c r="FR199" s="23" t="e">
        <f>EXP(-LN(2)/25)*FR198+(1-EXP(-LN(2)/25))/(LN(2)/25)*Calculateur!FM199*Calculateur!FO199*VLOOKUP('Données projet'!$B$16,Paramètres!$A$1:$I$88,3,0)*0.475*44/12</f>
        <v>#N/A</v>
      </c>
      <c r="FS199" s="23" t="e">
        <f>EXP(-LN(2)/2)*FS198+(1-EXP(-LN(2)/2))/(LN(2)/2)*FM199*FP199*VLOOKUP('Données projet'!$B$16,Paramètres!$A$1:$I$88,3,0)*0.475*44/12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projet'!$B$17,Paramètres!$A$1:$I$88,3,0)*VLOOKUP('Données projet'!$B$17,Paramètres!$A$1:$I$88,5,0)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projet'!$B$17,Paramètres!$A$1:$I$88,7,0))</f>
        <v>0</v>
      </c>
      <c r="GJ199" s="17">
        <f>IF(ISNA(VLOOKUP(A199,'Données projet'!$A$243:$I$263,6,0)),0%,VLOOKUP(A199,'Données projet'!$A$243:$I$263,6,0)*VLOOKUP('Données projet'!$B$17,Paramètres!$A$1:$I$88,7,0))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projet'!$B$17,Paramètres!$A$1:$I$88,3,0)*0.475*44/12</f>
        <v>#N/A</v>
      </c>
      <c r="GM199" s="23" t="e">
        <f>EXP(-LN(2)/25)*GM198+(1-EXP(-LN(2)/25))/(LN(2)/25)*Calculateur!GH199*Calculateur!GJ199*VLOOKUP('Données projet'!$B$17,Paramètres!$A$1:$I$88,3,0)*0.475*44/12</f>
        <v>#N/A</v>
      </c>
      <c r="GN199" s="23" t="e">
        <f>EXP(-LN(2)/2)*GN198+(1-EXP(-LN(2)/2))/(LN(2)/2)*GH199*GK199*VLOOKUP('Données projet'!$B$17,Paramètres!$A$1:$I$88,3,0)*0.475*44/12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projet'!$B$18,Paramètres!$A$1:$I$88,3,0)*VLOOKUP('Données projet'!$B$18,Paramètres!$A$1:$I$88,5,0)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projet'!$B$18,Paramètres!$A$1:$I$88,7,0))</f>
        <v>0</v>
      </c>
      <c r="HE199" s="17">
        <f>IF(ISNA(VLOOKUP(A199,'Données projet'!$A$269:$I$289,6,0)),0%,VLOOKUP(A199,'Données projet'!$A$269:$I$289,6,0)*VLOOKUP('Données projet'!$B$18,Paramètres!$A$1:$I$88,7,0))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projet'!$B$18,Paramètres!$A$1:$I$88,3,0)*0.475*44/12</f>
        <v>#N/A</v>
      </c>
      <c r="HH199" s="23" t="e">
        <f>EXP(-LN(2)/25)*HH198+(1-EXP(-LN(2)/25))/(LN(2)/25)*Calculateur!HC199*Calculateur!HE199*VLOOKUP('Données projet'!$B$18,Paramètres!$A$1:$I$88,3,0)*0.475*44/12</f>
        <v>#N/A</v>
      </c>
      <c r="HI199" s="23" t="e">
        <f>EXP(-LN(2)/2)*HI198+(1-EXP(-LN(2)/2))/(LN(2)/2)*HC199*HF199*VLOOKUP('Données projet'!$B$18,Paramètres!$A$1:$I$88,3,0)*0.475*44/12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projet'!$B$9,Paramètres!$A$1:$I$88,3,0)*VLOOKUP('Données projet'!$B$9,Paramètres!$A$1:$I$88,5,0)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175.05987582828078</v>
      </c>
      <c r="T200" s="62">
        <f t="shared" si="204"/>
        <v>268.54782308462387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projet'!$B$9,Paramètres!$A$1:$I$88,7,0))</f>
        <v>0</v>
      </c>
      <c r="X200" s="17">
        <f>IF(ISNA(VLOOKUP(A200,'Données projet'!$A$35:$I$55,6,0)),0%,VLOOKUP(A200,'Données projet'!$A$35:$I$55,6,0)*VLOOKUP('Données projet'!$B$9,Paramètres!$A$1:$I$88,7,0))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projet'!$B$9,Paramètres!$A$1:$I$88,3,0)*0.475*44/12</f>
        <v>0</v>
      </c>
      <c r="AA200" s="23">
        <f>EXP(-LN(2)/25)*AA199+(1-EXP(-LN(2)/25))/(LN(2)/25)*Calculateur!V200*Calculateur!X200*VLOOKUP('Données projet'!$B$9,Paramètres!$A$1:$I$88,3,0)*0.475*44/12</f>
        <v>0.10040745966046535</v>
      </c>
      <c r="AB200" s="23">
        <f>EXP(-LN(2)/2)*AB199+(1-EXP(-LN(2)/2))/(LN(2)/2)*V200*Y200*VLOOKUP('Données projet'!$B$9,Paramètres!$A$1:$I$88,3,0)*0.475*44/12</f>
        <v>1.2077425849402505E-24</v>
      </c>
      <c r="AC200" s="24">
        <f t="shared" si="163"/>
        <v>0.10040745966046535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-1.5916157281026244E-12</v>
      </c>
      <c r="AJ200" s="14">
        <f>AI200*VLOOKUP('Données projet'!$B$10,Paramètres!$A$1:$I$88,3,0)*VLOOKUP('Données projet'!$B$10,Paramètres!$A$1:$I$88,5,0)</f>
        <v>-7.6556716521736234E-13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576.61210817354549</v>
      </c>
      <c r="AO200" s="62">
        <f t="shared" si="205"/>
        <v>343.9428747444544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projet'!$B$10,Paramètres!$A$1:$I$88,7,0))</f>
        <v>0</v>
      </c>
      <c r="AS200" s="17">
        <f>IF(ISNA(VLOOKUP(A200,'Données projet'!$A$61:$I$81,6,0)),0%,VLOOKUP(A200,'Données projet'!$A$61:$I$81,6,0)*VLOOKUP('Données projet'!$B$10,Paramètres!$A$1:$I$88,7,0))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projet'!$B$10,Paramètres!$A$1:$I$88,3,0)*0.475*44/12</f>
        <v>0</v>
      </c>
      <c r="AV200" s="23">
        <f>EXP(-LN(2)/25)*AV199+(1-EXP(-LN(2)/25))/(LN(2)/25)*Calculateur!AQ200*Calculateur!AS200*VLOOKUP('Données projet'!$B$10,Paramètres!$A$1:$I$88,3,0)*0.475*44/12</f>
        <v>5.5227757300753647E-2</v>
      </c>
      <c r="AW200" s="23">
        <f>EXP(-LN(2)/2)*AW199+(1-EXP(-LN(2)/2))/(LN(2)/2)*AQ200*AT200*VLOOKUP('Données projet'!$B$10,Paramètres!$A$1:$I$88,3,0)*0.475*44/12</f>
        <v>8.6006193874869112E-25</v>
      </c>
      <c r="AX200" s="23">
        <f t="shared" si="166"/>
        <v>5.5227757300753647E-2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-5.6843418860808015E-14</v>
      </c>
      <c r="BE200" s="14">
        <f>BD200*VLOOKUP('Données projet'!$B$11,Paramètres!$A$1:$I$88,3,0)*VLOOKUP('Données projet'!$B$11,Paramètres!$A$1:$I$88,5,0)</f>
        <v>-4.5224624045658861E-14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298.38448036212861</v>
      </c>
      <c r="BJ200" s="62">
        <f t="shared" si="206"/>
        <v>270.4445531106897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projet'!$B$11,Paramètres!$A$1:$I$88,7,0))</f>
        <v>0</v>
      </c>
      <c r="BN200" s="17">
        <f>IF(ISNA(VLOOKUP(A200,'Données projet'!$A$87:$I$107,6,0)),0%,VLOOKUP(A200,'Données projet'!$A$87:$I$107,6,0)*VLOOKUP('Données projet'!$B$11,Paramètres!$A$1:$I$88,7,0))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projet'!$B$11,Paramètres!$A$1:$I$88,3,0)*0.475*44/12</f>
        <v>0</v>
      </c>
      <c r="BQ200" s="23">
        <f>EXP(-LN(2)/25)*BQ199+(1-EXP(-LN(2)/25))/(LN(2)/25)*Calculateur!BL200*Calculateur!BN200*VLOOKUP('Données projet'!$B$11,Paramètres!$A$1:$I$88,3,0)*0.475*44/12</f>
        <v>0</v>
      </c>
      <c r="BR200" s="23">
        <f>EXP(-LN(2)/2)*BR199+(1-EXP(-LN(2)/2))/(LN(2)/2)*BL200*BO200*VLOOKUP('Données projet'!$B$11,Paramètres!$A$1:$I$88,3,0)*0.475*44/12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5.6843418860808015E-14</v>
      </c>
      <c r="BZ200" s="14">
        <f>BY200*VLOOKUP('Données projet'!$B$12,Paramètres!$A$1:$I$88,3,0)*VLOOKUP('Données projet'!$B$12,Paramètres!$A$1:$I$88,5,0)</f>
        <v>4.4337866711430253E-14</v>
      </c>
      <c r="CA200" s="14">
        <f t="shared" si="170"/>
        <v>7.3222115536967035E-13</v>
      </c>
      <c r="CB200" s="22">
        <f t="shared" si="171"/>
        <v>1.3525069634579169E-12</v>
      </c>
      <c r="CC200" s="62">
        <f t="shared" si="195"/>
        <v>293.33333333333468</v>
      </c>
      <c r="CD200" s="62">
        <f ca="1">AVERAGE(OFFSET($CC$3,0,0,'Données projet'!$E$12+1,1))-AVERAGE(OFFSET($H$3,0,0,'Données projet'!$E$12+1,1))</f>
        <v>217.32600829266818</v>
      </c>
      <c r="CE200" s="62">
        <f t="shared" si="207"/>
        <v>208.79744153433245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projet'!$B$12,Paramètres!$A$1:$I$88,7,0))</f>
        <v>0</v>
      </c>
      <c r="CI200" s="17">
        <f>IF(ISNA(VLOOKUP(A200,'Données projet'!$A$113:$I$133,6,0)),0%,VLOOKUP(A200,'Données projet'!$A$113:$I$133,6,0)*VLOOKUP('Données projet'!$B$12,Paramètres!$A$1:$I$88,7,0))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projet'!$B$12,Paramètres!$A$1:$I$88,3,0)*0.475*44/12</f>
        <v>0</v>
      </c>
      <c r="CL200" s="23">
        <f>EXP(-LN(2)/25)*CL199+(1-EXP(-LN(2)/25))/(LN(2)/25)*Calculateur!CG200*Calculateur!CI200*VLOOKUP('Données projet'!$B$12,Paramètres!$A$1:$I$88,3,0)*0.475*44/12</f>
        <v>0</v>
      </c>
      <c r="CM200" s="23">
        <f>EXP(-LN(2)/2)*CM199+(1-EXP(-LN(2)/2))/(LN(2)/2)*CG200*CJ200*VLOOKUP('Données projet'!$B$12,Paramètres!$A$1:$I$88,3,0)*0.475*44/12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-3.4106051316484809E-13</v>
      </c>
      <c r="CU200" s="18">
        <f>CT200*VLOOKUP('Données projet'!$B$13,Paramètres!$A$1:$I$88,3,0)*VLOOKUP('Données projet'!$B$13,Paramètres!$A$1:$I$88,5,0)</f>
        <v>-1.9065282685915009E-13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302.20483575440988</v>
      </c>
      <c r="CZ200" s="62">
        <f t="shared" si="208"/>
        <v>275.32862097158687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projet'!$B$13,Paramètres!$A$1:$I$88,7,0))</f>
        <v>0</v>
      </c>
      <c r="DD200" s="17">
        <f>IF(ISNA(VLOOKUP(A200,'Données projet'!$A$139:$I$159,6,0)),0%,VLOOKUP(A200,'Données projet'!$A$139:$I$159,6,0)*VLOOKUP('Données projet'!$B$13,Paramètres!$A$1:$I$88,7,0))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projet'!$B$13,Paramètres!$A$1:$I$88,3,0)*0.475*44/12</f>
        <v>0</v>
      </c>
      <c r="DG200" s="23">
        <f>EXP(-LN(2)/25)*DG199+(1-EXP(-LN(2)/25))/(LN(2)/25)*Calculateur!DB200*Calculateur!DD200*VLOOKUP('Données projet'!$B$13,Paramètres!$A$1:$I$88,3,0)*0.475*44/12</f>
        <v>0.13485114880852805</v>
      </c>
      <c r="DH200" s="23">
        <f>EXP(-LN(2)/2)*DH199+(1-EXP(-LN(2)/2))/(LN(2)/2)*DB200*DE200*VLOOKUP('Données projet'!$B$13,Paramètres!$A$1:$I$88,3,0)*0.475*44/12</f>
        <v>4.9577190728011211E-25</v>
      </c>
      <c r="DI200" s="24">
        <f t="shared" si="175"/>
        <v>0.13485114880852805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projet'!$B$14,Paramètres!$A$1:$I$88,3,0)*VLOOKUP('Données projet'!$B$14,Paramètres!$A$1:$I$88,5,0)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projet'!$B$14,Paramètres!$A$1:$I$88,7,0))</f>
        <v>0</v>
      </c>
      <c r="DY200" s="17">
        <f>IF(ISNA(VLOOKUP(A200,'Données projet'!$A$165:$I$185,6,0)),0%,VLOOKUP(A200,'Données projet'!$A$165:$I$185,6,0)*VLOOKUP('Données projet'!$B$14,Paramètres!$A$1:$I$88,7,0))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projet'!$B$14,Paramètres!$A$1:$I$88,3,0)*0.475*44/12</f>
        <v>#N/A</v>
      </c>
      <c r="EB200" s="23" t="e">
        <f>EXP(-LN(2)/25)*EB199+(1-EXP(-LN(2)/25))/(LN(2)/25)*Calculateur!DW200*Calculateur!DY200*VLOOKUP('Données projet'!$B$14,Paramètres!$A$1:$I$88,3,0)*0.475*44/12</f>
        <v>#N/A</v>
      </c>
      <c r="EC200" s="23" t="e">
        <f>EXP(-LN(2)/2)*EC199+(1-EXP(-LN(2)/2))/(LN(2)/2)*DW200*DZ200*VLOOKUP('Données projet'!$B$14,Paramètres!$A$1:$I$88,3,0)*0.475*44/12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projet'!$B$15,Paramètres!$A$1:$I$88,3,0)*VLOOKUP('Données projet'!$B$15,Paramètres!$A$1:$I$88,5,0)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projet'!$B$15,Paramètres!$A$1:$I$88,7,0))</f>
        <v>0</v>
      </c>
      <c r="ET200" s="17">
        <f>IF(ISNA(VLOOKUP(A200,'Données projet'!$A$191:$I$211,6,0)),0%,VLOOKUP(A200,'Données projet'!$A$191:$I$211,6,0)*VLOOKUP('Données projet'!$B$15,Paramètres!$A$1:$I$88,7,0))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projet'!$B$15,Paramètres!$A$1:$I$88,3,0)*0.475*44/12</f>
        <v>#N/A</v>
      </c>
      <c r="EW200" s="23" t="e">
        <f>EXP(-LN(2)/25)*EW199+(1-EXP(-LN(2)/25))/(LN(2)/25)*Calculateur!ER200*Calculateur!ET200*VLOOKUP('Données projet'!$B$15,Paramètres!$A$1:$I$88,3,0)*0.475*44/12</f>
        <v>#N/A</v>
      </c>
      <c r="EX200" s="23" t="e">
        <f>EXP(-LN(2)/2)*EX199+(1-EXP(-LN(2)/2))/(LN(2)/2)*ER200*EU200*VLOOKUP('Données projet'!$B$15,Paramètres!$A$1:$I$88,3,0)*0.475*44/12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projet'!$B$16,Paramètres!$A$1:$I$88,3,0)*VLOOKUP('Données projet'!$B$16,Paramètres!$A$1:$I$88,5,0)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projet'!$B$16,Paramètres!$A$1:$I$88,7,0))</f>
        <v>0</v>
      </c>
      <c r="FO200" s="17">
        <f>IF(ISNA(VLOOKUP(A200,'Données projet'!$A$217:$I$237,6,0)),0%,VLOOKUP(A200,'Données projet'!$A$217:$I$237,6,0)*VLOOKUP('Données projet'!$B$16,Paramètres!$A$1:$I$88,7,0))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projet'!$B$16,Paramètres!$A$1:$I$88,3,0)*0.475*44/12</f>
        <v>#N/A</v>
      </c>
      <c r="FR200" s="23" t="e">
        <f>EXP(-LN(2)/25)*FR199+(1-EXP(-LN(2)/25))/(LN(2)/25)*Calculateur!FM200*Calculateur!FO200*VLOOKUP('Données projet'!$B$16,Paramètres!$A$1:$I$88,3,0)*0.475*44/12</f>
        <v>#N/A</v>
      </c>
      <c r="FS200" s="23" t="e">
        <f>EXP(-LN(2)/2)*FS199+(1-EXP(-LN(2)/2))/(LN(2)/2)*FM200*FP200*VLOOKUP('Données projet'!$B$16,Paramètres!$A$1:$I$88,3,0)*0.475*44/12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projet'!$B$17,Paramètres!$A$1:$I$88,3,0)*VLOOKUP('Données projet'!$B$17,Paramètres!$A$1:$I$88,5,0)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projet'!$B$17,Paramètres!$A$1:$I$88,7,0))</f>
        <v>0</v>
      </c>
      <c r="GJ200" s="17">
        <f>IF(ISNA(VLOOKUP(A200,'Données projet'!$A$243:$I$263,6,0)),0%,VLOOKUP(A200,'Données projet'!$A$243:$I$263,6,0)*VLOOKUP('Données projet'!$B$17,Paramètres!$A$1:$I$88,7,0))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projet'!$B$17,Paramètres!$A$1:$I$88,3,0)*0.475*44/12</f>
        <v>#N/A</v>
      </c>
      <c r="GM200" s="23" t="e">
        <f>EXP(-LN(2)/25)*GM199+(1-EXP(-LN(2)/25))/(LN(2)/25)*Calculateur!GH200*Calculateur!GJ200*VLOOKUP('Données projet'!$B$17,Paramètres!$A$1:$I$88,3,0)*0.475*44/12</f>
        <v>#N/A</v>
      </c>
      <c r="GN200" s="23" t="e">
        <f>EXP(-LN(2)/2)*GN199+(1-EXP(-LN(2)/2))/(LN(2)/2)*GH200*GK200*VLOOKUP('Données projet'!$B$17,Paramètres!$A$1:$I$88,3,0)*0.475*44/12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projet'!$B$18,Paramètres!$A$1:$I$88,3,0)*VLOOKUP('Données projet'!$B$18,Paramètres!$A$1:$I$88,5,0)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projet'!$B$18,Paramètres!$A$1:$I$88,7,0))</f>
        <v>0</v>
      </c>
      <c r="HE200" s="17">
        <f>IF(ISNA(VLOOKUP(A200,'Données projet'!$A$269:$I$289,6,0)),0%,VLOOKUP(A200,'Données projet'!$A$269:$I$289,6,0)*VLOOKUP('Données projet'!$B$18,Paramètres!$A$1:$I$88,7,0))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projet'!$B$18,Paramètres!$A$1:$I$88,3,0)*0.475*44/12</f>
        <v>#N/A</v>
      </c>
      <c r="HH200" s="23" t="e">
        <f>EXP(-LN(2)/25)*HH199+(1-EXP(-LN(2)/25))/(LN(2)/25)*Calculateur!HC200*Calculateur!HE200*VLOOKUP('Données projet'!$B$18,Paramètres!$A$1:$I$88,3,0)*0.475*44/12</f>
        <v>#N/A</v>
      </c>
      <c r="HI200" s="23" t="e">
        <f>EXP(-LN(2)/2)*HI199+(1-EXP(-LN(2)/2))/(LN(2)/2)*HC200*HF200*VLOOKUP('Données projet'!$B$18,Paramètres!$A$1:$I$88,3,0)*0.475*44/12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projet'!$B$9,Paramètres!$A$1:$I$88,3,0)*VLOOKUP('Données projet'!$B$9,Paramètres!$A$1:$I$88,5,0)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175.05987582828078</v>
      </c>
      <c r="T201" s="62">
        <f t="shared" si="204"/>
        <v>268.54782308462387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projet'!$B$9,Paramètres!$A$1:$I$88,7,0))</f>
        <v>0</v>
      </c>
      <c r="X201" s="17">
        <f>IF(ISNA(VLOOKUP(A201,'Données projet'!$A$35:$I$55,6,0)),0%,VLOOKUP(A201,'Données projet'!$A$35:$I$55,6,0)*VLOOKUP('Données projet'!$B$9,Paramètres!$A$1:$I$88,7,0))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projet'!$B$9,Paramètres!$A$1:$I$88,3,0)*0.475*44/12</f>
        <v>0</v>
      </c>
      <c r="AA201" s="23">
        <f>EXP(-LN(2)/25)*AA200+(1-EXP(-LN(2)/25))/(LN(2)/25)*Calculateur!V201*Calculateur!X201*VLOOKUP('Données projet'!$B$9,Paramètres!$A$1:$I$88,3,0)*0.475*44/12</f>
        <v>9.7661812395851103E-2</v>
      </c>
      <c r="AB201" s="23">
        <f>EXP(-LN(2)/2)*AB200+(1-EXP(-LN(2)/2))/(LN(2)/2)*V201*Y201*VLOOKUP('Données projet'!$B$9,Paramètres!$A$1:$I$88,3,0)*0.475*44/12</f>
        <v>8.5400297173902097E-25</v>
      </c>
      <c r="AC201" s="24">
        <f t="shared" si="163"/>
        <v>9.7661812395851103E-2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-1.5916157281026244E-12</v>
      </c>
      <c r="AJ201" s="14">
        <f>AI201*VLOOKUP('Données projet'!$B$10,Paramètres!$A$1:$I$88,3,0)*VLOOKUP('Données projet'!$B$10,Paramètres!$A$1:$I$88,5,0)</f>
        <v>-7.6556716521736234E-13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576.61210817354549</v>
      </c>
      <c r="AO201" s="62">
        <f t="shared" si="205"/>
        <v>343.9428747444544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projet'!$B$10,Paramètres!$A$1:$I$88,7,0))</f>
        <v>0</v>
      </c>
      <c r="AS201" s="17">
        <f>IF(ISNA(VLOOKUP(A201,'Données projet'!$A$61:$I$81,6,0)),0%,VLOOKUP(A201,'Données projet'!$A$61:$I$81,6,0)*VLOOKUP('Données projet'!$B$10,Paramètres!$A$1:$I$88,7,0))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projet'!$B$10,Paramètres!$A$1:$I$88,3,0)*0.475*44/12</f>
        <v>0</v>
      </c>
      <c r="AV201" s="23">
        <f>EXP(-LN(2)/25)*AV200+(1-EXP(-LN(2)/25))/(LN(2)/25)*Calculateur!AQ201*Calculateur!AS201*VLOOKUP('Données projet'!$B$10,Paramètres!$A$1:$I$88,3,0)*0.475*44/12</f>
        <v>5.3717551373063006E-2</v>
      </c>
      <c r="AW201" s="23">
        <f>EXP(-LN(2)/2)*AW200+(1-EXP(-LN(2)/2))/(LN(2)/2)*AQ201*AT201*VLOOKUP('Données projet'!$B$10,Paramètres!$A$1:$I$88,3,0)*0.475*44/12</f>
        <v>6.0815562912964858E-25</v>
      </c>
      <c r="AX201" s="23">
        <f t="shared" si="166"/>
        <v>5.3717551373063006E-2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-5.6843418860808015E-14</v>
      </c>
      <c r="BE201" s="14">
        <f>BD201*VLOOKUP('Données projet'!$B$11,Paramètres!$A$1:$I$88,3,0)*VLOOKUP('Données projet'!$B$11,Paramètres!$A$1:$I$88,5,0)</f>
        <v>-4.5224624045658861E-14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298.38448036212861</v>
      </c>
      <c r="BJ201" s="62">
        <f t="shared" si="206"/>
        <v>270.4445531106897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projet'!$B$11,Paramètres!$A$1:$I$88,7,0))</f>
        <v>0</v>
      </c>
      <c r="BN201" s="17">
        <f>IF(ISNA(VLOOKUP(A201,'Données projet'!$A$87:$I$107,6,0)),0%,VLOOKUP(A201,'Données projet'!$A$87:$I$107,6,0)*VLOOKUP('Données projet'!$B$11,Paramètres!$A$1:$I$88,7,0))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projet'!$B$11,Paramètres!$A$1:$I$88,3,0)*0.475*44/12</f>
        <v>0</v>
      </c>
      <c r="BQ201" s="23">
        <f>EXP(-LN(2)/25)*BQ200+(1-EXP(-LN(2)/25))/(LN(2)/25)*Calculateur!BL201*Calculateur!BN201*VLOOKUP('Données projet'!$B$11,Paramètres!$A$1:$I$88,3,0)*0.475*44/12</f>
        <v>0</v>
      </c>
      <c r="BR201" s="23">
        <f>EXP(-LN(2)/2)*BR200+(1-EXP(-LN(2)/2))/(LN(2)/2)*BL201*BO201*VLOOKUP('Données projet'!$B$11,Paramètres!$A$1:$I$88,3,0)*0.475*44/12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5.6843418860808015E-14</v>
      </c>
      <c r="BZ201" s="14">
        <f>BY201*VLOOKUP('Données projet'!$B$12,Paramètres!$A$1:$I$88,3,0)*VLOOKUP('Données projet'!$B$12,Paramètres!$A$1:$I$88,5,0)</f>
        <v>4.4337866711430253E-14</v>
      </c>
      <c r="CA201" s="14">
        <f t="shared" si="170"/>
        <v>7.3222115536967035E-13</v>
      </c>
      <c r="CB201" s="22">
        <f t="shared" si="171"/>
        <v>1.3525069634579169E-12</v>
      </c>
      <c r="CC201" s="62">
        <f t="shared" si="195"/>
        <v>293.33333333333468</v>
      </c>
      <c r="CD201" s="62">
        <f ca="1">AVERAGE(OFFSET($CC$3,0,0,'Données projet'!$E$12+1,1))-AVERAGE(OFFSET($H$3,0,0,'Données projet'!$E$12+1,1))</f>
        <v>217.32600829266818</v>
      </c>
      <c r="CE201" s="62">
        <f t="shared" si="207"/>
        <v>208.79744153433245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projet'!$B$12,Paramètres!$A$1:$I$88,7,0))</f>
        <v>0</v>
      </c>
      <c r="CI201" s="17">
        <f>IF(ISNA(VLOOKUP(A201,'Données projet'!$A$113:$I$133,6,0)),0%,VLOOKUP(A201,'Données projet'!$A$113:$I$133,6,0)*VLOOKUP('Données projet'!$B$12,Paramètres!$A$1:$I$88,7,0))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projet'!$B$12,Paramètres!$A$1:$I$88,3,0)*0.475*44/12</f>
        <v>0</v>
      </c>
      <c r="CL201" s="23">
        <f>EXP(-LN(2)/25)*CL200+(1-EXP(-LN(2)/25))/(LN(2)/25)*Calculateur!CG201*Calculateur!CI201*VLOOKUP('Données projet'!$B$12,Paramètres!$A$1:$I$88,3,0)*0.475*44/12</f>
        <v>0</v>
      </c>
      <c r="CM201" s="23">
        <f>EXP(-LN(2)/2)*CM200+(1-EXP(-LN(2)/2))/(LN(2)/2)*CG201*CJ201*VLOOKUP('Données projet'!$B$12,Paramètres!$A$1:$I$88,3,0)*0.475*44/12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-3.4106051316484809E-13</v>
      </c>
      <c r="CU201" s="18">
        <f>CT201*VLOOKUP('Données projet'!$B$13,Paramètres!$A$1:$I$88,3,0)*VLOOKUP('Données projet'!$B$13,Paramètres!$A$1:$I$88,5,0)</f>
        <v>-1.9065282685915009E-13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302.20483575440988</v>
      </c>
      <c r="CZ201" s="62">
        <f t="shared" si="208"/>
        <v>275.32862097158687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projet'!$B$13,Paramètres!$A$1:$I$88,7,0))</f>
        <v>0</v>
      </c>
      <c r="DD201" s="17">
        <f>IF(ISNA(VLOOKUP(A201,'Données projet'!$A$139:$I$159,6,0)),0%,VLOOKUP(A201,'Données projet'!$A$139:$I$159,6,0)*VLOOKUP('Données projet'!$B$13,Paramètres!$A$1:$I$88,7,0))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projet'!$B$13,Paramètres!$A$1:$I$88,3,0)*0.475*44/12</f>
        <v>0</v>
      </c>
      <c r="DG201" s="23">
        <f>EXP(-LN(2)/25)*DG200+(1-EXP(-LN(2)/25))/(LN(2)/25)*Calculateur!DB201*Calculateur!DD201*VLOOKUP('Données projet'!$B$13,Paramètres!$A$1:$I$88,3,0)*0.475*44/12</f>
        <v>0.13116363705284514</v>
      </c>
      <c r="DH201" s="23">
        <f>EXP(-LN(2)/2)*DH200+(1-EXP(-LN(2)/2))/(LN(2)/2)*DB201*DE201*VLOOKUP('Données projet'!$B$13,Paramètres!$A$1:$I$88,3,0)*0.475*44/12</f>
        <v>3.5056367755955557E-25</v>
      </c>
      <c r="DI201" s="24">
        <f t="shared" si="175"/>
        <v>0.13116363705284514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projet'!$B$14,Paramètres!$A$1:$I$88,3,0)*VLOOKUP('Données projet'!$B$14,Paramètres!$A$1:$I$88,5,0)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projet'!$B$14,Paramètres!$A$1:$I$88,7,0))</f>
        <v>0</v>
      </c>
      <c r="DY201" s="17">
        <f>IF(ISNA(VLOOKUP(A201,'Données projet'!$A$165:$I$185,6,0)),0%,VLOOKUP(A201,'Données projet'!$A$165:$I$185,6,0)*VLOOKUP('Données projet'!$B$14,Paramètres!$A$1:$I$88,7,0))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projet'!$B$14,Paramètres!$A$1:$I$88,3,0)*0.475*44/12</f>
        <v>#N/A</v>
      </c>
      <c r="EB201" s="23" t="e">
        <f>EXP(-LN(2)/25)*EB200+(1-EXP(-LN(2)/25))/(LN(2)/25)*Calculateur!DW201*Calculateur!DY201*VLOOKUP('Données projet'!$B$14,Paramètres!$A$1:$I$88,3,0)*0.475*44/12</f>
        <v>#N/A</v>
      </c>
      <c r="EC201" s="23" t="e">
        <f>EXP(-LN(2)/2)*EC200+(1-EXP(-LN(2)/2))/(LN(2)/2)*DW201*DZ201*VLOOKUP('Données projet'!$B$14,Paramètres!$A$1:$I$88,3,0)*0.475*44/12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projet'!$B$15,Paramètres!$A$1:$I$88,3,0)*VLOOKUP('Données projet'!$B$15,Paramètres!$A$1:$I$88,5,0)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projet'!$B$15,Paramètres!$A$1:$I$88,7,0))</f>
        <v>0</v>
      </c>
      <c r="ET201" s="17">
        <f>IF(ISNA(VLOOKUP(A201,'Données projet'!$A$191:$I$211,6,0)),0%,VLOOKUP(A201,'Données projet'!$A$191:$I$211,6,0)*VLOOKUP('Données projet'!$B$15,Paramètres!$A$1:$I$88,7,0))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projet'!$B$15,Paramètres!$A$1:$I$88,3,0)*0.475*44/12</f>
        <v>#N/A</v>
      </c>
      <c r="EW201" s="23" t="e">
        <f>EXP(-LN(2)/25)*EW200+(1-EXP(-LN(2)/25))/(LN(2)/25)*Calculateur!ER201*Calculateur!ET201*VLOOKUP('Données projet'!$B$15,Paramètres!$A$1:$I$88,3,0)*0.475*44/12</f>
        <v>#N/A</v>
      </c>
      <c r="EX201" s="23" t="e">
        <f>EXP(-LN(2)/2)*EX200+(1-EXP(-LN(2)/2))/(LN(2)/2)*ER201*EU201*VLOOKUP('Données projet'!$B$15,Paramètres!$A$1:$I$88,3,0)*0.475*44/12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projet'!$B$16,Paramètres!$A$1:$I$88,3,0)*VLOOKUP('Données projet'!$B$16,Paramètres!$A$1:$I$88,5,0)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projet'!$B$16,Paramètres!$A$1:$I$88,7,0))</f>
        <v>0</v>
      </c>
      <c r="FO201" s="17">
        <f>IF(ISNA(VLOOKUP(A201,'Données projet'!$A$217:$I$237,6,0)),0%,VLOOKUP(A201,'Données projet'!$A$217:$I$237,6,0)*VLOOKUP('Données projet'!$B$16,Paramètres!$A$1:$I$88,7,0))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projet'!$B$16,Paramètres!$A$1:$I$88,3,0)*0.475*44/12</f>
        <v>#N/A</v>
      </c>
      <c r="FR201" s="23" t="e">
        <f>EXP(-LN(2)/25)*FR200+(1-EXP(-LN(2)/25))/(LN(2)/25)*Calculateur!FM201*Calculateur!FO201*VLOOKUP('Données projet'!$B$16,Paramètres!$A$1:$I$88,3,0)*0.475*44/12</f>
        <v>#N/A</v>
      </c>
      <c r="FS201" s="23" t="e">
        <f>EXP(-LN(2)/2)*FS200+(1-EXP(-LN(2)/2))/(LN(2)/2)*FM201*FP201*VLOOKUP('Données projet'!$B$16,Paramètres!$A$1:$I$88,3,0)*0.475*44/12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projet'!$B$17,Paramètres!$A$1:$I$88,3,0)*VLOOKUP('Données projet'!$B$17,Paramètres!$A$1:$I$88,5,0)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projet'!$B$17,Paramètres!$A$1:$I$88,7,0))</f>
        <v>0</v>
      </c>
      <c r="GJ201" s="17">
        <f>IF(ISNA(VLOOKUP(A201,'Données projet'!$A$243:$I$263,6,0)),0%,VLOOKUP(A201,'Données projet'!$A$243:$I$263,6,0)*VLOOKUP('Données projet'!$B$17,Paramètres!$A$1:$I$88,7,0))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projet'!$B$17,Paramètres!$A$1:$I$88,3,0)*0.475*44/12</f>
        <v>#N/A</v>
      </c>
      <c r="GM201" s="23" t="e">
        <f>EXP(-LN(2)/25)*GM200+(1-EXP(-LN(2)/25))/(LN(2)/25)*Calculateur!GH201*Calculateur!GJ201*VLOOKUP('Données projet'!$B$17,Paramètres!$A$1:$I$88,3,0)*0.475*44/12</f>
        <v>#N/A</v>
      </c>
      <c r="GN201" s="23" t="e">
        <f>EXP(-LN(2)/2)*GN200+(1-EXP(-LN(2)/2))/(LN(2)/2)*GH201*GK201*VLOOKUP('Données projet'!$B$17,Paramètres!$A$1:$I$88,3,0)*0.475*44/12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projet'!$B$18,Paramètres!$A$1:$I$88,3,0)*VLOOKUP('Données projet'!$B$18,Paramètres!$A$1:$I$88,5,0)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projet'!$B$18,Paramètres!$A$1:$I$88,7,0))</f>
        <v>0</v>
      </c>
      <c r="HE201" s="17">
        <f>IF(ISNA(VLOOKUP(A201,'Données projet'!$A$269:$I$289,6,0)),0%,VLOOKUP(A201,'Données projet'!$A$269:$I$289,6,0)*VLOOKUP('Données projet'!$B$18,Paramètres!$A$1:$I$88,7,0))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projet'!$B$18,Paramètres!$A$1:$I$88,3,0)*0.475*44/12</f>
        <v>#N/A</v>
      </c>
      <c r="HH201" s="23" t="e">
        <f>EXP(-LN(2)/25)*HH200+(1-EXP(-LN(2)/25))/(LN(2)/25)*Calculateur!HC201*Calculateur!HE201*VLOOKUP('Données projet'!$B$18,Paramètres!$A$1:$I$88,3,0)*0.475*44/12</f>
        <v>#N/A</v>
      </c>
      <c r="HI201" s="23" t="e">
        <f>EXP(-LN(2)/2)*HI200+(1-EXP(-LN(2)/2))/(LN(2)/2)*HC201*HF201*VLOOKUP('Données projet'!$B$18,Paramètres!$A$1:$I$88,3,0)*0.475*44/12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projet'!$B$9,Paramètres!$A$1:$I$88,3,0)*VLOOKUP('Données projet'!$B$9,Paramètres!$A$1:$I$88,5,0)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175.05987582828078</v>
      </c>
      <c r="T202" s="62">
        <f t="shared" si="204"/>
        <v>268.54782308462387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projet'!$B$9,Paramètres!$A$1:$I$88,7,0))</f>
        <v>0</v>
      </c>
      <c r="X202" s="17">
        <f>IF(ISNA(VLOOKUP(A202,'Données projet'!$A$35:$I$55,6,0)),0%,VLOOKUP(A202,'Données projet'!$A$35:$I$55,6,0)*VLOOKUP('Données projet'!$B$9,Paramètres!$A$1:$I$88,7,0))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projet'!$B$9,Paramètres!$A$1:$I$88,3,0)*0.475*44/12</f>
        <v>0</v>
      </c>
      <c r="AA202" s="23">
        <f>EXP(-LN(2)/25)*AA201+(1-EXP(-LN(2)/25))/(LN(2)/25)*Calculateur!V202*Calculateur!X202*VLOOKUP('Données projet'!$B$9,Paramètres!$A$1:$I$88,3,0)*0.475*44/12</f>
        <v>9.4991245000075053E-2</v>
      </c>
      <c r="AB202" s="23">
        <f>EXP(-LN(2)/2)*AB201+(1-EXP(-LN(2)/2))/(LN(2)/2)*V202*Y202*VLOOKUP('Données projet'!$B$9,Paramètres!$A$1:$I$88,3,0)*0.475*44/12</f>
        <v>6.0387129247012524E-25</v>
      </c>
      <c r="AC202" s="24">
        <f t="shared" si="163"/>
        <v>9.4991245000075053E-2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-1.5916157281026244E-12</v>
      </c>
      <c r="AJ202" s="14">
        <f>AI202*VLOOKUP('Données projet'!$B$10,Paramètres!$A$1:$I$88,3,0)*VLOOKUP('Données projet'!$B$10,Paramètres!$A$1:$I$88,5,0)</f>
        <v>-7.6556716521736234E-13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576.61210817354549</v>
      </c>
      <c r="AO202" s="62">
        <f t="shared" si="205"/>
        <v>343.9428747444544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projet'!$B$10,Paramètres!$A$1:$I$88,7,0))</f>
        <v>0</v>
      </c>
      <c r="AS202" s="17">
        <f>IF(ISNA(VLOOKUP(A202,'Données projet'!$A$61:$I$81,6,0)),0%,VLOOKUP(A202,'Données projet'!$A$61:$I$81,6,0)*VLOOKUP('Données projet'!$B$10,Paramètres!$A$1:$I$88,7,0))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projet'!$B$10,Paramètres!$A$1:$I$88,3,0)*0.475*44/12</f>
        <v>0</v>
      </c>
      <c r="AV202" s="23">
        <f>EXP(-LN(2)/25)*AV201+(1-EXP(-LN(2)/25))/(LN(2)/25)*Calculateur!AQ202*Calculateur!AS202*VLOOKUP('Données projet'!$B$10,Paramètres!$A$1:$I$88,3,0)*0.475*44/12</f>
        <v>5.2248642105883342E-2</v>
      </c>
      <c r="AW202" s="23">
        <f>EXP(-LN(2)/2)*AW201+(1-EXP(-LN(2)/2))/(LN(2)/2)*AQ202*AT202*VLOOKUP('Données projet'!$B$10,Paramètres!$A$1:$I$88,3,0)*0.475*44/12</f>
        <v>4.3003096937434556E-25</v>
      </c>
      <c r="AX202" s="23">
        <f t="shared" si="166"/>
        <v>5.2248642105883342E-2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-5.6843418860808015E-14</v>
      </c>
      <c r="BE202" s="14">
        <f>BD202*VLOOKUP('Données projet'!$B$11,Paramètres!$A$1:$I$88,3,0)*VLOOKUP('Données projet'!$B$11,Paramètres!$A$1:$I$88,5,0)</f>
        <v>-4.5224624045658861E-14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298.38448036212861</v>
      </c>
      <c r="BJ202" s="62">
        <f t="shared" si="206"/>
        <v>270.4445531106897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projet'!$B$11,Paramètres!$A$1:$I$88,7,0))</f>
        <v>0</v>
      </c>
      <c r="BN202" s="17">
        <f>IF(ISNA(VLOOKUP(A202,'Données projet'!$A$87:$I$107,6,0)),0%,VLOOKUP(A202,'Données projet'!$A$87:$I$107,6,0)*VLOOKUP('Données projet'!$B$11,Paramètres!$A$1:$I$88,7,0))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projet'!$B$11,Paramètres!$A$1:$I$88,3,0)*0.475*44/12</f>
        <v>0</v>
      </c>
      <c r="BQ202" s="23">
        <f>EXP(-LN(2)/25)*BQ201+(1-EXP(-LN(2)/25))/(LN(2)/25)*Calculateur!BL202*Calculateur!BN202*VLOOKUP('Données projet'!$B$11,Paramètres!$A$1:$I$88,3,0)*0.475*44/12</f>
        <v>0</v>
      </c>
      <c r="BR202" s="23">
        <f>EXP(-LN(2)/2)*BR201+(1-EXP(-LN(2)/2))/(LN(2)/2)*BL202*BO202*VLOOKUP('Données projet'!$B$11,Paramètres!$A$1:$I$88,3,0)*0.475*44/12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5.6843418860808015E-14</v>
      </c>
      <c r="BZ202" s="14">
        <f>BY202*VLOOKUP('Données projet'!$B$12,Paramètres!$A$1:$I$88,3,0)*VLOOKUP('Données projet'!$B$12,Paramètres!$A$1:$I$88,5,0)</f>
        <v>4.4337866711430253E-14</v>
      </c>
      <c r="CA202" s="14">
        <f t="shared" si="170"/>
        <v>7.3222115536967035E-13</v>
      </c>
      <c r="CB202" s="22">
        <f t="shared" si="171"/>
        <v>1.3525069634579169E-12</v>
      </c>
      <c r="CC202" s="62">
        <f t="shared" si="195"/>
        <v>293.33333333333468</v>
      </c>
      <c r="CD202" s="62">
        <f ca="1">AVERAGE(OFFSET($CC$3,0,0,'Données projet'!$E$12+1,1))-AVERAGE(OFFSET($H$3,0,0,'Données projet'!$E$12+1,1))</f>
        <v>217.32600829266818</v>
      </c>
      <c r="CE202" s="62">
        <f t="shared" si="207"/>
        <v>208.79744153433245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projet'!$B$12,Paramètres!$A$1:$I$88,7,0))</f>
        <v>0</v>
      </c>
      <c r="CI202" s="17">
        <f>IF(ISNA(VLOOKUP(A202,'Données projet'!$A$113:$I$133,6,0)),0%,VLOOKUP(A202,'Données projet'!$A$113:$I$133,6,0)*VLOOKUP('Données projet'!$B$12,Paramètres!$A$1:$I$88,7,0))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projet'!$B$12,Paramètres!$A$1:$I$88,3,0)*0.475*44/12</f>
        <v>0</v>
      </c>
      <c r="CL202" s="23">
        <f>EXP(-LN(2)/25)*CL201+(1-EXP(-LN(2)/25))/(LN(2)/25)*Calculateur!CG202*Calculateur!CI202*VLOOKUP('Données projet'!$B$12,Paramètres!$A$1:$I$88,3,0)*0.475*44/12</f>
        <v>0</v>
      </c>
      <c r="CM202" s="23">
        <f>EXP(-LN(2)/2)*CM201+(1-EXP(-LN(2)/2))/(LN(2)/2)*CG202*CJ202*VLOOKUP('Données projet'!$B$12,Paramètres!$A$1:$I$88,3,0)*0.475*44/12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-3.4106051316484809E-13</v>
      </c>
      <c r="CU202" s="18">
        <f>CT202*VLOOKUP('Données projet'!$B$13,Paramètres!$A$1:$I$88,3,0)*VLOOKUP('Données projet'!$B$13,Paramètres!$A$1:$I$88,5,0)</f>
        <v>-1.9065282685915009E-13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302.20483575440988</v>
      </c>
      <c r="CZ202" s="62">
        <f t="shared" si="208"/>
        <v>275.32862097158687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projet'!$B$13,Paramètres!$A$1:$I$88,7,0))</f>
        <v>0</v>
      </c>
      <c r="DD202" s="17">
        <f>IF(ISNA(VLOOKUP(A202,'Données projet'!$A$139:$I$159,6,0)),0%,VLOOKUP(A202,'Données projet'!$A$139:$I$159,6,0)*VLOOKUP('Données projet'!$B$13,Paramètres!$A$1:$I$88,7,0))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projet'!$B$13,Paramètres!$A$1:$I$88,3,0)*0.475*44/12</f>
        <v>0</v>
      </c>
      <c r="DG202" s="23">
        <f>EXP(-LN(2)/25)*DG201+(1-EXP(-LN(2)/25))/(LN(2)/25)*Calculateur!DB202*Calculateur!DD202*VLOOKUP('Données projet'!$B$13,Paramètres!$A$1:$I$88,3,0)*0.475*44/12</f>
        <v>0.12757696050003919</v>
      </c>
      <c r="DH202" s="23">
        <f>EXP(-LN(2)/2)*DH201+(1-EXP(-LN(2)/2))/(LN(2)/2)*DB202*DE202*VLOOKUP('Données projet'!$B$13,Paramètres!$A$1:$I$88,3,0)*0.475*44/12</f>
        <v>2.4788595364005606E-25</v>
      </c>
      <c r="DI202" s="24">
        <f t="shared" si="175"/>
        <v>0.12757696050003919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projet'!$B$14,Paramètres!$A$1:$I$88,3,0)*VLOOKUP('Données projet'!$B$14,Paramètres!$A$1:$I$88,5,0)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projet'!$B$14,Paramètres!$A$1:$I$88,7,0))</f>
        <v>0</v>
      </c>
      <c r="DY202" s="17">
        <f>IF(ISNA(VLOOKUP(A202,'Données projet'!$A$165:$I$185,6,0)),0%,VLOOKUP(A202,'Données projet'!$A$165:$I$185,6,0)*VLOOKUP('Données projet'!$B$14,Paramètres!$A$1:$I$88,7,0))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projet'!$B$14,Paramètres!$A$1:$I$88,3,0)*0.475*44/12</f>
        <v>#N/A</v>
      </c>
      <c r="EB202" s="23" t="e">
        <f>EXP(-LN(2)/25)*EB201+(1-EXP(-LN(2)/25))/(LN(2)/25)*Calculateur!DW202*Calculateur!DY202*VLOOKUP('Données projet'!$B$14,Paramètres!$A$1:$I$88,3,0)*0.475*44/12</f>
        <v>#N/A</v>
      </c>
      <c r="EC202" s="23" t="e">
        <f>EXP(-LN(2)/2)*EC201+(1-EXP(-LN(2)/2))/(LN(2)/2)*DW202*DZ202*VLOOKUP('Données projet'!$B$14,Paramètres!$A$1:$I$88,3,0)*0.475*44/12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projet'!$B$15,Paramètres!$A$1:$I$88,3,0)*VLOOKUP('Données projet'!$B$15,Paramètres!$A$1:$I$88,5,0)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projet'!$B$15,Paramètres!$A$1:$I$88,7,0))</f>
        <v>0</v>
      </c>
      <c r="ET202" s="17">
        <f>IF(ISNA(VLOOKUP(A202,'Données projet'!$A$191:$I$211,6,0)),0%,VLOOKUP(A202,'Données projet'!$A$191:$I$211,6,0)*VLOOKUP('Données projet'!$B$15,Paramètres!$A$1:$I$88,7,0))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projet'!$B$15,Paramètres!$A$1:$I$88,3,0)*0.475*44/12</f>
        <v>#N/A</v>
      </c>
      <c r="EW202" s="23" t="e">
        <f>EXP(-LN(2)/25)*EW201+(1-EXP(-LN(2)/25))/(LN(2)/25)*Calculateur!ER202*Calculateur!ET202*VLOOKUP('Données projet'!$B$15,Paramètres!$A$1:$I$88,3,0)*0.475*44/12</f>
        <v>#N/A</v>
      </c>
      <c r="EX202" s="23" t="e">
        <f>EXP(-LN(2)/2)*EX201+(1-EXP(-LN(2)/2))/(LN(2)/2)*ER202*EU202*VLOOKUP('Données projet'!$B$15,Paramètres!$A$1:$I$88,3,0)*0.475*44/12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projet'!$B$16,Paramètres!$A$1:$I$88,3,0)*VLOOKUP('Données projet'!$B$16,Paramètres!$A$1:$I$88,5,0)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projet'!$B$16,Paramètres!$A$1:$I$88,7,0))</f>
        <v>0</v>
      </c>
      <c r="FO202" s="17">
        <f>IF(ISNA(VLOOKUP(A202,'Données projet'!$A$217:$I$237,6,0)),0%,VLOOKUP(A202,'Données projet'!$A$217:$I$237,6,0)*VLOOKUP('Données projet'!$B$16,Paramètres!$A$1:$I$88,7,0))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projet'!$B$16,Paramètres!$A$1:$I$88,3,0)*0.475*44/12</f>
        <v>#N/A</v>
      </c>
      <c r="FR202" s="23" t="e">
        <f>EXP(-LN(2)/25)*FR201+(1-EXP(-LN(2)/25))/(LN(2)/25)*Calculateur!FM202*Calculateur!FO202*VLOOKUP('Données projet'!$B$16,Paramètres!$A$1:$I$88,3,0)*0.475*44/12</f>
        <v>#N/A</v>
      </c>
      <c r="FS202" s="23" t="e">
        <f>EXP(-LN(2)/2)*FS201+(1-EXP(-LN(2)/2))/(LN(2)/2)*FM202*FP202*VLOOKUP('Données projet'!$B$16,Paramètres!$A$1:$I$88,3,0)*0.475*44/12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projet'!$B$17,Paramètres!$A$1:$I$88,3,0)*VLOOKUP('Données projet'!$B$17,Paramètres!$A$1:$I$88,5,0)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projet'!$B$17,Paramètres!$A$1:$I$88,7,0))</f>
        <v>0</v>
      </c>
      <c r="GJ202" s="17">
        <f>IF(ISNA(VLOOKUP(A202,'Données projet'!$A$243:$I$263,6,0)),0%,VLOOKUP(A202,'Données projet'!$A$243:$I$263,6,0)*VLOOKUP('Données projet'!$B$17,Paramètres!$A$1:$I$88,7,0))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projet'!$B$17,Paramètres!$A$1:$I$88,3,0)*0.475*44/12</f>
        <v>#N/A</v>
      </c>
      <c r="GM202" s="23" t="e">
        <f>EXP(-LN(2)/25)*GM201+(1-EXP(-LN(2)/25))/(LN(2)/25)*Calculateur!GH202*Calculateur!GJ202*VLOOKUP('Données projet'!$B$17,Paramètres!$A$1:$I$88,3,0)*0.475*44/12</f>
        <v>#N/A</v>
      </c>
      <c r="GN202" s="23" t="e">
        <f>EXP(-LN(2)/2)*GN201+(1-EXP(-LN(2)/2))/(LN(2)/2)*GH202*GK202*VLOOKUP('Données projet'!$B$17,Paramètres!$A$1:$I$88,3,0)*0.475*44/12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projet'!$B$18,Paramètres!$A$1:$I$88,3,0)*VLOOKUP('Données projet'!$B$18,Paramètres!$A$1:$I$88,5,0)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projet'!$B$18,Paramètres!$A$1:$I$88,7,0))</f>
        <v>0</v>
      </c>
      <c r="HE202" s="17">
        <f>IF(ISNA(VLOOKUP(A202,'Données projet'!$A$269:$I$289,6,0)),0%,VLOOKUP(A202,'Données projet'!$A$269:$I$289,6,0)*VLOOKUP('Données projet'!$B$18,Paramètres!$A$1:$I$88,7,0))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projet'!$B$18,Paramètres!$A$1:$I$88,3,0)*0.475*44/12</f>
        <v>#N/A</v>
      </c>
      <c r="HH202" s="23" t="e">
        <f>EXP(-LN(2)/25)*HH201+(1-EXP(-LN(2)/25))/(LN(2)/25)*Calculateur!HC202*Calculateur!HE202*VLOOKUP('Données projet'!$B$18,Paramètres!$A$1:$I$88,3,0)*0.475*44/12</f>
        <v>#N/A</v>
      </c>
      <c r="HI202" s="23" t="e">
        <f>EXP(-LN(2)/2)*HI201+(1-EXP(-LN(2)/2))/(LN(2)/2)*HC202*HF202*VLOOKUP('Données projet'!$B$18,Paramètres!$A$1:$I$88,3,0)*0.475*44/12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référence'!$G$15,Paramètres!$A$1:$I$88,3,0)*VLOOKUP('Scénario référence'!$G$15,Paramètres!$A$1:$I$88,5,0)+'Scénario référence'!$F$8*VLOOKUP('Scénario référence'!$G$15,Paramètres!$A$1:$I$88,3,0)*VLOOKUP('Scénario référence'!$G$15,Paramètres!$A$1:$I$88,5,0)+'Scénario référence'!$B$10*0.5*VLOOKUP('Scénario référence'!$G$15,Paramètres!$A$1:$I$88,3,0)*VLOOKUP('Scénario référence'!$G$15,Paramètres!$A$1:$I$88,5,0)+'Scénario référence'!$F$9*0.5*VLOOKUP('Scénario référence'!$G$15,Paramètres!$A$1:$I$88,3,0)*VLOOKUP('Scénario référence'!$G$15,Paramètres!$A$1:$I$88,5,0)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projet'!$B$9,Paramètres!$A$1:$I$88,3,0)*VLOOKUP('Données projet'!$B$9,Paramètres!$A$1:$I$88,5,0)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175.05987582828078</v>
      </c>
      <c r="T203" s="62">
        <f t="shared" si="204"/>
        <v>268.54782308462387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projet'!$B$9,Paramètres!$A$1:$I$88,7,0))</f>
        <v>0</v>
      </c>
      <c r="X203" s="17">
        <f>IF(ISNA(VLOOKUP(A203,'Données projet'!$A$35:$I$55,6,0)),0%,VLOOKUP(A203,'Données projet'!$A$35:$I$55,6,0)*VLOOKUP('Données projet'!$B$9,Paramètres!$A$1:$I$88,7,0))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projet'!$B$9,Paramètres!$A$1:$I$88,3,0)*0.475*44/12</f>
        <v>0</v>
      </c>
      <c r="AA203" s="23">
        <f>EXP(-LN(2)/25)*AA202+(1-EXP(-LN(2)/25))/(LN(2)/25)*Calculateur!V203*Calculateur!X203*VLOOKUP('Données projet'!$B$9,Paramètres!$A$1:$I$88,3,0)*0.475*44/12</f>
        <v>9.2393704410175526E-2</v>
      </c>
      <c r="AB203" s="23">
        <f>EXP(-LN(2)/2)*AB202+(1-EXP(-LN(2)/2))/(LN(2)/2)*V203*Y203*VLOOKUP('Données projet'!$B$9,Paramètres!$A$1:$I$88,3,0)*0.475*44/12</f>
        <v>4.2700148586951049E-25</v>
      </c>
      <c r="AC203" s="24">
        <f t="shared" si="163"/>
        <v>9.2393704410175526E-2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-1.5916157281026244E-12</v>
      </c>
      <c r="AJ203" s="14">
        <f>AI203*VLOOKUP('Données projet'!$B$10,Paramètres!$A$1:$I$88,3,0)*VLOOKUP('Données projet'!$B$10,Paramètres!$A$1:$I$88,5,0)</f>
        <v>-7.6556716521736234E-13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576.61210817354549</v>
      </c>
      <c r="AO203" s="62">
        <f t="shared" si="205"/>
        <v>343.9428747444544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projet'!$B$10,Paramètres!$A$1:$I$88,7,0))</f>
        <v>0</v>
      </c>
      <c r="AS203" s="17">
        <f>IF(ISNA(VLOOKUP(A203,'Données projet'!$A$61:$I$81,6,0)),0%,VLOOKUP(A203,'Données projet'!$A$61:$I$81,6,0)*VLOOKUP('Données projet'!$B$10,Paramètres!$A$1:$I$88,7,0))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projet'!$B$10,Paramètres!$A$1:$I$88,3,0)*0.475*44/12</f>
        <v>0</v>
      </c>
      <c r="AV203" s="23">
        <f>EXP(-LN(2)/25)*AV202+(1-EXP(-LN(2)/25))/(LN(2)/25)*Calculateur!AQ203*Calculateur!AS203*VLOOKUP('Données projet'!$B$10,Paramètres!$A$1:$I$88,3,0)*0.475*44/12</f>
        <v>5.0819900239861292E-2</v>
      </c>
      <c r="AW203" s="23">
        <f>EXP(-LN(2)/2)*AW202+(1-EXP(-LN(2)/2))/(LN(2)/2)*AQ203*AT203*VLOOKUP('Données projet'!$B$10,Paramètres!$A$1:$I$88,3,0)*0.475*44/12</f>
        <v>3.0407781456482429E-25</v>
      </c>
      <c r="AX203" s="23">
        <f t="shared" si="166"/>
        <v>5.0819900239861292E-2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-5.6843418860808015E-14</v>
      </c>
      <c r="BE203" s="14">
        <f>BD203*VLOOKUP('Données projet'!$B$11,Paramètres!$A$1:$I$88,3,0)*VLOOKUP('Données projet'!$B$11,Paramètres!$A$1:$I$88,5,0)</f>
        <v>-4.5224624045658861E-14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298.38448036212861</v>
      </c>
      <c r="BJ203" s="62">
        <f t="shared" si="206"/>
        <v>270.4445531106897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projet'!$B$11,Paramètres!$A$1:$I$88,7,0))</f>
        <v>0</v>
      </c>
      <c r="BN203" s="17">
        <f>IF(ISNA(VLOOKUP(A203,'Données projet'!$A$87:$I$107,6,0)),0%,VLOOKUP(A203,'Données projet'!$A$87:$I$107,6,0)*VLOOKUP('Données projet'!$B$11,Paramètres!$A$1:$I$88,7,0))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projet'!$B$11,Paramètres!$A$1:$I$88,3,0)*0.475*44/12</f>
        <v>0</v>
      </c>
      <c r="BQ203" s="23">
        <f>EXP(-LN(2)/25)*BQ202+(1-EXP(-LN(2)/25))/(LN(2)/25)*Calculateur!BL203*Calculateur!BN203*VLOOKUP('Données projet'!$B$11,Paramètres!$A$1:$I$88,3,0)*0.475*44/12</f>
        <v>0</v>
      </c>
      <c r="BR203" s="23">
        <f>EXP(-LN(2)/2)*BR202+(1-EXP(-LN(2)/2))/(LN(2)/2)*BL203*BO203*VLOOKUP('Données projet'!$B$11,Paramètres!$A$1:$I$88,3,0)*0.475*44/12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5.6843418860808015E-14</v>
      </c>
      <c r="BZ203" s="14">
        <f>BY203*VLOOKUP('Données projet'!$B$12,Paramètres!$A$1:$I$88,3,0)*VLOOKUP('Données projet'!$B$12,Paramètres!$A$1:$I$88,5,0)</f>
        <v>4.4337866711430253E-14</v>
      </c>
      <c r="CA203" s="14">
        <f t="shared" si="170"/>
        <v>7.3222115536967035E-13</v>
      </c>
      <c r="CB203" s="22">
        <f t="shared" si="171"/>
        <v>1.3525069634579169E-12</v>
      </c>
      <c r="CC203" s="62">
        <f t="shared" si="195"/>
        <v>293.33333333333468</v>
      </c>
      <c r="CD203" s="62">
        <f ca="1">AVERAGE(OFFSET($CC$3,0,0,'Données projet'!$E$12+1,1))-AVERAGE(OFFSET($H$3,0,0,'Données projet'!$E$12+1,1))</f>
        <v>217.32600829266818</v>
      </c>
      <c r="CE203" s="62">
        <f t="shared" si="207"/>
        <v>208.79744153433245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projet'!$B$12,Paramètres!$A$1:$I$88,7,0))</f>
        <v>0</v>
      </c>
      <c r="CI203" s="17">
        <f>IF(ISNA(VLOOKUP(A203,'Données projet'!$A$113:$I$133,6,0)),0%,VLOOKUP(A203,'Données projet'!$A$113:$I$133,6,0)*VLOOKUP('Données projet'!$B$12,Paramètres!$A$1:$I$88,7,0))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projet'!$B$12,Paramètres!$A$1:$I$88,3,0)*0.475*44/12</f>
        <v>0</v>
      </c>
      <c r="CL203" s="23">
        <f>EXP(-LN(2)/25)*CL202+(1-EXP(-LN(2)/25))/(LN(2)/25)*Calculateur!CG203*Calculateur!CI203*VLOOKUP('Données projet'!$B$12,Paramètres!$A$1:$I$88,3,0)*0.475*44/12</f>
        <v>0</v>
      </c>
      <c r="CM203" s="23">
        <f>EXP(-LN(2)/2)*CM202+(1-EXP(-LN(2)/2))/(LN(2)/2)*CG203*CJ203*VLOOKUP('Données projet'!$B$12,Paramètres!$A$1:$I$88,3,0)*0.475*44/12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-3.4106051316484809E-13</v>
      </c>
      <c r="CU203" s="18">
        <f>CT203*VLOOKUP('Données projet'!$B$13,Paramètres!$A$1:$I$88,3,0)*VLOOKUP('Données projet'!$B$13,Paramètres!$A$1:$I$88,5,0)</f>
        <v>-1.9065282685915009E-13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302.20483575440988</v>
      </c>
      <c r="CZ203" s="62">
        <f t="shared" si="208"/>
        <v>275.32862097158687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projet'!$B$13,Paramètres!$A$1:$I$88,7,0))</f>
        <v>0</v>
      </c>
      <c r="DD203" s="17">
        <f>IF(ISNA(VLOOKUP(A203,'Données projet'!$A$139:$I$159,6,0)),0%,VLOOKUP(A203,'Données projet'!$A$139:$I$159,6,0)*VLOOKUP('Données projet'!$B$13,Paramètres!$A$1:$I$88,7,0))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projet'!$B$13,Paramètres!$A$1:$I$88,3,0)*0.475*44/12</f>
        <v>0</v>
      </c>
      <c r="DG203" s="23">
        <f>EXP(-LN(2)/25)*DG202+(1-EXP(-LN(2)/25))/(LN(2)/25)*Calculateur!DB203*Calculateur!DD203*VLOOKUP('Données projet'!$B$13,Paramètres!$A$1:$I$88,3,0)*0.475*44/12</f>
        <v>0.12408836180618485</v>
      </c>
      <c r="DH203" s="23">
        <f>EXP(-LN(2)/2)*DH202+(1-EXP(-LN(2)/2))/(LN(2)/2)*DB203*DE203*VLOOKUP('Données projet'!$B$13,Paramètres!$A$1:$I$88,3,0)*0.475*44/12</f>
        <v>1.7528183877977779E-25</v>
      </c>
      <c r="DI203" s="24">
        <f t="shared" si="175"/>
        <v>0.12408836180618485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projet'!$B$14,Paramètres!$A$1:$I$88,3,0)*VLOOKUP('Données projet'!$B$14,Paramètres!$A$1:$I$88,5,0)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projet'!$B$14,Paramètres!$A$1:$I$88,7,0))</f>
        <v>0</v>
      </c>
      <c r="DY203" s="17">
        <f>IF(ISNA(VLOOKUP(A203,'Données projet'!$A$165:$I$185,6,0)),0%,VLOOKUP(A203,'Données projet'!$A$165:$I$185,6,0)*VLOOKUP('Données projet'!$B$14,Paramètres!$A$1:$I$88,7,0))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projet'!$B$14,Paramètres!$A$1:$I$88,3,0)*0.475*44/12</f>
        <v>#N/A</v>
      </c>
      <c r="EB203" s="23" t="e">
        <f>EXP(-LN(2)/25)*EB202+(1-EXP(-LN(2)/25))/(LN(2)/25)*Calculateur!DW203*Calculateur!DY203*VLOOKUP('Données projet'!$B$14,Paramètres!$A$1:$I$88,3,0)*0.475*44/12</f>
        <v>#N/A</v>
      </c>
      <c r="EC203" s="23" t="e">
        <f>EXP(-LN(2)/2)*EC202+(1-EXP(-LN(2)/2))/(LN(2)/2)*DW203*DZ203*VLOOKUP('Données projet'!$B$14,Paramètres!$A$1:$I$88,3,0)*0.475*44/12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projet'!$B$15,Paramètres!$A$1:$I$88,3,0)*VLOOKUP('Données projet'!$B$15,Paramètres!$A$1:$I$88,5,0)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projet'!$B$15,Paramètres!$A$1:$I$88,7,0))</f>
        <v>0</v>
      </c>
      <c r="ET203" s="17">
        <f>IF(ISNA(VLOOKUP(A203,'Données projet'!$A$191:$I$211,6,0)),0%,VLOOKUP(A203,'Données projet'!$A$191:$I$211,6,0)*VLOOKUP('Données projet'!$B$15,Paramètres!$A$1:$I$88,7,0))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projet'!$B$15,Paramètres!$A$1:$I$88,3,0)*0.475*44/12</f>
        <v>#N/A</v>
      </c>
      <c r="EW203" s="23" t="e">
        <f>EXP(-LN(2)/25)*EW202+(1-EXP(-LN(2)/25))/(LN(2)/25)*Calculateur!ER203*Calculateur!ET203*VLOOKUP('Données projet'!$B$15,Paramètres!$A$1:$I$88,3,0)*0.475*44/12</f>
        <v>#N/A</v>
      </c>
      <c r="EX203" s="23" t="e">
        <f>EXP(-LN(2)/2)*EX202+(1-EXP(-LN(2)/2))/(LN(2)/2)*ER203*EU203*VLOOKUP('Données projet'!$B$15,Paramètres!$A$1:$I$88,3,0)*0.475*44/12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projet'!$B$16,Paramètres!$A$1:$I$88,3,0)*VLOOKUP('Données projet'!$B$16,Paramètres!$A$1:$I$88,5,0)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projet'!$B$16,Paramètres!$A$1:$I$88,7,0))</f>
        <v>0</v>
      </c>
      <c r="FO203" s="17">
        <f>IF(ISNA(VLOOKUP(A203,'Données projet'!$A$217:$I$237,6,0)),0%,VLOOKUP(A203,'Données projet'!$A$217:$I$237,6,0)*VLOOKUP('Données projet'!$B$16,Paramètres!$A$1:$I$88,7,0))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projet'!$B$16,Paramètres!$A$1:$I$88,3,0)*0.475*44/12</f>
        <v>#N/A</v>
      </c>
      <c r="FR203" s="23" t="e">
        <f>EXP(-LN(2)/25)*FR202+(1-EXP(-LN(2)/25))/(LN(2)/25)*Calculateur!FM203*Calculateur!FO203*VLOOKUP('Données projet'!$B$16,Paramètres!$A$1:$I$88,3,0)*0.475*44/12</f>
        <v>#N/A</v>
      </c>
      <c r="FS203" s="23" t="e">
        <f>EXP(-LN(2)/2)*FS202+(1-EXP(-LN(2)/2))/(LN(2)/2)*FM203*FP203*VLOOKUP('Données projet'!$B$16,Paramètres!$A$1:$I$88,3,0)*0.475*44/12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projet'!$B$17,Paramètres!$A$1:$I$88,3,0)*VLOOKUP('Données projet'!$B$17,Paramètres!$A$1:$I$88,5,0)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projet'!$B$17,Paramètres!$A$1:$I$88,7,0))</f>
        <v>0</v>
      </c>
      <c r="GJ203" s="17">
        <f>IF(ISNA(VLOOKUP(A203,'Données projet'!$A$243:$I$263,6,0)),0%,VLOOKUP(A203,'Données projet'!$A$243:$I$263,6,0)*VLOOKUP('Données projet'!$B$17,Paramètres!$A$1:$I$88,7,0))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projet'!$B$17,Paramètres!$A$1:$I$88,3,0)*0.475*44/12</f>
        <v>#N/A</v>
      </c>
      <c r="GM203" s="23" t="e">
        <f>EXP(-LN(2)/25)*GM202+(1-EXP(-LN(2)/25))/(LN(2)/25)*Calculateur!GH203*Calculateur!GJ203*VLOOKUP('Données projet'!$B$17,Paramètres!$A$1:$I$88,3,0)*0.475*44/12</f>
        <v>#N/A</v>
      </c>
      <c r="GN203" s="23" t="e">
        <f>EXP(-LN(2)/2)*GN202+(1-EXP(-LN(2)/2))/(LN(2)/2)*GH203*GK203*VLOOKUP('Données projet'!$B$17,Paramètres!$A$1:$I$88,3,0)*0.475*44/12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projet'!$B$18,Paramètres!$A$1:$I$88,3,0)*VLOOKUP('Données projet'!$B$18,Paramètres!$A$1:$I$88,5,0)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projet'!$B$18,Paramètres!$A$1:$I$88,7,0))</f>
        <v>0</v>
      </c>
      <c r="HE203" s="17">
        <f>IF(ISNA(VLOOKUP(A203,'Données projet'!$A$269:$I$289,6,0)),0%,VLOOKUP(A203,'Données projet'!$A$269:$I$289,6,0)*VLOOKUP('Données projet'!$B$18,Paramètres!$A$1:$I$88,7,0))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projet'!$B$18,Paramètres!$A$1:$I$88,3,0)*0.475*44/12</f>
        <v>#N/A</v>
      </c>
      <c r="HH203" s="23" t="e">
        <f>EXP(-LN(2)/25)*HH202+(1-EXP(-LN(2)/25))/(LN(2)/25)*Calculateur!HC203*Calculateur!HE203*VLOOKUP('Données projet'!$B$18,Paramètres!$A$1:$I$88,3,0)*0.475*44/12</f>
        <v>#N/A</v>
      </c>
      <c r="HI203" s="23" t="e">
        <f>EXP(-LN(2)/2)*HI202+(1-EXP(-LN(2)/2))/(LN(2)/2)*HC203*HF203*VLOOKUP('Données projet'!$B$18,Paramètres!$A$1:$I$88,3,0)*0.475*44/12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298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298</v>
      </c>
      <c r="BA204" s="87" t="s">
        <v>298</v>
      </c>
      <c r="BV204" s="87" t="s">
        <v>298</v>
      </c>
      <c r="CQ204" s="87" t="s">
        <v>298</v>
      </c>
      <c r="DL204" s="87" t="s">
        <v>298</v>
      </c>
      <c r="EG204" s="87" t="s">
        <v>298</v>
      </c>
      <c r="FB204" s="87" t="s">
        <v>298</v>
      </c>
      <c r="FW204" s="87" t="s">
        <v>298</v>
      </c>
      <c r="GR204" s="87" t="s">
        <v>298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1.2997069632623315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1.2172227089611016</v>
      </c>
      <c r="BA205" s="88">
        <f>EXP(LN('Données projet'!B88)/'Données projet'!A88)</f>
        <v>1.2721323532877689</v>
      </c>
      <c r="BV205" s="88">
        <f>EXP(LN('Données projet'!B114)/'Données projet'!A114)</f>
        <v>1.2788040393997409</v>
      </c>
      <c r="CQ205" s="88">
        <f>EXP(LN('Données projet'!B140)/'Données projet'!A140)</f>
        <v>1.289976715395158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PAD3Petg27uLkBWNLkoCstus9QK4UFEFQKVgtUE5W3qYiwGMPSQIqKa+UwvEW3Uii34BwtIor110/xmaHWjp+w==" saltValue="GHb6zcSGUkNQybd2GuQjbQ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4"/>
  <sheetViews>
    <sheetView topLeftCell="A22" workbookViewId="0">
      <selection activeCell="D23" sqref="D23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1" t="s">
        <v>0</v>
      </c>
      <c r="B1" s="122" t="s">
        <v>106</v>
      </c>
      <c r="C1" s="123" t="s">
        <v>144</v>
      </c>
      <c r="D1" s="122" t="s">
        <v>100</v>
      </c>
      <c r="E1" s="123" t="s">
        <v>145</v>
      </c>
      <c r="F1" s="123" t="s">
        <v>100</v>
      </c>
      <c r="G1" s="123" t="s">
        <v>146</v>
      </c>
      <c r="H1" s="123" t="s">
        <v>100</v>
      </c>
      <c r="I1" s="124" t="s">
        <v>147</v>
      </c>
      <c r="J1" s="101"/>
      <c r="K1" s="101"/>
      <c r="L1" s="101"/>
      <c r="M1" s="101"/>
      <c r="N1" s="101"/>
    </row>
    <row r="2" spans="1:16" x14ac:dyDescent="0.25">
      <c r="A2" s="125" t="s">
        <v>1</v>
      </c>
      <c r="B2" s="126" t="s">
        <v>53</v>
      </c>
      <c r="C2" s="127">
        <v>0.62</v>
      </c>
      <c r="D2" s="127" t="s">
        <v>161</v>
      </c>
      <c r="E2" s="127">
        <v>1.56</v>
      </c>
      <c r="F2" s="127" t="s">
        <v>275</v>
      </c>
      <c r="G2" s="128">
        <v>0.43</v>
      </c>
      <c r="H2" s="129" t="s">
        <v>279</v>
      </c>
      <c r="I2" s="130">
        <v>0.25</v>
      </c>
      <c r="J2" s="101"/>
      <c r="K2" s="101"/>
      <c r="L2" s="101"/>
      <c r="M2" s="101"/>
      <c r="N2" s="101"/>
      <c r="O2" s="296" t="s">
        <v>238</v>
      </c>
      <c r="P2" s="131">
        <v>0</v>
      </c>
    </row>
    <row r="3" spans="1:16" ht="15.75" thickBot="1" x14ac:dyDescent="0.3">
      <c r="A3" s="132" t="s">
        <v>2</v>
      </c>
      <c r="B3" s="133" t="s">
        <v>54</v>
      </c>
      <c r="C3" s="134">
        <v>0.64</v>
      </c>
      <c r="D3" s="134" t="s">
        <v>161</v>
      </c>
      <c r="E3" s="134">
        <v>1.56</v>
      </c>
      <c r="F3" s="135" t="s">
        <v>275</v>
      </c>
      <c r="G3" s="136">
        <v>0.43</v>
      </c>
      <c r="H3" s="134" t="s">
        <v>279</v>
      </c>
      <c r="I3" s="137">
        <v>0.25</v>
      </c>
      <c r="J3" s="101"/>
      <c r="K3" s="101"/>
      <c r="L3" s="101"/>
      <c r="M3" s="101"/>
      <c r="N3" s="101"/>
      <c r="O3" s="297"/>
      <c r="P3" s="138">
        <v>0.2</v>
      </c>
    </row>
    <row r="4" spans="1:16" ht="15.75" thickBot="1" x14ac:dyDescent="0.3">
      <c r="A4" s="132" t="s">
        <v>98</v>
      </c>
      <c r="B4" s="133" t="s">
        <v>99</v>
      </c>
      <c r="C4" s="134">
        <v>0.42</v>
      </c>
      <c r="D4" s="134" t="s">
        <v>161</v>
      </c>
      <c r="E4" s="134">
        <v>1.56</v>
      </c>
      <c r="F4" s="135" t="s">
        <v>275</v>
      </c>
      <c r="G4" s="136">
        <v>0.43</v>
      </c>
      <c r="H4" s="134" t="s">
        <v>279</v>
      </c>
      <c r="I4" s="137">
        <v>0.25</v>
      </c>
      <c r="J4" s="101"/>
      <c r="K4" s="101"/>
      <c r="L4" s="101"/>
      <c r="M4" s="101"/>
      <c r="N4" s="101"/>
    </row>
    <row r="5" spans="1:16" x14ac:dyDescent="0.25">
      <c r="A5" s="132" t="s">
        <v>4</v>
      </c>
      <c r="B5" s="133" t="s">
        <v>55</v>
      </c>
      <c r="C5" s="134">
        <v>0.42</v>
      </c>
      <c r="D5" s="134" t="s">
        <v>161</v>
      </c>
      <c r="E5" s="134">
        <v>1.56</v>
      </c>
      <c r="F5" s="135" t="s">
        <v>275</v>
      </c>
      <c r="G5" s="136">
        <v>0.43</v>
      </c>
      <c r="H5" s="134" t="s">
        <v>279</v>
      </c>
      <c r="I5" s="137">
        <v>0.25</v>
      </c>
      <c r="J5" s="101"/>
      <c r="K5" s="101"/>
      <c r="L5" s="101"/>
      <c r="M5" s="101"/>
      <c r="N5" s="101"/>
      <c r="O5" s="296" t="s">
        <v>237</v>
      </c>
      <c r="P5" s="131">
        <v>0</v>
      </c>
    </row>
    <row r="6" spans="1:16" x14ac:dyDescent="0.25">
      <c r="A6" s="132" t="s">
        <v>3</v>
      </c>
      <c r="B6" s="133" t="s">
        <v>97</v>
      </c>
      <c r="C6" s="134">
        <v>0.42</v>
      </c>
      <c r="D6" s="134" t="s">
        <v>161</v>
      </c>
      <c r="E6" s="134">
        <v>1.56</v>
      </c>
      <c r="F6" s="135" t="s">
        <v>275</v>
      </c>
      <c r="G6" s="136">
        <v>0.43</v>
      </c>
      <c r="H6" s="134" t="s">
        <v>279</v>
      </c>
      <c r="I6" s="137">
        <v>0.25</v>
      </c>
      <c r="J6" s="101"/>
      <c r="K6" s="101"/>
      <c r="L6" s="101"/>
      <c r="M6" s="101"/>
      <c r="N6" s="101"/>
      <c r="O6" s="298"/>
      <c r="P6" s="139">
        <v>0.05</v>
      </c>
    </row>
    <row r="7" spans="1:16" x14ac:dyDescent="0.25">
      <c r="A7" s="132" t="s">
        <v>5</v>
      </c>
      <c r="B7" s="133" t="s">
        <v>56</v>
      </c>
      <c r="C7" s="134">
        <v>0.52</v>
      </c>
      <c r="D7" s="134" t="s">
        <v>161</v>
      </c>
      <c r="E7" s="134">
        <v>1.56</v>
      </c>
      <c r="F7" s="135" t="s">
        <v>275</v>
      </c>
      <c r="G7" s="136">
        <v>0.43</v>
      </c>
      <c r="H7" s="134" t="s">
        <v>279</v>
      </c>
      <c r="I7" s="137">
        <v>0.25</v>
      </c>
      <c r="J7" s="101"/>
      <c r="K7" s="101"/>
      <c r="L7" s="101"/>
      <c r="M7" s="101"/>
      <c r="N7" s="101"/>
      <c r="O7" s="298"/>
      <c r="P7" s="139">
        <v>0.1</v>
      </c>
    </row>
    <row r="8" spans="1:16" ht="15.75" thickBot="1" x14ac:dyDescent="0.3">
      <c r="A8" s="132" t="s">
        <v>164</v>
      </c>
      <c r="B8" s="133" t="s">
        <v>57</v>
      </c>
      <c r="C8" s="134">
        <v>0.36</v>
      </c>
      <c r="D8" s="134" t="s">
        <v>161</v>
      </c>
      <c r="E8" s="134">
        <v>1.3</v>
      </c>
      <c r="F8" s="135" t="s">
        <v>275</v>
      </c>
      <c r="G8" s="136">
        <v>0.55000000000000004</v>
      </c>
      <c r="H8" s="134" t="s">
        <v>153</v>
      </c>
      <c r="I8" s="137">
        <v>0.43</v>
      </c>
      <c r="J8" s="101"/>
      <c r="K8" s="101"/>
      <c r="L8" s="101"/>
      <c r="M8" s="101"/>
      <c r="N8" s="101"/>
      <c r="O8" s="297"/>
      <c r="P8" s="138">
        <v>0.15</v>
      </c>
    </row>
    <row r="9" spans="1:16" ht="15.75" thickBot="1" x14ac:dyDescent="0.3">
      <c r="A9" s="132" t="s">
        <v>6</v>
      </c>
      <c r="B9" s="133" t="s">
        <v>58</v>
      </c>
      <c r="C9" s="134">
        <v>0.61</v>
      </c>
      <c r="D9" s="134" t="s">
        <v>161</v>
      </c>
      <c r="E9" s="134">
        <v>1.56</v>
      </c>
      <c r="F9" s="135" t="s">
        <v>275</v>
      </c>
      <c r="G9" s="136">
        <v>0.43</v>
      </c>
      <c r="H9" s="134" t="s">
        <v>279</v>
      </c>
      <c r="I9" s="137">
        <v>0.25</v>
      </c>
      <c r="J9" s="101"/>
      <c r="K9" s="101"/>
      <c r="L9" s="101"/>
      <c r="M9" s="101"/>
      <c r="N9" s="101"/>
    </row>
    <row r="10" spans="1:16" x14ac:dyDescent="0.25">
      <c r="A10" s="132" t="s">
        <v>7</v>
      </c>
      <c r="B10" s="133" t="s">
        <v>59</v>
      </c>
      <c r="C10" s="134">
        <v>0.66</v>
      </c>
      <c r="D10" s="134" t="s">
        <v>161</v>
      </c>
      <c r="E10" s="134">
        <v>1.56</v>
      </c>
      <c r="F10" s="135" t="s">
        <v>275</v>
      </c>
      <c r="G10" s="136">
        <v>0.43</v>
      </c>
      <c r="H10" s="134" t="s">
        <v>279</v>
      </c>
      <c r="I10" s="137">
        <v>0.25</v>
      </c>
      <c r="J10" s="101"/>
      <c r="K10" s="101"/>
      <c r="L10" s="101"/>
      <c r="M10" s="101"/>
      <c r="N10" s="101"/>
      <c r="O10" s="296" t="s">
        <v>236</v>
      </c>
      <c r="P10" s="131">
        <v>0</v>
      </c>
    </row>
    <row r="11" spans="1:16" ht="15.75" thickBot="1" x14ac:dyDescent="0.3">
      <c r="A11" s="132" t="s">
        <v>8</v>
      </c>
      <c r="B11" s="133" t="s">
        <v>60</v>
      </c>
      <c r="C11" s="134">
        <v>0.47</v>
      </c>
      <c r="D11" s="134" t="s">
        <v>161</v>
      </c>
      <c r="E11" s="134">
        <v>1.56</v>
      </c>
      <c r="F11" s="135" t="s">
        <v>275</v>
      </c>
      <c r="G11" s="136">
        <v>0.43</v>
      </c>
      <c r="H11" s="134" t="s">
        <v>279</v>
      </c>
      <c r="I11" s="137">
        <v>0.25</v>
      </c>
      <c r="J11" s="101"/>
      <c r="K11" s="101"/>
      <c r="L11" s="101"/>
      <c r="M11" s="101"/>
      <c r="N11" s="101"/>
      <c r="O11" s="297"/>
      <c r="P11" s="138">
        <v>0.1</v>
      </c>
    </row>
    <row r="12" spans="1:16" x14ac:dyDescent="0.25">
      <c r="A12" s="132" t="s">
        <v>9</v>
      </c>
      <c r="B12" s="133" t="s">
        <v>61</v>
      </c>
      <c r="C12" s="134">
        <v>0.67</v>
      </c>
      <c r="D12" s="134" t="s">
        <v>161</v>
      </c>
      <c r="E12" s="134">
        <v>1.56</v>
      </c>
      <c r="F12" s="135" t="s">
        <v>275</v>
      </c>
      <c r="G12" s="136">
        <v>0.43</v>
      </c>
      <c r="H12" s="134" t="s">
        <v>152</v>
      </c>
      <c r="I12" s="137">
        <v>0.25</v>
      </c>
      <c r="J12" s="101"/>
      <c r="K12" s="101"/>
      <c r="L12" s="101"/>
      <c r="M12" s="101"/>
      <c r="N12" s="101"/>
    </row>
    <row r="13" spans="1:16" x14ac:dyDescent="0.25">
      <c r="A13" s="132" t="s">
        <v>10</v>
      </c>
      <c r="B13" s="133" t="s">
        <v>62</v>
      </c>
      <c r="C13" s="134">
        <v>0.7</v>
      </c>
      <c r="D13" s="134" t="s">
        <v>161</v>
      </c>
      <c r="E13" s="134">
        <v>1.56</v>
      </c>
      <c r="F13" s="135" t="s">
        <v>275</v>
      </c>
      <c r="G13" s="136">
        <v>0.43</v>
      </c>
      <c r="H13" s="134" t="s">
        <v>152</v>
      </c>
      <c r="I13" s="137">
        <v>0.25</v>
      </c>
      <c r="J13" s="101"/>
      <c r="K13" s="101"/>
      <c r="L13" s="101"/>
      <c r="M13" s="101"/>
      <c r="N13" s="101"/>
    </row>
    <row r="14" spans="1:16" x14ac:dyDescent="0.25">
      <c r="A14" s="132" t="s">
        <v>11</v>
      </c>
      <c r="B14" s="133" t="s">
        <v>63</v>
      </c>
      <c r="C14" s="134">
        <v>0.54</v>
      </c>
      <c r="D14" s="134" t="s">
        <v>161</v>
      </c>
      <c r="E14" s="134">
        <v>1.56</v>
      </c>
      <c r="F14" s="135" t="s">
        <v>275</v>
      </c>
      <c r="G14" s="136">
        <v>0.43</v>
      </c>
      <c r="H14" s="134" t="s">
        <v>152</v>
      </c>
      <c r="I14" s="137">
        <v>0.25</v>
      </c>
      <c r="J14" s="101"/>
      <c r="K14" s="101"/>
      <c r="L14" s="101"/>
      <c r="M14" s="101"/>
      <c r="N14" s="101"/>
    </row>
    <row r="15" spans="1:16" x14ac:dyDescent="0.25">
      <c r="A15" s="132" t="s">
        <v>12</v>
      </c>
      <c r="B15" s="133" t="s">
        <v>64</v>
      </c>
      <c r="C15" s="134">
        <v>0.65</v>
      </c>
      <c r="D15" s="134" t="s">
        <v>161</v>
      </c>
      <c r="E15" s="134">
        <v>1.56</v>
      </c>
      <c r="F15" s="135" t="s">
        <v>275</v>
      </c>
      <c r="G15" s="136">
        <v>0.43</v>
      </c>
      <c r="H15" s="134" t="s">
        <v>152</v>
      </c>
      <c r="I15" s="137">
        <v>0.25</v>
      </c>
      <c r="J15" s="101"/>
      <c r="K15" s="101"/>
      <c r="L15" s="101"/>
      <c r="M15" s="101"/>
      <c r="N15" s="101"/>
    </row>
    <row r="16" spans="1:16" x14ac:dyDescent="0.25">
      <c r="A16" s="132" t="s">
        <v>13</v>
      </c>
      <c r="B16" s="133" t="s">
        <v>65</v>
      </c>
      <c r="C16" s="134">
        <v>0.56000000000000005</v>
      </c>
      <c r="D16" s="134" t="s">
        <v>161</v>
      </c>
      <c r="E16" s="134">
        <v>1.56</v>
      </c>
      <c r="F16" s="135" t="s">
        <v>275</v>
      </c>
      <c r="G16" s="136">
        <v>0.43</v>
      </c>
      <c r="H16" s="134" t="s">
        <v>152</v>
      </c>
      <c r="I16" s="137">
        <v>0.25</v>
      </c>
      <c r="J16" s="101"/>
      <c r="K16" s="101"/>
      <c r="L16" s="101"/>
      <c r="M16" s="101"/>
      <c r="N16" s="101"/>
    </row>
    <row r="17" spans="1:14" x14ac:dyDescent="0.25">
      <c r="A17" s="132" t="s">
        <v>14</v>
      </c>
      <c r="B17" s="133" t="s">
        <v>66</v>
      </c>
      <c r="C17" s="134">
        <v>0.57999999999999996</v>
      </c>
      <c r="D17" s="134" t="s">
        <v>161</v>
      </c>
      <c r="E17" s="134">
        <v>1.56</v>
      </c>
      <c r="F17" s="135" t="s">
        <v>275</v>
      </c>
      <c r="G17" s="136">
        <v>0.43</v>
      </c>
      <c r="H17" s="134" t="s">
        <v>152</v>
      </c>
      <c r="I17" s="137">
        <v>0.25</v>
      </c>
      <c r="J17" s="101"/>
      <c r="K17" s="101"/>
      <c r="L17" s="101"/>
      <c r="M17" s="101"/>
      <c r="N17" s="101"/>
    </row>
    <row r="18" spans="1:14" x14ac:dyDescent="0.25">
      <c r="A18" s="132" t="s">
        <v>15</v>
      </c>
      <c r="B18" s="133" t="s">
        <v>67</v>
      </c>
      <c r="C18" s="134">
        <v>0.64</v>
      </c>
      <c r="D18" s="134" t="s">
        <v>161</v>
      </c>
      <c r="E18" s="134">
        <v>1.56</v>
      </c>
      <c r="F18" s="135" t="s">
        <v>275</v>
      </c>
      <c r="G18" s="136">
        <v>0.43</v>
      </c>
      <c r="H18" s="134" t="s">
        <v>152</v>
      </c>
      <c r="I18" s="137">
        <v>0.25</v>
      </c>
      <c r="J18" s="101"/>
      <c r="K18" s="101"/>
      <c r="L18" s="101"/>
      <c r="M18" s="101"/>
      <c r="N18" s="101"/>
    </row>
    <row r="19" spans="1:14" x14ac:dyDescent="0.25">
      <c r="A19" s="132" t="s">
        <v>16</v>
      </c>
      <c r="B19" s="133" t="s">
        <v>68</v>
      </c>
      <c r="C19" s="134">
        <v>0.73</v>
      </c>
      <c r="D19" s="134" t="s">
        <v>161</v>
      </c>
      <c r="E19" s="134">
        <v>1.56</v>
      </c>
      <c r="F19" s="135" t="s">
        <v>275</v>
      </c>
      <c r="G19" s="136">
        <v>0.43</v>
      </c>
      <c r="H19" s="134" t="s">
        <v>152</v>
      </c>
      <c r="I19" s="137">
        <v>0.25</v>
      </c>
      <c r="J19" s="101"/>
      <c r="K19" s="101"/>
      <c r="L19" s="101"/>
      <c r="M19" s="101"/>
      <c r="N19" s="101"/>
    </row>
    <row r="20" spans="1:14" x14ac:dyDescent="0.25">
      <c r="A20" s="132" t="s">
        <v>52</v>
      </c>
      <c r="B20" s="133" t="s">
        <v>69</v>
      </c>
      <c r="C20" s="134">
        <v>0.69</v>
      </c>
      <c r="D20" s="134" t="s">
        <v>131</v>
      </c>
      <c r="E20" s="134">
        <v>1.56</v>
      </c>
      <c r="F20" s="135" t="s">
        <v>275</v>
      </c>
      <c r="G20" s="136">
        <v>0.43</v>
      </c>
      <c r="H20" s="134" t="s">
        <v>283</v>
      </c>
      <c r="I20" s="137">
        <v>0.25</v>
      </c>
      <c r="J20" s="101"/>
      <c r="K20" s="101"/>
      <c r="L20" s="101"/>
      <c r="M20" s="101"/>
      <c r="N20" s="101"/>
    </row>
    <row r="21" spans="1:14" x14ac:dyDescent="0.25">
      <c r="A21" s="132" t="s">
        <v>154</v>
      </c>
      <c r="B21" s="133" t="s">
        <v>155</v>
      </c>
      <c r="C21" s="134">
        <v>0.36</v>
      </c>
      <c r="D21" s="134" t="s">
        <v>161</v>
      </c>
      <c r="E21" s="134">
        <v>1.3</v>
      </c>
      <c r="F21" s="135" t="s">
        <v>275</v>
      </c>
      <c r="G21" s="136">
        <v>0.55000000000000004</v>
      </c>
      <c r="H21" s="134" t="s">
        <v>153</v>
      </c>
      <c r="I21" s="137">
        <v>0.43</v>
      </c>
      <c r="J21" s="101"/>
      <c r="K21" s="101"/>
      <c r="L21" s="101"/>
      <c r="M21" s="101"/>
      <c r="N21" s="101"/>
    </row>
    <row r="22" spans="1:14" x14ac:dyDescent="0.25">
      <c r="A22" s="132" t="s">
        <v>17</v>
      </c>
      <c r="B22" s="133" t="s">
        <v>70</v>
      </c>
      <c r="C22" s="134">
        <v>0.4</v>
      </c>
      <c r="D22" s="134" t="s">
        <v>161</v>
      </c>
      <c r="E22" s="134">
        <v>1.3</v>
      </c>
      <c r="F22" s="135" t="s">
        <v>275</v>
      </c>
      <c r="G22" s="136">
        <v>0.55000000000000004</v>
      </c>
      <c r="H22" s="134" t="s">
        <v>153</v>
      </c>
      <c r="I22" s="137">
        <v>0.43</v>
      </c>
      <c r="J22" s="101"/>
      <c r="K22" s="101"/>
      <c r="L22" s="101"/>
      <c r="M22" s="101"/>
      <c r="N22" s="101"/>
    </row>
    <row r="23" spans="1:14" x14ac:dyDescent="0.25">
      <c r="A23" s="132" t="s">
        <v>18</v>
      </c>
      <c r="B23" s="133" t="s">
        <v>71</v>
      </c>
      <c r="C23" s="134">
        <v>0.43</v>
      </c>
      <c r="D23" s="134" t="s">
        <v>161</v>
      </c>
      <c r="E23" s="134">
        <v>1.3</v>
      </c>
      <c r="F23" s="135" t="s">
        <v>275</v>
      </c>
      <c r="G23" s="136">
        <v>0.55000000000000004</v>
      </c>
      <c r="H23" s="134" t="s">
        <v>153</v>
      </c>
      <c r="I23" s="137">
        <v>0.43</v>
      </c>
      <c r="J23" s="101"/>
      <c r="K23" s="101"/>
      <c r="L23" s="101"/>
      <c r="M23" s="101"/>
      <c r="N23" s="101"/>
    </row>
    <row r="24" spans="1:14" x14ac:dyDescent="0.25">
      <c r="A24" s="132" t="s">
        <v>19</v>
      </c>
      <c r="B24" s="133" t="s">
        <v>72</v>
      </c>
      <c r="C24" s="134">
        <v>0.37</v>
      </c>
      <c r="D24" s="134" t="s">
        <v>161</v>
      </c>
      <c r="E24" s="134">
        <v>1.3</v>
      </c>
      <c r="F24" s="135" t="s">
        <v>275</v>
      </c>
      <c r="G24" s="136">
        <v>0.55000000000000004</v>
      </c>
      <c r="H24" s="134" t="s">
        <v>152</v>
      </c>
      <c r="I24" s="137">
        <v>0.43</v>
      </c>
      <c r="J24" s="101"/>
      <c r="K24" s="101"/>
      <c r="L24" s="101"/>
      <c r="M24" s="101"/>
      <c r="N24" s="101"/>
    </row>
    <row r="25" spans="1:14" x14ac:dyDescent="0.25">
      <c r="A25" s="132" t="s">
        <v>20</v>
      </c>
      <c r="B25" s="133" t="s">
        <v>73</v>
      </c>
      <c r="C25" s="134">
        <v>0.36</v>
      </c>
      <c r="D25" s="134" t="s">
        <v>161</v>
      </c>
      <c r="E25" s="134">
        <v>1.3</v>
      </c>
      <c r="F25" s="135" t="s">
        <v>275</v>
      </c>
      <c r="G25" s="136">
        <v>0.55000000000000004</v>
      </c>
      <c r="H25" s="134" t="s">
        <v>152</v>
      </c>
      <c r="I25" s="137">
        <v>0.43</v>
      </c>
      <c r="J25" s="101"/>
      <c r="K25" s="101"/>
      <c r="L25" s="101"/>
      <c r="M25" s="101"/>
      <c r="N25" s="101"/>
    </row>
    <row r="26" spans="1:14" x14ac:dyDescent="0.25">
      <c r="A26" s="132" t="s">
        <v>21</v>
      </c>
      <c r="B26" s="133" t="s">
        <v>74</v>
      </c>
      <c r="C26" s="134">
        <v>0.56000000000000005</v>
      </c>
      <c r="D26" s="134" t="s">
        <v>161</v>
      </c>
      <c r="E26" s="134">
        <v>1.56</v>
      </c>
      <c r="F26" s="135" t="s">
        <v>275</v>
      </c>
      <c r="G26" s="136">
        <v>0.53</v>
      </c>
      <c r="H26" s="134" t="s">
        <v>276</v>
      </c>
      <c r="I26" s="137">
        <v>0.25</v>
      </c>
      <c r="J26" s="101"/>
      <c r="K26" s="101"/>
      <c r="L26" s="101"/>
      <c r="M26" s="101"/>
      <c r="N26" s="101"/>
    </row>
    <row r="27" spans="1:14" x14ac:dyDescent="0.25">
      <c r="A27" s="132" t="s">
        <v>22</v>
      </c>
      <c r="B27" s="133" t="s">
        <v>75</v>
      </c>
      <c r="C27" s="134">
        <v>0.51</v>
      </c>
      <c r="D27" s="134" t="s">
        <v>161</v>
      </c>
      <c r="E27" s="134">
        <v>1.56</v>
      </c>
      <c r="F27" s="135" t="s">
        <v>275</v>
      </c>
      <c r="G27" s="136">
        <v>0.53</v>
      </c>
      <c r="H27" s="134" t="s">
        <v>276</v>
      </c>
      <c r="I27" s="137">
        <v>0.25</v>
      </c>
      <c r="J27" s="101"/>
      <c r="K27" s="101"/>
      <c r="L27" s="101"/>
      <c r="M27" s="101"/>
      <c r="N27" s="101"/>
    </row>
    <row r="28" spans="1:14" x14ac:dyDescent="0.25">
      <c r="A28" s="132" t="s">
        <v>23</v>
      </c>
      <c r="B28" s="133" t="s">
        <v>76</v>
      </c>
      <c r="C28" s="134">
        <v>0.51</v>
      </c>
      <c r="D28" s="134" t="s">
        <v>161</v>
      </c>
      <c r="E28" s="134">
        <v>1.56</v>
      </c>
      <c r="F28" s="135" t="s">
        <v>275</v>
      </c>
      <c r="G28" s="136">
        <v>0.53</v>
      </c>
      <c r="H28" s="134" t="s">
        <v>276</v>
      </c>
      <c r="I28" s="137">
        <v>0.25</v>
      </c>
      <c r="J28" s="101"/>
      <c r="K28" s="101"/>
      <c r="L28" s="101"/>
      <c r="M28" s="101"/>
      <c r="N28" s="101"/>
    </row>
    <row r="29" spans="1:14" x14ac:dyDescent="0.25">
      <c r="A29" s="132" t="s">
        <v>24</v>
      </c>
      <c r="B29" s="133" t="s">
        <v>24</v>
      </c>
      <c r="C29" s="134">
        <v>0.56000000000000005</v>
      </c>
      <c r="D29" s="134" t="s">
        <v>161</v>
      </c>
      <c r="E29" s="134">
        <v>1.56</v>
      </c>
      <c r="F29" s="135" t="s">
        <v>275</v>
      </c>
      <c r="G29" s="136">
        <v>0.53</v>
      </c>
      <c r="H29" s="134" t="s">
        <v>276</v>
      </c>
      <c r="I29" s="137">
        <v>0.25</v>
      </c>
      <c r="J29" s="101"/>
      <c r="K29" s="101"/>
      <c r="L29" s="101"/>
      <c r="M29" s="101"/>
      <c r="N29" s="101"/>
    </row>
    <row r="30" spans="1:14" x14ac:dyDescent="0.25">
      <c r="A30" s="132" t="s">
        <v>25</v>
      </c>
      <c r="B30" s="133" t="s">
        <v>77</v>
      </c>
      <c r="C30" s="134">
        <v>0.55000000000000004</v>
      </c>
      <c r="D30" s="134" t="s">
        <v>161</v>
      </c>
      <c r="E30" s="134">
        <v>1.56</v>
      </c>
      <c r="F30" s="135" t="s">
        <v>275</v>
      </c>
      <c r="G30" s="136">
        <v>0.53</v>
      </c>
      <c r="H30" s="134" t="s">
        <v>152</v>
      </c>
      <c r="I30" s="137">
        <v>0.25</v>
      </c>
      <c r="J30" s="101"/>
      <c r="K30" s="101"/>
      <c r="L30" s="101"/>
      <c r="M30" s="101"/>
      <c r="N30" s="101"/>
    </row>
    <row r="31" spans="1:14" x14ac:dyDescent="0.25">
      <c r="A31" s="132" t="s">
        <v>26</v>
      </c>
      <c r="B31" s="133" t="s">
        <v>78</v>
      </c>
      <c r="C31" s="134">
        <v>0.56000000000000005</v>
      </c>
      <c r="D31" s="134" t="s">
        <v>161</v>
      </c>
      <c r="E31" s="134">
        <v>1.56</v>
      </c>
      <c r="F31" s="135" t="s">
        <v>275</v>
      </c>
      <c r="G31" s="136">
        <v>0.43</v>
      </c>
      <c r="H31" s="134" t="s">
        <v>279</v>
      </c>
      <c r="I31" s="137">
        <v>0.25</v>
      </c>
      <c r="J31" s="101"/>
      <c r="K31" s="101"/>
      <c r="L31" s="101"/>
      <c r="M31" s="101"/>
      <c r="N31" s="101"/>
    </row>
    <row r="32" spans="1:14" x14ac:dyDescent="0.25">
      <c r="A32" s="132" t="s">
        <v>27</v>
      </c>
      <c r="B32" s="133" t="s">
        <v>79</v>
      </c>
      <c r="C32" s="134">
        <v>0.48</v>
      </c>
      <c r="D32" s="134" t="s">
        <v>161</v>
      </c>
      <c r="E32" s="134">
        <v>1.3</v>
      </c>
      <c r="F32" s="135" t="s">
        <v>275</v>
      </c>
      <c r="G32" s="136">
        <v>0.6</v>
      </c>
      <c r="H32" s="134" t="s">
        <v>282</v>
      </c>
      <c r="I32" s="137">
        <v>0.43</v>
      </c>
      <c r="J32" s="101"/>
      <c r="K32" s="101"/>
      <c r="L32" s="101"/>
      <c r="M32" s="101"/>
      <c r="N32" s="101"/>
    </row>
    <row r="33" spans="1:14" x14ac:dyDescent="0.25">
      <c r="A33" s="132" t="s">
        <v>28</v>
      </c>
      <c r="B33" s="133" t="s">
        <v>80</v>
      </c>
      <c r="C33" s="134">
        <v>0.42</v>
      </c>
      <c r="D33" s="134" t="s">
        <v>161</v>
      </c>
      <c r="E33" s="134">
        <v>1.3</v>
      </c>
      <c r="F33" s="135" t="s">
        <v>275</v>
      </c>
      <c r="G33" s="136">
        <v>0.6</v>
      </c>
      <c r="H33" s="134" t="s">
        <v>282</v>
      </c>
      <c r="I33" s="137">
        <v>0.43</v>
      </c>
      <c r="J33" s="101"/>
      <c r="K33" s="101"/>
      <c r="L33" s="101"/>
      <c r="M33" s="101"/>
      <c r="N33" s="101"/>
    </row>
    <row r="34" spans="1:14" x14ac:dyDescent="0.25">
      <c r="A34" s="132" t="s">
        <v>81</v>
      </c>
      <c r="B34" s="133" t="s">
        <v>163</v>
      </c>
      <c r="C34" s="134">
        <v>0.42</v>
      </c>
      <c r="D34" s="134" t="s">
        <v>103</v>
      </c>
      <c r="E34" s="134">
        <v>1.3</v>
      </c>
      <c r="F34" s="135" t="s">
        <v>275</v>
      </c>
      <c r="G34" s="136">
        <v>0.6</v>
      </c>
      <c r="H34" s="133" t="s">
        <v>281</v>
      </c>
      <c r="I34" s="137">
        <v>0.43</v>
      </c>
      <c r="J34" s="101"/>
      <c r="K34" s="101"/>
      <c r="L34" s="101"/>
      <c r="M34" s="101"/>
      <c r="N34" s="101"/>
    </row>
    <row r="35" spans="1:14" x14ac:dyDescent="0.25">
      <c r="A35" s="132" t="s">
        <v>29</v>
      </c>
      <c r="B35" s="133" t="s">
        <v>82</v>
      </c>
      <c r="C35" s="134">
        <v>0.5</v>
      </c>
      <c r="D35" s="134" t="s">
        <v>161</v>
      </c>
      <c r="E35" s="134">
        <v>1.56</v>
      </c>
      <c r="F35" s="135" t="s">
        <v>275</v>
      </c>
      <c r="G35" s="136">
        <v>0.43</v>
      </c>
      <c r="H35" s="134" t="s">
        <v>279</v>
      </c>
      <c r="I35" s="137">
        <v>0.25</v>
      </c>
      <c r="J35" s="101"/>
      <c r="K35" s="101"/>
      <c r="L35" s="101"/>
      <c r="M35" s="101"/>
      <c r="N35" s="101"/>
    </row>
    <row r="36" spans="1:14" x14ac:dyDescent="0.25">
      <c r="A36" s="132" t="s">
        <v>102</v>
      </c>
      <c r="B36" s="133" t="s">
        <v>101</v>
      </c>
      <c r="C36" s="134">
        <v>0.55000000000000004</v>
      </c>
      <c r="D36" s="134" t="s">
        <v>161</v>
      </c>
      <c r="E36" s="134">
        <v>1.56</v>
      </c>
      <c r="F36" s="135" t="s">
        <v>275</v>
      </c>
      <c r="G36" s="136">
        <v>0.53</v>
      </c>
      <c r="H36" s="134" t="s">
        <v>276</v>
      </c>
      <c r="I36" s="137">
        <v>0.25</v>
      </c>
      <c r="J36" s="101"/>
      <c r="K36" s="101"/>
      <c r="L36" s="101"/>
      <c r="M36" s="101"/>
      <c r="N36" s="101"/>
    </row>
    <row r="37" spans="1:14" x14ac:dyDescent="0.25">
      <c r="A37" s="132" t="s">
        <v>30</v>
      </c>
      <c r="B37" s="133" t="s">
        <v>104</v>
      </c>
      <c r="C37" s="134">
        <v>0.52</v>
      </c>
      <c r="D37" s="134" t="s">
        <v>161</v>
      </c>
      <c r="E37" s="134">
        <v>1.56</v>
      </c>
      <c r="F37" s="135" t="s">
        <v>275</v>
      </c>
      <c r="G37" s="136">
        <v>0.53</v>
      </c>
      <c r="H37" s="134" t="s">
        <v>276</v>
      </c>
      <c r="I37" s="137">
        <v>0.25</v>
      </c>
      <c r="J37" s="101"/>
      <c r="K37" s="101"/>
      <c r="L37" s="101"/>
      <c r="M37" s="101"/>
      <c r="N37" s="101"/>
    </row>
    <row r="38" spans="1:14" x14ac:dyDescent="0.25">
      <c r="A38" s="132" t="s">
        <v>31</v>
      </c>
      <c r="B38" s="133" t="s">
        <v>105</v>
      </c>
      <c r="C38" s="134">
        <v>0.52</v>
      </c>
      <c r="D38" s="134" t="s">
        <v>161</v>
      </c>
      <c r="E38" s="134">
        <v>1.56</v>
      </c>
      <c r="F38" s="135" t="s">
        <v>275</v>
      </c>
      <c r="G38" s="136">
        <v>0.43</v>
      </c>
      <c r="H38" s="134" t="s">
        <v>279</v>
      </c>
      <c r="I38" s="137">
        <v>0.25</v>
      </c>
      <c r="J38" s="101"/>
      <c r="K38" s="101"/>
      <c r="L38" s="101"/>
      <c r="M38" s="101"/>
      <c r="N38" s="101"/>
    </row>
    <row r="39" spans="1:14" x14ac:dyDescent="0.25">
      <c r="A39" s="132" t="s">
        <v>107</v>
      </c>
      <c r="B39" s="133" t="s">
        <v>132</v>
      </c>
      <c r="C39" s="134">
        <v>0.313</v>
      </c>
      <c r="D39" s="134" t="s">
        <v>130</v>
      </c>
      <c r="E39" s="134">
        <v>1.56</v>
      </c>
      <c r="F39" s="135" t="s">
        <v>275</v>
      </c>
      <c r="G39" s="136">
        <v>0.6</v>
      </c>
      <c r="H39" s="134" t="s">
        <v>284</v>
      </c>
      <c r="I39" s="137">
        <v>1.03</v>
      </c>
      <c r="J39" s="101"/>
      <c r="K39" s="101"/>
      <c r="L39" s="101"/>
      <c r="M39" s="101"/>
      <c r="N39" s="101"/>
    </row>
    <row r="40" spans="1:14" x14ac:dyDescent="0.25">
      <c r="A40" s="132" t="s">
        <v>108</v>
      </c>
      <c r="B40" s="133" t="s">
        <v>132</v>
      </c>
      <c r="C40" s="134">
        <v>0.35199999999999998</v>
      </c>
      <c r="D40" s="134" t="s">
        <v>130</v>
      </c>
      <c r="E40" s="134">
        <v>1.56</v>
      </c>
      <c r="F40" s="135" t="s">
        <v>275</v>
      </c>
      <c r="G40" s="136">
        <v>0.6</v>
      </c>
      <c r="H40" s="134" t="s">
        <v>284</v>
      </c>
      <c r="I40" s="137">
        <v>1.03</v>
      </c>
      <c r="J40" s="101"/>
      <c r="K40" s="101"/>
      <c r="L40" s="101"/>
      <c r="M40" s="101"/>
      <c r="N40" s="101"/>
    </row>
    <row r="41" spans="1:14" x14ac:dyDescent="0.25">
      <c r="A41" s="132" t="s">
        <v>121</v>
      </c>
      <c r="B41" s="133" t="s">
        <v>132</v>
      </c>
      <c r="C41" s="134">
        <v>0.32200000000000001</v>
      </c>
      <c r="D41" s="134" t="s">
        <v>130</v>
      </c>
      <c r="E41" s="134">
        <v>1.56</v>
      </c>
      <c r="F41" s="135" t="s">
        <v>275</v>
      </c>
      <c r="G41" s="136">
        <v>0.6</v>
      </c>
      <c r="H41" s="134" t="s">
        <v>284</v>
      </c>
      <c r="I41" s="137">
        <v>1.03</v>
      </c>
      <c r="J41" s="101"/>
      <c r="K41" s="101"/>
      <c r="L41" s="101"/>
      <c r="M41" s="101"/>
      <c r="N41" s="101"/>
    </row>
    <row r="42" spans="1:14" x14ac:dyDescent="0.25">
      <c r="A42" s="132" t="s">
        <v>122</v>
      </c>
      <c r="B42" s="133" t="s">
        <v>132</v>
      </c>
      <c r="C42" s="134">
        <v>0.311</v>
      </c>
      <c r="D42" s="134" t="s">
        <v>130</v>
      </c>
      <c r="E42" s="134">
        <v>1.56</v>
      </c>
      <c r="F42" s="135" t="s">
        <v>275</v>
      </c>
      <c r="G42" s="136">
        <v>0.6</v>
      </c>
      <c r="H42" s="134" t="s">
        <v>284</v>
      </c>
      <c r="I42" s="137">
        <v>1.03</v>
      </c>
      <c r="J42" s="101"/>
      <c r="K42" s="101"/>
      <c r="L42" s="101"/>
      <c r="M42" s="101"/>
      <c r="N42" s="101"/>
    </row>
    <row r="43" spans="1:14" x14ac:dyDescent="0.25">
      <c r="A43" s="132" t="s">
        <v>109</v>
      </c>
      <c r="B43" s="133" t="s">
        <v>132</v>
      </c>
      <c r="C43" s="134">
        <v>0.33900000000000002</v>
      </c>
      <c r="D43" s="134" t="s">
        <v>130</v>
      </c>
      <c r="E43" s="134">
        <v>1.56</v>
      </c>
      <c r="F43" s="135" t="s">
        <v>275</v>
      </c>
      <c r="G43" s="136">
        <v>0.6</v>
      </c>
      <c r="H43" s="134" t="s">
        <v>284</v>
      </c>
      <c r="I43" s="137">
        <v>1.03</v>
      </c>
      <c r="J43" s="101"/>
      <c r="K43" s="101"/>
      <c r="L43" s="101"/>
      <c r="M43" s="101"/>
      <c r="N43" s="101"/>
    </row>
    <row r="44" spans="1:14" x14ac:dyDescent="0.25">
      <c r="A44" s="132" t="s">
        <v>123</v>
      </c>
      <c r="B44" s="133" t="s">
        <v>132</v>
      </c>
      <c r="C44" s="134">
        <v>0.33600000000000002</v>
      </c>
      <c r="D44" s="134" t="s">
        <v>130</v>
      </c>
      <c r="E44" s="134">
        <v>1.56</v>
      </c>
      <c r="F44" s="135" t="s">
        <v>275</v>
      </c>
      <c r="G44" s="136">
        <v>0.6</v>
      </c>
      <c r="H44" s="134" t="s">
        <v>284</v>
      </c>
      <c r="I44" s="137">
        <v>1.03</v>
      </c>
      <c r="J44" s="101"/>
      <c r="K44" s="101"/>
      <c r="L44" s="101"/>
      <c r="M44" s="101"/>
      <c r="N44" s="101"/>
    </row>
    <row r="45" spans="1:14" x14ac:dyDescent="0.25">
      <c r="A45" s="132" t="s">
        <v>110</v>
      </c>
      <c r="B45" s="133" t="s">
        <v>132</v>
      </c>
      <c r="C45" s="134">
        <v>0.32900000000000001</v>
      </c>
      <c r="D45" s="134" t="s">
        <v>130</v>
      </c>
      <c r="E45" s="134">
        <v>1.56</v>
      </c>
      <c r="F45" s="135" t="s">
        <v>275</v>
      </c>
      <c r="G45" s="136">
        <v>0.6</v>
      </c>
      <c r="H45" s="134" t="s">
        <v>284</v>
      </c>
      <c r="I45" s="137">
        <v>1.03</v>
      </c>
      <c r="J45" s="101"/>
      <c r="K45" s="101"/>
      <c r="L45" s="101"/>
      <c r="M45" s="101"/>
      <c r="N45" s="101"/>
    </row>
    <row r="46" spans="1:14" x14ac:dyDescent="0.25">
      <c r="A46" s="132" t="s">
        <v>124</v>
      </c>
      <c r="B46" s="133" t="s">
        <v>132</v>
      </c>
      <c r="C46" s="134">
        <v>0.34300000000000003</v>
      </c>
      <c r="D46" s="134" t="s">
        <v>130</v>
      </c>
      <c r="E46" s="134">
        <v>1.56</v>
      </c>
      <c r="F46" s="135" t="s">
        <v>275</v>
      </c>
      <c r="G46" s="136">
        <v>0.6</v>
      </c>
      <c r="H46" s="134" t="s">
        <v>284</v>
      </c>
      <c r="I46" s="137">
        <v>1.03</v>
      </c>
      <c r="J46" s="101"/>
      <c r="K46" s="101"/>
      <c r="L46" s="101"/>
      <c r="M46" s="101"/>
      <c r="N46" s="101"/>
    </row>
    <row r="47" spans="1:14" x14ac:dyDescent="0.25">
      <c r="A47" s="132" t="s">
        <v>125</v>
      </c>
      <c r="B47" s="133" t="s">
        <v>132</v>
      </c>
      <c r="C47" s="134">
        <v>0.32500000000000001</v>
      </c>
      <c r="D47" s="134" t="s">
        <v>130</v>
      </c>
      <c r="E47" s="134">
        <v>1.56</v>
      </c>
      <c r="F47" s="135" t="s">
        <v>275</v>
      </c>
      <c r="G47" s="136">
        <v>0.6</v>
      </c>
      <c r="H47" s="134" t="s">
        <v>284</v>
      </c>
      <c r="I47" s="137">
        <v>1.03</v>
      </c>
      <c r="J47" s="101"/>
      <c r="K47" s="101"/>
      <c r="L47" s="101"/>
      <c r="M47" s="101"/>
      <c r="N47" s="101"/>
    </row>
    <row r="48" spans="1:14" x14ac:dyDescent="0.25">
      <c r="A48" s="132" t="s">
        <v>126</v>
      </c>
      <c r="B48" s="133" t="s">
        <v>132</v>
      </c>
      <c r="C48" s="134">
        <v>0.32</v>
      </c>
      <c r="D48" s="134" t="s">
        <v>130</v>
      </c>
      <c r="E48" s="134">
        <v>1.56</v>
      </c>
      <c r="F48" s="135" t="s">
        <v>275</v>
      </c>
      <c r="G48" s="136">
        <v>0.6</v>
      </c>
      <c r="H48" s="134" t="s">
        <v>284</v>
      </c>
      <c r="I48" s="137">
        <v>1.03</v>
      </c>
      <c r="J48" s="101"/>
      <c r="K48" s="101"/>
      <c r="L48" s="101"/>
      <c r="M48" s="101"/>
      <c r="N48" s="101"/>
    </row>
    <row r="49" spans="1:14" x14ac:dyDescent="0.25">
      <c r="A49" s="132" t="s">
        <v>111</v>
      </c>
      <c r="B49" s="133" t="s">
        <v>132</v>
      </c>
      <c r="C49" s="134">
        <v>0.28199999999999997</v>
      </c>
      <c r="D49" s="134" t="s">
        <v>130</v>
      </c>
      <c r="E49" s="134">
        <v>1.56</v>
      </c>
      <c r="F49" s="135" t="s">
        <v>275</v>
      </c>
      <c r="G49" s="136">
        <v>0.6</v>
      </c>
      <c r="H49" s="134" t="s">
        <v>284</v>
      </c>
      <c r="I49" s="137">
        <v>1.03</v>
      </c>
      <c r="J49" s="101"/>
      <c r="K49" s="101"/>
      <c r="L49" s="101"/>
      <c r="M49" s="101"/>
      <c r="N49" s="101"/>
    </row>
    <row r="50" spans="1:14" x14ac:dyDescent="0.25">
      <c r="A50" s="132" t="s">
        <v>127</v>
      </c>
      <c r="B50" s="133" t="s">
        <v>132</v>
      </c>
      <c r="C50" s="134">
        <v>0.32800000000000001</v>
      </c>
      <c r="D50" s="134" t="s">
        <v>130</v>
      </c>
      <c r="E50" s="134">
        <v>1.56</v>
      </c>
      <c r="F50" s="135" t="s">
        <v>275</v>
      </c>
      <c r="G50" s="136">
        <v>0.6</v>
      </c>
      <c r="H50" s="134" t="s">
        <v>284</v>
      </c>
      <c r="I50" s="137">
        <v>1.03</v>
      </c>
      <c r="J50" s="101"/>
      <c r="K50" s="101"/>
      <c r="L50" s="101"/>
      <c r="M50" s="101"/>
      <c r="N50" s="101"/>
    </row>
    <row r="51" spans="1:14" x14ac:dyDescent="0.25">
      <c r="A51" s="132" t="s">
        <v>112</v>
      </c>
      <c r="B51" s="133" t="s">
        <v>132</v>
      </c>
      <c r="C51" s="134">
        <v>0.32600000000000001</v>
      </c>
      <c r="D51" s="134" t="s">
        <v>130</v>
      </c>
      <c r="E51" s="134">
        <v>1.56</v>
      </c>
      <c r="F51" s="135" t="s">
        <v>275</v>
      </c>
      <c r="G51" s="136">
        <v>0.6</v>
      </c>
      <c r="H51" s="134" t="s">
        <v>284</v>
      </c>
      <c r="I51" s="137">
        <v>1.03</v>
      </c>
      <c r="J51" s="101"/>
      <c r="K51" s="101"/>
      <c r="L51" s="101"/>
      <c r="M51" s="101"/>
      <c r="N51" s="101"/>
    </row>
    <row r="52" spans="1:14" x14ac:dyDescent="0.25">
      <c r="A52" s="132" t="s">
        <v>113</v>
      </c>
      <c r="B52" s="133" t="s">
        <v>132</v>
      </c>
      <c r="C52" s="134">
        <v>0.35899999999999999</v>
      </c>
      <c r="D52" s="134" t="s">
        <v>130</v>
      </c>
      <c r="E52" s="134">
        <v>1.56</v>
      </c>
      <c r="F52" s="135" t="s">
        <v>275</v>
      </c>
      <c r="G52" s="136">
        <v>0.6</v>
      </c>
      <c r="H52" s="134" t="s">
        <v>284</v>
      </c>
      <c r="I52" s="137">
        <v>1.03</v>
      </c>
      <c r="J52" s="101"/>
      <c r="K52" s="101"/>
      <c r="L52" s="101"/>
      <c r="M52" s="101"/>
      <c r="N52" s="101"/>
    </row>
    <row r="53" spans="1:14" x14ac:dyDescent="0.25">
      <c r="A53" s="132" t="s">
        <v>114</v>
      </c>
      <c r="B53" s="133" t="s">
        <v>132</v>
      </c>
      <c r="C53" s="134">
        <v>0.34599999999999997</v>
      </c>
      <c r="D53" s="134" t="s">
        <v>130</v>
      </c>
      <c r="E53" s="134">
        <v>1.56</v>
      </c>
      <c r="F53" s="135" t="s">
        <v>275</v>
      </c>
      <c r="G53" s="136">
        <v>0.6</v>
      </c>
      <c r="H53" s="134" t="s">
        <v>284</v>
      </c>
      <c r="I53" s="137">
        <v>1.03</v>
      </c>
      <c r="J53" s="101"/>
      <c r="K53" s="101"/>
      <c r="L53" s="101"/>
      <c r="M53" s="101"/>
      <c r="N53" s="101"/>
    </row>
    <row r="54" spans="1:14" x14ac:dyDescent="0.25">
      <c r="A54" s="132" t="s">
        <v>115</v>
      </c>
      <c r="B54" s="133" t="s">
        <v>132</v>
      </c>
      <c r="C54" s="134">
        <v>0.32600000000000001</v>
      </c>
      <c r="D54" s="134" t="s">
        <v>130</v>
      </c>
      <c r="E54" s="134">
        <v>1.56</v>
      </c>
      <c r="F54" s="135" t="s">
        <v>275</v>
      </c>
      <c r="G54" s="136">
        <v>0.6</v>
      </c>
      <c r="H54" s="134" t="s">
        <v>284</v>
      </c>
      <c r="I54" s="137">
        <v>1.03</v>
      </c>
      <c r="J54" s="101"/>
      <c r="K54" s="101"/>
      <c r="L54" s="101"/>
      <c r="M54" s="101"/>
      <c r="N54" s="101"/>
    </row>
    <row r="55" spans="1:14" x14ac:dyDescent="0.25">
      <c r="A55" s="132" t="s">
        <v>116</v>
      </c>
      <c r="B55" s="133" t="s">
        <v>132</v>
      </c>
      <c r="C55" s="134">
        <v>0.30499999999999999</v>
      </c>
      <c r="D55" s="134" t="s">
        <v>130</v>
      </c>
      <c r="E55" s="134">
        <v>1.56</v>
      </c>
      <c r="F55" s="135" t="s">
        <v>275</v>
      </c>
      <c r="G55" s="136">
        <v>0.6</v>
      </c>
      <c r="H55" s="134" t="s">
        <v>284</v>
      </c>
      <c r="I55" s="137">
        <v>1.03</v>
      </c>
      <c r="J55" s="101"/>
      <c r="K55" s="101"/>
      <c r="L55" s="101"/>
      <c r="M55" s="101"/>
      <c r="N55" s="101"/>
    </row>
    <row r="56" spans="1:14" x14ac:dyDescent="0.25">
      <c r="A56" s="132" t="s">
        <v>128</v>
      </c>
      <c r="B56" s="133" t="s">
        <v>132</v>
      </c>
      <c r="C56" s="134">
        <v>0.32300000000000001</v>
      </c>
      <c r="D56" s="134" t="s">
        <v>130</v>
      </c>
      <c r="E56" s="134">
        <v>1.56</v>
      </c>
      <c r="F56" s="135" t="s">
        <v>275</v>
      </c>
      <c r="G56" s="136">
        <v>0.6</v>
      </c>
      <c r="H56" s="134" t="s">
        <v>284</v>
      </c>
      <c r="I56" s="137">
        <v>1.03</v>
      </c>
      <c r="J56" s="101"/>
      <c r="K56" s="101"/>
      <c r="L56" s="101"/>
      <c r="M56" s="101"/>
      <c r="N56" s="101"/>
    </row>
    <row r="57" spans="1:14" x14ac:dyDescent="0.25">
      <c r="A57" s="132" t="s">
        <v>129</v>
      </c>
      <c r="B57" s="133" t="s">
        <v>132</v>
      </c>
      <c r="C57" s="134">
        <v>0.36699999999999999</v>
      </c>
      <c r="D57" s="134" t="s">
        <v>130</v>
      </c>
      <c r="E57" s="134">
        <v>1.56</v>
      </c>
      <c r="F57" s="135" t="s">
        <v>275</v>
      </c>
      <c r="G57" s="136">
        <v>0.6</v>
      </c>
      <c r="H57" s="134" t="s">
        <v>284</v>
      </c>
      <c r="I57" s="137">
        <v>1.03</v>
      </c>
      <c r="J57" s="101"/>
      <c r="K57" s="101"/>
      <c r="L57" s="101"/>
      <c r="M57" s="101"/>
      <c r="N57" s="101"/>
    </row>
    <row r="58" spans="1:14" x14ac:dyDescent="0.25">
      <c r="A58" s="132" t="s">
        <v>117</v>
      </c>
      <c r="B58" s="133" t="s">
        <v>132</v>
      </c>
      <c r="C58" s="134">
        <v>0.36</v>
      </c>
      <c r="D58" s="134" t="s">
        <v>130</v>
      </c>
      <c r="E58" s="134">
        <v>1.56</v>
      </c>
      <c r="F58" s="135" t="s">
        <v>275</v>
      </c>
      <c r="G58" s="136">
        <v>0.6</v>
      </c>
      <c r="H58" s="134" t="s">
        <v>284</v>
      </c>
      <c r="I58" s="137">
        <v>1.03</v>
      </c>
      <c r="J58" s="101"/>
      <c r="K58" s="101"/>
      <c r="L58" s="101"/>
      <c r="M58" s="101"/>
      <c r="N58" s="101"/>
    </row>
    <row r="59" spans="1:14" x14ac:dyDescent="0.25">
      <c r="A59" s="132" t="s">
        <v>118</v>
      </c>
      <c r="B59" s="133" t="s">
        <v>132</v>
      </c>
      <c r="C59" s="134">
        <v>0.36799999999999999</v>
      </c>
      <c r="D59" s="134" t="s">
        <v>130</v>
      </c>
      <c r="E59" s="134">
        <v>1.56</v>
      </c>
      <c r="F59" s="135" t="s">
        <v>275</v>
      </c>
      <c r="G59" s="136">
        <v>0.6</v>
      </c>
      <c r="H59" s="134" t="s">
        <v>284</v>
      </c>
      <c r="I59" s="137">
        <v>1.03</v>
      </c>
      <c r="J59" s="101"/>
      <c r="K59" s="101"/>
      <c r="L59" s="101"/>
      <c r="M59" s="101"/>
      <c r="N59" s="101"/>
    </row>
    <row r="60" spans="1:14" x14ac:dyDescent="0.25">
      <c r="A60" s="132" t="s">
        <v>119</v>
      </c>
      <c r="B60" s="133" t="s">
        <v>132</v>
      </c>
      <c r="C60" s="134">
        <v>0.30599999999999999</v>
      </c>
      <c r="D60" s="134" t="s">
        <v>130</v>
      </c>
      <c r="E60" s="134">
        <v>1.56</v>
      </c>
      <c r="F60" s="135" t="s">
        <v>275</v>
      </c>
      <c r="G60" s="136">
        <v>0.6</v>
      </c>
      <c r="H60" s="134" t="s">
        <v>284</v>
      </c>
      <c r="I60" s="137">
        <v>1.03</v>
      </c>
      <c r="J60" s="101"/>
      <c r="K60" s="101"/>
      <c r="L60" s="101"/>
      <c r="M60" s="101"/>
      <c r="N60" s="101"/>
    </row>
    <row r="61" spans="1:14" x14ac:dyDescent="0.25">
      <c r="A61" s="132" t="s">
        <v>120</v>
      </c>
      <c r="B61" s="133" t="s">
        <v>132</v>
      </c>
      <c r="C61" s="134">
        <v>0.313</v>
      </c>
      <c r="D61" s="134" t="s">
        <v>130</v>
      </c>
      <c r="E61" s="134">
        <v>1.56</v>
      </c>
      <c r="F61" s="135" t="s">
        <v>275</v>
      </c>
      <c r="G61" s="136">
        <v>0.6</v>
      </c>
      <c r="H61" s="134" t="s">
        <v>284</v>
      </c>
      <c r="I61" s="137">
        <v>1.03</v>
      </c>
      <c r="J61" s="101"/>
      <c r="K61" s="101"/>
      <c r="L61" s="101"/>
      <c r="M61" s="101"/>
      <c r="N61" s="101"/>
    </row>
    <row r="62" spans="1:14" x14ac:dyDescent="0.25">
      <c r="A62" s="132" t="s">
        <v>32</v>
      </c>
      <c r="B62" s="133" t="s">
        <v>133</v>
      </c>
      <c r="C62" s="134">
        <v>0.37</v>
      </c>
      <c r="D62" s="134" t="s">
        <v>161</v>
      </c>
      <c r="E62" s="134">
        <v>1.56</v>
      </c>
      <c r="F62" s="135" t="s">
        <v>275</v>
      </c>
      <c r="G62" s="136">
        <v>0.6</v>
      </c>
      <c r="H62" s="134" t="s">
        <v>284</v>
      </c>
      <c r="I62" s="137">
        <v>1.03</v>
      </c>
      <c r="J62" s="101"/>
      <c r="K62" s="101"/>
      <c r="L62" s="101"/>
      <c r="M62" s="101"/>
      <c r="N62" s="101"/>
    </row>
    <row r="63" spans="1:14" x14ac:dyDescent="0.25">
      <c r="A63" s="132" t="s">
        <v>90</v>
      </c>
      <c r="B63" s="133" t="s">
        <v>83</v>
      </c>
      <c r="C63" s="134">
        <v>0.45</v>
      </c>
      <c r="D63" s="134" t="s">
        <v>161</v>
      </c>
      <c r="E63" s="134">
        <v>1.3</v>
      </c>
      <c r="F63" s="135" t="s">
        <v>275</v>
      </c>
      <c r="G63" s="136">
        <v>0.45</v>
      </c>
      <c r="H63" s="134" t="s">
        <v>277</v>
      </c>
      <c r="I63" s="137">
        <v>0.43</v>
      </c>
      <c r="J63" s="101"/>
      <c r="K63" s="101"/>
      <c r="L63" s="101"/>
      <c r="M63" s="101"/>
      <c r="N63" s="101"/>
    </row>
    <row r="64" spans="1:14" x14ac:dyDescent="0.25">
      <c r="A64" s="132" t="s">
        <v>33</v>
      </c>
      <c r="B64" s="133" t="s">
        <v>134</v>
      </c>
      <c r="C64" s="134">
        <v>0.39</v>
      </c>
      <c r="D64" s="134" t="s">
        <v>161</v>
      </c>
      <c r="E64" s="134">
        <v>1.3</v>
      </c>
      <c r="F64" s="135" t="s">
        <v>275</v>
      </c>
      <c r="G64" s="136">
        <v>0.45</v>
      </c>
      <c r="H64" s="134" t="s">
        <v>277</v>
      </c>
      <c r="I64" s="137">
        <v>0.43</v>
      </c>
      <c r="J64" s="101"/>
      <c r="K64" s="101"/>
      <c r="L64" s="101"/>
      <c r="M64" s="101"/>
      <c r="N64" s="101"/>
    </row>
    <row r="65" spans="1:14" x14ac:dyDescent="0.25">
      <c r="A65" s="132" t="s">
        <v>34</v>
      </c>
      <c r="B65" s="133" t="s">
        <v>135</v>
      </c>
      <c r="C65" s="134">
        <v>0.44</v>
      </c>
      <c r="D65" s="134" t="s">
        <v>161</v>
      </c>
      <c r="E65" s="134">
        <v>1.3</v>
      </c>
      <c r="F65" s="135" t="s">
        <v>275</v>
      </c>
      <c r="G65" s="136">
        <v>0.45</v>
      </c>
      <c r="H65" s="134" t="s">
        <v>277</v>
      </c>
      <c r="I65" s="137">
        <v>0.43</v>
      </c>
      <c r="J65" s="101"/>
      <c r="K65" s="101"/>
      <c r="L65" s="101"/>
      <c r="M65" s="101"/>
      <c r="N65" s="101"/>
    </row>
    <row r="66" spans="1:14" x14ac:dyDescent="0.25">
      <c r="A66" s="132" t="s">
        <v>35</v>
      </c>
      <c r="B66" s="133" t="s">
        <v>84</v>
      </c>
      <c r="C66" s="134">
        <v>0.46</v>
      </c>
      <c r="D66" s="134" t="s">
        <v>161</v>
      </c>
      <c r="E66" s="134">
        <v>1.3</v>
      </c>
      <c r="F66" s="135" t="s">
        <v>275</v>
      </c>
      <c r="G66" s="136">
        <v>0.45</v>
      </c>
      <c r="H66" s="134" t="s">
        <v>277</v>
      </c>
      <c r="I66" s="137">
        <v>0.43</v>
      </c>
      <c r="J66" s="101"/>
      <c r="K66" s="101"/>
      <c r="L66" s="101"/>
      <c r="M66" s="101"/>
      <c r="N66" s="101"/>
    </row>
    <row r="67" spans="1:14" x14ac:dyDescent="0.25">
      <c r="A67" s="132" t="s">
        <v>36</v>
      </c>
      <c r="B67" s="133" t="s">
        <v>85</v>
      </c>
      <c r="C67" s="134">
        <v>0.46</v>
      </c>
      <c r="D67" s="134" t="s">
        <v>161</v>
      </c>
      <c r="E67" s="134">
        <v>1.3</v>
      </c>
      <c r="F67" s="135" t="s">
        <v>275</v>
      </c>
      <c r="G67" s="136">
        <v>0.45</v>
      </c>
      <c r="H67" s="134" t="s">
        <v>152</v>
      </c>
      <c r="I67" s="137">
        <v>0.59</v>
      </c>
      <c r="J67" s="101"/>
      <c r="K67" s="101"/>
      <c r="L67" s="101"/>
      <c r="M67" s="101"/>
      <c r="N67" s="101"/>
    </row>
    <row r="68" spans="1:14" x14ac:dyDescent="0.25">
      <c r="A68" s="132" t="s">
        <v>37</v>
      </c>
      <c r="B68" s="133" t="s">
        <v>136</v>
      </c>
      <c r="C68" s="134">
        <v>0.44</v>
      </c>
      <c r="D68" s="134" t="s">
        <v>161</v>
      </c>
      <c r="E68" s="134">
        <v>1.3</v>
      </c>
      <c r="F68" s="135" t="s">
        <v>275</v>
      </c>
      <c r="G68" s="136">
        <v>0.45</v>
      </c>
      <c r="H68" s="134" t="s">
        <v>277</v>
      </c>
      <c r="I68" s="137">
        <v>0.43</v>
      </c>
      <c r="J68" s="101"/>
      <c r="K68" s="101"/>
      <c r="L68" s="101"/>
      <c r="M68" s="101"/>
      <c r="N68" s="101"/>
    </row>
    <row r="69" spans="1:14" x14ac:dyDescent="0.25">
      <c r="A69" s="132" t="s">
        <v>38</v>
      </c>
      <c r="B69" s="133" t="s">
        <v>86</v>
      </c>
      <c r="C69" s="134">
        <v>0.46</v>
      </c>
      <c r="D69" s="134" t="s">
        <v>161</v>
      </c>
      <c r="E69" s="134">
        <v>1.3</v>
      </c>
      <c r="F69" s="135" t="s">
        <v>275</v>
      </c>
      <c r="G69" s="136">
        <v>0.45</v>
      </c>
      <c r="H69" s="134" t="s">
        <v>277</v>
      </c>
      <c r="I69" s="137">
        <v>0.43</v>
      </c>
      <c r="J69" s="101"/>
      <c r="K69" s="101"/>
      <c r="L69" s="101"/>
      <c r="M69" s="101"/>
      <c r="N69" s="101"/>
    </row>
    <row r="70" spans="1:14" x14ac:dyDescent="0.25">
      <c r="A70" s="132" t="s">
        <v>39</v>
      </c>
      <c r="B70" s="133" t="s">
        <v>137</v>
      </c>
      <c r="C70" s="134">
        <v>0.48</v>
      </c>
      <c r="D70" s="134" t="s">
        <v>161</v>
      </c>
      <c r="E70" s="134">
        <v>2.4</v>
      </c>
      <c r="F70" s="134" t="s">
        <v>285</v>
      </c>
      <c r="G70" s="136">
        <v>0.45</v>
      </c>
      <c r="H70" s="134" t="s">
        <v>277</v>
      </c>
      <c r="I70" s="137">
        <v>0.43</v>
      </c>
      <c r="J70" s="101"/>
      <c r="K70" s="101"/>
      <c r="L70" s="101"/>
      <c r="M70" s="101"/>
      <c r="N70" s="101"/>
    </row>
    <row r="71" spans="1:14" x14ac:dyDescent="0.25">
      <c r="A71" s="132" t="s">
        <v>40</v>
      </c>
      <c r="B71" s="133" t="s">
        <v>87</v>
      </c>
      <c r="C71" s="134">
        <v>0.46</v>
      </c>
      <c r="D71" s="134" t="s">
        <v>150</v>
      </c>
      <c r="E71" s="134">
        <v>1.3</v>
      </c>
      <c r="F71" s="135" t="s">
        <v>275</v>
      </c>
      <c r="G71" s="136">
        <v>0.45</v>
      </c>
      <c r="H71" s="134" t="s">
        <v>277</v>
      </c>
      <c r="I71" s="137">
        <v>0.43</v>
      </c>
      <c r="J71" s="101"/>
      <c r="K71" s="101"/>
      <c r="L71" s="101"/>
      <c r="M71" s="101"/>
      <c r="N71" s="101"/>
    </row>
    <row r="72" spans="1:14" x14ac:dyDescent="0.25">
      <c r="A72" s="132" t="s">
        <v>41</v>
      </c>
      <c r="B72" s="133" t="s">
        <v>88</v>
      </c>
      <c r="C72" s="134">
        <v>0.44</v>
      </c>
      <c r="D72" s="134" t="s">
        <v>161</v>
      </c>
      <c r="E72" s="134">
        <v>1.3</v>
      </c>
      <c r="F72" s="135" t="s">
        <v>275</v>
      </c>
      <c r="G72" s="136">
        <v>0.45</v>
      </c>
      <c r="H72" s="134" t="s">
        <v>277</v>
      </c>
      <c r="I72" s="137">
        <v>0.43</v>
      </c>
      <c r="J72" s="101"/>
      <c r="K72" s="101"/>
      <c r="L72" s="101"/>
      <c r="M72" s="101"/>
      <c r="N72" s="101"/>
    </row>
    <row r="73" spans="1:14" x14ac:dyDescent="0.25">
      <c r="A73" s="132" t="s">
        <v>138</v>
      </c>
      <c r="B73" s="133" t="s">
        <v>140</v>
      </c>
      <c r="C73" s="134">
        <v>0.46</v>
      </c>
      <c r="D73" s="134" t="s">
        <v>151</v>
      </c>
      <c r="E73" s="134">
        <v>1.3</v>
      </c>
      <c r="F73" s="135" t="s">
        <v>275</v>
      </c>
      <c r="G73" s="136">
        <v>0.45</v>
      </c>
      <c r="H73" s="134" t="s">
        <v>277</v>
      </c>
      <c r="I73" s="137">
        <v>0.43</v>
      </c>
      <c r="J73" s="101"/>
      <c r="K73" s="101"/>
      <c r="L73" s="101"/>
      <c r="M73" s="101"/>
      <c r="N73" s="101"/>
    </row>
    <row r="74" spans="1:14" x14ac:dyDescent="0.25">
      <c r="A74" s="132" t="s">
        <v>42</v>
      </c>
      <c r="B74" s="133" t="s">
        <v>139</v>
      </c>
      <c r="C74" s="134">
        <v>0.34</v>
      </c>
      <c r="D74" s="134" t="s">
        <v>161</v>
      </c>
      <c r="E74" s="134">
        <v>1.3</v>
      </c>
      <c r="F74" s="135" t="s">
        <v>275</v>
      </c>
      <c r="G74" s="136">
        <v>0.45</v>
      </c>
      <c r="H74" s="134" t="s">
        <v>277</v>
      </c>
      <c r="I74" s="137">
        <v>0.43</v>
      </c>
      <c r="J74" s="101"/>
      <c r="K74" s="101"/>
      <c r="L74" s="101"/>
      <c r="M74" s="101"/>
      <c r="N74" s="101"/>
    </row>
    <row r="75" spans="1:14" x14ac:dyDescent="0.25">
      <c r="A75" s="132" t="s">
        <v>43</v>
      </c>
      <c r="B75" s="133" t="s">
        <v>162</v>
      </c>
      <c r="C75" s="134">
        <v>0.5</v>
      </c>
      <c r="D75" s="134" t="s">
        <v>161</v>
      </c>
      <c r="E75" s="134">
        <v>1.56</v>
      </c>
      <c r="F75" s="135" t="s">
        <v>275</v>
      </c>
      <c r="G75" s="136">
        <v>0.53</v>
      </c>
      <c r="H75" s="134" t="s">
        <v>276</v>
      </c>
      <c r="I75" s="137">
        <v>0.25</v>
      </c>
      <c r="J75" s="101"/>
      <c r="K75" s="101"/>
      <c r="L75" s="101"/>
      <c r="M75" s="101"/>
      <c r="N75" s="101"/>
    </row>
    <row r="76" spans="1:14" x14ac:dyDescent="0.25">
      <c r="A76" s="132" t="s">
        <v>44</v>
      </c>
      <c r="B76" s="133" t="s">
        <v>89</v>
      </c>
      <c r="C76" s="134">
        <v>0.57999999999999996</v>
      </c>
      <c r="D76" s="134" t="s">
        <v>161</v>
      </c>
      <c r="E76" s="134">
        <v>1.56</v>
      </c>
      <c r="F76" s="135" t="s">
        <v>275</v>
      </c>
      <c r="G76" s="136">
        <v>0.3</v>
      </c>
      <c r="H76" s="134" t="s">
        <v>278</v>
      </c>
      <c r="I76" s="137">
        <v>0.25</v>
      </c>
      <c r="J76" s="101"/>
      <c r="K76" s="101"/>
      <c r="L76" s="101"/>
      <c r="M76" s="101"/>
      <c r="N76" s="101"/>
    </row>
    <row r="77" spans="1:14" x14ac:dyDescent="0.25">
      <c r="A77" s="132" t="s">
        <v>47</v>
      </c>
      <c r="B77" s="133" t="s">
        <v>141</v>
      </c>
      <c r="C77" s="134">
        <v>0.37</v>
      </c>
      <c r="D77" s="134" t="s">
        <v>161</v>
      </c>
      <c r="E77" s="134">
        <v>1.3</v>
      </c>
      <c r="F77" s="135" t="s">
        <v>275</v>
      </c>
      <c r="G77" s="136">
        <v>0.55000000000000004</v>
      </c>
      <c r="H77" s="134" t="s">
        <v>152</v>
      </c>
      <c r="I77" s="137">
        <v>0.43</v>
      </c>
      <c r="J77" s="101"/>
      <c r="K77" s="101"/>
      <c r="L77" s="101"/>
      <c r="M77" s="101"/>
      <c r="N77" s="101"/>
    </row>
    <row r="78" spans="1:14" x14ac:dyDescent="0.25">
      <c r="A78" s="132" t="s">
        <v>45</v>
      </c>
      <c r="B78" s="133" t="s">
        <v>96</v>
      </c>
      <c r="C78" s="134">
        <v>0.37</v>
      </c>
      <c r="D78" s="134" t="s">
        <v>161</v>
      </c>
      <c r="E78" s="134">
        <v>1.3</v>
      </c>
      <c r="F78" s="135" t="s">
        <v>275</v>
      </c>
      <c r="G78" s="136">
        <v>0.55000000000000004</v>
      </c>
      <c r="H78" s="134" t="s">
        <v>152</v>
      </c>
      <c r="I78" s="137">
        <v>0.43</v>
      </c>
      <c r="J78" s="101"/>
      <c r="K78" s="101"/>
      <c r="L78" s="101"/>
      <c r="M78" s="101"/>
      <c r="N78" s="101"/>
    </row>
    <row r="79" spans="1:14" x14ac:dyDescent="0.25">
      <c r="A79" s="132" t="s">
        <v>46</v>
      </c>
      <c r="B79" s="133" t="s">
        <v>95</v>
      </c>
      <c r="C79" s="134">
        <v>0.38</v>
      </c>
      <c r="D79" s="134" t="s">
        <v>161</v>
      </c>
      <c r="E79" s="134">
        <v>1.3</v>
      </c>
      <c r="F79" s="135" t="s">
        <v>275</v>
      </c>
      <c r="G79" s="136">
        <v>0.55000000000000004</v>
      </c>
      <c r="H79" s="134" t="s">
        <v>153</v>
      </c>
      <c r="I79" s="137">
        <v>0.43</v>
      </c>
      <c r="J79" s="101"/>
      <c r="K79" s="101"/>
      <c r="L79" s="101"/>
      <c r="M79" s="101"/>
      <c r="N79" s="101"/>
    </row>
    <row r="80" spans="1:14" x14ac:dyDescent="0.25">
      <c r="A80" s="132" t="s">
        <v>48</v>
      </c>
      <c r="B80" s="133" t="s">
        <v>94</v>
      </c>
      <c r="C80" s="134">
        <v>0.36</v>
      </c>
      <c r="D80" s="134" t="s">
        <v>161</v>
      </c>
      <c r="E80" s="134">
        <v>1.3</v>
      </c>
      <c r="F80" s="135" t="s">
        <v>275</v>
      </c>
      <c r="G80" s="136">
        <v>0.55000000000000004</v>
      </c>
      <c r="H80" s="134" t="s">
        <v>153</v>
      </c>
      <c r="I80" s="137">
        <v>0.43</v>
      </c>
      <c r="J80" s="101"/>
      <c r="K80" s="101"/>
      <c r="L80" s="101"/>
      <c r="M80" s="101"/>
      <c r="N80" s="101"/>
    </row>
    <row r="81" spans="1:14" x14ac:dyDescent="0.25">
      <c r="A81" s="132" t="s">
        <v>49</v>
      </c>
      <c r="B81" s="133" t="s">
        <v>142</v>
      </c>
      <c r="C81" s="134">
        <v>0.37</v>
      </c>
      <c r="D81" s="134" t="s">
        <v>161</v>
      </c>
      <c r="E81" s="134">
        <v>1.56</v>
      </c>
      <c r="F81" s="135" t="s">
        <v>275</v>
      </c>
      <c r="G81" s="136">
        <v>0.43</v>
      </c>
      <c r="H81" s="134" t="s">
        <v>279</v>
      </c>
      <c r="I81" s="137">
        <v>0.25</v>
      </c>
      <c r="J81" s="101"/>
      <c r="K81" s="101"/>
      <c r="L81" s="101"/>
      <c r="M81" s="101"/>
      <c r="N81" s="101"/>
    </row>
    <row r="82" spans="1:14" x14ac:dyDescent="0.25">
      <c r="A82" s="132" t="s">
        <v>158</v>
      </c>
      <c r="B82" s="133" t="s">
        <v>159</v>
      </c>
      <c r="C82" s="134">
        <v>0.35</v>
      </c>
      <c r="D82" s="134" t="s">
        <v>160</v>
      </c>
      <c r="E82" s="134">
        <v>1.3</v>
      </c>
      <c r="F82" s="135" t="s">
        <v>275</v>
      </c>
      <c r="G82" s="136">
        <v>0.55000000000000004</v>
      </c>
      <c r="H82" s="134" t="s">
        <v>153</v>
      </c>
      <c r="I82" s="137">
        <v>0.43</v>
      </c>
      <c r="J82" s="101"/>
      <c r="K82" s="101"/>
      <c r="L82" s="101"/>
      <c r="M82" s="101"/>
      <c r="N82" s="101"/>
    </row>
    <row r="83" spans="1:14" x14ac:dyDescent="0.25">
      <c r="A83" s="132" t="s">
        <v>156</v>
      </c>
      <c r="B83" s="133" t="s">
        <v>157</v>
      </c>
      <c r="C83" s="134">
        <v>0.34</v>
      </c>
      <c r="D83" s="134" t="s">
        <v>161</v>
      </c>
      <c r="E83" s="134">
        <v>1.3</v>
      </c>
      <c r="F83" s="135" t="s">
        <v>275</v>
      </c>
      <c r="G83" s="136">
        <v>0.55000000000000004</v>
      </c>
      <c r="H83" s="134" t="s">
        <v>153</v>
      </c>
      <c r="I83" s="137">
        <v>0.43</v>
      </c>
      <c r="J83" s="101"/>
      <c r="K83" s="101"/>
      <c r="L83" s="101"/>
      <c r="M83" s="101"/>
      <c r="N83" s="101"/>
    </row>
    <row r="84" spans="1:14" x14ac:dyDescent="0.25">
      <c r="A84" s="132" t="s">
        <v>92</v>
      </c>
      <c r="B84" s="133" t="s">
        <v>93</v>
      </c>
      <c r="C84" s="134">
        <v>0.31</v>
      </c>
      <c r="D84" s="134" t="s">
        <v>161</v>
      </c>
      <c r="E84" s="134">
        <v>1.3</v>
      </c>
      <c r="F84" s="135" t="s">
        <v>275</v>
      </c>
      <c r="G84" s="136">
        <v>0.55000000000000004</v>
      </c>
      <c r="H84" s="134" t="s">
        <v>153</v>
      </c>
      <c r="I84" s="137">
        <v>0.43</v>
      </c>
      <c r="J84" s="101"/>
      <c r="K84" s="101"/>
      <c r="L84" s="101"/>
      <c r="M84" s="101"/>
      <c r="N84" s="101"/>
    </row>
    <row r="85" spans="1:14" x14ac:dyDescent="0.25">
      <c r="A85" s="132" t="s">
        <v>50</v>
      </c>
      <c r="B85" s="133" t="s">
        <v>143</v>
      </c>
      <c r="C85" s="134">
        <v>0.43</v>
      </c>
      <c r="D85" s="134" t="s">
        <v>161</v>
      </c>
      <c r="E85" s="134">
        <v>1.56</v>
      </c>
      <c r="F85" s="135" t="s">
        <v>275</v>
      </c>
      <c r="G85" s="136">
        <v>0.53</v>
      </c>
      <c r="H85" s="134" t="s">
        <v>276</v>
      </c>
      <c r="I85" s="137">
        <v>0.25</v>
      </c>
      <c r="J85" s="101"/>
      <c r="K85" s="101"/>
      <c r="L85" s="101"/>
      <c r="M85" s="101"/>
      <c r="N85" s="101"/>
    </row>
    <row r="86" spans="1:14" x14ac:dyDescent="0.25">
      <c r="A86" s="132" t="s">
        <v>51</v>
      </c>
      <c r="B86" s="133" t="s">
        <v>91</v>
      </c>
      <c r="C86" s="134">
        <v>0.38</v>
      </c>
      <c r="D86" s="134" t="s">
        <v>161</v>
      </c>
      <c r="E86" s="134">
        <v>1.56</v>
      </c>
      <c r="F86" s="135" t="s">
        <v>275</v>
      </c>
      <c r="G86" s="136">
        <v>0.6</v>
      </c>
      <c r="H86" s="134" t="s">
        <v>280</v>
      </c>
      <c r="I86" s="137">
        <v>0.25</v>
      </c>
      <c r="J86" s="101"/>
      <c r="K86" s="101"/>
      <c r="L86" s="101"/>
      <c r="M86" s="101"/>
      <c r="N86" s="101"/>
    </row>
    <row r="87" spans="1:14" x14ac:dyDescent="0.25">
      <c r="A87" s="132" t="s">
        <v>148</v>
      </c>
      <c r="B87" s="140"/>
      <c r="C87" s="134">
        <v>0.42</v>
      </c>
      <c r="D87" s="134" t="s">
        <v>161</v>
      </c>
      <c r="E87" s="134">
        <v>1.3</v>
      </c>
      <c r="F87" s="135" t="s">
        <v>275</v>
      </c>
      <c r="G87" s="141"/>
      <c r="H87" s="140"/>
      <c r="I87" s="142"/>
    </row>
    <row r="88" spans="1:14" ht="15.75" thickBot="1" x14ac:dyDescent="0.3">
      <c r="A88" s="143" t="s">
        <v>149</v>
      </c>
      <c r="B88" s="144"/>
      <c r="C88" s="145">
        <v>0.56999999999999995</v>
      </c>
      <c r="D88" s="146" t="s">
        <v>161</v>
      </c>
      <c r="E88" s="145">
        <v>1.56</v>
      </c>
      <c r="F88" s="145" t="s">
        <v>275</v>
      </c>
      <c r="G88" s="144"/>
      <c r="H88" s="144"/>
      <c r="I88" s="147"/>
    </row>
    <row r="92" spans="1:14" x14ac:dyDescent="0.25">
      <c r="A92" s="132" t="s">
        <v>208</v>
      </c>
    </row>
    <row r="93" spans="1:14" x14ac:dyDescent="0.25">
      <c r="A93" s="132" t="s">
        <v>209</v>
      </c>
    </row>
    <row r="94" spans="1:14" x14ac:dyDescent="0.25">
      <c r="A94" s="132" t="s">
        <v>210</v>
      </c>
    </row>
  </sheetData>
  <sheetProtection algorithmName="SHA-512" hashValue="SU8v9sh0HK2j7Ogy/cb6KacbfRqtnO7n52wtgLVAit1FvWCcc+9YsrQFKwVx34OtTH0HMtzU1UNx2LBAmhOgWA==" saltValue="Ik5XPr131wfHnZW4R2rluw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workbookViewId="0">
      <selection activeCell="N24" sqref="N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287" t="s">
        <v>272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44"/>
      <c r="J3" s="244"/>
      <c r="K3" s="244"/>
      <c r="L3" s="244"/>
      <c r="M3" s="244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44"/>
      <c r="J4" s="244"/>
      <c r="K4" s="244"/>
      <c r="L4" s="244"/>
      <c r="M4" s="244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8" t="s">
        <v>207</v>
      </c>
      <c r="B5" s="149" t="s">
        <v>250</v>
      </c>
      <c r="C5" s="150" t="str">
        <f>Calculateur!S2</f>
        <v>Stock moyen de long terme (tCO₂/ha)</v>
      </c>
      <c r="D5" s="150" t="str">
        <f>Calculateur!T2</f>
        <v>Δstock CO₂ 30 ans (tCO₂/ha)</v>
      </c>
      <c r="E5" s="150" t="s">
        <v>228</v>
      </c>
      <c r="F5" s="150" t="s">
        <v>239</v>
      </c>
      <c r="G5" s="150" t="s">
        <v>240</v>
      </c>
      <c r="H5" s="151" t="s">
        <v>241</v>
      </c>
      <c r="I5" s="152" t="s">
        <v>242</v>
      </c>
      <c r="J5" s="153" t="s">
        <v>243</v>
      </c>
      <c r="K5" s="154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5" t="str">
        <f>IF('Données projet'!$B$9="","",'Données projet'!$B$9)</f>
        <v>Mélèze d'Europe</v>
      </c>
      <c r="B6" s="156">
        <f>'Données projet'!D9</f>
        <v>1.0183087999999998</v>
      </c>
      <c r="C6" s="157">
        <f ca="1">IF(OR('Données projet'!B9="",'Données projet'!C9="",'Données projet'!C9=0%),0,Calculateur!S3)</f>
        <v>175.05987582828078</v>
      </c>
      <c r="D6" s="157">
        <f>IF(OR('Données projet'!B9="",'Données projet'!C9="",'Données projet'!C9=0%),0,Calculateur!T3)</f>
        <v>268.54782308462387</v>
      </c>
      <c r="E6" s="157">
        <f ca="1">MIN(C6,D6)</f>
        <v>175.05987582828078</v>
      </c>
      <c r="F6" s="157">
        <f ca="1">E6*B6</f>
        <v>178.26501208284557</v>
      </c>
      <c r="G6" s="157">
        <f ca="1">F6*(100%-'Données projet'!$C$24)*(100%-'Données projet'!$C$25)*(100%-'Données projet'!$C$26)*(100%-'Données projet'!$C$27)</f>
        <v>160.43851087456102</v>
      </c>
      <c r="H6" s="158">
        <f>IF(OR('Données projet'!B9="",'Données projet'!C9="",'Données projet'!C9=0%),0,AVERAGE(Calculateur!$AC$3:$AC$33)*B6)</f>
        <v>3.9778600364499255</v>
      </c>
      <c r="I6" s="159">
        <f>H6*(100%-'Données projet'!$C$24)*(100%-'Données projet'!$C$25)*(100%-'Données projet'!$C$26)*(100%-'Données projet'!$C$27)</f>
        <v>3.5800740328049332</v>
      </c>
      <c r="J6" s="160">
        <f>IF(OR('Données projet'!B9="",'Données projet'!C9="",'Données projet'!C9=0%),0,SUM(Calculateur!$V$3:$V$33)*VLOOKUP('Données projet'!$B$9,Paramètres!$A$1:$I$88,9,0)*B6)</f>
        <v>56.047716351999988</v>
      </c>
      <c r="K6" s="161">
        <f>J6*(100%-'Données projet'!$C$24)*(100%-'Données projet'!$C$25)*(100%-'Données projet'!$C$26)*(100%-'Données projet'!$C$27)</f>
        <v>50.442944716799992</v>
      </c>
      <c r="L6" s="162">
        <f ca="1">G6+I6+K6</f>
        <v>214.46152962416593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3" t="str">
        <f>IF('Données projet'!$B$10="","",'Données projet'!$B$10)</f>
        <v>Epicéa commun</v>
      </c>
      <c r="B7" s="164">
        <f>'Données projet'!D10</f>
        <v>0.91046479999999996</v>
      </c>
      <c r="C7" s="157">
        <f ca="1">IF(OR('Données projet'!B10="",'Données projet'!C10="",'Données projet'!C10=0%),0,Calculateur!AN3)</f>
        <v>576.61210817354549</v>
      </c>
      <c r="D7" s="157">
        <f>IF(OR('Données projet'!B10="",'Données projet'!C10="",'Données projet'!C10=0%),0,Calculateur!AO3)</f>
        <v>343.9428747444544</v>
      </c>
      <c r="E7" s="157">
        <f t="shared" ref="E7:E15" ca="1" si="0">MIN(C7,D7)</f>
        <v>343.9428747444544</v>
      </c>
      <c r="F7" s="157">
        <f t="shared" ref="F7:F15" ca="1" si="1">E7*B7</f>
        <v>313.14788066563472</v>
      </c>
      <c r="G7" s="157">
        <f ca="1">F7*(100%-'Données projet'!$C$24)*(100%-'Données projet'!$C$25)*(100%-'Données projet'!$C$26)*(100%-'Données projet'!$C$27)</f>
        <v>281.83309259907128</v>
      </c>
      <c r="H7" s="165">
        <f>IF(OR('Données projet'!B10="",'Données projet'!C10="",'Données projet'!C10=0%),0,AVERAGE(Calculateur!$AX$3:$AX$33)*B7)</f>
        <v>0.51180827602553658</v>
      </c>
      <c r="I7" s="159">
        <f>H7*(100%-'Données projet'!$C$24)*(100%-'Données projet'!$C$25)*(100%-'Données projet'!$C$26)*(100%-'Données projet'!$C$27)</f>
        <v>0.46062744842298292</v>
      </c>
      <c r="J7" s="160">
        <f>IF(OR('Données projet'!B10="",'Données projet'!C10="",'Données projet'!C10=0%),0,SUM(Calculateur!$AQ$3:$AQ$33)*VLOOKUP('Données projet'!$B$10,Paramètres!$A$1:$I$88,9,0)*B7)</f>
        <v>21.140992655999998</v>
      </c>
      <c r="K7" s="161">
        <f>J7*(100%-'Données projet'!$C$24)*(100%-'Données projet'!$C$25)*(100%-'Données projet'!$C$26)*(100%-'Données projet'!$C$27)</f>
        <v>19.026893390399998</v>
      </c>
      <c r="L7" s="162">
        <f t="shared" ref="L7:L15" ca="1" si="2">G7+I7+K7</f>
        <v>301.32061343789428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3" t="str">
        <f>IF('Données projet'!$B$11="","",'Données projet'!$B$11)</f>
        <v>Erable sycomore</v>
      </c>
      <c r="B8" s="164">
        <f>'Données projet'!D11</f>
        <v>0.81667319999999999</v>
      </c>
      <c r="C8" s="157">
        <f ca="1">IF(OR('Données projet'!B11="",'Données projet'!C11="",'Données projet'!C11=0%),0,Calculateur!BI3)</f>
        <v>298.38448036212861</v>
      </c>
      <c r="D8" s="157">
        <f>IF(OR('Données projet'!B11="",'Données projet'!C11="",'Données projet'!C11=0%),0,Calculateur!BJ3)</f>
        <v>270.4445531106897</v>
      </c>
      <c r="E8" s="157">
        <f t="shared" ca="1" si="0"/>
        <v>270.4445531106897</v>
      </c>
      <c r="F8" s="157">
        <f t="shared" ca="1" si="1"/>
        <v>220.86481861147689</v>
      </c>
      <c r="G8" s="157">
        <f ca="1">F8*(100%-'Données projet'!$C$24)*(100%-'Données projet'!$C$25)*(100%-'Données projet'!$C$26)*(100%-'Données projet'!$C$27)</f>
        <v>198.7783367503292</v>
      </c>
      <c r="H8" s="165">
        <f>IF(OR('Données projet'!B11="",'Données projet'!C11="",'Données projet'!C11=0%),0,AVERAGE(Calculateur!$BS$3:$BS$33)*B8)</f>
        <v>0</v>
      </c>
      <c r="I8" s="159">
        <f>H8*(100%-'Données projet'!$C$24)*(100%-'Données projet'!$C$25)*(100%-'Données projet'!$C$26)*(100%-'Données projet'!$C$27)</f>
        <v>0</v>
      </c>
      <c r="J8" s="160">
        <f>IF(OR('Données projet'!B11="",'Données projet'!C11="",'Données projet'!C11=0%),0,SUM(Calculateur!$BL$3:$BL$33)*VLOOKUP('Données projet'!$B$11,Paramètres!$A$1:$I$88,9,0)*B8)</f>
        <v>20.72308245</v>
      </c>
      <c r="K8" s="161">
        <f>J8*(100%-'Données projet'!$C$24)*(100%-'Données projet'!$C$25)*(100%-'Données projet'!$C$26)*(100%-'Données projet'!$C$27)</f>
        <v>18.650774205000001</v>
      </c>
      <c r="L8" s="162">
        <f t="shared" ca="1" si="2"/>
        <v>217.42911095532921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3" t="str">
        <f>IF('Données projet'!$B$12="","",'Données projet'!$B$12)</f>
        <v>Merisier</v>
      </c>
      <c r="B9" s="164">
        <f>'Données projet'!D12</f>
        <v>0.30425079999999999</v>
      </c>
      <c r="C9" s="157">
        <f ca="1">IF(OR('Données projet'!B12="",'Données projet'!C12="",'Données projet'!C12=0%),0,Calculateur!CD3)</f>
        <v>217.32600829266818</v>
      </c>
      <c r="D9" s="157">
        <f>IF(OR('Données projet'!B12="",'Données projet'!C12="",'Données projet'!C12=0%),0,Calculateur!CE3)</f>
        <v>208.79744153433245</v>
      </c>
      <c r="E9" s="157">
        <f t="shared" ca="1" si="0"/>
        <v>208.79744153433245</v>
      </c>
      <c r="F9" s="157">
        <f t="shared" ca="1" si="1"/>
        <v>63.526788624773872</v>
      </c>
      <c r="G9" s="157">
        <f ca="1">F9*(100%-'Données projet'!$C$24)*(100%-'Données projet'!$C$25)*(100%-'Données projet'!$C$26)*(100%-'Données projet'!$C$27)</f>
        <v>57.174109762296489</v>
      </c>
      <c r="H9" s="165">
        <f>IF(OR('Données projet'!B12="",'Données projet'!C12="",'Données projet'!C12=0%),0,AVERAGE(Calculateur!$CN$3:$CN$33)*B9)</f>
        <v>0</v>
      </c>
      <c r="I9" s="159">
        <f>H9*(100%-'Données projet'!$C$24)*(100%-'Données projet'!$C$25)*(100%-'Données projet'!$C$26)*(100%-'Données projet'!$C$27)</f>
        <v>0</v>
      </c>
      <c r="J9" s="160">
        <f>IF(OR('Données projet'!B12="",'Données projet'!C12="",'Données projet'!C12=0%),0,SUM(Calculateur!$CG$3:$CG$33)*VLOOKUP('Données projet'!$B$12,Paramètres!$A$1:$I$88,9,0)*B9)</f>
        <v>4.1834484999999999</v>
      </c>
      <c r="K9" s="161">
        <f>J9*(100%-'Données projet'!$C$24)*(100%-'Données projet'!$C$25)*(100%-'Données projet'!$C$26)*(100%-'Données projet'!$C$27)</f>
        <v>3.7651036499999999</v>
      </c>
      <c r="L9" s="162">
        <f t="shared" ca="1" si="2"/>
        <v>60.939213412296489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3" t="str">
        <f>IF('Données projet'!$B$13="","",'Données projet'!$B$13)</f>
        <v>Douglas</v>
      </c>
      <c r="B10" s="164">
        <f>'Données projet'!D13</f>
        <v>0.21797559999999996</v>
      </c>
      <c r="C10" s="157">
        <f ca="1">IF(OR('Données projet'!B13="",'Données projet'!C13="",'Données projet'!C13=0%),0,Calculateur!CY3)</f>
        <v>302.20483575440988</v>
      </c>
      <c r="D10" s="157">
        <f>IF(OR('Données projet'!B13="",'Données projet'!C13="",'Données projet'!C13=0%),0,Calculateur!CZ3)</f>
        <v>275.32862097158687</v>
      </c>
      <c r="E10" s="157">
        <f t="shared" ca="1" si="0"/>
        <v>275.32862097158687</v>
      </c>
      <c r="F10" s="157">
        <f t="shared" ca="1" si="1"/>
        <v>60.01492135345422</v>
      </c>
      <c r="G10" s="157">
        <f ca="1">F10*(100%-'Données projet'!$C$24)*(100%-'Données projet'!$C$25)*(100%-'Données projet'!$C$26)*(100%-'Données projet'!$C$27)</f>
        <v>54.013429218108797</v>
      </c>
      <c r="H10" s="165">
        <f>IF(OR('Données projet'!B13="",'Données projet'!C13="",'Données projet'!C13=0%),0,AVERAGE(Calculateur!$DI$3:$DI$33)*B10)</f>
        <v>1.0916702985236886</v>
      </c>
      <c r="I10" s="159">
        <f>H10*(100%-'Données projet'!$C$24)*(100%-'Données projet'!$C$25)*(100%-'Données projet'!$C$26)*(100%-'Données projet'!$C$27)</f>
        <v>0.98250326867131976</v>
      </c>
      <c r="J10" s="160">
        <f>IF(OR('Données projet'!B13="",'Données projet'!C13="",'Données projet'!C13=0%),0,SUM(Calculateur!$DB$3:$DB$33)*VLOOKUP('Données projet'!$B$13,Paramètres!$A$1:$I$88,9,0)*B10)</f>
        <v>11.903647515999998</v>
      </c>
      <c r="K10" s="161">
        <f>J10*(100%-'Données projet'!$C$24)*(100%-'Données projet'!$C$25)*(100%-'Données projet'!$C$26)*(100%-'Données projet'!$C$27)</f>
        <v>10.713282764399999</v>
      </c>
      <c r="L10" s="162">
        <f t="shared" ca="1" si="2"/>
        <v>65.709215251180126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3" t="str">
        <f>IF('Données projet'!$B$14="","",'Données projet'!$B$14)</f>
        <v/>
      </c>
      <c r="B11" s="164">
        <f>'Données projet'!D14</f>
        <v>0</v>
      </c>
      <c r="C11" s="157">
        <f>IF(OR('Données projet'!B14="",'Données projet'!C14="",'Données projet'!C14=0%),0,Calculateur!DT3)</f>
        <v>0</v>
      </c>
      <c r="D11" s="157">
        <f>IF(OR('Données projet'!B14="",'Données projet'!C14="",'Données projet'!C14=0%),0,Calculateur!DU3)</f>
        <v>0</v>
      </c>
      <c r="E11" s="157">
        <f t="shared" si="0"/>
        <v>0</v>
      </c>
      <c r="F11" s="157">
        <f t="shared" si="1"/>
        <v>0</v>
      </c>
      <c r="G11" s="157">
        <f>F11*(100%-'Données projet'!$C$24)*(100%-'Données projet'!$C$25)*(100%-'Données projet'!$C$26)*(100%-'Données projet'!$C$27)</f>
        <v>0</v>
      </c>
      <c r="H11" s="165">
        <f>IF(OR('Données projet'!B14="",'Données projet'!C14="",'Données projet'!C14=0%),0,AVERAGE(Calculateur!$ED$3:$ED$33)*B11)</f>
        <v>0</v>
      </c>
      <c r="I11" s="159">
        <f>H11*(100%-'Données projet'!$C$24)*(100%-'Données projet'!$C$25)*(100%-'Données projet'!$C$26)*(100%-'Données projet'!$C$27)</f>
        <v>0</v>
      </c>
      <c r="J11" s="160">
        <f>IF(OR('Données projet'!B14="",'Données projet'!C14="",'Données projet'!C14=0%),0,SUM(Calculateur!$DW$3:$DW$33)*VLOOKUP('Données projet'!$B$14,Paramètres!$A$1:$I$88,9,0)*B11)</f>
        <v>0</v>
      </c>
      <c r="K11" s="161">
        <f>J11*(100%-'Données projet'!$C$24)*(100%-'Données projet'!$C$25)*(100%-'Données projet'!$C$26)*(100%-'Données projet'!$C$27)</f>
        <v>0</v>
      </c>
      <c r="L11" s="162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3" t="str">
        <f>IF('Données projet'!$B$15="","",'Données projet'!$B$15)</f>
        <v/>
      </c>
      <c r="B12" s="164">
        <f>'Données projet'!D15</f>
        <v>0</v>
      </c>
      <c r="C12" s="157">
        <f>IF(OR('Données projet'!B15="",'Données projet'!C15="",'Données projet'!C15=0%),0,Calculateur!EO3)</f>
        <v>0</v>
      </c>
      <c r="D12" s="157">
        <f>IF(OR('Données projet'!B15="",'Données projet'!C15="",'Données projet'!C15=0%),0,Calculateur!EP3)</f>
        <v>0</v>
      </c>
      <c r="E12" s="157">
        <f t="shared" si="0"/>
        <v>0</v>
      </c>
      <c r="F12" s="157">
        <f t="shared" si="1"/>
        <v>0</v>
      </c>
      <c r="G12" s="157">
        <f>F12*(100%-'Données projet'!$C$24)*(100%-'Données projet'!$C$25)*(100%-'Données projet'!$C$26)*(100%-'Données projet'!$C$27)</f>
        <v>0</v>
      </c>
      <c r="H12" s="165">
        <f>IF(OR('Données projet'!B15="",'Données projet'!C15="",'Données projet'!C15=0%),0,AVERAGE(Calculateur!$EY$3:$EY$33)*B12)</f>
        <v>0</v>
      </c>
      <c r="I12" s="159">
        <f>H12*(100%-'Données projet'!$C$24)*(100%-'Données projet'!$C$25)*(100%-'Données projet'!$C$26)*(100%-'Données projet'!$C$27)</f>
        <v>0</v>
      </c>
      <c r="J12" s="160">
        <f>IF(OR('Données projet'!B15="",'Données projet'!C15="",'Données projet'!C15=0%),0,SUM(Calculateur!$ER$3:$ER$33)*VLOOKUP('Données projet'!$B$15,Paramètres!$A$1:$I$88,9,0)*B12)</f>
        <v>0</v>
      </c>
      <c r="K12" s="161">
        <f>J12*(100%-'Données projet'!$C$24)*(100%-'Données projet'!$C$25)*(100%-'Données projet'!$C$26)*(100%-'Données projet'!$C$27)</f>
        <v>0</v>
      </c>
      <c r="L12" s="162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3" t="str">
        <f>IF('Données projet'!$B$16="","",'Données projet'!$B$16)</f>
        <v/>
      </c>
      <c r="B13" s="164">
        <f>'Données projet'!D16</f>
        <v>0</v>
      </c>
      <c r="C13" s="157">
        <f>IF(OR('Données projet'!B16="",'Données projet'!C16="",'Données projet'!C16=0%),0,Calculateur!FJ3)</f>
        <v>0</v>
      </c>
      <c r="D13" s="157">
        <f>IF(OR('Données projet'!B16="",'Données projet'!C16="",'Données projet'!C16=0%),0,Calculateur!FK3)</f>
        <v>0</v>
      </c>
      <c r="E13" s="157">
        <f t="shared" si="0"/>
        <v>0</v>
      </c>
      <c r="F13" s="157">
        <f t="shared" si="1"/>
        <v>0</v>
      </c>
      <c r="G13" s="157">
        <f>F13*(100%-'Données projet'!$C$24)*(100%-'Données projet'!$C$25)*(100%-'Données projet'!$C$26)*(100%-'Données projet'!$C$27)</f>
        <v>0</v>
      </c>
      <c r="H13" s="165">
        <f>IF(OR('Données projet'!B16="",'Données projet'!C16="",'Données projet'!C16=0%),0,AVERAGE(Calculateur!$FT$3:$FT$33)*B13)</f>
        <v>0</v>
      </c>
      <c r="I13" s="159">
        <f>H13*(100%-'Données projet'!$C$24)*(100%-'Données projet'!$C$25)*(100%-'Données projet'!$C$26)*(100%-'Données projet'!$C$27)</f>
        <v>0</v>
      </c>
      <c r="J13" s="160">
        <f>IF(OR('Données projet'!C16="",'Données projet'!C16=0%),0,SUM(Calculateur!$FM$3:$FM$33)*VLOOKUP('Données projet'!$B$16,Paramètres!$A$1:$I$88,9,0)*B13)</f>
        <v>0</v>
      </c>
      <c r="K13" s="161">
        <f>J13*(100%-'Données projet'!$C$24)*(100%-'Données projet'!$C$25)*(100%-'Données projet'!$C$26)*(100%-'Données projet'!$C$27)</f>
        <v>0</v>
      </c>
      <c r="L13" s="162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3" t="str">
        <f>IF('Données projet'!$B$17="","",'Données projet'!$B$17)</f>
        <v/>
      </c>
      <c r="B14" s="164">
        <f>'Données projet'!D17</f>
        <v>0</v>
      </c>
      <c r="C14" s="157">
        <f>IF(OR('Données projet'!B17="",'Données projet'!C17="",'Données projet'!C17=0%),0,Calculateur!GE3)</f>
        <v>0</v>
      </c>
      <c r="D14" s="157">
        <f>IF(OR('Données projet'!B17="",'Données projet'!C17="",'Données projet'!C17=0%),0,Calculateur!GF3)</f>
        <v>0</v>
      </c>
      <c r="E14" s="157">
        <f t="shared" si="0"/>
        <v>0</v>
      </c>
      <c r="F14" s="157">
        <f t="shared" si="1"/>
        <v>0</v>
      </c>
      <c r="G14" s="157">
        <f>F14*(100%-'Données projet'!$C$24)*(100%-'Données projet'!$C$25)*(100%-'Données projet'!$C$26)*(100%-'Données projet'!$C$27)</f>
        <v>0</v>
      </c>
      <c r="H14" s="165">
        <f>IF(OR('Données projet'!B17="",'Données projet'!C17="",'Données projet'!C17=0%),0,AVERAGE(Calculateur!$GO$3:$GO$33)*B14)</f>
        <v>0</v>
      </c>
      <c r="I14" s="159">
        <f>H14*(100%-'Données projet'!$C$24)*(100%-'Données projet'!$C$25)*(100%-'Données projet'!$C$26)*(100%-'Données projet'!$C$27)</f>
        <v>0</v>
      </c>
      <c r="J14" s="160">
        <f>IF(OR('Données projet'!B17="",'Données projet'!C17="",'Données projet'!C17=0%),0,SUM(Calculateur!$GH$3:$GH$33)*VLOOKUP('Données projet'!$B$17,Paramètres!$A$1:$I$88,9,0)*B14)</f>
        <v>0</v>
      </c>
      <c r="K14" s="161">
        <f>J14*(100%-'Données projet'!$C$24)*(100%-'Données projet'!$C$25)*(100%-'Données projet'!$C$26)*(100%-'Données projet'!$C$27)</f>
        <v>0</v>
      </c>
      <c r="L14" s="162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6" t="str">
        <f>IF('Données projet'!B18="","",'Données projet'!B18)</f>
        <v/>
      </c>
      <c r="B15" s="167">
        <f>'Données projet'!D18</f>
        <v>0</v>
      </c>
      <c r="C15" s="168">
        <f>IF(OR('Données projet'!B18="",'Données projet'!C18="",'Données projet'!C18=0%),0,Calculateur!GZ3)</f>
        <v>0</v>
      </c>
      <c r="D15" s="168">
        <f>IF(OR('Données projet'!B18="",'Données projet'!C18="",'Données projet'!C18=0%),0,Calculateur!HA3)</f>
        <v>0</v>
      </c>
      <c r="E15" s="168">
        <f t="shared" si="0"/>
        <v>0</v>
      </c>
      <c r="F15" s="169">
        <f t="shared" si="1"/>
        <v>0</v>
      </c>
      <c r="G15" s="169">
        <f>F15*(100%-'Données projet'!$C$24)*(100%-'Données projet'!$C$25)*(100%-'Données projet'!$C$26)*(100%-'Données projet'!$C$27)</f>
        <v>0</v>
      </c>
      <c r="H15" s="170">
        <f>IF(OR('Données projet'!B18="",'Données projet'!C18="",'Données projet'!C18=0%),0,AVERAGE(Calculateur!$HJ$3:$HJ$33)*B15)</f>
        <v>0</v>
      </c>
      <c r="I15" s="171">
        <f>H15*(100%-'Données projet'!$C$24)*(100%-'Données projet'!$C$25)*(100%-'Données projet'!$C$26)*(100%-'Données projet'!$C$27)</f>
        <v>0</v>
      </c>
      <c r="J15" s="172">
        <f>IF(OR('Données projet'!B18="",'Données projet'!C18="",'Données projet'!C18=0%),0,SUM(Calculateur!$HC$3:$HC$33)*VLOOKUP('Données projet'!$B$18,Paramètres!$A$1:$I$88,9,0)*B15)</f>
        <v>0</v>
      </c>
      <c r="K15" s="173">
        <f>J15*(100%-'Données projet'!$C$24)*(100%-'Données projet'!$C$25)*(100%-'Données projet'!$C$26)*(100%-'Données projet'!$C$27)</f>
        <v>0</v>
      </c>
      <c r="L15" s="174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37"/>
      <c r="B16" s="247"/>
      <c r="C16" s="248"/>
      <c r="D16" s="25"/>
      <c r="E16" s="25"/>
      <c r="F16" s="175">
        <f t="shared" ref="F16:L16" ca="1" si="3">SUM(F6:F15)</f>
        <v>835.81942133818541</v>
      </c>
      <c r="G16" s="176">
        <f t="shared" ca="1" si="3"/>
        <v>752.23747920436676</v>
      </c>
      <c r="H16" s="177">
        <f t="shared" si="3"/>
        <v>5.5813386109991505</v>
      </c>
      <c r="I16" s="177">
        <f t="shared" si="3"/>
        <v>5.0232047498992358</v>
      </c>
      <c r="J16" s="178">
        <f t="shared" si="3"/>
        <v>113.99888747399997</v>
      </c>
      <c r="K16" s="178">
        <f t="shared" si="3"/>
        <v>102.5989987266</v>
      </c>
      <c r="L16" s="179">
        <f t="shared" ca="1" si="3"/>
        <v>859.85968268086594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37"/>
      <c r="B17" s="247"/>
      <c r="C17" s="248"/>
      <c r="D17" s="244"/>
      <c r="E17" s="244"/>
      <c r="F17" s="299" t="s">
        <v>246</v>
      </c>
      <c r="G17" s="300"/>
      <c r="H17" s="300"/>
      <c r="I17" s="300"/>
      <c r="J17" s="300"/>
      <c r="K17" s="300"/>
      <c r="L17" s="300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37"/>
      <c r="B18" s="247"/>
      <c r="C18" s="248"/>
      <c r="D18" s="244"/>
      <c r="E18" s="244"/>
      <c r="F18" s="301"/>
      <c r="G18" s="301"/>
      <c r="H18" s="301"/>
      <c r="I18" s="301"/>
      <c r="J18" s="301"/>
      <c r="K18" s="301"/>
      <c r="L18" s="301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44"/>
      <c r="J19" s="244"/>
      <c r="K19" s="244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44"/>
      <c r="J20" s="244"/>
      <c r="K20" s="244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80" t="str">
        <f>A6</f>
        <v>Mélèze d'Europe</v>
      </c>
      <c r="B21" s="5"/>
      <c r="C21" s="5"/>
      <c r="D21" s="5"/>
      <c r="E21" s="5"/>
      <c r="F21" s="5"/>
      <c r="G21" s="5"/>
      <c r="H21" s="5"/>
      <c r="I21" s="244"/>
      <c r="J21" s="244"/>
      <c r="K21" s="244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44"/>
      <c r="J22" s="244"/>
      <c r="K22" s="244"/>
      <c r="L22" s="244"/>
      <c r="M22" s="244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44"/>
      <c r="J23" s="244"/>
      <c r="K23" s="244"/>
      <c r="L23" s="244"/>
      <c r="M23" s="244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44"/>
      <c r="J24" s="244"/>
      <c r="K24" s="244"/>
      <c r="L24" s="244"/>
      <c r="M24" s="244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44"/>
      <c r="J25" s="244"/>
      <c r="K25" s="244"/>
      <c r="L25" s="244"/>
      <c r="M25" s="244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44"/>
      <c r="J26" s="244"/>
      <c r="K26" s="244"/>
      <c r="L26" s="244"/>
      <c r="M26" s="244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44"/>
      <c r="J27" s="244"/>
      <c r="K27" s="244"/>
      <c r="L27" s="244"/>
      <c r="M27" s="244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44"/>
      <c r="J28" s="244"/>
      <c r="K28" s="244"/>
      <c r="L28" s="244"/>
      <c r="M28" s="244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44"/>
      <c r="J29" s="244"/>
      <c r="K29" s="244"/>
      <c r="L29" s="244"/>
      <c r="M29" s="244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44"/>
      <c r="J30" s="244"/>
      <c r="K30" s="244"/>
      <c r="L30" s="244"/>
      <c r="M30" s="244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44"/>
      <c r="J31" s="244"/>
      <c r="K31" s="244"/>
      <c r="L31" s="244"/>
      <c r="M31" s="244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44"/>
      <c r="J32" s="244"/>
      <c r="K32" s="244"/>
      <c r="L32" s="244"/>
      <c r="M32" s="244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44"/>
      <c r="J33" s="244"/>
      <c r="K33" s="244"/>
      <c r="L33" s="244"/>
      <c r="M33" s="244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44"/>
      <c r="J34" s="244"/>
      <c r="K34" s="244"/>
      <c r="L34" s="244"/>
      <c r="M34" s="244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44"/>
      <c r="J35" s="244"/>
      <c r="K35" s="244"/>
      <c r="L35" s="244"/>
      <c r="M35" s="244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44"/>
      <c r="J36" s="244"/>
      <c r="K36" s="244"/>
      <c r="L36" s="244"/>
      <c r="M36" s="244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44"/>
      <c r="J37" s="244"/>
      <c r="K37" s="244"/>
      <c r="L37" s="244"/>
      <c r="M37" s="244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44"/>
      <c r="J38" s="244"/>
      <c r="K38" s="244"/>
      <c r="L38" s="244"/>
      <c r="M38" s="244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80" t="str">
        <f>A7</f>
        <v>Epicéa commun</v>
      </c>
      <c r="B39" s="5"/>
      <c r="C39" s="5"/>
      <c r="D39" s="5"/>
      <c r="E39" s="5"/>
      <c r="F39" s="5"/>
      <c r="G39" s="5"/>
      <c r="H39" s="5"/>
      <c r="I39" s="244"/>
      <c r="J39" s="244"/>
      <c r="K39" s="244"/>
      <c r="L39" s="244"/>
      <c r="M39" s="244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44"/>
      <c r="J40" s="244"/>
      <c r="K40" s="244"/>
      <c r="L40" s="244"/>
      <c r="M40" s="244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44"/>
      <c r="J41" s="244"/>
      <c r="K41" s="244"/>
      <c r="L41" s="244"/>
      <c r="M41" s="244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44"/>
      <c r="J42" s="244"/>
      <c r="K42" s="244"/>
      <c r="L42" s="244"/>
      <c r="M42" s="244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44"/>
      <c r="J43" s="244"/>
      <c r="K43" s="244"/>
      <c r="L43" s="244"/>
      <c r="M43" s="244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44"/>
      <c r="J44" s="244"/>
      <c r="K44" s="244"/>
      <c r="L44" s="244"/>
      <c r="M44" s="244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44"/>
      <c r="J45" s="244"/>
      <c r="K45" s="244"/>
      <c r="L45" s="244"/>
      <c r="M45" s="244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44"/>
      <c r="J46" s="244"/>
      <c r="K46" s="244"/>
      <c r="L46" s="244"/>
      <c r="M46" s="244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44"/>
      <c r="J47" s="244"/>
      <c r="K47" s="244"/>
      <c r="L47" s="244"/>
      <c r="M47" s="244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44"/>
      <c r="J48" s="244"/>
      <c r="K48" s="244"/>
      <c r="L48" s="244"/>
      <c r="M48" s="244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44"/>
      <c r="J49" s="244"/>
      <c r="K49" s="244"/>
      <c r="L49" s="244"/>
      <c r="M49" s="244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44"/>
      <c r="J50" s="244"/>
      <c r="K50" s="244"/>
      <c r="L50" s="244"/>
      <c r="M50" s="244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44"/>
      <c r="J51" s="244"/>
      <c r="K51" s="244"/>
      <c r="L51" s="244"/>
      <c r="M51" s="244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44"/>
      <c r="J52" s="244"/>
      <c r="K52" s="244"/>
      <c r="L52" s="244"/>
      <c r="M52" s="244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44"/>
      <c r="J53" s="244"/>
      <c r="K53" s="244"/>
      <c r="L53" s="244"/>
      <c r="M53" s="244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44"/>
      <c r="J54" s="244"/>
      <c r="K54" s="244"/>
      <c r="L54" s="244"/>
      <c r="M54" s="244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44"/>
      <c r="J55" s="244"/>
      <c r="K55" s="244"/>
      <c r="L55" s="244"/>
      <c r="M55" s="244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44"/>
      <c r="J56" s="244"/>
      <c r="K56" s="244"/>
      <c r="L56" s="244"/>
      <c r="M56" s="244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80" t="str">
        <f>A8</f>
        <v>Erable sycomore</v>
      </c>
      <c r="B57" s="5"/>
      <c r="C57" s="5"/>
      <c r="D57" s="5"/>
      <c r="E57" s="5"/>
      <c r="F57" s="5"/>
      <c r="G57" s="5"/>
      <c r="H57" s="5"/>
      <c r="I57" s="244"/>
      <c r="J57" s="244"/>
      <c r="K57" s="244"/>
      <c r="L57" s="244"/>
      <c r="M57" s="244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44"/>
      <c r="J58" s="244"/>
      <c r="K58" s="244"/>
      <c r="L58" s="244"/>
      <c r="M58" s="244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44"/>
      <c r="J59" s="244"/>
      <c r="K59" s="244"/>
      <c r="L59" s="244"/>
      <c r="M59" s="244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44"/>
      <c r="J60" s="244"/>
      <c r="K60" s="244"/>
      <c r="L60" s="244"/>
      <c r="M60" s="244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44"/>
      <c r="J61" s="244"/>
      <c r="K61" s="244"/>
      <c r="L61" s="244"/>
      <c r="M61" s="244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44"/>
      <c r="J62" s="244"/>
      <c r="K62" s="244"/>
      <c r="L62" s="244"/>
      <c r="M62" s="244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44"/>
      <c r="J63" s="244"/>
      <c r="K63" s="244"/>
      <c r="L63" s="244"/>
      <c r="M63" s="244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44"/>
      <c r="J64" s="244"/>
      <c r="K64" s="244"/>
      <c r="L64" s="244"/>
      <c r="M64" s="244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44"/>
      <c r="J65" s="244"/>
      <c r="K65" s="244"/>
      <c r="L65" s="244"/>
      <c r="M65" s="244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44"/>
      <c r="J66" s="244"/>
      <c r="K66" s="244"/>
      <c r="L66" s="244"/>
      <c r="M66" s="244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44"/>
      <c r="J67" s="244"/>
      <c r="K67" s="244"/>
      <c r="L67" s="244"/>
      <c r="M67" s="244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44"/>
      <c r="J68" s="244"/>
      <c r="K68" s="244"/>
      <c r="L68" s="244"/>
      <c r="M68" s="244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44"/>
      <c r="J69" s="244"/>
      <c r="K69" s="244"/>
      <c r="L69" s="244"/>
      <c r="M69" s="244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44"/>
      <c r="J70" s="244"/>
      <c r="K70" s="244"/>
      <c r="L70" s="244"/>
      <c r="M70" s="244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44"/>
      <c r="J71" s="244"/>
      <c r="K71" s="244"/>
      <c r="L71" s="244"/>
      <c r="M71" s="244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44"/>
      <c r="J72" s="244"/>
      <c r="K72" s="244"/>
      <c r="L72" s="244"/>
      <c r="M72" s="244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44"/>
      <c r="J73" s="244"/>
      <c r="K73" s="244"/>
      <c r="L73" s="244"/>
      <c r="M73" s="244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44"/>
      <c r="J74" s="244"/>
      <c r="K74" s="244"/>
      <c r="L74" s="244"/>
      <c r="M74" s="244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44"/>
      <c r="J75" s="244"/>
      <c r="K75" s="244"/>
      <c r="L75" s="244"/>
      <c r="M75" s="244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80" t="str">
        <f>A9</f>
        <v>Merisier</v>
      </c>
      <c r="B76" s="5"/>
      <c r="C76" s="5"/>
      <c r="D76" s="5"/>
      <c r="E76" s="5"/>
      <c r="F76" s="5"/>
      <c r="G76" s="5"/>
      <c r="H76" s="5"/>
      <c r="I76" s="244"/>
      <c r="J76" s="244"/>
      <c r="K76" s="244"/>
      <c r="L76" s="244"/>
      <c r="M76" s="244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44"/>
      <c r="J77" s="244"/>
      <c r="K77" s="244"/>
      <c r="L77" s="244"/>
      <c r="M77" s="244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44"/>
      <c r="J78" s="244"/>
      <c r="K78" s="244"/>
      <c r="L78" s="244"/>
      <c r="M78" s="244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44"/>
      <c r="J79" s="244"/>
      <c r="K79" s="244"/>
      <c r="L79" s="244"/>
      <c r="M79" s="244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44"/>
      <c r="J80" s="244"/>
      <c r="K80" s="244"/>
      <c r="L80" s="244"/>
      <c r="M80" s="244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44"/>
      <c r="J81" s="244"/>
      <c r="K81" s="244"/>
      <c r="L81" s="244"/>
      <c r="M81" s="244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44"/>
      <c r="J82" s="244"/>
      <c r="K82" s="244"/>
      <c r="L82" s="244"/>
      <c r="M82" s="244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44"/>
      <c r="J83" s="244"/>
      <c r="K83" s="244"/>
      <c r="L83" s="244"/>
      <c r="M83" s="244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44"/>
      <c r="J84" s="244"/>
      <c r="K84" s="244"/>
      <c r="L84" s="244"/>
      <c r="M84" s="244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44"/>
      <c r="J85" s="244"/>
      <c r="K85" s="244"/>
      <c r="L85" s="244"/>
      <c r="M85" s="244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44"/>
      <c r="J86" s="244"/>
      <c r="K86" s="244"/>
      <c r="L86" s="244"/>
      <c r="M86" s="244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44"/>
      <c r="J87" s="244"/>
      <c r="K87" s="244"/>
      <c r="L87" s="244"/>
      <c r="M87" s="244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44"/>
      <c r="J88" s="244"/>
      <c r="K88" s="244"/>
      <c r="L88" s="244"/>
      <c r="M88" s="244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44"/>
      <c r="J89" s="244"/>
      <c r="K89" s="244"/>
      <c r="L89" s="244"/>
      <c r="M89" s="244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44"/>
      <c r="J90" s="244"/>
      <c r="K90" s="244"/>
      <c r="L90" s="244"/>
      <c r="M90" s="244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44"/>
      <c r="J91" s="244"/>
      <c r="K91" s="244"/>
      <c r="L91" s="244"/>
      <c r="M91" s="244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44"/>
      <c r="J92" s="244"/>
      <c r="K92" s="244"/>
      <c r="L92" s="244"/>
      <c r="M92" s="244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44"/>
      <c r="J93" s="244"/>
      <c r="K93" s="244"/>
      <c r="L93" s="244"/>
      <c r="M93" s="244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80" t="str">
        <f>A10</f>
        <v>Douglas</v>
      </c>
      <c r="B94" s="5"/>
      <c r="C94" s="5"/>
      <c r="D94" s="5"/>
      <c r="E94" s="5"/>
      <c r="F94" s="5"/>
      <c r="G94" s="5"/>
      <c r="H94" s="5"/>
      <c r="I94" s="244"/>
      <c r="J94" s="244"/>
      <c r="K94" s="244"/>
      <c r="L94" s="244"/>
      <c r="M94" s="244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44"/>
      <c r="J95" s="244"/>
      <c r="K95" s="244"/>
      <c r="L95" s="244"/>
      <c r="M95" s="244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44"/>
      <c r="J96" s="244"/>
      <c r="K96" s="244"/>
      <c r="L96" s="244"/>
      <c r="M96" s="244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44"/>
      <c r="J97" s="244"/>
      <c r="K97" s="244"/>
      <c r="L97" s="244"/>
      <c r="M97" s="244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44"/>
      <c r="J98" s="244"/>
      <c r="K98" s="244"/>
      <c r="L98" s="244"/>
      <c r="M98" s="244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44"/>
      <c r="J99" s="244"/>
      <c r="K99" s="244"/>
      <c r="L99" s="244"/>
      <c r="M99" s="244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44"/>
      <c r="J100" s="244"/>
      <c r="K100" s="244"/>
      <c r="L100" s="244"/>
      <c r="M100" s="244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44"/>
      <c r="J101" s="244"/>
      <c r="K101" s="244"/>
      <c r="L101" s="244"/>
      <c r="M101" s="244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44"/>
      <c r="J102" s="244"/>
      <c r="K102" s="244"/>
      <c r="L102" s="244"/>
      <c r="M102" s="244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44"/>
      <c r="J103" s="244"/>
      <c r="K103" s="244"/>
      <c r="L103" s="244"/>
      <c r="M103" s="244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44"/>
      <c r="J104" s="244"/>
      <c r="K104" s="244"/>
      <c r="L104" s="244"/>
      <c r="M104" s="244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44"/>
      <c r="J105" s="244"/>
      <c r="K105" s="244"/>
      <c r="L105" s="244"/>
      <c r="M105" s="244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44"/>
      <c r="J106" s="244"/>
      <c r="K106" s="244"/>
      <c r="L106" s="244"/>
      <c r="M106" s="244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44"/>
      <c r="J107" s="244"/>
      <c r="K107" s="244"/>
      <c r="L107" s="244"/>
      <c r="M107" s="244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44"/>
      <c r="J108" s="244"/>
      <c r="K108" s="244"/>
      <c r="L108" s="244"/>
      <c r="M108" s="244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44"/>
      <c r="J109" s="244"/>
      <c r="K109" s="244"/>
      <c r="L109" s="244"/>
      <c r="M109" s="244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44"/>
      <c r="J110" s="244"/>
      <c r="K110" s="244"/>
      <c r="L110" s="244"/>
      <c r="M110" s="244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44"/>
      <c r="J111" s="244"/>
      <c r="K111" s="244"/>
      <c r="L111" s="244"/>
      <c r="M111" s="244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80" t="str">
        <f>A11</f>
        <v/>
      </c>
      <c r="B112" s="5"/>
      <c r="C112" s="5"/>
      <c r="D112" s="5"/>
      <c r="E112" s="5"/>
      <c r="F112" s="5"/>
      <c r="G112" s="5"/>
      <c r="H112" s="5"/>
      <c r="I112" s="244"/>
      <c r="J112" s="244"/>
      <c r="K112" s="244"/>
      <c r="L112" s="244"/>
      <c r="M112" s="244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44"/>
      <c r="J113" s="244"/>
      <c r="K113" s="244"/>
      <c r="L113" s="244"/>
      <c r="M113" s="244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44"/>
      <c r="J114" s="244"/>
      <c r="K114" s="244"/>
      <c r="L114" s="244"/>
      <c r="M114" s="244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44"/>
      <c r="J115" s="244"/>
      <c r="K115" s="244"/>
      <c r="L115" s="244"/>
      <c r="M115" s="244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44"/>
      <c r="J116" s="244"/>
      <c r="K116" s="244"/>
      <c r="L116" s="244"/>
      <c r="M116" s="244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44"/>
      <c r="J117" s="244"/>
      <c r="K117" s="244"/>
      <c r="L117" s="244"/>
      <c r="M117" s="244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44"/>
      <c r="J118" s="244"/>
      <c r="K118" s="244"/>
      <c r="L118" s="244"/>
      <c r="M118" s="244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44"/>
      <c r="J119" s="244"/>
      <c r="K119" s="244"/>
      <c r="L119" s="244"/>
      <c r="M119" s="244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44"/>
      <c r="J120" s="244"/>
      <c r="K120" s="244"/>
      <c r="L120" s="244"/>
      <c r="M120" s="244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44"/>
      <c r="J121" s="244"/>
      <c r="K121" s="244"/>
      <c r="L121" s="244"/>
      <c r="M121" s="244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44"/>
      <c r="J122" s="244"/>
      <c r="K122" s="244"/>
      <c r="L122" s="244"/>
      <c r="M122" s="244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44"/>
      <c r="J123" s="244"/>
      <c r="K123" s="244"/>
      <c r="L123" s="244"/>
      <c r="M123" s="244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44"/>
      <c r="J124" s="244"/>
      <c r="K124" s="244"/>
      <c r="L124" s="244"/>
      <c r="M124" s="244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44"/>
      <c r="J125" s="244"/>
      <c r="K125" s="244"/>
      <c r="L125" s="244"/>
      <c r="M125" s="244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44"/>
      <c r="J126" s="244"/>
      <c r="K126" s="244"/>
      <c r="L126" s="244"/>
      <c r="M126" s="244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44"/>
      <c r="J127" s="244"/>
      <c r="K127" s="244"/>
      <c r="L127" s="244"/>
      <c r="M127" s="244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44"/>
      <c r="J128" s="244"/>
      <c r="K128" s="244"/>
      <c r="L128" s="244"/>
      <c r="M128" s="244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44"/>
      <c r="J129" s="244"/>
      <c r="K129" s="244"/>
      <c r="L129" s="244"/>
      <c r="M129" s="244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80" t="str">
        <f>A12</f>
        <v/>
      </c>
      <c r="B130" s="5"/>
      <c r="C130" s="5"/>
      <c r="D130" s="5"/>
      <c r="E130" s="5"/>
      <c r="F130" s="5"/>
      <c r="G130" s="5"/>
      <c r="H130" s="5"/>
      <c r="I130" s="244"/>
      <c r="J130" s="244"/>
      <c r="K130" s="244"/>
      <c r="L130" s="244"/>
      <c r="M130" s="244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44"/>
      <c r="J131" s="244"/>
      <c r="K131" s="244"/>
      <c r="L131" s="244"/>
      <c r="M131" s="244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44"/>
      <c r="J132" s="244"/>
      <c r="K132" s="244"/>
      <c r="L132" s="244"/>
      <c r="M132" s="244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44"/>
      <c r="J133" s="244"/>
      <c r="K133" s="244"/>
      <c r="L133" s="244"/>
      <c r="M133" s="244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44"/>
      <c r="J134" s="244"/>
      <c r="K134" s="244"/>
      <c r="L134" s="244"/>
      <c r="M134" s="244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44"/>
      <c r="J135" s="244"/>
      <c r="K135" s="244"/>
      <c r="L135" s="244"/>
      <c r="M135" s="244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44"/>
      <c r="J136" s="244"/>
      <c r="K136" s="244"/>
      <c r="L136" s="244"/>
      <c r="M136" s="244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44"/>
      <c r="J137" s="244"/>
      <c r="K137" s="244"/>
      <c r="L137" s="244"/>
      <c r="M137" s="244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44"/>
      <c r="J138" s="244"/>
      <c r="K138" s="244"/>
      <c r="L138" s="244"/>
      <c r="M138" s="244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44"/>
      <c r="J139" s="244"/>
      <c r="K139" s="244"/>
      <c r="L139" s="244"/>
      <c r="M139" s="244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44"/>
      <c r="J140" s="244"/>
      <c r="K140" s="244"/>
      <c r="L140" s="244"/>
      <c r="M140" s="244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44"/>
      <c r="J141" s="244"/>
      <c r="K141" s="244"/>
      <c r="L141" s="244"/>
      <c r="M141" s="244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44"/>
      <c r="J142" s="244"/>
      <c r="K142" s="244"/>
      <c r="L142" s="244"/>
      <c r="M142" s="244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44"/>
      <c r="J143" s="244"/>
      <c r="K143" s="244"/>
      <c r="L143" s="244"/>
      <c r="M143" s="244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44"/>
      <c r="J144" s="244"/>
      <c r="K144" s="244"/>
      <c r="L144" s="244"/>
      <c r="M144" s="244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44"/>
      <c r="J145" s="244"/>
      <c r="K145" s="244"/>
      <c r="L145" s="244"/>
      <c r="M145" s="244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44"/>
      <c r="J146" s="244"/>
      <c r="K146" s="244"/>
      <c r="L146" s="244"/>
      <c r="M146" s="244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44"/>
      <c r="J147" s="244"/>
      <c r="K147" s="244"/>
      <c r="L147" s="244"/>
      <c r="M147" s="244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80" t="str">
        <f>A13</f>
        <v/>
      </c>
      <c r="B148" s="5"/>
      <c r="C148" s="5"/>
      <c r="D148" s="5"/>
      <c r="E148" s="5"/>
      <c r="F148" s="5"/>
      <c r="G148" s="5"/>
      <c r="H148" s="5"/>
      <c r="I148" s="244"/>
      <c r="J148" s="244"/>
      <c r="K148" s="244"/>
      <c r="L148" s="244"/>
      <c r="M148" s="244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44"/>
      <c r="J149" s="244"/>
      <c r="K149" s="244"/>
      <c r="L149" s="244"/>
      <c r="M149" s="244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44"/>
      <c r="J150" s="244"/>
      <c r="K150" s="244"/>
      <c r="L150" s="244"/>
      <c r="M150" s="244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44"/>
      <c r="J151" s="244"/>
      <c r="K151" s="244"/>
      <c r="L151" s="244"/>
      <c r="M151" s="244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44"/>
      <c r="J152" s="244"/>
      <c r="K152" s="244"/>
      <c r="L152" s="244"/>
      <c r="M152" s="244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44"/>
      <c r="J153" s="244"/>
      <c r="K153" s="244"/>
      <c r="L153" s="244"/>
      <c r="M153" s="244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44"/>
      <c r="J154" s="244"/>
      <c r="K154" s="244"/>
      <c r="L154" s="244"/>
      <c r="M154" s="244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44"/>
      <c r="J155" s="244"/>
      <c r="K155" s="244"/>
      <c r="L155" s="244"/>
      <c r="M155" s="244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44"/>
      <c r="J156" s="244"/>
      <c r="K156" s="244"/>
      <c r="L156" s="244"/>
      <c r="M156" s="244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44"/>
      <c r="J157" s="244"/>
      <c r="K157" s="244"/>
      <c r="L157" s="244"/>
      <c r="M157" s="244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44"/>
      <c r="J158" s="244"/>
      <c r="K158" s="244"/>
      <c r="L158" s="244"/>
      <c r="M158" s="244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44"/>
      <c r="J159" s="244"/>
      <c r="K159" s="244"/>
      <c r="L159" s="244"/>
      <c r="M159" s="244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44"/>
      <c r="J160" s="244"/>
      <c r="K160" s="244"/>
      <c r="L160" s="244"/>
      <c r="M160" s="244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44"/>
      <c r="J161" s="244"/>
      <c r="K161" s="244"/>
      <c r="L161" s="244"/>
      <c r="M161" s="244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44"/>
      <c r="J162" s="244"/>
      <c r="K162" s="244"/>
      <c r="L162" s="244"/>
      <c r="M162" s="244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44"/>
      <c r="J163" s="244"/>
      <c r="K163" s="244"/>
      <c r="L163" s="244"/>
      <c r="M163" s="244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44"/>
      <c r="J164" s="244"/>
      <c r="K164" s="244"/>
      <c r="L164" s="244"/>
      <c r="M164" s="244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44"/>
      <c r="J165" s="244"/>
      <c r="K165" s="244"/>
      <c r="L165" s="244"/>
      <c r="M165" s="244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80" t="str">
        <f>A14</f>
        <v/>
      </c>
      <c r="B166" s="5"/>
      <c r="C166" s="5"/>
      <c r="D166" s="5"/>
      <c r="E166" s="5"/>
      <c r="F166" s="5"/>
      <c r="G166" s="5"/>
      <c r="H166" s="5"/>
      <c r="I166" s="244"/>
      <c r="J166" s="244"/>
      <c r="K166" s="244"/>
      <c r="L166" s="244"/>
      <c r="M166" s="244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44"/>
      <c r="J167" s="244"/>
      <c r="K167" s="244"/>
      <c r="L167" s="244"/>
      <c r="M167" s="244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44"/>
      <c r="J168" s="244"/>
      <c r="K168" s="244"/>
      <c r="L168" s="244"/>
      <c r="M168" s="244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44"/>
      <c r="J169" s="244"/>
      <c r="K169" s="244"/>
      <c r="L169" s="244"/>
      <c r="M169" s="244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44"/>
      <c r="J170" s="244"/>
      <c r="K170" s="244"/>
      <c r="L170" s="244"/>
      <c r="M170" s="244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44"/>
      <c r="J171" s="244"/>
      <c r="K171" s="244"/>
      <c r="L171" s="244"/>
      <c r="M171" s="244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44"/>
      <c r="J172" s="244"/>
      <c r="K172" s="244"/>
      <c r="L172" s="244"/>
      <c r="M172" s="244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44"/>
      <c r="J173" s="244"/>
      <c r="K173" s="244"/>
      <c r="L173" s="244"/>
      <c r="M173" s="244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44"/>
      <c r="J174" s="244"/>
      <c r="K174" s="244"/>
      <c r="L174" s="244"/>
      <c r="M174" s="244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44"/>
      <c r="J175" s="244"/>
      <c r="K175" s="244"/>
      <c r="L175" s="244"/>
      <c r="M175" s="244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44"/>
      <c r="J176" s="244"/>
      <c r="K176" s="244"/>
      <c r="L176" s="244"/>
      <c r="M176" s="244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44"/>
      <c r="J177" s="244"/>
      <c r="K177" s="244"/>
      <c r="L177" s="244"/>
      <c r="M177" s="244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44"/>
      <c r="J178" s="244"/>
      <c r="K178" s="244"/>
      <c r="L178" s="244"/>
      <c r="M178" s="244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44"/>
      <c r="J179" s="244"/>
      <c r="K179" s="244"/>
      <c r="L179" s="244"/>
      <c r="M179" s="244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44"/>
      <c r="J180" s="244"/>
      <c r="K180" s="244"/>
      <c r="L180" s="244"/>
      <c r="M180" s="244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44"/>
      <c r="J181" s="244"/>
      <c r="K181" s="244"/>
      <c r="L181" s="244"/>
      <c r="M181" s="244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44"/>
      <c r="J182" s="244"/>
      <c r="K182" s="244"/>
      <c r="L182" s="244"/>
      <c r="M182" s="244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44"/>
      <c r="J183" s="244"/>
      <c r="K183" s="244"/>
      <c r="L183" s="244"/>
      <c r="M183" s="244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80" t="str">
        <f>A15</f>
        <v/>
      </c>
      <c r="B184" s="5"/>
      <c r="C184" s="5"/>
      <c r="D184" s="5"/>
      <c r="E184" s="5"/>
      <c r="F184" s="5"/>
      <c r="G184" s="5"/>
      <c r="H184" s="5"/>
      <c r="I184" s="244"/>
      <c r="J184" s="244"/>
      <c r="K184" s="244"/>
      <c r="L184" s="244"/>
      <c r="M184" s="244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44"/>
      <c r="J185" s="244"/>
      <c r="K185" s="244"/>
      <c r="L185" s="244"/>
      <c r="M185" s="244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44"/>
      <c r="J186" s="244"/>
      <c r="K186" s="244"/>
      <c r="L186" s="244"/>
      <c r="M186" s="244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44"/>
      <c r="J187" s="244"/>
      <c r="K187" s="244"/>
      <c r="L187" s="244"/>
      <c r="M187" s="244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44"/>
      <c r="J188" s="244"/>
      <c r="K188" s="244"/>
      <c r="L188" s="244"/>
      <c r="M188" s="244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44"/>
      <c r="J189" s="244"/>
      <c r="K189" s="244"/>
      <c r="L189" s="244"/>
      <c r="M189" s="244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44"/>
      <c r="J190" s="244"/>
      <c r="K190" s="244"/>
      <c r="L190" s="244"/>
      <c r="M190" s="244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44"/>
      <c r="J191" s="244"/>
      <c r="K191" s="244"/>
      <c r="L191" s="244"/>
      <c r="M191" s="244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44"/>
      <c r="J192" s="244"/>
      <c r="K192" s="244"/>
      <c r="L192" s="244"/>
      <c r="M192" s="244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44"/>
      <c r="J193" s="244"/>
      <c r="K193" s="244"/>
      <c r="L193" s="244"/>
      <c r="M193" s="244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44"/>
      <c r="J194" s="244"/>
      <c r="K194" s="244"/>
      <c r="L194" s="244"/>
      <c r="M194" s="244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44"/>
      <c r="J195" s="244"/>
      <c r="K195" s="244"/>
      <c r="L195" s="244"/>
      <c r="M195" s="244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44"/>
      <c r="J196" s="244"/>
      <c r="K196" s="244"/>
      <c r="L196" s="244"/>
      <c r="M196" s="244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44"/>
      <c r="J197" s="244"/>
      <c r="K197" s="244"/>
      <c r="L197" s="244"/>
      <c r="M197" s="244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44"/>
      <c r="J198" s="244"/>
      <c r="K198" s="244"/>
      <c r="L198" s="244"/>
      <c r="M198" s="244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44"/>
      <c r="J199" s="244"/>
      <c r="K199" s="244"/>
      <c r="L199" s="244"/>
      <c r="M199" s="244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44"/>
      <c r="J200" s="244"/>
      <c r="K200" s="244"/>
      <c r="L200" s="244"/>
      <c r="M200" s="244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44"/>
      <c r="J201" s="244"/>
      <c r="K201" s="244"/>
      <c r="L201" s="244"/>
      <c r="M201" s="244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44"/>
      <c r="J202" s="244"/>
      <c r="K202" s="244"/>
      <c r="L202" s="244"/>
      <c r="M202" s="244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44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mpF27bePewg94B2eF1gxwc8v85oenEjCRmy2/XJK89cMMyj+8rNdg+67AFL5toKZVIlOE6PMI6HIdT0WDi+RjA==" saltValue="nqXUzVl1FySgJjcuIj9Ivg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P500"/>
  <sheetViews>
    <sheetView topLeftCell="C13" zoomScale="85" zoomScaleNormal="85" workbookViewId="0">
      <selection activeCell="I40" sqref="I4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34" style="3" customWidth="1"/>
    <col min="7" max="7" width="11.42578125" style="3"/>
    <col min="8" max="8" width="11.42578125" style="1"/>
    <col min="9" max="9" width="33" style="1" customWidth="1"/>
    <col min="10" max="10" width="37" style="1" customWidth="1"/>
    <col min="11" max="15" width="11.42578125" style="1"/>
    <col min="16" max="16" width="21" style="1" customWidth="1"/>
    <col min="17" max="16384" width="11.42578125" style="1"/>
  </cols>
  <sheetData>
    <row r="1" spans="1:46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</row>
    <row r="2" spans="1:46" ht="27" thickBot="1" x14ac:dyDescent="0.45">
      <c r="A2" s="5"/>
      <c r="B2" s="287" t="s">
        <v>273</v>
      </c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9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</row>
    <row r="3" spans="1:46" s="206" customFormat="1" x14ac:dyDescent="0.25">
      <c r="A3" s="100"/>
      <c r="B3" s="100"/>
      <c r="C3" s="100"/>
      <c r="D3" s="100"/>
      <c r="E3" s="100"/>
      <c r="F3" s="181"/>
      <c r="G3" s="181"/>
      <c r="H3" s="100"/>
      <c r="I3" s="182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</row>
    <row r="4" spans="1:46" s="206" customFormat="1" x14ac:dyDescent="0.25">
      <c r="A4" s="100"/>
      <c r="B4" s="100"/>
      <c r="C4" s="100"/>
      <c r="D4" s="100"/>
      <c r="E4" s="100"/>
      <c r="F4" s="181"/>
      <c r="G4" s="181"/>
      <c r="H4" s="100"/>
      <c r="I4" s="272" t="s">
        <v>190</v>
      </c>
      <c r="J4" s="272"/>
      <c r="K4" s="272"/>
      <c r="L4" s="272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</row>
    <row r="5" spans="1:46" s="206" customFormat="1" x14ac:dyDescent="0.25">
      <c r="A5" s="100"/>
      <c r="B5" s="100"/>
      <c r="C5" s="100"/>
      <c r="D5" s="100"/>
      <c r="E5" s="100"/>
      <c r="F5" s="240"/>
      <c r="G5" s="181"/>
      <c r="H5" s="100"/>
      <c r="I5" s="183"/>
      <c r="J5" s="183"/>
      <c r="K5" s="183"/>
      <c r="L5" s="183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00"/>
      <c r="AG5" s="100"/>
      <c r="AH5" s="100"/>
      <c r="AI5" s="100"/>
      <c r="AJ5" s="100"/>
      <c r="AK5" s="100"/>
      <c r="AL5" s="100"/>
      <c r="AM5" s="100"/>
      <c r="AN5" s="100"/>
      <c r="AO5" s="100"/>
      <c r="AP5" s="100"/>
      <c r="AQ5" s="100"/>
      <c r="AR5" s="100"/>
      <c r="AS5" s="100"/>
      <c r="AT5" s="100"/>
    </row>
    <row r="6" spans="1:46" s="206" customFormat="1" ht="26.25" x14ac:dyDescent="0.4">
      <c r="A6" s="100"/>
      <c r="B6" s="311" t="s">
        <v>192</v>
      </c>
      <c r="C6" s="311"/>
      <c r="D6" s="100"/>
      <c r="E6" s="100"/>
      <c r="F6" s="241"/>
      <c r="G6" s="242"/>
      <c r="H6" s="27"/>
      <c r="I6" s="188" t="s">
        <v>253</v>
      </c>
      <c r="J6" s="184">
        <v>4.4999999999999998E-2</v>
      </c>
      <c r="K6" s="27"/>
      <c r="L6" s="27"/>
      <c r="M6" s="27"/>
      <c r="N6" s="185"/>
      <c r="O6" s="311" t="s">
        <v>191</v>
      </c>
      <c r="P6" s="311"/>
      <c r="Q6" s="311"/>
      <c r="R6" s="311"/>
      <c r="S6" s="100"/>
      <c r="T6" s="100"/>
      <c r="U6" s="100"/>
      <c r="V6" s="100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0"/>
      <c r="AT6" s="100"/>
    </row>
    <row r="7" spans="1:46" x14ac:dyDescent="0.25">
      <c r="A7" s="25"/>
      <c r="B7" s="25"/>
      <c r="C7" s="25"/>
      <c r="D7" s="25"/>
      <c r="E7" s="25"/>
      <c r="F7" s="218"/>
      <c r="G7" s="230"/>
      <c r="H7" s="25"/>
      <c r="I7" s="5"/>
      <c r="J7" s="5"/>
      <c r="K7" s="222"/>
      <c r="L7" s="222"/>
      <c r="M7" s="25"/>
      <c r="N7" s="236"/>
      <c r="O7" s="25"/>
      <c r="P7" s="25"/>
      <c r="Q7" s="25"/>
      <c r="R7" s="25"/>
      <c r="S7" s="25"/>
      <c r="T7" s="25"/>
      <c r="U7" s="25"/>
      <c r="V7" s="25"/>
      <c r="W7" s="25"/>
      <c r="X7" s="2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</row>
    <row r="8" spans="1:46" x14ac:dyDescent="0.25">
      <c r="A8" s="25"/>
      <c r="B8" s="25"/>
      <c r="C8" s="25"/>
      <c r="D8" s="25"/>
      <c r="E8" s="25"/>
      <c r="F8" s="218"/>
      <c r="G8" s="230"/>
      <c r="H8" s="25"/>
      <c r="I8" s="188" t="s">
        <v>178</v>
      </c>
      <c r="J8" s="188" t="s">
        <v>294</v>
      </c>
      <c r="K8" s="222"/>
      <c r="L8" s="222"/>
      <c r="M8" s="25"/>
      <c r="N8" s="236"/>
      <c r="O8" s="25"/>
      <c r="P8" s="25"/>
      <c r="Q8" s="25"/>
      <c r="R8" s="25"/>
      <c r="S8" s="25"/>
      <c r="T8" s="25"/>
      <c r="U8" s="25"/>
      <c r="V8" s="25"/>
      <c r="W8" s="25"/>
      <c r="X8" s="2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</row>
    <row r="9" spans="1:46" x14ac:dyDescent="0.25">
      <c r="A9" s="25"/>
      <c r="B9" s="25"/>
      <c r="C9" s="25"/>
      <c r="D9" s="25"/>
      <c r="E9" s="25"/>
      <c r="F9" s="218"/>
      <c r="G9" s="230"/>
      <c r="H9" s="25"/>
      <c r="I9" s="207"/>
      <c r="J9" s="208">
        <v>0</v>
      </c>
      <c r="K9" s="222"/>
      <c r="L9" s="222"/>
      <c r="M9" s="25"/>
      <c r="N9" s="236"/>
      <c r="O9" s="25"/>
      <c r="P9" s="25"/>
      <c r="Q9" s="25"/>
      <c r="R9" s="25"/>
      <c r="S9" s="25"/>
      <c r="T9" s="25"/>
      <c r="U9" s="25"/>
      <c r="V9" s="25"/>
      <c r="W9" s="25"/>
      <c r="X9" s="2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x14ac:dyDescent="0.25">
      <c r="A10" s="25"/>
      <c r="B10" s="25"/>
      <c r="C10" s="25"/>
      <c r="D10" s="25"/>
      <c r="E10" s="25"/>
      <c r="F10" s="218"/>
      <c r="G10" s="230"/>
      <c r="H10" s="25"/>
      <c r="I10" s="5"/>
      <c r="J10" s="5"/>
      <c r="K10" s="222"/>
      <c r="L10" s="222"/>
      <c r="M10" s="25"/>
      <c r="N10" s="236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x14ac:dyDescent="0.25">
      <c r="A11" s="25"/>
      <c r="B11" s="25"/>
      <c r="C11" s="25"/>
      <c r="D11" s="25"/>
      <c r="E11" s="25"/>
      <c r="F11" s="218"/>
      <c r="G11" s="25"/>
      <c r="H11" s="25"/>
      <c r="I11" s="246" t="s">
        <v>178</v>
      </c>
      <c r="J11" s="246" t="s">
        <v>289</v>
      </c>
      <c r="K11" s="25"/>
      <c r="L11" s="222"/>
      <c r="M11" s="25"/>
      <c r="N11" s="236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x14ac:dyDescent="0.25">
      <c r="A12" s="25"/>
      <c r="B12" s="25"/>
      <c r="C12" s="25"/>
      <c r="D12" s="25"/>
      <c r="E12" s="25"/>
      <c r="F12" s="234"/>
      <c r="G12" s="243"/>
      <c r="H12" s="25"/>
      <c r="I12" s="207"/>
      <c r="J12" s="208">
        <v>9673</v>
      </c>
      <c r="K12" s="223"/>
      <c r="L12" s="224"/>
      <c r="M12" s="25"/>
      <c r="N12" s="186"/>
      <c r="O12" s="187" t="s">
        <v>257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x14ac:dyDescent="0.25">
      <c r="A13" s="25"/>
      <c r="B13" s="25"/>
      <c r="C13" s="25"/>
      <c r="D13" s="25"/>
      <c r="E13" s="25"/>
      <c r="F13" s="234"/>
      <c r="G13" s="243"/>
      <c r="H13" s="25"/>
      <c r="I13" s="207"/>
      <c r="J13" s="208"/>
      <c r="K13" s="225"/>
      <c r="L13" s="224"/>
      <c r="M13" s="25"/>
      <c r="N13" s="236"/>
      <c r="O13" s="226"/>
      <c r="P13" s="25"/>
      <c r="Q13" s="25"/>
      <c r="R13" s="25"/>
      <c r="S13" s="25"/>
      <c r="T13" s="25"/>
      <c r="U13" s="25"/>
      <c r="V13" s="25"/>
      <c r="W13" s="2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</row>
    <row r="14" spans="1:46" x14ac:dyDescent="0.25">
      <c r="A14" s="25"/>
      <c r="B14" s="25"/>
      <c r="C14" s="25"/>
      <c r="D14" s="25"/>
      <c r="E14" s="25"/>
      <c r="F14" s="234"/>
      <c r="G14" s="243"/>
      <c r="H14" s="25"/>
      <c r="I14" s="207"/>
      <c r="J14" s="208"/>
      <c r="K14" s="225"/>
      <c r="L14" s="224"/>
      <c r="M14" s="25"/>
      <c r="N14" s="236"/>
      <c r="O14" s="226"/>
      <c r="P14" s="25"/>
      <c r="Q14" s="25"/>
      <c r="R14" s="25"/>
      <c r="S14" s="25"/>
      <c r="T14" s="25"/>
      <c r="U14" s="25"/>
      <c r="V14" s="25"/>
      <c r="W14" s="2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</row>
    <row r="15" spans="1:46" x14ac:dyDescent="0.25">
      <c r="A15" s="25"/>
      <c r="B15" s="25"/>
      <c r="C15" s="25"/>
      <c r="D15" s="25"/>
      <c r="E15" s="25"/>
      <c r="F15" s="234"/>
      <c r="G15" s="243"/>
      <c r="H15" s="25"/>
      <c r="I15" s="207"/>
      <c r="J15" s="208"/>
      <c r="K15" s="225"/>
      <c r="L15" s="224"/>
      <c r="M15" s="25"/>
      <c r="N15" s="236"/>
      <c r="O15" s="226"/>
      <c r="P15" s="25"/>
      <c r="Q15" s="25"/>
      <c r="R15" s="25"/>
      <c r="S15" s="25"/>
      <c r="T15" s="25"/>
      <c r="U15" s="25"/>
      <c r="V15" s="25"/>
      <c r="W15" s="2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</row>
    <row r="16" spans="1:46" x14ac:dyDescent="0.25">
      <c r="A16" s="25"/>
      <c r="B16" s="25"/>
      <c r="C16" s="25"/>
      <c r="D16" s="25"/>
      <c r="E16" s="25"/>
      <c r="F16" s="234"/>
      <c r="G16" s="243"/>
      <c r="H16" s="25"/>
      <c r="I16" s="207"/>
      <c r="J16" s="208"/>
      <c r="K16" s="225"/>
      <c r="L16" s="224"/>
      <c r="M16" s="25"/>
      <c r="N16" s="236"/>
      <c r="O16" s="226"/>
      <c r="P16" s="25"/>
      <c r="Q16" s="25"/>
      <c r="R16" s="25"/>
      <c r="S16" s="25"/>
      <c r="T16" s="25"/>
      <c r="U16" s="25"/>
      <c r="V16" s="25"/>
      <c r="W16" s="2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</row>
    <row r="17" spans="1:60" ht="31.5" customHeight="1" x14ac:dyDescent="0.25">
      <c r="A17" s="235"/>
      <c r="B17" s="235"/>
      <c r="C17" s="25"/>
      <c r="D17" s="25"/>
      <c r="E17" s="25"/>
      <c r="F17" s="218"/>
      <c r="G17" s="230"/>
      <c r="H17" s="25"/>
      <c r="I17" s="302" t="s">
        <v>292</v>
      </c>
      <c r="J17" s="302"/>
      <c r="K17" s="302"/>
      <c r="L17" s="302"/>
      <c r="M17" s="5"/>
      <c r="N17" s="186"/>
      <c r="O17" s="312" t="s">
        <v>254</v>
      </c>
      <c r="P17" s="312"/>
      <c r="Q17" s="2">
        <v>100</v>
      </c>
      <c r="R17" s="2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</row>
    <row r="18" spans="1:60" x14ac:dyDescent="0.25">
      <c r="A18" s="49" t="s">
        <v>165</v>
      </c>
      <c r="B18" s="189" t="str">
        <f>IF('Données projet'!$B$9="","",'Données projet'!$B$9)</f>
        <v>Mélèze d'Europe</v>
      </c>
      <c r="C18" s="5"/>
      <c r="D18" s="5"/>
      <c r="E18" s="5"/>
      <c r="F18" s="218"/>
      <c r="G18" s="230"/>
      <c r="H18" s="25"/>
      <c r="I18" s="5"/>
      <c r="J18" s="5"/>
      <c r="K18" s="5"/>
      <c r="L18" s="5"/>
      <c r="M18" s="5"/>
      <c r="N18" s="186"/>
      <c r="O18" s="273" t="s">
        <v>291</v>
      </c>
      <c r="P18" s="273"/>
      <c r="Q18" s="190">
        <f>VLOOKUP(Q17,Calculateur!$A$2:$H$153,3,0)/VLOOKUP('Scénario référence'!$G$15,Paramètres!A1:I88,3,0)/VLOOKUP('Scénario référence'!$G$15,Paramètres!A1:I88,5,0)</f>
        <v>99.999999999999915</v>
      </c>
      <c r="R18" s="2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</row>
    <row r="19" spans="1:60" x14ac:dyDescent="0.25">
      <c r="A19" s="5"/>
      <c r="B19" s="5"/>
      <c r="C19" s="5"/>
      <c r="D19" s="5"/>
      <c r="E19" s="5"/>
      <c r="F19" s="218"/>
      <c r="G19" s="230"/>
      <c r="H19" s="25"/>
      <c r="I19" s="5"/>
      <c r="J19" s="188" t="s">
        <v>263</v>
      </c>
      <c r="K19" s="191" t="s">
        <v>249</v>
      </c>
      <c r="L19" s="188" t="s">
        <v>264</v>
      </c>
      <c r="M19" s="25"/>
      <c r="N19" s="186"/>
      <c r="O19" s="273" t="s">
        <v>255</v>
      </c>
      <c r="P19" s="273"/>
      <c r="Q19" s="209">
        <v>20</v>
      </c>
      <c r="R19" s="2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</row>
    <row r="20" spans="1:60" ht="15.75" customHeight="1" x14ac:dyDescent="0.25">
      <c r="A20" s="188" t="s">
        <v>180</v>
      </c>
      <c r="B20" s="51" t="s">
        <v>256</v>
      </c>
      <c r="C20" s="51" t="s">
        <v>255</v>
      </c>
      <c r="D20" s="188" t="s">
        <v>252</v>
      </c>
      <c r="E20" s="188" t="s">
        <v>288</v>
      </c>
      <c r="F20" s="218"/>
      <c r="G20" s="231"/>
      <c r="H20" s="25"/>
      <c r="I20" s="188" t="str">
        <f>B18</f>
        <v>Mélèze d'Europe</v>
      </c>
      <c r="J20" s="192">
        <f>IF(B18&lt;&gt;"",-E21+(D22-E22)/(1+$J$6)^A22+(D23-E23)/(1+$J$6)^A23+(D24-E24)/(1+$J$6)^A24+(D25-E25)/(1+$J$6)^A25+(D26-E26)/(1+$J$6)^A26+(D27-E27)/(1+$J$6)^A27+(D28-E28)/(1+$J$6)^A28+(D29-E29)/(1+$J$6)^A29+(D30-E30)/(1+$J$6)^A30+(D31-E31)/(1+$J$6)^A31+(D32-E32)/(1+$J$6)^A32+(D33-E33)/(1+$J$6)^A33+(D34-E34)/(1+$J$6)^A34+(D35-E35)/(1+$J$6)^A35+(D36-E36)/(1+$J$6)^A36+(D37-E37)/(1+$J$6)^A37+(D38-E38)/(1+$J$6)^A38+(D39-E39)/(1+$J$6)^A39+(D40-E40)/(1+$J$6)^A40+(D41-E41)/(1+$J$6)^A41,0)</f>
        <v>3982.4838141368582</v>
      </c>
      <c r="K20" s="193">
        <f>'Données projet'!D9</f>
        <v>1.0183087999999998</v>
      </c>
      <c r="L20" s="192">
        <f>K20*J20</f>
        <v>4055.3983137931264</v>
      </c>
      <c r="M20" s="25"/>
      <c r="N20" s="186"/>
      <c r="O20" s="273" t="s">
        <v>290</v>
      </c>
      <c r="P20" s="273"/>
      <c r="Q20" s="194">
        <f>Q18*Q19</f>
        <v>1999.9999999999982</v>
      </c>
      <c r="R20" s="2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</row>
    <row r="21" spans="1:60" ht="15.75" customHeight="1" x14ac:dyDescent="0.25">
      <c r="A21" s="214">
        <v>0</v>
      </c>
      <c r="B21" s="217" t="s">
        <v>132</v>
      </c>
      <c r="C21" s="216" t="s">
        <v>132</v>
      </c>
      <c r="D21" s="215" t="s">
        <v>132</v>
      </c>
      <c r="E21" s="210"/>
      <c r="F21" s="218"/>
      <c r="G21" s="231"/>
      <c r="H21" s="25"/>
      <c r="I21" s="188" t="str">
        <f>B44</f>
        <v>Epicéa commun</v>
      </c>
      <c r="J21" s="192">
        <f>IF(B44&lt;&gt;"",-E47+(D48-E48)/(1+$J$6)^A48+(D49-D49)/(1+$J$6)^A49+(D50-E50)/(1+$J$6)^A50+(D51-E51)/(1+$J$6)^A51+(D52-E52)/(1+$J$6)^A52+(D53-E53)/(1+$J$6)^A53+(D54-E54)/(1+$J$6)^A54+(D55-E55)/(1+$J$6)^A55+(D56-E56)/(1+$J$6)^A56+(D57-E57)/(1+$J$6)^A57+(D58-E58)/(1+$J$6)^A58+(D59-E59)/(1+$J$6)^A59+(D60-E60)/(1+$J$6)^A60+(D61-E61)/(1+$J$6)^A61+(D62-E62)/(1+$J$6)^A62+(D63-E63)/(1+$J$6)^A63+(D64-E64)/(1+$J$6)^A64+(D65-E65)/(1+$J$6)^A65+(D66-E66)/(1+$J$6)^A66+(D67-E67)/(1+$J$6)^A67,0)</f>
        <v>1700.7397287352869</v>
      </c>
      <c r="K21" s="193">
        <f>'Données projet'!D10</f>
        <v>0.91046479999999996</v>
      </c>
      <c r="L21" s="192">
        <f t="shared" ref="L21:L29" si="0">K21*J21</f>
        <v>1548.4636569750271</v>
      </c>
      <c r="M21" s="25"/>
      <c r="N21" s="236"/>
      <c r="O21" s="237"/>
      <c r="P21" s="237"/>
      <c r="Q21" s="232"/>
      <c r="R21" s="25"/>
      <c r="S21" s="25"/>
      <c r="T21" s="25"/>
      <c r="U21" s="25"/>
      <c r="V21" s="2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</row>
    <row r="22" spans="1:60" x14ac:dyDescent="0.25">
      <c r="A22" s="195">
        <f>'Données projet'!A36</f>
        <v>18</v>
      </c>
      <c r="B22" s="196">
        <f>'Données projet'!D36</f>
        <v>20</v>
      </c>
      <c r="C22" s="210">
        <v>10</v>
      </c>
      <c r="D22" s="197">
        <f>B22*C22</f>
        <v>200</v>
      </c>
      <c r="E22" s="210"/>
      <c r="F22" s="218"/>
      <c r="G22" s="227"/>
      <c r="H22" s="25"/>
      <c r="I22" s="188" t="str">
        <f>B70</f>
        <v>Erable sycomore</v>
      </c>
      <c r="J22" s="192">
        <f>IF(B70&lt;&gt;"",-E73+(D74-E74)/(1+$J$6)^A74+(D75-E75)/(1+$J$6)^A75+(D76-E76)/(1+$J$6)^A76+(D77-E77)/(1+$J$6)^A77+(D78-E78)/(1+$J$6)^A78+(D79-E79)/(1+$J$6)^A79+(D80-E80)/(1+$J$6)^A80+(D81-E81)/(1+$J$6)^A81+(D82-E82)/(1+$J$6)^A82+(D83-E83)/(1+$J$6)^A83+(D84-E84)/(1+$J$6)^A84+(D85-E85)/(1+$J$6)^A85+(D86-E86)/(1+$J$6)^A86+(D87-E87)/(1+$J$6)^A87+(D88-E88)/(1+$J$6)^A88+(D89-E89)/(1+$J$6)^A89+(D90-E90)/(1+$J$6)^A90+(D91-E91)/(1+$J$6)^A91+(D92-E92)/(1+$J$6)^A92+(D93-E93)/(1+$J$6)^A93,0)</f>
        <v>2268.8009521856934</v>
      </c>
      <c r="K22" s="193">
        <f>'Données projet'!D11</f>
        <v>0.81667319999999999</v>
      </c>
      <c r="L22" s="192">
        <f t="shared" si="0"/>
        <v>1852.8689337845371</v>
      </c>
      <c r="M22" s="25"/>
      <c r="N22" s="236"/>
      <c r="O22" s="25"/>
      <c r="P22" s="25"/>
      <c r="Q22" s="25"/>
      <c r="R22" s="25"/>
      <c r="S22" s="25"/>
      <c r="T22" s="25"/>
      <c r="U22" s="25"/>
      <c r="V22" s="2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</row>
    <row r="23" spans="1:60" x14ac:dyDescent="0.25">
      <c r="A23" s="195">
        <f>'Données projet'!A37</f>
        <v>21</v>
      </c>
      <c r="B23" s="196">
        <f>'Données projet'!D37</f>
        <v>26</v>
      </c>
      <c r="C23" s="210">
        <v>10</v>
      </c>
      <c r="D23" s="197">
        <f t="shared" ref="D23:D41" si="1">B23*C23</f>
        <v>260</v>
      </c>
      <c r="E23" s="210"/>
      <c r="F23" s="219"/>
      <c r="G23" s="227"/>
      <c r="H23" s="25"/>
      <c r="I23" s="188" t="str">
        <f>B96</f>
        <v>Merisier</v>
      </c>
      <c r="J23" s="192">
        <f>IF(B96&lt;&gt;"",-E99+(D100-E100)/(1+$J$6)^A100+(D101-E101)/(1+$J$6)^A101+(D102-E102)/(1+$J$6)^A102+(D103-E103)/(1+$J$6)^A103+(D104-E104)/(1+$J$6)^A104+(D105-E105)/(1+$J$6)^A105+(D106-E106)/(1+$J$6)^A106+(D107-E107)/(1+$J$6)^A107+(D108-E108)/(1+$J$6)^A108+(D109-E109)/(1+$J$6)^A109+(D110-E110)/(1+$J$6)^A110+(D111-E111)/(1+$J$6)^A111+(D112-E112)/(1+$J$6)^A112+(D113-E113)/(1+$J$6)^A113+(D114-E114)/(1+$J$6)^A114+(D115-E115)/(1+$J$6)^A115+(D116-E116)/(1+$J$6)^A116+(D117-E117)/(1+$J$6)^A117+(D118-E118)/(1+$J$6)^A118+(D119-E119)/(1+$J$6)^A119,0)</f>
        <v>3347.3380352827753</v>
      </c>
      <c r="K23" s="193">
        <f>'Données projet'!D12</f>
        <v>0.30425079999999999</v>
      </c>
      <c r="L23" s="192">
        <f t="shared" si="0"/>
        <v>1018.4302751052126</v>
      </c>
      <c r="M23" s="226"/>
      <c r="N23" s="198"/>
      <c r="O23" s="315" t="s">
        <v>261</v>
      </c>
      <c r="P23" s="315"/>
      <c r="Q23" s="31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60" x14ac:dyDescent="0.25">
      <c r="A24" s="195">
        <f>'Données projet'!A38</f>
        <v>24</v>
      </c>
      <c r="B24" s="196">
        <f>'Données projet'!D38</f>
        <v>29</v>
      </c>
      <c r="C24" s="210">
        <v>20</v>
      </c>
      <c r="D24" s="197">
        <f t="shared" si="1"/>
        <v>580</v>
      </c>
      <c r="E24" s="210"/>
      <c r="F24" s="219"/>
      <c r="G24" s="227"/>
      <c r="H24" s="25"/>
      <c r="I24" s="188" t="str">
        <f>B122</f>
        <v>Douglas</v>
      </c>
      <c r="J24" s="192">
        <f>IF(B122&lt;&gt;"",-E125+(D126-E126)/(1+$J$6)^A126+(D127-E127)/(1+$J$6)^A127+(D128-E128)/(1+$J$6)^A128+(D129-E129)/(1+$J$6)^A129+(D130-E130)/(1+$J$6)^A130+(D131-E131)/(1+$J$6)^A131+(D132-E132)/(1+$J$6)^A132+(D133-E133)/(1+$J$6)^A133+(D134-E134)/(1+$J$6)^A134+(D135-E135)/(1+$J$6)^A135+(D136-E136)/(1+$J$6)^A136+(D137-E137)/(1+$J$6)^A137+(D138-E138)/(1+$J$6)^A138+(D139-E139)/(1+$J$6)^A139+(D140-E140)/(1+$J$6)^A140+(D141-E141)/(1+$J$6)^A141+(D142-E142)/(1+$J$6)^A142+(D143-E143)/(1+$J$6)^A143+(D144-E144)/(1+$J$6)^A144+(D145-E145)/(1+$J$6)^A145,0)</f>
        <v>4833.8133563729625</v>
      </c>
      <c r="K24" s="193">
        <f>'Données projet'!D13</f>
        <v>0.21797559999999996</v>
      </c>
      <c r="L24" s="192">
        <f t="shared" si="0"/>
        <v>1053.6533666434102</v>
      </c>
      <c r="M24" s="25"/>
      <c r="N24" s="186"/>
      <c r="O24" s="313" t="s">
        <v>286</v>
      </c>
      <c r="P24" s="313"/>
      <c r="Q24" s="313"/>
      <c r="R24" s="313"/>
      <c r="S24" s="313"/>
      <c r="T24" s="209"/>
      <c r="U24" s="25"/>
      <c r="V24" s="25"/>
      <c r="W24" s="2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</row>
    <row r="25" spans="1:60" ht="15" customHeight="1" x14ac:dyDescent="0.25">
      <c r="A25" s="195">
        <f>'Données projet'!A39</f>
        <v>30</v>
      </c>
      <c r="B25" s="196">
        <f>'Données projet'!D39</f>
        <v>53</v>
      </c>
      <c r="C25" s="210">
        <v>30</v>
      </c>
      <c r="D25" s="197">
        <f t="shared" si="1"/>
        <v>1590</v>
      </c>
      <c r="E25" s="210"/>
      <c r="F25" s="219"/>
      <c r="G25" s="227"/>
      <c r="H25" s="25"/>
      <c r="I25" s="188" t="str">
        <f>B148</f>
        <v/>
      </c>
      <c r="J25" s="192">
        <f>IF(B148&lt;&gt;"",-E151+(D152-E152)/(1+$J$6)^A152+(D153-E153)/(1+$J$6)^A153+(D154-E154)/(1+$J$6)^A154+(D155-E155)/(1+$J$6)^A155+(D156-E156)/(1+$J$6)^A156+(D157-E157)/(1+$J$6)^A157+(D158-E158)/(1+$J$6)^A158+(D159-E159)/(1+$J$6)^A159+(D160-E160)/(1+$J$6)^A160+(D161-E161)/(1+$J$6)^A161+(D162-E162)/(1+$J$6)^A162+(D163-E163)/(1+$J$6)^A163+(D164-E164)/(1+$J$6)^A164+(D165-E165)/(1+$J$6)^A165+(D166-E166)/(1+$J$6)^A166+(D167-E167)/(1+$J$6)^A167+(D168-E168)/(1+$J$6)^A168+(D169-E169)/(1+$J$6)^A169+(D170-E170)/(1+$J$6)^A170+(D171-E171)/(1+$J$6)^A171,0)</f>
        <v>0</v>
      </c>
      <c r="K25" s="193">
        <f>'Données projet'!D14</f>
        <v>0</v>
      </c>
      <c r="L25" s="192">
        <f t="shared" si="0"/>
        <v>0</v>
      </c>
      <c r="M25" s="25"/>
      <c r="N25" s="186"/>
      <c r="O25" s="314" t="s">
        <v>258</v>
      </c>
      <c r="P25" s="314"/>
      <c r="Q25" s="314"/>
      <c r="R25" s="314"/>
      <c r="S25" s="314"/>
      <c r="T25" s="314"/>
      <c r="U25" s="25"/>
      <c r="V25" s="25"/>
      <c r="W25" s="2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</row>
    <row r="26" spans="1:60" x14ac:dyDescent="0.25">
      <c r="A26" s="195">
        <f>'Données projet'!A40</f>
        <v>36</v>
      </c>
      <c r="B26" s="196">
        <f>'Données projet'!D40</f>
        <v>62</v>
      </c>
      <c r="C26" s="210">
        <v>40</v>
      </c>
      <c r="D26" s="197">
        <f t="shared" si="1"/>
        <v>2480</v>
      </c>
      <c r="E26" s="210"/>
      <c r="F26" s="219"/>
      <c r="G26" s="227"/>
      <c r="H26" s="25"/>
      <c r="I26" s="188" t="str">
        <f>B174</f>
        <v/>
      </c>
      <c r="J26" s="192">
        <f>IF(B174&lt;&gt;"",-E177+(D178-E178)/(1+$J$6)^A178+(D179-E179)/(1+$J$6)^A179+(D180-E180)/(1+$J$6)^A180+(D181-E181)/(1+$J$6)^A181+(D182-E182)/(1+$J$6)^A182+(D183-E183)/(1+$J$6)^A183+(D184-E184)/(1+$J$6)^A184+(D185-E185)/(1+$J$6)^A185+(D186-E186)/(1+$J$6)^A186+(D187-E187)/(1+$J$6)^A187+(D188-E188)/(1+$J$6)^A188+(D189-E189)/(1+$J$6)^A189+(D190-E190)/(1+$J$6)^A190+(D191-E191)/(1+$J$6)^A191+(D192-E192)/(1+$J$6)^A192+(D193-E193)/(1+$J$6)^A193+(D194-E194)/(1+$J$6)^A194+(D195-E195)/(1+$J$6)^A195+(D196-E196)/(1+$J$6)^A196+(D197-E197)/(1+$J$6)^A197,0)</f>
        <v>0</v>
      </c>
      <c r="K26" s="193">
        <f>'Données projet'!D15</f>
        <v>0</v>
      </c>
      <c r="L26" s="192">
        <f t="shared" si="0"/>
        <v>0</v>
      </c>
      <c r="M26" s="25"/>
      <c r="N26" s="186"/>
      <c r="O26" s="314"/>
      <c r="P26" s="314"/>
      <c r="Q26" s="314"/>
      <c r="R26" s="314"/>
      <c r="S26" s="314"/>
      <c r="T26" s="314"/>
      <c r="U26" s="25"/>
      <c r="V26" s="25"/>
      <c r="W26" s="2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</row>
    <row r="27" spans="1:60" x14ac:dyDescent="0.25">
      <c r="A27" s="195">
        <f>'Données projet'!A41</f>
        <v>42</v>
      </c>
      <c r="B27" s="196">
        <f>'Données projet'!D41</f>
        <v>67</v>
      </c>
      <c r="C27" s="210">
        <v>50</v>
      </c>
      <c r="D27" s="197">
        <f t="shared" si="1"/>
        <v>3350</v>
      </c>
      <c r="E27" s="210"/>
      <c r="F27" s="219"/>
      <c r="G27" s="227"/>
      <c r="H27" s="25"/>
      <c r="I27" s="188" t="str">
        <f>B200</f>
        <v/>
      </c>
      <c r="J27" s="192">
        <f>IF(B200&lt;&gt;"",-E203+(D204-E204)/(1+$J$6)^A204+(D205-E205)/(1+$J$6)^A205+(D206-E206)/(1+$J$6)^A206+(D207-E207)/(1+$J$6)^A207+(D208-E208)/(1+$J$6)^A208+(D209-E209)/(1+$J$6)^A209+(D210-E210)/(1+$J$6)^A210+(D211-E211)/(1+$J$6)^A211+(D212-E212)/(1+$J$6)^A212+(D213-E213)/(1+$J$6)^A213+(D214-E214)/(1+$J$6)^A214+(D215-E215)/(1+$J$6)^A215+(D216-E216)/(1+$J$6)^A216+(D217-E217)/(1+$J$6)^A217+(D218-E218)/(1+$J$6)^A218+(D219-E219)/(1+$J$6)^A219+(D220-E220)/(1+$J$6)^A220+(D221-E221)/(1+$J$6)^A221+(D222-E222)/(1+$J$6)^A222+(D223-E223)/(1+$J$6)^A223,0)</f>
        <v>0</v>
      </c>
      <c r="K27" s="193">
        <f>'Données projet'!D16</f>
        <v>0</v>
      </c>
      <c r="L27" s="192">
        <f t="shared" si="0"/>
        <v>0</v>
      </c>
      <c r="M27" s="25"/>
      <c r="N27" s="186"/>
      <c r="O27" s="199"/>
      <c r="P27" s="199"/>
      <c r="Q27" s="199"/>
      <c r="R27" s="199"/>
      <c r="S27" s="199"/>
      <c r="T27" s="245"/>
      <c r="U27" s="25"/>
      <c r="V27" s="25"/>
      <c r="W27" s="2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</row>
    <row r="28" spans="1:60" x14ac:dyDescent="0.25">
      <c r="A28" s="195">
        <f>'Données projet'!A42</f>
        <v>48</v>
      </c>
      <c r="B28" s="196">
        <f>'Données projet'!D42</f>
        <v>65</v>
      </c>
      <c r="C28" s="210">
        <v>50</v>
      </c>
      <c r="D28" s="197">
        <f t="shared" si="1"/>
        <v>3250</v>
      </c>
      <c r="E28" s="210"/>
      <c r="F28" s="219"/>
      <c r="G28" s="227"/>
      <c r="H28" s="25"/>
      <c r="I28" s="188" t="str">
        <f>B226</f>
        <v/>
      </c>
      <c r="J28" s="192">
        <f>IF(B226&lt;&gt;"",-E229+(D230-E230)/(1+$J$6)^A230+(D231-E231)/(1+$J$6)^A231+(D232-E232)/(1+$J$6)^A232+(D233-E233)/(1+$J$6)^A233+(D234-E234)/(1+$J$6)^A234+(D235-E235)/(1+$J$6)^A235+(D236-E236)/(1+$J$6)^A236+(D237-E237)/(1+$J$6)^A237+(D238-E238)/(1+$J$6)^A238+(D239-E239)/(1+$J$6)^A239+(D240-E240)/(1+$J$6)^A240+(D241-E241)/(1+$J$6)^A241+(D242-E242)/(1+$J$6)^A242+(D243-E243)/(1+$J$6)^A243+(D244-E244)/(1+$J$6)^A244+(D245-E245)/(1+$J$6)^A245+(D246-E246)/(1+$J$6)^A246+(D247-E247)/(1+$J$6)^A247+(D248-E248)/(1+$J$6)^A248+(D249-E249)/(1+$J$6)^A249,0)</f>
        <v>0</v>
      </c>
      <c r="K28" s="193">
        <f>'Données projet'!D17</f>
        <v>0</v>
      </c>
      <c r="L28" s="192">
        <f t="shared" si="0"/>
        <v>0</v>
      </c>
      <c r="M28" s="25"/>
      <c r="N28" s="186"/>
      <c r="O28" s="188" t="s">
        <v>259</v>
      </c>
      <c r="P28" s="200">
        <f ca="1">SUM(OFFSET($S$29,0,0,MIN('Données projet'!$E$9:$E$18)+1,1))</f>
        <v>0</v>
      </c>
      <c r="Q28" s="5"/>
      <c r="R28" s="93" t="s">
        <v>178</v>
      </c>
      <c r="S28" s="93" t="s">
        <v>252</v>
      </c>
      <c r="T28" s="25"/>
      <c r="U28" s="25"/>
      <c r="V28" s="25"/>
      <c r="W28" s="2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25">
      <c r="A29" s="195">
        <f>'Données projet'!A43</f>
        <v>60</v>
      </c>
      <c r="B29" s="196">
        <f>'Données projet'!D43</f>
        <v>304</v>
      </c>
      <c r="C29" s="210">
        <v>80</v>
      </c>
      <c r="D29" s="197">
        <f t="shared" si="1"/>
        <v>24320</v>
      </c>
      <c r="E29" s="210"/>
      <c r="F29" s="219"/>
      <c r="G29" s="227"/>
      <c r="H29" s="25"/>
      <c r="I29" s="188" t="str">
        <f>B252</f>
        <v/>
      </c>
      <c r="J29" s="192">
        <f>IF(B252&lt;&gt;"",-E255+(D256-E256)/(1+$J$6)^A256+(D257-D257)/(1+$J$6)^A257+(D258-E258)/(1+$J$6)^A258+(D259-E259)/(1+$J$6)^A259+(D260-E260)/(1+$J$6)^A260+(D261-E261)/(1+$J$6)^A261+(D262-E262)/(1+$J$6)^A262+(D263-E263)/(1+$J$6)^A263+(D264-E264)/(1+$J$6)^A264+(D265-E265)/(1+$J$6)^A265+(D266-E266)/(1+$J$6)^A266+(D267-E267)/(1+$J$6)^A267+(D268-E268)/(1+$J$6)^A268+(D269-E269)/(1+$J$6)^A269+(D270-E270)/(1+$J$6)^A270+(D271-E271)/(1+$J$6)^A271+(D272-E272)/(1+$J$6)^A272+(D273-E273)/(1+$J$6)^A273+(D274-E274)/(1+$J$6)^A274+(D275-E275)/(1+$J$6)^A275,0)</f>
        <v>0</v>
      </c>
      <c r="K29" s="193">
        <f>'Données projet'!D18</f>
        <v>0</v>
      </c>
      <c r="L29" s="192">
        <f t="shared" si="0"/>
        <v>0</v>
      </c>
      <c r="M29" s="25"/>
      <c r="N29" s="186"/>
      <c r="O29" s="5"/>
      <c r="P29" s="5"/>
      <c r="Q29" s="5"/>
      <c r="R29" s="211">
        <v>0</v>
      </c>
      <c r="S29" s="201">
        <f>$T$24/(1+$J$6)^R29</f>
        <v>0</v>
      </c>
      <c r="T29" s="25"/>
      <c r="U29" s="25"/>
      <c r="V29" s="25"/>
      <c r="W29" s="2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25">
      <c r="A30" s="195">
        <f>'Données projet'!A44</f>
        <v>0</v>
      </c>
      <c r="B30" s="196">
        <f>'Données projet'!D44</f>
        <v>0</v>
      </c>
      <c r="C30" s="210"/>
      <c r="D30" s="197">
        <f t="shared" si="1"/>
        <v>0</v>
      </c>
      <c r="E30" s="210"/>
      <c r="F30" s="219"/>
      <c r="G30" s="227"/>
      <c r="H30" s="25"/>
      <c r="M30" s="5"/>
      <c r="N30" s="186"/>
      <c r="O30" s="309" t="s">
        <v>260</v>
      </c>
      <c r="P30" s="309"/>
      <c r="Q30" s="310"/>
      <c r="R30" s="211">
        <f>IF(R29+1&lt;=MIN('Données projet'!$E$9:$E$18),R29+1,"STOP")</f>
        <v>1</v>
      </c>
      <c r="S30" s="201">
        <f t="shared" ref="S30:S46" si="2">$T$24/(1+$J$6)^R30</f>
        <v>0</v>
      </c>
      <c r="T30" s="25"/>
      <c r="U30" s="25"/>
      <c r="V30" s="25"/>
      <c r="W30" s="2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x14ac:dyDescent="0.25">
      <c r="A31" s="195">
        <f>'Données projet'!A45</f>
        <v>0</v>
      </c>
      <c r="B31" s="196">
        <f>'Données projet'!D45</f>
        <v>0</v>
      </c>
      <c r="C31" s="210"/>
      <c r="D31" s="197">
        <f t="shared" si="1"/>
        <v>0</v>
      </c>
      <c r="E31" s="210"/>
      <c r="F31" s="219"/>
      <c r="G31" s="227"/>
      <c r="H31" s="25"/>
      <c r="I31" s="25"/>
      <c r="J31" s="25"/>
      <c r="K31" s="25"/>
      <c r="L31" s="25"/>
      <c r="M31" s="5"/>
      <c r="N31" s="186"/>
      <c r="O31" s="309" t="s">
        <v>297</v>
      </c>
      <c r="P31" s="309"/>
      <c r="Q31" s="310"/>
      <c r="R31" s="211">
        <f>IF(R30+1&lt;=MIN('Données projet'!$E$9:$E$18),R30+1,"STOP")</f>
        <v>2</v>
      </c>
      <c r="S31" s="201">
        <f t="shared" si="2"/>
        <v>0</v>
      </c>
      <c r="T31" s="25"/>
      <c r="U31" s="25"/>
      <c r="V31" s="25"/>
      <c r="W31" s="2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</row>
    <row r="32" spans="1:60" x14ac:dyDescent="0.25">
      <c r="A32" s="195">
        <f>'Données projet'!A46</f>
        <v>0</v>
      </c>
      <c r="B32" s="196">
        <f>'Données projet'!D46</f>
        <v>0</v>
      </c>
      <c r="C32" s="210"/>
      <c r="D32" s="197">
        <f t="shared" si="1"/>
        <v>0</v>
      </c>
      <c r="E32" s="210"/>
      <c r="F32" s="219"/>
      <c r="G32" s="227"/>
      <c r="H32" s="25"/>
      <c r="I32" s="25"/>
      <c r="J32" s="25"/>
      <c r="K32" s="25"/>
      <c r="L32" s="25"/>
      <c r="M32" s="5"/>
      <c r="N32" s="236"/>
      <c r="O32" s="25"/>
      <c r="P32" s="25"/>
      <c r="Q32" s="25"/>
      <c r="R32" s="211">
        <f>IF(R31+1&lt;=MIN('Données projet'!$E$9:$E$18),R31+1,"STOP")</f>
        <v>3</v>
      </c>
      <c r="S32" s="201">
        <f t="shared" si="2"/>
        <v>0</v>
      </c>
      <c r="T32" s="25"/>
      <c r="U32" s="25"/>
      <c r="V32" s="25"/>
      <c r="W32" s="2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25">
      <c r="A33" s="195">
        <f>'Données projet'!A47</f>
        <v>0</v>
      </c>
      <c r="B33" s="196">
        <f>'Données projet'!D47</f>
        <v>0</v>
      </c>
      <c r="C33" s="210"/>
      <c r="D33" s="197">
        <f t="shared" si="1"/>
        <v>0</v>
      </c>
      <c r="E33" s="210"/>
      <c r="F33" s="219"/>
      <c r="G33" s="227"/>
      <c r="H33" s="25"/>
      <c r="I33" s="188" t="s">
        <v>265</v>
      </c>
      <c r="J33" s="305">
        <f>SUM(L20:L29) - (J12/(1+J6)^I12 + J13/(1+J6)^I13 + J14/(1+J6)^I14 + J15/(1+J6)^I15 + J16/(1+J6)^I16 + J9/(1+J6)^I9)*'Données projet'!C5</f>
        <v>-22082.549453698684</v>
      </c>
      <c r="K33" s="305"/>
      <c r="L33" s="305"/>
      <c r="M33" s="25"/>
      <c r="N33" s="236"/>
      <c r="O33" s="25"/>
      <c r="P33" s="25"/>
      <c r="Q33" s="25"/>
      <c r="R33" s="211">
        <f>IF(R32+1&lt;=MIN('Données projet'!$E$9:$E$18),R32+1,"STOP")</f>
        <v>4</v>
      </c>
      <c r="S33" s="201">
        <f t="shared" si="2"/>
        <v>0</v>
      </c>
      <c r="T33" s="25"/>
      <c r="U33" s="25"/>
      <c r="V33" s="25"/>
      <c r="W33" s="2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25">
      <c r="A34" s="195">
        <f>'Données projet'!A48</f>
        <v>0</v>
      </c>
      <c r="B34" s="196">
        <f>'Données projet'!D48</f>
        <v>0</v>
      </c>
      <c r="C34" s="210"/>
      <c r="D34" s="197">
        <f t="shared" si="1"/>
        <v>0</v>
      </c>
      <c r="E34" s="210"/>
      <c r="F34" s="219"/>
      <c r="G34" s="227"/>
      <c r="H34" s="25"/>
      <c r="I34" s="188" t="s">
        <v>262</v>
      </c>
      <c r="J34" s="306">
        <f ca="1">'Scénario référence'!$B$8*$P$28*'Données projet'!$C$5+('Scénario référence'!B9+'Scénario référence'!B10+'Scénario référence'!F8+'Scénario référence'!F9)*$Q$20/(1+J6)^Q17*'Données projet'!$C$5</f>
        <v>80.109311428300515</v>
      </c>
      <c r="K34" s="306"/>
      <c r="L34" s="306"/>
      <c r="M34" s="25"/>
      <c r="N34" s="236"/>
      <c r="O34" s="25"/>
      <c r="P34" s="25"/>
      <c r="Q34" s="25"/>
      <c r="R34" s="211">
        <f>IF(R33+1&lt;=MIN('Données projet'!$E$9:$E$18),R33+1,"STOP")</f>
        <v>5</v>
      </c>
      <c r="S34" s="201">
        <f t="shared" si="2"/>
        <v>0</v>
      </c>
      <c r="T34" s="25"/>
      <c r="U34" s="25"/>
      <c r="V34" s="25"/>
      <c r="W34" s="2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25">
      <c r="A35" s="195">
        <f>'Données projet'!A49</f>
        <v>0</v>
      </c>
      <c r="B35" s="196">
        <f>'Données projet'!D49</f>
        <v>0</v>
      </c>
      <c r="C35" s="210"/>
      <c r="D35" s="197">
        <f t="shared" si="1"/>
        <v>0</v>
      </c>
      <c r="E35" s="210"/>
      <c r="F35" s="219"/>
      <c r="G35" s="227"/>
      <c r="H35" s="25"/>
      <c r="I35" s="202" t="s">
        <v>267</v>
      </c>
      <c r="J35" s="307">
        <f ca="1">J33-J34</f>
        <v>-22162.658765126984</v>
      </c>
      <c r="K35" s="307"/>
      <c r="L35" s="307"/>
      <c r="M35" s="25"/>
      <c r="N35" s="236"/>
      <c r="O35" s="25"/>
      <c r="P35" s="25"/>
      <c r="Q35" s="25"/>
      <c r="R35" s="211">
        <f>IF(R34+1&lt;=MIN('Données projet'!$E$9:$E$18),R34+1,"STOP")</f>
        <v>6</v>
      </c>
      <c r="S35" s="201">
        <f t="shared" si="2"/>
        <v>0</v>
      </c>
      <c r="T35" s="25"/>
      <c r="U35" s="25"/>
      <c r="V35" s="25"/>
      <c r="W35" s="2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25">
      <c r="A36" s="195">
        <f>'Données projet'!A50</f>
        <v>0</v>
      </c>
      <c r="B36" s="196">
        <f>'Données projet'!D50</f>
        <v>0</v>
      </c>
      <c r="C36" s="210"/>
      <c r="D36" s="197">
        <f t="shared" si="1"/>
        <v>0</v>
      </c>
      <c r="E36" s="210"/>
      <c r="F36" s="219"/>
      <c r="G36" s="227"/>
      <c r="H36" s="25"/>
      <c r="I36" s="202" t="s">
        <v>266</v>
      </c>
      <c r="J36" s="304" t="str">
        <f ca="1">IF(J35&lt;0,"Votre projet est additionnel","Votre projet n'est pas additionnel")</f>
        <v>Votre projet est additionnel</v>
      </c>
      <c r="K36" s="304"/>
      <c r="L36" s="304"/>
      <c r="M36" s="25"/>
      <c r="N36" s="236"/>
      <c r="O36" s="25"/>
      <c r="P36" s="25"/>
      <c r="Q36" s="25"/>
      <c r="R36" s="211">
        <f>IF(R35+1&lt;=MIN('Données projet'!$E$9:$E$18),R35+1,"STOP")</f>
        <v>7</v>
      </c>
      <c r="S36" s="201">
        <f t="shared" si="2"/>
        <v>0</v>
      </c>
      <c r="T36" s="2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25">
      <c r="A37" s="195">
        <f>'Données projet'!A51</f>
        <v>0</v>
      </c>
      <c r="B37" s="196">
        <f>'Données projet'!D51</f>
        <v>0</v>
      </c>
      <c r="C37" s="210"/>
      <c r="D37" s="197">
        <f t="shared" si="1"/>
        <v>0</v>
      </c>
      <c r="E37" s="210"/>
      <c r="F37" s="219"/>
      <c r="G37" s="227"/>
      <c r="H37" s="25"/>
      <c r="I37" s="308" t="s">
        <v>268</v>
      </c>
      <c r="J37" s="308"/>
      <c r="K37" s="308"/>
      <c r="L37" s="308"/>
      <c r="M37" s="25"/>
      <c r="N37" s="236"/>
      <c r="O37" s="25"/>
      <c r="P37" s="25"/>
      <c r="Q37" s="25"/>
      <c r="R37" s="211">
        <f>IF(R36+1&lt;=MIN('Données projet'!$E$9:$E$18),R36+1,"STOP")</f>
        <v>8</v>
      </c>
      <c r="S37" s="201">
        <f t="shared" si="2"/>
        <v>0</v>
      </c>
      <c r="T37" s="2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25">
      <c r="A38" s="195">
        <f>'Données projet'!A52</f>
        <v>0</v>
      </c>
      <c r="B38" s="196">
        <f>'Données projet'!D52</f>
        <v>0</v>
      </c>
      <c r="C38" s="210"/>
      <c r="D38" s="197">
        <f t="shared" si="1"/>
        <v>0</v>
      </c>
      <c r="E38" s="210"/>
      <c r="F38" s="219"/>
      <c r="G38" s="227"/>
      <c r="H38" s="25"/>
      <c r="I38" s="25"/>
      <c r="J38" s="25"/>
      <c r="K38" s="25"/>
      <c r="L38" s="25"/>
      <c r="M38" s="25"/>
      <c r="N38" s="236"/>
      <c r="O38" s="25"/>
      <c r="P38" s="25"/>
      <c r="Q38" s="25"/>
      <c r="R38" s="211">
        <f>IF(R37+1&lt;=MIN('Données projet'!$E$9:$E$18),R37+1,"STOP")</f>
        <v>9</v>
      </c>
      <c r="S38" s="201">
        <f t="shared" si="2"/>
        <v>0</v>
      </c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x14ac:dyDescent="0.25">
      <c r="A39" s="195">
        <f>'Données projet'!A53</f>
        <v>0</v>
      </c>
      <c r="B39" s="196">
        <f>'Données projet'!D53</f>
        <v>0</v>
      </c>
      <c r="C39" s="210"/>
      <c r="D39" s="197">
        <f t="shared" si="1"/>
        <v>0</v>
      </c>
      <c r="E39" s="210"/>
      <c r="F39" s="219"/>
      <c r="G39" s="227"/>
      <c r="H39" s="25"/>
      <c r="I39" s="25"/>
      <c r="J39" s="25"/>
      <c r="K39" s="25"/>
      <c r="L39" s="25"/>
      <c r="M39" s="25"/>
      <c r="N39" s="236"/>
      <c r="O39" s="25"/>
      <c r="P39" s="25"/>
      <c r="Q39" s="25"/>
      <c r="R39" s="211">
        <f>IF(R38+1&lt;=MIN('Données projet'!$E$9:$E$18),R38+1,"STOP")</f>
        <v>10</v>
      </c>
      <c r="S39" s="201">
        <f t="shared" si="2"/>
        <v>0</v>
      </c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25">
      <c r="A40" s="195">
        <f>'Données projet'!A54</f>
        <v>0</v>
      </c>
      <c r="B40" s="196">
        <f>'Données projet'!D54</f>
        <v>0</v>
      </c>
      <c r="C40" s="210"/>
      <c r="D40" s="197">
        <f t="shared" si="1"/>
        <v>0</v>
      </c>
      <c r="E40" s="210"/>
      <c r="F40" s="219"/>
      <c r="G40" s="227"/>
      <c r="H40" s="25"/>
      <c r="I40" s="25"/>
      <c r="J40" s="25"/>
      <c r="K40" s="25"/>
      <c r="L40" s="25"/>
      <c r="M40" s="25"/>
      <c r="N40" s="236"/>
      <c r="O40" s="25"/>
      <c r="P40" s="25"/>
      <c r="Q40" s="25"/>
      <c r="R40" s="211">
        <f>IF(R39+1&lt;=MIN('Données projet'!$E$9:$E$18),R39+1,"STOP")</f>
        <v>11</v>
      </c>
      <c r="S40" s="201">
        <f t="shared" si="2"/>
        <v>0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25">
      <c r="A41" s="195">
        <f>'Données projet'!A55</f>
        <v>0</v>
      </c>
      <c r="B41" s="196">
        <f>'Données projet'!D55</f>
        <v>0</v>
      </c>
      <c r="C41" s="210"/>
      <c r="D41" s="197">
        <f t="shared" si="1"/>
        <v>0</v>
      </c>
      <c r="E41" s="210"/>
      <c r="F41" s="219"/>
      <c r="G41" s="227"/>
      <c r="H41" s="25"/>
      <c r="I41" s="25"/>
      <c r="J41" s="25"/>
      <c r="K41" s="25"/>
      <c r="L41" s="25"/>
      <c r="M41" s="25"/>
      <c r="N41" s="236"/>
      <c r="O41" s="25"/>
      <c r="P41" s="25"/>
      <c r="Q41" s="25"/>
      <c r="R41" s="211">
        <f>IF(R40+1&lt;=MIN('Données projet'!$E$9:$E$18),R40+1,"STOP")</f>
        <v>12</v>
      </c>
      <c r="S41" s="201">
        <f t="shared" si="2"/>
        <v>0</v>
      </c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s="212" customFormat="1" ht="47.25" customHeight="1" x14ac:dyDescent="0.25">
      <c r="A42" s="203"/>
      <c r="B42" s="203"/>
      <c r="C42" s="203"/>
      <c r="D42" s="203"/>
      <c r="E42" s="302" t="s">
        <v>293</v>
      </c>
      <c r="F42" s="303"/>
      <c r="G42" s="228"/>
      <c r="H42" s="229"/>
      <c r="I42" s="229"/>
      <c r="J42" s="229"/>
      <c r="K42" s="229"/>
      <c r="L42" s="229"/>
      <c r="M42" s="229"/>
      <c r="N42" s="238"/>
      <c r="O42" s="229"/>
      <c r="P42" s="229"/>
      <c r="Q42" s="229"/>
      <c r="R42" s="211">
        <f>IF(R41+1&lt;=MIN('Données projet'!$E$9:$E$18),R41+1,"STOP")</f>
        <v>13</v>
      </c>
      <c r="S42" s="204">
        <f t="shared" si="2"/>
        <v>0</v>
      </c>
      <c r="T42" s="203"/>
      <c r="U42" s="203"/>
      <c r="V42" s="203"/>
      <c r="W42" s="203"/>
      <c r="X42" s="203"/>
      <c r="Y42" s="203"/>
      <c r="Z42" s="203"/>
      <c r="AA42" s="203"/>
      <c r="AB42" s="203"/>
      <c r="AC42" s="203"/>
      <c r="AD42" s="203"/>
      <c r="AE42" s="203"/>
      <c r="AF42" s="203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203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</row>
    <row r="43" spans="1:60" x14ac:dyDescent="0.25">
      <c r="A43" s="5"/>
      <c r="B43" s="5"/>
      <c r="C43" s="5"/>
      <c r="D43" s="5"/>
      <c r="E43" s="5"/>
      <c r="F43" s="218"/>
      <c r="G43" s="230"/>
      <c r="H43" s="25"/>
      <c r="I43" s="25"/>
      <c r="J43" s="25"/>
      <c r="K43" s="25"/>
      <c r="L43" s="25"/>
      <c r="M43" s="25"/>
      <c r="N43" s="186"/>
      <c r="O43" s="5"/>
      <c r="P43" s="5"/>
      <c r="Q43" s="5"/>
      <c r="R43" s="211">
        <f>IF(R42+1&lt;=MIN('Données projet'!$E$9:$E$18),R42+1,"STOP")</f>
        <v>14</v>
      </c>
      <c r="S43" s="201">
        <f t="shared" si="2"/>
        <v>0</v>
      </c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25">
      <c r="A44" s="49" t="s">
        <v>166</v>
      </c>
      <c r="B44" s="189" t="str">
        <f>IF('Données projet'!$B$10="","",'Données projet'!$B$10)</f>
        <v>Epicéa commun</v>
      </c>
      <c r="C44" s="5"/>
      <c r="D44" s="5"/>
      <c r="E44" s="5"/>
      <c r="F44" s="218"/>
      <c r="G44" s="230"/>
      <c r="H44" s="25"/>
      <c r="I44" s="25"/>
      <c r="J44" s="25"/>
      <c r="K44" s="25"/>
      <c r="L44" s="25"/>
      <c r="M44" s="25"/>
      <c r="N44" s="186"/>
      <c r="O44" s="5"/>
      <c r="P44" s="5"/>
      <c r="Q44" s="5"/>
      <c r="R44" s="211">
        <f>IF(R43+1&lt;=MIN('Données projet'!$E$9:$E$18),R43+1,"STOP")</f>
        <v>15</v>
      </c>
      <c r="S44" s="201">
        <f t="shared" si="2"/>
        <v>0</v>
      </c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x14ac:dyDescent="0.25">
      <c r="A45" s="5"/>
      <c r="B45" s="5"/>
      <c r="C45" s="5"/>
      <c r="D45" s="5"/>
      <c r="E45" s="5"/>
      <c r="F45" s="218"/>
      <c r="G45" s="230"/>
      <c r="H45" s="25"/>
      <c r="I45" s="25"/>
      <c r="J45" s="25"/>
      <c r="K45" s="25"/>
      <c r="L45" s="25"/>
      <c r="M45" s="25"/>
      <c r="N45" s="186"/>
      <c r="O45" s="5"/>
      <c r="P45" s="5"/>
      <c r="Q45" s="5"/>
      <c r="R45" s="211">
        <f>IF(R44+1&lt;=MIN('Données projet'!$E$9:$E$18),R44+1,"STOP")</f>
        <v>16</v>
      </c>
      <c r="S45" s="201">
        <f t="shared" si="2"/>
        <v>0</v>
      </c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</row>
    <row r="46" spans="1:60" ht="15" customHeight="1" x14ac:dyDescent="0.25">
      <c r="A46" s="188" t="s">
        <v>180</v>
      </c>
      <c r="B46" s="51" t="s">
        <v>256</v>
      </c>
      <c r="C46" s="51" t="s">
        <v>255</v>
      </c>
      <c r="D46" s="188" t="s">
        <v>252</v>
      </c>
      <c r="E46" s="188" t="s">
        <v>288</v>
      </c>
      <c r="F46" s="220"/>
      <c r="G46" s="231"/>
      <c r="H46" s="25"/>
      <c r="I46" s="25"/>
      <c r="J46" s="25"/>
      <c r="K46" s="25"/>
      <c r="L46" s="25"/>
      <c r="M46" s="25"/>
      <c r="N46" s="186"/>
      <c r="O46" s="5"/>
      <c r="P46" s="5"/>
      <c r="Q46" s="5"/>
      <c r="R46" s="211">
        <f>IF(R45+1&lt;=MIN('Données projet'!$E$9:$E$18),R45+1,"STOP")</f>
        <v>17</v>
      </c>
      <c r="S46" s="201">
        <f t="shared" si="2"/>
        <v>0</v>
      </c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ht="15" customHeight="1" x14ac:dyDescent="0.25">
      <c r="A47" s="214">
        <v>0</v>
      </c>
      <c r="B47" s="217" t="s">
        <v>132</v>
      </c>
      <c r="C47" s="216" t="s">
        <v>132</v>
      </c>
      <c r="D47" s="215" t="s">
        <v>132</v>
      </c>
      <c r="E47" s="210"/>
      <c r="F47" s="220"/>
      <c r="G47" s="231"/>
      <c r="H47" s="25"/>
      <c r="I47" s="25"/>
      <c r="J47" s="25"/>
      <c r="K47" s="25"/>
      <c r="L47" s="25"/>
      <c r="M47" s="25"/>
      <c r="N47" s="186"/>
      <c r="O47" s="5"/>
      <c r="P47" s="5"/>
      <c r="Q47" s="5"/>
      <c r="R47" s="211">
        <f>IF(R46+1&lt;=MIN('Données projet'!$E$9:$E$18),R46+1,"STOP")</f>
        <v>18</v>
      </c>
      <c r="S47" s="201">
        <f t="shared" ref="S47:S60" si="3">$T$24/(1+$J$6)^R47</f>
        <v>0</v>
      </c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25">
      <c r="A48" s="195">
        <f>'Données projet'!A62</f>
        <v>30</v>
      </c>
      <c r="B48" s="196">
        <f>'Données projet'!D62</f>
        <v>54</v>
      </c>
      <c r="C48" s="208">
        <v>20</v>
      </c>
      <c r="D48" s="194">
        <f>B48*C48</f>
        <v>1080</v>
      </c>
      <c r="E48" s="210"/>
      <c r="F48" s="221"/>
      <c r="G48" s="232"/>
      <c r="H48" s="25"/>
      <c r="I48" s="25"/>
      <c r="J48" s="25"/>
      <c r="K48" s="25"/>
      <c r="L48" s="25"/>
      <c r="M48" s="25"/>
      <c r="N48" s="186"/>
      <c r="O48" s="5"/>
      <c r="P48" s="5"/>
      <c r="Q48" s="5"/>
      <c r="R48" s="211">
        <f>IF(R47+1&lt;=MIN('Données projet'!$E$9:$E$18),R47+1,"STOP")</f>
        <v>19</v>
      </c>
      <c r="S48" s="201">
        <f t="shared" si="3"/>
        <v>0</v>
      </c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25">
      <c r="A49" s="195">
        <f>'Données projet'!A63</f>
        <v>45</v>
      </c>
      <c r="B49" s="196">
        <f>'Données projet'!D63</f>
        <v>218</v>
      </c>
      <c r="C49" s="208">
        <v>30</v>
      </c>
      <c r="D49" s="194">
        <f t="shared" ref="D49:D67" si="4">B49*C49</f>
        <v>6540</v>
      </c>
      <c r="E49" s="210"/>
      <c r="F49" s="221"/>
      <c r="G49" s="232"/>
      <c r="H49" s="25"/>
      <c r="I49" s="25"/>
      <c r="J49" s="25"/>
      <c r="K49" s="25"/>
      <c r="L49" s="25"/>
      <c r="M49" s="25"/>
      <c r="N49" s="186"/>
      <c r="O49" s="5"/>
      <c r="P49" s="5"/>
      <c r="Q49" s="5"/>
      <c r="R49" s="211">
        <f>IF(R48+1&lt;=MIN('Données projet'!$E$9:$E$18),R48+1,"STOP")</f>
        <v>20</v>
      </c>
      <c r="S49" s="201">
        <f t="shared" si="3"/>
        <v>0</v>
      </c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25">
      <c r="A50" s="195">
        <f>'Données projet'!A64</f>
        <v>60</v>
      </c>
      <c r="B50" s="196">
        <f>'Données projet'!D64</f>
        <v>224</v>
      </c>
      <c r="C50" s="208">
        <v>40</v>
      </c>
      <c r="D50" s="194">
        <f t="shared" si="4"/>
        <v>8960</v>
      </c>
      <c r="E50" s="210"/>
      <c r="F50" s="221"/>
      <c r="G50" s="232"/>
      <c r="H50" s="25"/>
      <c r="I50" s="25"/>
      <c r="J50" s="25"/>
      <c r="K50" s="25"/>
      <c r="L50" s="25"/>
      <c r="M50" s="25"/>
      <c r="N50" s="186"/>
      <c r="O50" s="5"/>
      <c r="P50" s="5"/>
      <c r="Q50" s="5"/>
      <c r="R50" s="211">
        <f>IF(R49+1&lt;=MIN('Données projet'!$E$9:$E$18),R49+1,"STOP")</f>
        <v>21</v>
      </c>
      <c r="S50" s="201">
        <f t="shared" si="3"/>
        <v>0</v>
      </c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25">
      <c r="A51" s="195">
        <f>'Données projet'!A65</f>
        <v>75</v>
      </c>
      <c r="B51" s="196">
        <f>'Données projet'!D65</f>
        <v>173</v>
      </c>
      <c r="C51" s="208">
        <v>50</v>
      </c>
      <c r="D51" s="194">
        <f t="shared" si="4"/>
        <v>8650</v>
      </c>
      <c r="E51" s="210"/>
      <c r="F51" s="221"/>
      <c r="G51" s="232"/>
      <c r="H51" s="25"/>
      <c r="I51" s="25"/>
      <c r="J51" s="25"/>
      <c r="K51" s="25"/>
      <c r="L51" s="25"/>
      <c r="M51" s="25"/>
      <c r="N51" s="186"/>
      <c r="O51" s="5"/>
      <c r="P51" s="5"/>
      <c r="Q51" s="5"/>
      <c r="R51" s="211">
        <f>IF(R50+1&lt;=MIN('Données projet'!$E$9:$E$18),R50+1,"STOP")</f>
        <v>22</v>
      </c>
      <c r="S51" s="201">
        <f t="shared" si="3"/>
        <v>0</v>
      </c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25">
      <c r="A52" s="195">
        <f>'Données projet'!A66</f>
        <v>90</v>
      </c>
      <c r="B52" s="196">
        <f>'Données projet'!D66</f>
        <v>143</v>
      </c>
      <c r="C52" s="208">
        <v>60</v>
      </c>
      <c r="D52" s="194">
        <f t="shared" si="4"/>
        <v>8580</v>
      </c>
      <c r="E52" s="210"/>
      <c r="F52" s="221"/>
      <c r="G52" s="232"/>
      <c r="H52" s="25"/>
      <c r="I52" s="25"/>
      <c r="J52" s="233"/>
      <c r="K52" s="233"/>
      <c r="L52" s="233"/>
      <c r="M52" s="25"/>
      <c r="N52" s="186"/>
      <c r="O52" s="5"/>
      <c r="P52" s="5"/>
      <c r="Q52" s="5"/>
      <c r="R52" s="211">
        <f>IF(R51+1&lt;=MIN('Données projet'!$E$9:$E$18),R51+1,"STOP")</f>
        <v>23</v>
      </c>
      <c r="S52" s="201">
        <f t="shared" si="3"/>
        <v>0</v>
      </c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25">
      <c r="A53" s="195">
        <f>'Données projet'!A67</f>
        <v>105</v>
      </c>
      <c r="B53" s="196">
        <f>'Données projet'!D67</f>
        <v>123</v>
      </c>
      <c r="C53" s="208">
        <v>70</v>
      </c>
      <c r="D53" s="194">
        <f t="shared" si="4"/>
        <v>8610</v>
      </c>
      <c r="E53" s="210"/>
      <c r="F53" s="221"/>
      <c r="G53" s="232"/>
      <c r="H53" s="25"/>
      <c r="I53" s="5"/>
      <c r="J53" s="205"/>
      <c r="K53" s="205"/>
      <c r="L53" s="205"/>
      <c r="M53" s="5"/>
      <c r="N53" s="186"/>
      <c r="O53" s="5"/>
      <c r="P53" s="5"/>
      <c r="Q53" s="5"/>
      <c r="R53" s="211">
        <f>IF(R52+1&lt;=MIN('Données projet'!$E$9:$E$18),R52+1,"STOP")</f>
        <v>24</v>
      </c>
      <c r="S53" s="201">
        <f t="shared" si="3"/>
        <v>0</v>
      </c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25">
      <c r="A54" s="195">
        <f>'Données projet'!A68</f>
        <v>120</v>
      </c>
      <c r="B54" s="196">
        <f>'Données projet'!D68</f>
        <v>112</v>
      </c>
      <c r="C54" s="208">
        <v>80</v>
      </c>
      <c r="D54" s="194">
        <f t="shared" si="4"/>
        <v>8960</v>
      </c>
      <c r="E54" s="210"/>
      <c r="F54" s="221"/>
      <c r="G54" s="232"/>
      <c r="H54" s="25"/>
      <c r="I54" s="5"/>
      <c r="J54" s="205"/>
      <c r="K54" s="205"/>
      <c r="L54" s="205"/>
      <c r="M54" s="5"/>
      <c r="N54" s="186"/>
      <c r="O54" s="5"/>
      <c r="P54" s="5"/>
      <c r="Q54" s="5"/>
      <c r="R54" s="211">
        <f>IF(R53+1&lt;=MIN('Données projet'!$E$9:$E$18),R53+1,"STOP")</f>
        <v>25</v>
      </c>
      <c r="S54" s="201">
        <f t="shared" si="3"/>
        <v>0</v>
      </c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25">
      <c r="A55" s="195">
        <f>'Données projet'!A69</f>
        <v>135</v>
      </c>
      <c r="B55" s="196">
        <f>'Données projet'!D69</f>
        <v>102</v>
      </c>
      <c r="C55" s="208">
        <v>80</v>
      </c>
      <c r="D55" s="194">
        <f t="shared" si="4"/>
        <v>8160</v>
      </c>
      <c r="E55" s="210"/>
      <c r="F55" s="221"/>
      <c r="G55" s="232"/>
      <c r="H55" s="25"/>
      <c r="I55" s="5"/>
      <c r="J55" s="205"/>
      <c r="K55" s="205"/>
      <c r="L55" s="205"/>
      <c r="M55" s="5"/>
      <c r="N55" s="186"/>
      <c r="O55" s="5"/>
      <c r="P55" s="5"/>
      <c r="Q55" s="5"/>
      <c r="R55" s="211">
        <f>IF(R54+1&lt;=MIN('Données projet'!$E$9:$E$18),R54+1,"STOP")</f>
        <v>26</v>
      </c>
      <c r="S55" s="201">
        <f t="shared" si="3"/>
        <v>0</v>
      </c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25">
      <c r="A56" s="195">
        <f>'Données projet'!A70</f>
        <v>150</v>
      </c>
      <c r="B56" s="196">
        <f>'Données projet'!D70</f>
        <v>1032</v>
      </c>
      <c r="C56" s="208">
        <v>100</v>
      </c>
      <c r="D56" s="194">
        <f t="shared" si="4"/>
        <v>103200</v>
      </c>
      <c r="E56" s="210"/>
      <c r="F56" s="221"/>
      <c r="G56" s="232"/>
      <c r="H56" s="25"/>
      <c r="I56" s="5"/>
      <c r="J56" s="205"/>
      <c r="K56" s="205"/>
      <c r="L56" s="205"/>
      <c r="M56" s="5"/>
      <c r="N56" s="186"/>
      <c r="O56" s="5"/>
      <c r="P56" s="5"/>
      <c r="Q56" s="5"/>
      <c r="R56" s="211">
        <f>IF(R55+1&lt;=MIN('Données projet'!$E$9:$E$18),R55+1,"STOP")</f>
        <v>27</v>
      </c>
      <c r="S56" s="201">
        <f t="shared" si="3"/>
        <v>0</v>
      </c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25">
      <c r="A57" s="195">
        <f>'Données projet'!A71</f>
        <v>0</v>
      </c>
      <c r="B57" s="196">
        <f>'Données projet'!D71</f>
        <v>0</v>
      </c>
      <c r="C57" s="208"/>
      <c r="D57" s="194">
        <f t="shared" si="4"/>
        <v>0</v>
      </c>
      <c r="E57" s="210"/>
      <c r="F57" s="221"/>
      <c r="G57" s="232"/>
      <c r="H57" s="25"/>
      <c r="I57" s="5"/>
      <c r="J57" s="205"/>
      <c r="K57" s="205"/>
      <c r="L57" s="205"/>
      <c r="M57" s="5"/>
      <c r="N57" s="186"/>
      <c r="O57" s="5"/>
      <c r="P57" s="5"/>
      <c r="Q57" s="5"/>
      <c r="R57" s="211">
        <f>IF(R56+1&lt;=MIN('Données projet'!$E$9:$E$18),R56+1,"STOP")</f>
        <v>28</v>
      </c>
      <c r="S57" s="201">
        <f t="shared" si="3"/>
        <v>0</v>
      </c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25">
      <c r="A58" s="195">
        <f>'Données projet'!A72</f>
        <v>0</v>
      </c>
      <c r="B58" s="196">
        <f>'Données projet'!D72</f>
        <v>0</v>
      </c>
      <c r="C58" s="208"/>
      <c r="D58" s="194">
        <f t="shared" si="4"/>
        <v>0</v>
      </c>
      <c r="E58" s="210"/>
      <c r="F58" s="221"/>
      <c r="G58" s="232"/>
      <c r="H58" s="25"/>
      <c r="I58" s="5"/>
      <c r="J58" s="205"/>
      <c r="K58" s="205"/>
      <c r="L58" s="205"/>
      <c r="M58" s="5"/>
      <c r="N58" s="186"/>
      <c r="O58" s="5"/>
      <c r="P58" s="5"/>
      <c r="Q58" s="5"/>
      <c r="R58" s="211">
        <f>IF(R57+1&lt;=MIN('Données projet'!$E$9:$E$18),R57+1,"STOP")</f>
        <v>29</v>
      </c>
      <c r="S58" s="201">
        <f t="shared" si="3"/>
        <v>0</v>
      </c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x14ac:dyDescent="0.25">
      <c r="A59" s="195">
        <f>'Données projet'!A73</f>
        <v>0</v>
      </c>
      <c r="B59" s="196">
        <f>'Données projet'!D73</f>
        <v>0</v>
      </c>
      <c r="C59" s="208"/>
      <c r="D59" s="194">
        <f t="shared" si="4"/>
        <v>0</v>
      </c>
      <c r="E59" s="210"/>
      <c r="F59" s="221"/>
      <c r="G59" s="232"/>
      <c r="H59" s="25"/>
      <c r="I59" s="5"/>
      <c r="J59" s="205"/>
      <c r="K59" s="205"/>
      <c r="L59" s="205"/>
      <c r="M59" s="5"/>
      <c r="N59" s="186"/>
      <c r="O59" s="5"/>
      <c r="P59" s="5"/>
      <c r="Q59" s="5"/>
      <c r="R59" s="211">
        <f>IF(R58+1&lt;=MIN('Données projet'!$E$9:$E$18),R58+1,"STOP")</f>
        <v>30</v>
      </c>
      <c r="S59" s="201">
        <f t="shared" si="3"/>
        <v>0</v>
      </c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</row>
    <row r="60" spans="1:60" x14ac:dyDescent="0.25">
      <c r="A60" s="195">
        <f>'Données projet'!A74</f>
        <v>0</v>
      </c>
      <c r="B60" s="196">
        <f>'Données projet'!D74</f>
        <v>0</v>
      </c>
      <c r="C60" s="208"/>
      <c r="D60" s="194">
        <f t="shared" si="4"/>
        <v>0</v>
      </c>
      <c r="E60" s="210"/>
      <c r="F60" s="221"/>
      <c r="G60" s="232"/>
      <c r="H60" s="25"/>
      <c r="I60" s="5"/>
      <c r="J60" s="5"/>
      <c r="K60" s="5"/>
      <c r="L60" s="5"/>
      <c r="M60" s="5"/>
      <c r="N60" s="186"/>
      <c r="O60" s="5"/>
      <c r="P60" s="5"/>
      <c r="Q60" s="5"/>
      <c r="R60" s="211">
        <f>IF(R59+1&lt;=MIN('Données projet'!$E$9:$E$18),R59+1,"STOP")</f>
        <v>31</v>
      </c>
      <c r="S60" s="201">
        <f t="shared" si="3"/>
        <v>0</v>
      </c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25">
      <c r="A61" s="195">
        <f>'Données projet'!A75</f>
        <v>0</v>
      </c>
      <c r="B61" s="196">
        <f>'Données projet'!D75</f>
        <v>0</v>
      </c>
      <c r="C61" s="208"/>
      <c r="D61" s="194">
        <f t="shared" si="4"/>
        <v>0</v>
      </c>
      <c r="E61" s="210"/>
      <c r="F61" s="221"/>
      <c r="G61" s="232"/>
      <c r="H61" s="25"/>
      <c r="I61" s="5"/>
      <c r="J61" s="5"/>
      <c r="K61" s="5"/>
      <c r="L61" s="5"/>
      <c r="M61" s="5"/>
      <c r="N61" s="186"/>
      <c r="O61" s="5"/>
      <c r="P61" s="5"/>
      <c r="Q61" s="5"/>
      <c r="R61" s="211">
        <f>IF(R60+1&lt;=MIN('Données projet'!$E$9:$E$18),R60+1,"STOP")</f>
        <v>32</v>
      </c>
      <c r="S61" s="201">
        <f t="shared" ref="S61:S72" si="5">$T$24/(1+$J$6)^R61</f>
        <v>0</v>
      </c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25">
      <c r="A62" s="195">
        <f>'Données projet'!A76</f>
        <v>0</v>
      </c>
      <c r="B62" s="196">
        <f>'Données projet'!D76</f>
        <v>0</v>
      </c>
      <c r="C62" s="208"/>
      <c r="D62" s="194">
        <f t="shared" si="4"/>
        <v>0</v>
      </c>
      <c r="E62" s="210"/>
      <c r="F62" s="221"/>
      <c r="G62" s="232"/>
      <c r="H62" s="25"/>
      <c r="I62" s="5"/>
      <c r="J62" s="5"/>
      <c r="K62" s="5"/>
      <c r="L62" s="5"/>
      <c r="M62" s="5"/>
      <c r="N62" s="186"/>
      <c r="O62" s="5"/>
      <c r="P62" s="5"/>
      <c r="Q62" s="5"/>
      <c r="R62" s="211">
        <f>IF(R61+1&lt;=MIN('Données projet'!$E$9:$E$18),R61+1,"STOP")</f>
        <v>33</v>
      </c>
      <c r="S62" s="201">
        <f t="shared" si="5"/>
        <v>0</v>
      </c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25">
      <c r="A63" s="195">
        <f>'Données projet'!A77</f>
        <v>0</v>
      </c>
      <c r="B63" s="196">
        <f>'Données projet'!D77</f>
        <v>0</v>
      </c>
      <c r="C63" s="208"/>
      <c r="D63" s="194">
        <f t="shared" si="4"/>
        <v>0</v>
      </c>
      <c r="E63" s="210"/>
      <c r="F63" s="221"/>
      <c r="G63" s="232"/>
      <c r="H63" s="25"/>
      <c r="I63" s="5"/>
      <c r="J63" s="5"/>
      <c r="K63" s="5"/>
      <c r="L63" s="5"/>
      <c r="M63" s="5"/>
      <c r="N63" s="186"/>
      <c r="O63" s="5"/>
      <c r="P63" s="5"/>
      <c r="Q63" s="5"/>
      <c r="R63" s="211">
        <f>IF(R62+1&lt;=MIN('Données projet'!$E$9:$E$18),R62+1,"STOP")</f>
        <v>34</v>
      </c>
      <c r="S63" s="201">
        <f t="shared" si="5"/>
        <v>0</v>
      </c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25">
      <c r="A64" s="195">
        <f>'Données projet'!A78</f>
        <v>0</v>
      </c>
      <c r="B64" s="196">
        <f>'Données projet'!D78</f>
        <v>0</v>
      </c>
      <c r="C64" s="208"/>
      <c r="D64" s="194">
        <f t="shared" si="4"/>
        <v>0</v>
      </c>
      <c r="E64" s="210"/>
      <c r="F64" s="221"/>
      <c r="G64" s="232"/>
      <c r="H64" s="25"/>
      <c r="I64" s="5"/>
      <c r="J64" s="5"/>
      <c r="K64" s="5"/>
      <c r="L64" s="5"/>
      <c r="M64" s="5"/>
      <c r="N64" s="186"/>
      <c r="O64" s="5"/>
      <c r="P64" s="5"/>
      <c r="Q64" s="5"/>
      <c r="R64" s="211">
        <f>IF(R63+1&lt;=MIN('Données projet'!$E$9:$E$18),R63+1,"STOP")</f>
        <v>35</v>
      </c>
      <c r="S64" s="201">
        <f t="shared" si="5"/>
        <v>0</v>
      </c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25">
      <c r="A65" s="195">
        <f>'Données projet'!A79</f>
        <v>0</v>
      </c>
      <c r="B65" s="196">
        <f>'Données projet'!D79</f>
        <v>0</v>
      </c>
      <c r="C65" s="208"/>
      <c r="D65" s="194">
        <f t="shared" si="4"/>
        <v>0</v>
      </c>
      <c r="E65" s="210"/>
      <c r="F65" s="221"/>
      <c r="G65" s="232"/>
      <c r="H65" s="25"/>
      <c r="I65" s="5"/>
      <c r="J65" s="5"/>
      <c r="K65" s="5"/>
      <c r="L65" s="5"/>
      <c r="M65" s="5"/>
      <c r="N65" s="186"/>
      <c r="O65" s="5"/>
      <c r="P65" s="5"/>
      <c r="Q65" s="5"/>
      <c r="R65" s="211">
        <f>IF(R64+1&lt;=MIN('Données projet'!$E$9:$E$18),R64+1,"STOP")</f>
        <v>36</v>
      </c>
      <c r="S65" s="201">
        <f t="shared" si="5"/>
        <v>0</v>
      </c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25">
      <c r="A66" s="195">
        <f>'Données projet'!A80</f>
        <v>0</v>
      </c>
      <c r="B66" s="196">
        <f>'Données projet'!D80</f>
        <v>0</v>
      </c>
      <c r="C66" s="208"/>
      <c r="D66" s="194">
        <f t="shared" si="4"/>
        <v>0</v>
      </c>
      <c r="E66" s="210"/>
      <c r="F66" s="221"/>
      <c r="G66" s="232"/>
      <c r="H66" s="25"/>
      <c r="I66" s="5"/>
      <c r="J66" s="5"/>
      <c r="K66" s="5"/>
      <c r="L66" s="5"/>
      <c r="M66" s="5"/>
      <c r="N66" s="186"/>
      <c r="O66" s="5"/>
      <c r="P66" s="5"/>
      <c r="Q66" s="5"/>
      <c r="R66" s="211">
        <f>IF(R65+1&lt;=MIN('Données projet'!$E$9:$E$18),R65+1,"STOP")</f>
        <v>37</v>
      </c>
      <c r="S66" s="201">
        <f t="shared" si="5"/>
        <v>0</v>
      </c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x14ac:dyDescent="0.25">
      <c r="A67" s="195">
        <f>'Données projet'!A81</f>
        <v>0</v>
      </c>
      <c r="B67" s="196">
        <f>'Données projet'!D81</f>
        <v>0</v>
      </c>
      <c r="C67" s="208"/>
      <c r="D67" s="194">
        <f t="shared" si="4"/>
        <v>0</v>
      </c>
      <c r="E67" s="210"/>
      <c r="F67" s="221"/>
      <c r="G67" s="232"/>
      <c r="H67" s="25"/>
      <c r="I67" s="5"/>
      <c r="J67" s="5"/>
      <c r="K67" s="5"/>
      <c r="L67" s="5"/>
      <c r="M67" s="5"/>
      <c r="N67" s="186"/>
      <c r="O67" s="5"/>
      <c r="P67" s="5"/>
      <c r="Q67" s="5"/>
      <c r="R67" s="211">
        <f>IF(R66+1&lt;=MIN('Données projet'!$E$9:$E$18),R66+1,"STOP")</f>
        <v>38</v>
      </c>
      <c r="S67" s="201">
        <f t="shared" si="5"/>
        <v>0</v>
      </c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x14ac:dyDescent="0.25">
      <c r="A68" s="5"/>
      <c r="B68" s="5"/>
      <c r="C68" s="5"/>
      <c r="D68" s="5"/>
      <c r="E68" s="5"/>
      <c r="F68" s="218"/>
      <c r="G68" s="230"/>
      <c r="H68" s="25"/>
      <c r="I68" s="5"/>
      <c r="J68" s="5"/>
      <c r="K68" s="5"/>
      <c r="L68" s="5"/>
      <c r="M68" s="5"/>
      <c r="N68" s="186"/>
      <c r="O68" s="5"/>
      <c r="P68" s="5"/>
      <c r="Q68" s="5"/>
      <c r="R68" s="211">
        <f>IF(R67+1&lt;=MIN('Données projet'!$E$9:$E$18),R67+1,"STOP")</f>
        <v>39</v>
      </c>
      <c r="S68" s="201">
        <f t="shared" si="5"/>
        <v>0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x14ac:dyDescent="0.25">
      <c r="A69" s="5"/>
      <c r="B69" s="5"/>
      <c r="C69" s="5"/>
      <c r="D69" s="5"/>
      <c r="E69" s="5"/>
      <c r="F69" s="218"/>
      <c r="G69" s="230"/>
      <c r="H69" s="25"/>
      <c r="I69" s="5"/>
      <c r="J69" s="5"/>
      <c r="K69" s="5"/>
      <c r="L69" s="5"/>
      <c r="M69" s="5"/>
      <c r="N69" s="186"/>
      <c r="O69" s="5"/>
      <c r="P69" s="5"/>
      <c r="Q69" s="5"/>
      <c r="R69" s="211">
        <f>IF(R68+1&lt;=MIN('Données projet'!$E$9:$E$18),R68+1,"STOP")</f>
        <v>40</v>
      </c>
      <c r="S69" s="201">
        <f t="shared" si="5"/>
        <v>0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25">
      <c r="A70" s="49" t="s">
        <v>167</v>
      </c>
      <c r="B70" s="189" t="str">
        <f>IF('Données projet'!B11="","",'Données projet'!B11)</f>
        <v>Erable sycomore</v>
      </c>
      <c r="C70" s="5"/>
      <c r="D70" s="5"/>
      <c r="E70" s="5"/>
      <c r="F70" s="218"/>
      <c r="G70" s="230"/>
      <c r="H70" s="25"/>
      <c r="I70" s="5"/>
      <c r="J70" s="5"/>
      <c r="K70" s="5"/>
      <c r="L70" s="5"/>
      <c r="M70" s="5"/>
      <c r="N70" s="186"/>
      <c r="O70" s="5"/>
      <c r="P70" s="5"/>
      <c r="Q70" s="5"/>
      <c r="R70" s="211">
        <f>IF(R69+1&lt;=MIN('Données projet'!$E$9:$E$18),R69+1,"STOP")</f>
        <v>41</v>
      </c>
      <c r="S70" s="201">
        <f t="shared" si="5"/>
        <v>0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25">
      <c r="A71" s="5"/>
      <c r="B71" s="5"/>
      <c r="C71" s="5"/>
      <c r="D71" s="5"/>
      <c r="E71" s="5"/>
      <c r="F71" s="218"/>
      <c r="G71" s="230"/>
      <c r="H71" s="25"/>
      <c r="I71" s="5"/>
      <c r="J71" s="5"/>
      <c r="K71" s="5"/>
      <c r="L71" s="5"/>
      <c r="M71" s="5"/>
      <c r="N71" s="186"/>
      <c r="O71" s="5"/>
      <c r="P71" s="5"/>
      <c r="Q71" s="5"/>
      <c r="R71" s="211">
        <f>IF(R70+1&lt;=MIN('Données projet'!$E$9:$E$18),R70+1,"STOP")</f>
        <v>42</v>
      </c>
      <c r="S71" s="201">
        <f t="shared" si="5"/>
        <v>0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ht="16.5" customHeight="1" x14ac:dyDescent="0.25">
      <c r="A72" s="188" t="s">
        <v>180</v>
      </c>
      <c r="B72" s="51" t="s">
        <v>256</v>
      </c>
      <c r="C72" s="51" t="s">
        <v>255</v>
      </c>
      <c r="D72" s="188" t="s">
        <v>252</v>
      </c>
      <c r="E72" s="188" t="s">
        <v>288</v>
      </c>
      <c r="F72" s="220"/>
      <c r="G72" s="231"/>
      <c r="H72" s="25"/>
      <c r="I72" s="5"/>
      <c r="J72" s="5"/>
      <c r="K72" s="5"/>
      <c r="L72" s="5"/>
      <c r="M72" s="5"/>
      <c r="N72" s="186"/>
      <c r="O72" s="5"/>
      <c r="P72" s="5"/>
      <c r="Q72" s="5"/>
      <c r="R72" s="211">
        <f>IF(R71+1&lt;=MIN('Données projet'!$E$9:$E$18),R71+1,"STOP")</f>
        <v>43</v>
      </c>
      <c r="S72" s="201">
        <f t="shared" si="5"/>
        <v>0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ht="16.5" customHeight="1" x14ac:dyDescent="0.25">
      <c r="A73" s="214">
        <v>0</v>
      </c>
      <c r="B73" s="217" t="s">
        <v>132</v>
      </c>
      <c r="C73" s="216" t="s">
        <v>132</v>
      </c>
      <c r="D73" s="215" t="s">
        <v>132</v>
      </c>
      <c r="E73" s="210"/>
      <c r="F73" s="220"/>
      <c r="G73" s="231"/>
      <c r="H73" s="25"/>
      <c r="I73" s="5"/>
      <c r="J73" s="5"/>
      <c r="K73" s="5"/>
      <c r="L73" s="5"/>
      <c r="M73" s="5"/>
      <c r="N73" s="186"/>
      <c r="O73" s="5"/>
      <c r="P73" s="5"/>
      <c r="Q73" s="5"/>
      <c r="R73" s="211">
        <f>IF(R72+1&lt;=MIN('Données projet'!$E$9:$E$18),R72+1,"STOP")</f>
        <v>44</v>
      </c>
      <c r="S73" s="201">
        <f t="shared" ref="S73:S92" si="6">$T$24/(1+$J$6)^R73</f>
        <v>0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25">
      <c r="A74" s="195">
        <f>'Données projet'!A88</f>
        <v>10</v>
      </c>
      <c r="B74" s="196">
        <f>'Données projet'!D88</f>
        <v>0</v>
      </c>
      <c r="C74" s="208"/>
      <c r="D74" s="194">
        <f>B74*C74</f>
        <v>0</v>
      </c>
      <c r="E74" s="210"/>
      <c r="F74" s="221"/>
      <c r="G74" s="232"/>
      <c r="H74" s="25"/>
      <c r="I74" s="5"/>
      <c r="J74" s="5"/>
      <c r="K74" s="5"/>
      <c r="L74" s="5"/>
      <c r="M74" s="5"/>
      <c r="N74" s="186"/>
      <c r="O74" s="5"/>
      <c r="P74" s="5"/>
      <c r="Q74" s="5"/>
      <c r="R74" s="211">
        <f>IF(R73+1&lt;=MIN('Données projet'!$E$9:$E$18),R73+1,"STOP")</f>
        <v>45</v>
      </c>
      <c r="S74" s="201">
        <f t="shared" si="6"/>
        <v>0</v>
      </c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25">
      <c r="A75" s="195">
        <f>'Données projet'!A89</f>
        <v>15</v>
      </c>
      <c r="B75" s="196">
        <f>'Données projet'!D89</f>
        <v>0</v>
      </c>
      <c r="C75" s="208"/>
      <c r="D75" s="194">
        <f t="shared" ref="D75:D93" si="7">B75*C75</f>
        <v>0</v>
      </c>
      <c r="E75" s="210"/>
      <c r="F75" s="221"/>
      <c r="G75" s="232"/>
      <c r="H75" s="25"/>
      <c r="I75" s="5"/>
      <c r="J75" s="5"/>
      <c r="K75" s="5"/>
      <c r="L75" s="5"/>
      <c r="M75" s="5"/>
      <c r="N75" s="186"/>
      <c r="O75" s="5"/>
      <c r="P75" s="5"/>
      <c r="Q75" s="5"/>
      <c r="R75" s="211">
        <f>IF(R74+1&lt;=MIN('Données projet'!$E$9:$E$18),R74+1,"STOP")</f>
        <v>46</v>
      </c>
      <c r="S75" s="201">
        <f t="shared" si="6"/>
        <v>0</v>
      </c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25">
      <c r="A76" s="195">
        <f>'Données projet'!A90</f>
        <v>20</v>
      </c>
      <c r="B76" s="196">
        <f>'Données projet'!D90</f>
        <v>0</v>
      </c>
      <c r="C76" s="208"/>
      <c r="D76" s="194">
        <f t="shared" si="7"/>
        <v>0</v>
      </c>
      <c r="E76" s="210"/>
      <c r="F76" s="221"/>
      <c r="G76" s="232"/>
      <c r="H76" s="25"/>
      <c r="I76" s="5"/>
      <c r="J76" s="5"/>
      <c r="K76" s="5"/>
      <c r="L76" s="5"/>
      <c r="M76" s="5"/>
      <c r="N76" s="186"/>
      <c r="O76" s="5"/>
      <c r="P76" s="5"/>
      <c r="Q76" s="5"/>
      <c r="R76" s="211">
        <f>IF(R75+1&lt;=MIN('Données projet'!$E$9:$E$18),R75+1,"STOP")</f>
        <v>47</v>
      </c>
      <c r="S76" s="201">
        <f t="shared" si="6"/>
        <v>0</v>
      </c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25">
      <c r="A77" s="195">
        <f>'Données projet'!A91</f>
        <v>25</v>
      </c>
      <c r="B77" s="196">
        <f>'Données projet'!D91</f>
        <v>101.5</v>
      </c>
      <c r="C77" s="208">
        <v>10</v>
      </c>
      <c r="D77" s="194">
        <f t="shared" si="7"/>
        <v>1015</v>
      </c>
      <c r="E77" s="210"/>
      <c r="F77" s="221"/>
      <c r="G77" s="232"/>
      <c r="H77" s="25"/>
      <c r="I77" s="5"/>
      <c r="J77" s="5"/>
      <c r="K77" s="5"/>
      <c r="L77" s="5"/>
      <c r="M77" s="5"/>
      <c r="N77" s="186"/>
      <c r="O77" s="5"/>
      <c r="P77" s="5"/>
      <c r="Q77" s="5"/>
      <c r="R77" s="211">
        <f>IF(R76+1&lt;=MIN('Données projet'!$E$9:$E$18),R76+1,"STOP")</f>
        <v>48</v>
      </c>
      <c r="S77" s="201">
        <f t="shared" si="6"/>
        <v>0</v>
      </c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25">
      <c r="A78" s="195">
        <f>'Données projet'!A92</f>
        <v>30</v>
      </c>
      <c r="B78" s="196">
        <f>'Données projet'!D92</f>
        <v>0</v>
      </c>
      <c r="C78" s="208"/>
      <c r="D78" s="194">
        <f t="shared" si="7"/>
        <v>0</v>
      </c>
      <c r="E78" s="210"/>
      <c r="F78" s="221"/>
      <c r="G78" s="232"/>
      <c r="H78" s="25"/>
      <c r="I78" s="5"/>
      <c r="J78" s="5"/>
      <c r="K78" s="5"/>
      <c r="L78" s="5"/>
      <c r="M78" s="5"/>
      <c r="N78" s="186"/>
      <c r="O78" s="5"/>
      <c r="P78" s="5"/>
      <c r="Q78" s="5"/>
      <c r="R78" s="211">
        <f>IF(R77+1&lt;=MIN('Données projet'!$E$9:$E$18),R77+1,"STOP")</f>
        <v>49</v>
      </c>
      <c r="S78" s="201">
        <f t="shared" si="6"/>
        <v>0</v>
      </c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25">
      <c r="A79" s="195">
        <f>'Données projet'!A93</f>
        <v>35</v>
      </c>
      <c r="B79" s="196">
        <f>'Données projet'!D93</f>
        <v>70</v>
      </c>
      <c r="C79" s="208">
        <v>20</v>
      </c>
      <c r="D79" s="194">
        <f t="shared" si="7"/>
        <v>1400</v>
      </c>
      <c r="E79" s="210"/>
      <c r="F79" s="221"/>
      <c r="G79" s="232"/>
      <c r="H79" s="25"/>
      <c r="I79" s="5"/>
      <c r="J79" s="5"/>
      <c r="K79" s="5"/>
      <c r="L79" s="5"/>
      <c r="M79" s="5"/>
      <c r="N79" s="186"/>
      <c r="O79" s="5"/>
      <c r="P79" s="5"/>
      <c r="Q79" s="5"/>
      <c r="R79" s="211">
        <f>IF(R78+1&lt;=MIN('Données projet'!$E$9:$E$18),R78+1,"STOP")</f>
        <v>50</v>
      </c>
      <c r="S79" s="201">
        <f t="shared" si="6"/>
        <v>0</v>
      </c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25">
      <c r="A80" s="195">
        <f>'Données projet'!A94</f>
        <v>40</v>
      </c>
      <c r="B80" s="196">
        <f>'Données projet'!D94</f>
        <v>0</v>
      </c>
      <c r="C80" s="208"/>
      <c r="D80" s="194">
        <f t="shared" si="7"/>
        <v>0</v>
      </c>
      <c r="E80" s="210"/>
      <c r="F80" s="221"/>
      <c r="G80" s="232"/>
      <c r="H80" s="25"/>
      <c r="I80" s="5"/>
      <c r="J80" s="5"/>
      <c r="K80" s="5"/>
      <c r="L80" s="5"/>
      <c r="M80" s="5"/>
      <c r="N80" s="186"/>
      <c r="O80" s="5"/>
      <c r="P80" s="5"/>
      <c r="Q80" s="5"/>
      <c r="R80" s="211">
        <f>IF(R79+1&lt;=MIN('Données projet'!$E$9:$E$18),R79+1,"STOP")</f>
        <v>51</v>
      </c>
      <c r="S80" s="201">
        <f t="shared" si="6"/>
        <v>0</v>
      </c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25">
      <c r="A81" s="195">
        <f>'Données projet'!A95</f>
        <v>45</v>
      </c>
      <c r="B81" s="196">
        <f>'Données projet'!D95</f>
        <v>59.2</v>
      </c>
      <c r="C81" s="208">
        <v>25</v>
      </c>
      <c r="D81" s="194">
        <f t="shared" si="7"/>
        <v>1480</v>
      </c>
      <c r="E81" s="210"/>
      <c r="F81" s="221"/>
      <c r="G81" s="232"/>
      <c r="H81" s="25"/>
      <c r="I81" s="5"/>
      <c r="J81" s="5"/>
      <c r="K81" s="5"/>
      <c r="L81" s="5"/>
      <c r="M81" s="5"/>
      <c r="N81" s="186"/>
      <c r="O81" s="5"/>
      <c r="P81" s="5"/>
      <c r="Q81" s="5"/>
      <c r="R81" s="211">
        <f>IF(R80+1&lt;=MIN('Données projet'!$E$9:$E$18),R80+1,"STOP")</f>
        <v>52</v>
      </c>
      <c r="S81" s="201">
        <f t="shared" si="6"/>
        <v>0</v>
      </c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25">
      <c r="A82" s="195">
        <f>'Données projet'!A96</f>
        <v>50</v>
      </c>
      <c r="B82" s="196">
        <f>'Données projet'!D96</f>
        <v>0</v>
      </c>
      <c r="C82" s="208"/>
      <c r="D82" s="194">
        <f t="shared" si="7"/>
        <v>0</v>
      </c>
      <c r="E82" s="210"/>
      <c r="F82" s="221"/>
      <c r="G82" s="232"/>
      <c r="H82" s="25"/>
      <c r="I82" s="5"/>
      <c r="J82" s="5"/>
      <c r="K82" s="5"/>
      <c r="L82" s="5"/>
      <c r="M82" s="5"/>
      <c r="N82" s="186"/>
      <c r="O82" s="5"/>
      <c r="P82" s="5"/>
      <c r="Q82" s="5"/>
      <c r="R82" s="211">
        <f>IF(R81+1&lt;=MIN('Données projet'!$E$9:$E$18),R81+1,"STOP")</f>
        <v>53</v>
      </c>
      <c r="S82" s="201">
        <f t="shared" si="6"/>
        <v>0</v>
      </c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25">
      <c r="A83" s="195">
        <f>'Données projet'!A97</f>
        <v>55</v>
      </c>
      <c r="B83" s="196">
        <f>'Données projet'!D97</f>
        <v>34.9</v>
      </c>
      <c r="C83" s="208">
        <v>30</v>
      </c>
      <c r="D83" s="194">
        <f t="shared" si="7"/>
        <v>1047</v>
      </c>
      <c r="E83" s="210"/>
      <c r="F83" s="221"/>
      <c r="G83" s="232"/>
      <c r="H83" s="25"/>
      <c r="I83" s="5"/>
      <c r="J83" s="5"/>
      <c r="K83" s="5"/>
      <c r="L83" s="5"/>
      <c r="M83" s="5"/>
      <c r="N83" s="186"/>
      <c r="O83" s="5"/>
      <c r="P83" s="5"/>
      <c r="Q83" s="5"/>
      <c r="R83" s="211">
        <f>IF(R82+1&lt;=MIN('Données projet'!$E$9:$E$18),R82+1,"STOP")</f>
        <v>54</v>
      </c>
      <c r="S83" s="201">
        <f t="shared" si="6"/>
        <v>0</v>
      </c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25">
      <c r="A84" s="195">
        <f>'Données projet'!A98</f>
        <v>60</v>
      </c>
      <c r="B84" s="196">
        <f>'Données projet'!D98</f>
        <v>0</v>
      </c>
      <c r="C84" s="208"/>
      <c r="D84" s="194">
        <f t="shared" si="7"/>
        <v>0</v>
      </c>
      <c r="E84" s="210"/>
      <c r="F84" s="221"/>
      <c r="G84" s="232"/>
      <c r="H84" s="25"/>
      <c r="I84" s="5"/>
      <c r="J84" s="5"/>
      <c r="K84" s="5"/>
      <c r="L84" s="5"/>
      <c r="M84" s="5"/>
      <c r="N84" s="186"/>
      <c r="O84" s="5"/>
      <c r="P84" s="5"/>
      <c r="Q84" s="5"/>
      <c r="R84" s="211">
        <f>IF(R83+1&lt;=MIN('Données projet'!$E$9:$E$18),R83+1,"STOP")</f>
        <v>55</v>
      </c>
      <c r="S84" s="201">
        <f t="shared" si="6"/>
        <v>0</v>
      </c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25">
      <c r="A85" s="195">
        <f>'Données projet'!A99</f>
        <v>65</v>
      </c>
      <c r="B85" s="196">
        <f>'Données projet'!D99</f>
        <v>27.6</v>
      </c>
      <c r="C85" s="208">
        <v>50</v>
      </c>
      <c r="D85" s="194">
        <f t="shared" si="7"/>
        <v>1380</v>
      </c>
      <c r="E85" s="210"/>
      <c r="F85" s="221"/>
      <c r="G85" s="232"/>
      <c r="H85" s="25"/>
      <c r="I85" s="5"/>
      <c r="J85" s="5"/>
      <c r="K85" s="5"/>
      <c r="L85" s="5"/>
      <c r="M85" s="5"/>
      <c r="N85" s="186"/>
      <c r="O85" s="5"/>
      <c r="P85" s="5"/>
      <c r="Q85" s="5"/>
      <c r="R85" s="211">
        <f>IF(R84+1&lt;=MIN('Données projet'!$E$9:$E$18),R84+1,"STOP")</f>
        <v>56</v>
      </c>
      <c r="S85" s="201">
        <f t="shared" si="6"/>
        <v>0</v>
      </c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25">
      <c r="A86" s="195">
        <f>'Données projet'!A100</f>
        <v>70</v>
      </c>
      <c r="B86" s="196">
        <f>'Données projet'!D100</f>
        <v>0</v>
      </c>
      <c r="C86" s="208"/>
      <c r="D86" s="194">
        <f t="shared" si="7"/>
        <v>0</v>
      </c>
      <c r="E86" s="210"/>
      <c r="F86" s="221"/>
      <c r="G86" s="232"/>
      <c r="H86" s="25"/>
      <c r="I86" s="5"/>
      <c r="J86" s="5"/>
      <c r="K86" s="5"/>
      <c r="L86" s="5"/>
      <c r="M86" s="5"/>
      <c r="N86" s="186"/>
      <c r="O86" s="5"/>
      <c r="P86" s="5"/>
      <c r="Q86" s="5"/>
      <c r="R86" s="211">
        <f>IF(R85+1&lt;=MIN('Données projet'!$E$9:$E$18),R85+1,"STOP")</f>
        <v>57</v>
      </c>
      <c r="S86" s="201">
        <f t="shared" si="6"/>
        <v>0</v>
      </c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25">
      <c r="A87" s="195">
        <f>'Données projet'!A101</f>
        <v>75</v>
      </c>
      <c r="B87" s="196">
        <f>'Données projet'!D101</f>
        <v>0</v>
      </c>
      <c r="C87" s="208"/>
      <c r="D87" s="194">
        <f t="shared" si="7"/>
        <v>0</v>
      </c>
      <c r="E87" s="210"/>
      <c r="F87" s="221"/>
      <c r="G87" s="232"/>
      <c r="H87" s="25"/>
      <c r="I87" s="5"/>
      <c r="J87" s="5"/>
      <c r="K87" s="5"/>
      <c r="L87" s="5"/>
      <c r="M87" s="5"/>
      <c r="N87" s="186"/>
      <c r="O87" s="5"/>
      <c r="P87" s="5"/>
      <c r="Q87" s="5"/>
      <c r="R87" s="211">
        <f>IF(R86+1&lt;=MIN('Données projet'!$E$9:$E$18),R86+1,"STOP")</f>
        <v>58</v>
      </c>
      <c r="S87" s="201">
        <f t="shared" si="6"/>
        <v>0</v>
      </c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25">
      <c r="A88" s="195">
        <f>'Données projet'!A102</f>
        <v>80</v>
      </c>
      <c r="B88" s="196">
        <f>'Données projet'!D102</f>
        <v>353.8</v>
      </c>
      <c r="C88" s="208">
        <v>120</v>
      </c>
      <c r="D88" s="194">
        <f t="shared" si="7"/>
        <v>42456</v>
      </c>
      <c r="E88" s="210"/>
      <c r="F88" s="221"/>
      <c r="G88" s="232"/>
      <c r="H88" s="25"/>
      <c r="I88" s="5"/>
      <c r="J88" s="5"/>
      <c r="K88" s="5"/>
      <c r="L88" s="5"/>
      <c r="M88" s="5"/>
      <c r="N88" s="186"/>
      <c r="O88" s="5"/>
      <c r="P88" s="5"/>
      <c r="Q88" s="5"/>
      <c r="R88" s="211">
        <f>IF(R87+1&lt;=MIN('Données projet'!$E$9:$E$18),R87+1,"STOP")</f>
        <v>59</v>
      </c>
      <c r="S88" s="201">
        <f t="shared" si="6"/>
        <v>0</v>
      </c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25">
      <c r="A89" s="195">
        <f>'Données projet'!A103</f>
        <v>0</v>
      </c>
      <c r="B89" s="196">
        <f>'Données projet'!D103</f>
        <v>0</v>
      </c>
      <c r="C89" s="208"/>
      <c r="D89" s="194">
        <f t="shared" si="7"/>
        <v>0</v>
      </c>
      <c r="E89" s="210"/>
      <c r="F89" s="221"/>
      <c r="G89" s="232"/>
      <c r="H89" s="25"/>
      <c r="I89" s="5"/>
      <c r="J89" s="5"/>
      <c r="K89" s="5"/>
      <c r="L89" s="5"/>
      <c r="M89" s="5"/>
      <c r="N89" s="186"/>
      <c r="O89" s="5"/>
      <c r="P89" s="5"/>
      <c r="Q89" s="5"/>
      <c r="R89" s="211">
        <f>IF(R88+1&lt;=MIN('Données projet'!$E$9:$E$18),R88+1,"STOP")</f>
        <v>60</v>
      </c>
      <c r="S89" s="201">
        <f t="shared" si="6"/>
        <v>0</v>
      </c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25">
      <c r="A90" s="195">
        <f>'Données projet'!A104</f>
        <v>0</v>
      </c>
      <c r="B90" s="196">
        <f>'Données projet'!D104</f>
        <v>0</v>
      </c>
      <c r="C90" s="208"/>
      <c r="D90" s="194">
        <f t="shared" si="7"/>
        <v>0</v>
      </c>
      <c r="E90" s="210"/>
      <c r="F90" s="221"/>
      <c r="G90" s="232"/>
      <c r="H90" s="25"/>
      <c r="I90" s="5"/>
      <c r="J90" s="5"/>
      <c r="K90" s="5"/>
      <c r="L90" s="5"/>
      <c r="M90" s="5"/>
      <c r="N90" s="186"/>
      <c r="O90" s="5"/>
      <c r="P90" s="5"/>
      <c r="Q90" s="5"/>
      <c r="R90" s="211" t="str">
        <f>IF(R89+1&lt;=MIN('Données projet'!$E$9:$E$18),R89+1,"STOP")</f>
        <v>STOP</v>
      </c>
      <c r="S90" s="201" t="e">
        <f t="shared" si="6"/>
        <v>#VALUE!</v>
      </c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25">
      <c r="A91" s="195">
        <f>'Données projet'!A105</f>
        <v>0</v>
      </c>
      <c r="B91" s="196">
        <f>'Données projet'!D105</f>
        <v>0</v>
      </c>
      <c r="C91" s="208"/>
      <c r="D91" s="194">
        <f t="shared" si="7"/>
        <v>0</v>
      </c>
      <c r="E91" s="210"/>
      <c r="F91" s="221"/>
      <c r="G91" s="232"/>
      <c r="H91" s="25"/>
      <c r="I91" s="5"/>
      <c r="J91" s="5"/>
      <c r="K91" s="5"/>
      <c r="L91" s="5"/>
      <c r="M91" s="5"/>
      <c r="N91" s="186"/>
      <c r="O91" s="5"/>
      <c r="P91" s="5"/>
      <c r="Q91" s="5"/>
      <c r="R91" s="211" t="e">
        <f>IF(R90+1&lt;=MIN('Données projet'!$E$9:$E$18),R90+1,"STOP")</f>
        <v>#VALUE!</v>
      </c>
      <c r="S91" s="201" t="e">
        <f t="shared" si="6"/>
        <v>#VALUE!</v>
      </c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25">
      <c r="A92" s="195">
        <f>'Données projet'!A106</f>
        <v>0</v>
      </c>
      <c r="B92" s="196">
        <f>'Données projet'!D106</f>
        <v>0</v>
      </c>
      <c r="C92" s="208"/>
      <c r="D92" s="194">
        <f t="shared" si="7"/>
        <v>0</v>
      </c>
      <c r="E92" s="210"/>
      <c r="F92" s="221"/>
      <c r="G92" s="232"/>
      <c r="H92" s="25"/>
      <c r="I92" s="5"/>
      <c r="J92" s="5"/>
      <c r="K92" s="5"/>
      <c r="L92" s="5"/>
      <c r="M92" s="5"/>
      <c r="N92" s="186"/>
      <c r="O92" s="5"/>
      <c r="P92" s="5"/>
      <c r="Q92" s="5"/>
      <c r="R92" s="211" t="e">
        <f>IF(R91+1&lt;=MIN('Données projet'!$E$9:$E$18),R91+1,"STOP")</f>
        <v>#VALUE!</v>
      </c>
      <c r="S92" s="201" t="e">
        <f t="shared" si="6"/>
        <v>#VALUE!</v>
      </c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25">
      <c r="A93" s="195">
        <f>'Données projet'!A107</f>
        <v>0</v>
      </c>
      <c r="B93" s="196">
        <f>'Données projet'!D107</f>
        <v>0</v>
      </c>
      <c r="C93" s="208"/>
      <c r="D93" s="194">
        <f t="shared" si="7"/>
        <v>0</v>
      </c>
      <c r="E93" s="210"/>
      <c r="F93" s="221"/>
      <c r="G93" s="232"/>
      <c r="H93" s="25"/>
      <c r="I93" s="5"/>
      <c r="J93" s="5"/>
      <c r="K93" s="5"/>
      <c r="L93" s="5"/>
      <c r="M93" s="5"/>
      <c r="N93" s="186"/>
      <c r="O93" s="5"/>
      <c r="P93" s="5"/>
      <c r="Q93" s="5"/>
      <c r="R93" s="211" t="e">
        <f>IF(R92+1&lt;=MIN('Données projet'!$E$9:$E$18),R92+1,"STOP")</f>
        <v>#VALUE!</v>
      </c>
      <c r="S93" s="201" t="e">
        <f t="shared" ref="S93:S98" si="8">$T$24/(1+$J$6)^R93</f>
        <v>#VALUE!</v>
      </c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25">
      <c r="A94" s="5"/>
      <c r="B94" s="5"/>
      <c r="C94" s="5"/>
      <c r="D94" s="5"/>
      <c r="E94" s="5"/>
      <c r="F94" s="218"/>
      <c r="G94" s="230"/>
      <c r="H94" s="25"/>
      <c r="I94" s="5"/>
      <c r="J94" s="5"/>
      <c r="K94" s="5"/>
      <c r="L94" s="5"/>
      <c r="M94" s="5"/>
      <c r="N94" s="186"/>
      <c r="O94" s="5"/>
      <c r="P94" s="5"/>
      <c r="Q94" s="5"/>
      <c r="R94" s="211" t="e">
        <f>IF(R93+1&lt;=MIN('Données projet'!$E$9:$E$18),R93+1,"STOP")</f>
        <v>#VALUE!</v>
      </c>
      <c r="S94" s="201" t="e">
        <f t="shared" si="8"/>
        <v>#VALUE!</v>
      </c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25">
      <c r="A95" s="5"/>
      <c r="B95" s="5"/>
      <c r="C95" s="5"/>
      <c r="D95" s="5"/>
      <c r="E95" s="5"/>
      <c r="F95" s="218"/>
      <c r="G95" s="230"/>
      <c r="H95" s="25"/>
      <c r="I95" s="5"/>
      <c r="J95" s="5"/>
      <c r="K95" s="5"/>
      <c r="L95" s="5"/>
      <c r="M95" s="5"/>
      <c r="N95" s="186"/>
      <c r="O95" s="5"/>
      <c r="P95" s="5"/>
      <c r="Q95" s="5"/>
      <c r="R95" s="211" t="e">
        <f>IF(R94+1&lt;=MIN('Données projet'!$E$9:$E$18),R94+1,"STOP")</f>
        <v>#VALUE!</v>
      </c>
      <c r="S95" s="201" t="e">
        <f t="shared" si="8"/>
        <v>#VALUE!</v>
      </c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25">
      <c r="A96" s="49" t="s">
        <v>168</v>
      </c>
      <c r="B96" s="189" t="str">
        <f>IF('Données projet'!B12="","",'Données projet'!B12)</f>
        <v>Merisier</v>
      </c>
      <c r="C96" s="5"/>
      <c r="D96" s="5"/>
      <c r="E96" s="5"/>
      <c r="F96" s="218"/>
      <c r="G96" s="230"/>
      <c r="H96" s="25"/>
      <c r="I96" s="5"/>
      <c r="J96" s="5"/>
      <c r="K96" s="5"/>
      <c r="L96" s="5"/>
      <c r="M96" s="5"/>
      <c r="N96" s="186"/>
      <c r="O96" s="5"/>
      <c r="P96" s="5"/>
      <c r="Q96" s="5"/>
      <c r="R96" s="211" t="e">
        <f>IF(R95+1&lt;=MIN('Données projet'!$E$9:$E$18),R95+1,"STOP")</f>
        <v>#VALUE!</v>
      </c>
      <c r="S96" s="201" t="e">
        <f t="shared" si="8"/>
        <v>#VALUE!</v>
      </c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25">
      <c r="A97" s="5"/>
      <c r="B97" s="5"/>
      <c r="C97" s="5"/>
      <c r="D97" s="5"/>
      <c r="E97" s="5"/>
      <c r="F97" s="218"/>
      <c r="G97" s="230"/>
      <c r="H97" s="25"/>
      <c r="I97" s="5"/>
      <c r="J97" s="5"/>
      <c r="K97" s="5"/>
      <c r="L97" s="5"/>
      <c r="M97" s="5"/>
      <c r="N97" s="186"/>
      <c r="O97" s="5"/>
      <c r="P97" s="5"/>
      <c r="Q97" s="5"/>
      <c r="R97" s="211" t="e">
        <f>IF(R96+1&lt;=MIN('Données projet'!$E$9:$E$18),R96+1,"STOP")</f>
        <v>#VALUE!</v>
      </c>
      <c r="S97" s="201" t="e">
        <f t="shared" si="8"/>
        <v>#VALUE!</v>
      </c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ht="16.5" customHeight="1" x14ac:dyDescent="0.25">
      <c r="A98" s="188" t="s">
        <v>180</v>
      </c>
      <c r="B98" s="51" t="s">
        <v>256</v>
      </c>
      <c r="C98" s="51" t="s">
        <v>255</v>
      </c>
      <c r="D98" s="188" t="s">
        <v>252</v>
      </c>
      <c r="E98" s="188" t="s">
        <v>288</v>
      </c>
      <c r="F98" s="220"/>
      <c r="G98" s="231"/>
      <c r="H98" s="25"/>
      <c r="I98" s="5"/>
      <c r="J98" s="5"/>
      <c r="K98" s="5"/>
      <c r="L98" s="5"/>
      <c r="M98" s="5"/>
      <c r="N98" s="186"/>
      <c r="O98" s="5"/>
      <c r="P98" s="5"/>
      <c r="Q98" s="5"/>
      <c r="R98" s="211" t="e">
        <f>IF(R97+1&lt;=MIN('Données projet'!$E$9:$E$18),R97+1,"STOP")</f>
        <v>#VALUE!</v>
      </c>
      <c r="S98" s="201" t="e">
        <f t="shared" si="8"/>
        <v>#VALUE!</v>
      </c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ht="16.5" customHeight="1" x14ac:dyDescent="0.25">
      <c r="A99" s="214">
        <v>0</v>
      </c>
      <c r="B99" s="217" t="s">
        <v>132</v>
      </c>
      <c r="C99" s="216" t="s">
        <v>132</v>
      </c>
      <c r="D99" s="215" t="s">
        <v>132</v>
      </c>
      <c r="E99" s="210"/>
      <c r="F99" s="220"/>
      <c r="G99" s="231"/>
      <c r="H99" s="25"/>
      <c r="I99" s="5"/>
      <c r="J99" s="5"/>
      <c r="K99" s="5"/>
      <c r="L99" s="5"/>
      <c r="M99" s="5"/>
      <c r="N99" s="186"/>
      <c r="O99" s="5"/>
      <c r="P99" s="5"/>
      <c r="Q99" s="5"/>
      <c r="R99" s="211" t="e">
        <f>IF(R98+1&lt;=MIN('Données projet'!$E$9:$E$18),R98+1,"STOP")</f>
        <v>#VALUE!</v>
      </c>
      <c r="S99" s="201" t="e">
        <f t="shared" ref="S99:S128" si="9">$T$24/(1+$J$6)^R99</f>
        <v>#VALUE!</v>
      </c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25">
      <c r="A100" s="195">
        <f>'Données projet'!A114</f>
        <v>15</v>
      </c>
      <c r="B100" s="196">
        <f>'Données projet'!D114</f>
        <v>0</v>
      </c>
      <c r="C100" s="208"/>
      <c r="D100" s="194">
        <f>B100*C100</f>
        <v>0</v>
      </c>
      <c r="E100" s="210"/>
      <c r="F100" s="221"/>
      <c r="G100" s="232"/>
      <c r="H100" s="25"/>
      <c r="I100" s="5"/>
      <c r="J100" s="5"/>
      <c r="K100" s="5"/>
      <c r="L100" s="5"/>
      <c r="M100" s="5"/>
      <c r="N100" s="186"/>
      <c r="O100" s="5"/>
      <c r="P100" s="5"/>
      <c r="Q100" s="5"/>
      <c r="R100" s="211" t="e">
        <f>IF(R99+1&lt;=MIN('Données projet'!$E$9:$E$18),R99+1,"STOP")</f>
        <v>#VALUE!</v>
      </c>
      <c r="S100" s="201" t="e">
        <f t="shared" si="9"/>
        <v>#VALUE!</v>
      </c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x14ac:dyDescent="0.25">
      <c r="A101" s="195">
        <f>'Données projet'!A115</f>
        <v>20</v>
      </c>
      <c r="B101" s="196">
        <f>'Données projet'!D115</f>
        <v>28</v>
      </c>
      <c r="C101" s="208">
        <v>10</v>
      </c>
      <c r="D101" s="194">
        <f t="shared" ref="D101:D119" si="10">B101*C101</f>
        <v>280</v>
      </c>
      <c r="E101" s="210"/>
      <c r="F101" s="221"/>
      <c r="G101" s="232"/>
      <c r="H101" s="25"/>
      <c r="I101" s="5"/>
      <c r="J101" s="5"/>
      <c r="K101" s="5"/>
      <c r="L101" s="5"/>
      <c r="M101" s="5"/>
      <c r="N101" s="186"/>
      <c r="O101" s="5"/>
      <c r="P101" s="5"/>
      <c r="Q101" s="5"/>
      <c r="R101" s="211" t="e">
        <f>IF(R100+1&lt;=MIN('Données projet'!$E$9:$E$18),R100+1,"STOP")</f>
        <v>#VALUE!</v>
      </c>
      <c r="S101" s="201" t="e">
        <f t="shared" si="9"/>
        <v>#VALUE!</v>
      </c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</row>
    <row r="102" spans="1:60" x14ac:dyDescent="0.25">
      <c r="A102" s="195">
        <f>'Données projet'!A116</f>
        <v>25</v>
      </c>
      <c r="B102" s="196">
        <f>'Données projet'!D116</f>
        <v>27</v>
      </c>
      <c r="C102" s="208">
        <v>10</v>
      </c>
      <c r="D102" s="194">
        <f t="shared" si="10"/>
        <v>270</v>
      </c>
      <c r="E102" s="210"/>
      <c r="F102" s="221"/>
      <c r="G102" s="232"/>
      <c r="H102" s="25"/>
      <c r="I102" s="5"/>
      <c r="J102" s="5"/>
      <c r="K102" s="5"/>
      <c r="L102" s="5"/>
      <c r="M102" s="5"/>
      <c r="N102" s="186"/>
      <c r="O102" s="5"/>
      <c r="P102" s="5"/>
      <c r="Q102" s="5"/>
      <c r="R102" s="211" t="e">
        <f>IF(R101+1&lt;=MIN('Données projet'!$E$9:$E$18),R101+1,"STOP")</f>
        <v>#VALUE!</v>
      </c>
      <c r="S102" s="201" t="e">
        <f t="shared" si="9"/>
        <v>#VALUE!</v>
      </c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</row>
    <row r="103" spans="1:60" x14ac:dyDescent="0.25">
      <c r="A103" s="195">
        <f>'Données projet'!A117</f>
        <v>31</v>
      </c>
      <c r="B103" s="196">
        <f>'Données projet'!D117</f>
        <v>36</v>
      </c>
      <c r="C103" s="208">
        <v>15</v>
      </c>
      <c r="D103" s="194">
        <f t="shared" si="10"/>
        <v>540</v>
      </c>
      <c r="E103" s="210"/>
      <c r="F103" s="221"/>
      <c r="G103" s="232"/>
      <c r="H103" s="25"/>
      <c r="I103" s="5"/>
      <c r="J103" s="5"/>
      <c r="K103" s="5"/>
      <c r="L103" s="5"/>
      <c r="M103" s="5"/>
      <c r="N103" s="186"/>
      <c r="O103" s="5"/>
      <c r="P103" s="5"/>
      <c r="Q103" s="5"/>
      <c r="R103" s="211" t="e">
        <f>IF(R102+1&lt;=MIN('Données projet'!$E$9:$E$18),R102+1,"STOP")</f>
        <v>#VALUE!</v>
      </c>
      <c r="S103" s="201" t="e">
        <f t="shared" si="9"/>
        <v>#VALUE!</v>
      </c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</row>
    <row r="104" spans="1:60" x14ac:dyDescent="0.25">
      <c r="A104" s="195">
        <f>'Données projet'!A118</f>
        <v>37</v>
      </c>
      <c r="B104" s="196">
        <f>'Données projet'!D118</f>
        <v>36</v>
      </c>
      <c r="C104" s="208">
        <v>20</v>
      </c>
      <c r="D104" s="194">
        <f t="shared" si="10"/>
        <v>720</v>
      </c>
      <c r="E104" s="210"/>
      <c r="F104" s="221"/>
      <c r="G104" s="232"/>
      <c r="H104" s="25"/>
      <c r="I104" s="5"/>
      <c r="J104" s="5"/>
      <c r="K104" s="5"/>
      <c r="L104" s="5"/>
      <c r="M104" s="5"/>
      <c r="N104" s="186"/>
      <c r="O104" s="5"/>
      <c r="P104" s="5"/>
      <c r="Q104" s="5"/>
      <c r="R104" s="211" t="e">
        <f>IF(R103+1&lt;=MIN('Données projet'!$E$9:$E$18),R103+1,"STOP")</f>
        <v>#VALUE!</v>
      </c>
      <c r="S104" s="201" t="e">
        <f t="shared" si="9"/>
        <v>#VALUE!</v>
      </c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</row>
    <row r="105" spans="1:60" x14ac:dyDescent="0.25">
      <c r="A105" s="195">
        <f>'Données projet'!A119</f>
        <v>44</v>
      </c>
      <c r="B105" s="196">
        <f>'Données projet'!D119</f>
        <v>43</v>
      </c>
      <c r="C105" s="208">
        <v>25</v>
      </c>
      <c r="D105" s="194">
        <f t="shared" si="10"/>
        <v>1075</v>
      </c>
      <c r="E105" s="210"/>
      <c r="F105" s="221"/>
      <c r="G105" s="232"/>
      <c r="H105" s="25"/>
      <c r="I105" s="5"/>
      <c r="J105" s="5"/>
      <c r="K105" s="5"/>
      <c r="L105" s="5"/>
      <c r="M105" s="5"/>
      <c r="N105" s="186"/>
      <c r="O105" s="5"/>
      <c r="P105" s="5"/>
      <c r="Q105" s="5"/>
      <c r="R105" s="211" t="e">
        <f>IF(R104+1&lt;=MIN('Données projet'!$E$9:$E$18),R104+1,"STOP")</f>
        <v>#VALUE!</v>
      </c>
      <c r="S105" s="201" t="e">
        <f t="shared" si="9"/>
        <v>#VALUE!</v>
      </c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</row>
    <row r="106" spans="1:60" x14ac:dyDescent="0.25">
      <c r="A106" s="195">
        <f>'Données projet'!A120</f>
        <v>52</v>
      </c>
      <c r="B106" s="196">
        <f>'Données projet'!D120</f>
        <v>48</v>
      </c>
      <c r="C106" s="208">
        <v>30</v>
      </c>
      <c r="D106" s="194">
        <f t="shared" si="10"/>
        <v>1440</v>
      </c>
      <c r="E106" s="210"/>
      <c r="F106" s="221"/>
      <c r="G106" s="232"/>
      <c r="H106" s="25"/>
      <c r="I106" s="5"/>
      <c r="J106" s="5"/>
      <c r="K106" s="5"/>
      <c r="L106" s="5"/>
      <c r="M106" s="5"/>
      <c r="N106" s="186"/>
      <c r="O106" s="5"/>
      <c r="P106" s="5"/>
      <c r="Q106" s="5"/>
      <c r="R106" s="211" t="e">
        <f>IF(R105+1&lt;=MIN('Données projet'!$E$9:$E$18),R105+1,"STOP")</f>
        <v>#VALUE!</v>
      </c>
      <c r="S106" s="201" t="e">
        <f t="shared" si="9"/>
        <v>#VALUE!</v>
      </c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25">
      <c r="A107" s="195">
        <f>'Données projet'!A121</f>
        <v>60</v>
      </c>
      <c r="B107" s="196">
        <f>'Données projet'!D121</f>
        <v>47</v>
      </c>
      <c r="C107" s="208">
        <v>60</v>
      </c>
      <c r="D107" s="194">
        <f t="shared" si="10"/>
        <v>2820</v>
      </c>
      <c r="E107" s="210"/>
      <c r="F107" s="221"/>
      <c r="G107" s="232"/>
      <c r="H107" s="25"/>
      <c r="I107" s="5"/>
      <c r="J107" s="5"/>
      <c r="K107" s="5"/>
      <c r="L107" s="5"/>
      <c r="M107" s="5"/>
      <c r="N107" s="186"/>
      <c r="O107" s="5"/>
      <c r="P107" s="5"/>
      <c r="Q107" s="5"/>
      <c r="R107" s="211" t="e">
        <f>IF(R106+1&lt;=MIN('Données projet'!$E$9:$E$18),R106+1,"STOP")</f>
        <v>#VALUE!</v>
      </c>
      <c r="S107" s="201" t="e">
        <f t="shared" si="9"/>
        <v>#VALUE!</v>
      </c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25">
      <c r="A108" s="195">
        <f>'Données projet'!A122</f>
        <v>69</v>
      </c>
      <c r="B108" s="196">
        <f>'Données projet'!D122</f>
        <v>328</v>
      </c>
      <c r="C108" s="208">
        <v>150</v>
      </c>
      <c r="D108" s="194">
        <f t="shared" si="10"/>
        <v>49200</v>
      </c>
      <c r="E108" s="210"/>
      <c r="F108" s="221"/>
      <c r="G108" s="232"/>
      <c r="H108" s="25"/>
      <c r="I108" s="5"/>
      <c r="J108" s="5"/>
      <c r="K108" s="5"/>
      <c r="L108" s="5"/>
      <c r="M108" s="5"/>
      <c r="N108" s="186"/>
      <c r="O108" s="5"/>
      <c r="P108" s="5"/>
      <c r="Q108" s="5"/>
      <c r="R108" s="211" t="e">
        <f>IF(R107+1&lt;=MIN('Données projet'!$E$9:$E$18),R107+1,"STOP")</f>
        <v>#VALUE!</v>
      </c>
      <c r="S108" s="201" t="e">
        <f t="shared" si="9"/>
        <v>#VALUE!</v>
      </c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25">
      <c r="A109" s="195">
        <f>'Données projet'!A123</f>
        <v>0</v>
      </c>
      <c r="B109" s="196">
        <f>'Données projet'!D123</f>
        <v>0</v>
      </c>
      <c r="C109" s="208"/>
      <c r="D109" s="194">
        <f t="shared" si="10"/>
        <v>0</v>
      </c>
      <c r="E109" s="210"/>
      <c r="F109" s="221"/>
      <c r="G109" s="232"/>
      <c r="H109" s="25"/>
      <c r="I109" s="5"/>
      <c r="J109" s="5"/>
      <c r="K109" s="5"/>
      <c r="L109" s="5"/>
      <c r="M109" s="5"/>
      <c r="N109" s="186"/>
      <c r="O109" s="5"/>
      <c r="P109" s="5"/>
      <c r="Q109" s="5"/>
      <c r="R109" s="211" t="e">
        <f>IF(R108+1&lt;=MIN('Données projet'!$E$9:$E$18),R108+1,"STOP")</f>
        <v>#VALUE!</v>
      </c>
      <c r="S109" s="201" t="e">
        <f t="shared" si="9"/>
        <v>#VALUE!</v>
      </c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</row>
    <row r="110" spans="1:60" x14ac:dyDescent="0.25">
      <c r="A110" s="195">
        <f>'Données projet'!A124</f>
        <v>0</v>
      </c>
      <c r="B110" s="196">
        <f>'Données projet'!D124</f>
        <v>0</v>
      </c>
      <c r="C110" s="208"/>
      <c r="D110" s="194">
        <f t="shared" si="10"/>
        <v>0</v>
      </c>
      <c r="E110" s="210"/>
      <c r="F110" s="221"/>
      <c r="G110" s="232"/>
      <c r="H110" s="25"/>
      <c r="I110" s="5"/>
      <c r="J110" s="5"/>
      <c r="K110" s="5"/>
      <c r="L110" s="5"/>
      <c r="M110" s="5"/>
      <c r="N110" s="186"/>
      <c r="O110" s="5"/>
      <c r="P110" s="5"/>
      <c r="Q110" s="5"/>
      <c r="R110" s="211" t="e">
        <f>IF(R109+1&lt;=MIN('Données projet'!$E$9:$E$18),R109+1,"STOP")</f>
        <v>#VALUE!</v>
      </c>
      <c r="S110" s="201" t="e">
        <f t="shared" si="9"/>
        <v>#VALUE!</v>
      </c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</row>
    <row r="111" spans="1:60" x14ac:dyDescent="0.25">
      <c r="A111" s="195">
        <f>'Données projet'!A125</f>
        <v>0</v>
      </c>
      <c r="B111" s="196">
        <f>'Données projet'!D125</f>
        <v>0</v>
      </c>
      <c r="C111" s="208"/>
      <c r="D111" s="194">
        <f t="shared" si="10"/>
        <v>0</v>
      </c>
      <c r="E111" s="210"/>
      <c r="F111" s="221"/>
      <c r="G111" s="232"/>
      <c r="H111" s="25"/>
      <c r="I111" s="5"/>
      <c r="J111" s="5"/>
      <c r="K111" s="5"/>
      <c r="L111" s="5"/>
      <c r="M111" s="5"/>
      <c r="N111" s="186"/>
      <c r="O111" s="5"/>
      <c r="P111" s="5"/>
      <c r="Q111" s="5"/>
      <c r="R111" s="211" t="e">
        <f>IF(R110+1&lt;=MIN('Données projet'!$E$9:$E$18),R110+1,"STOP")</f>
        <v>#VALUE!</v>
      </c>
      <c r="S111" s="201" t="e">
        <f t="shared" si="9"/>
        <v>#VALUE!</v>
      </c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</row>
    <row r="112" spans="1:60" x14ac:dyDescent="0.25">
      <c r="A112" s="195">
        <f>'Données projet'!A126</f>
        <v>0</v>
      </c>
      <c r="B112" s="196">
        <f>'Données projet'!D126</f>
        <v>0</v>
      </c>
      <c r="C112" s="208"/>
      <c r="D112" s="194">
        <f t="shared" si="10"/>
        <v>0</v>
      </c>
      <c r="E112" s="210"/>
      <c r="F112" s="221"/>
      <c r="G112" s="232"/>
      <c r="H112" s="25"/>
      <c r="I112" s="5"/>
      <c r="J112" s="5"/>
      <c r="K112" s="5"/>
      <c r="L112" s="5"/>
      <c r="M112" s="5"/>
      <c r="N112" s="186"/>
      <c r="O112" s="5"/>
      <c r="P112" s="5"/>
      <c r="Q112" s="5"/>
      <c r="R112" s="211" t="e">
        <f>IF(R111+1&lt;=MIN('Données projet'!$E$9:$E$18),R111+1,"STOP")</f>
        <v>#VALUE!</v>
      </c>
      <c r="S112" s="201" t="e">
        <f t="shared" si="9"/>
        <v>#VALUE!</v>
      </c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25">
      <c r="A113" s="195">
        <f>'Données projet'!A127</f>
        <v>0</v>
      </c>
      <c r="B113" s="196">
        <f>'Données projet'!D127</f>
        <v>0</v>
      </c>
      <c r="C113" s="208"/>
      <c r="D113" s="194">
        <f t="shared" si="10"/>
        <v>0</v>
      </c>
      <c r="E113" s="210"/>
      <c r="F113" s="221"/>
      <c r="G113" s="232"/>
      <c r="H113" s="25"/>
      <c r="I113" s="5"/>
      <c r="J113" s="5"/>
      <c r="K113" s="5"/>
      <c r="L113" s="5"/>
      <c r="M113" s="5"/>
      <c r="N113" s="186"/>
      <c r="O113" s="5"/>
      <c r="P113" s="5"/>
      <c r="Q113" s="5"/>
      <c r="R113" s="211"/>
      <c r="S113" s="201">
        <f t="shared" si="9"/>
        <v>0</v>
      </c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x14ac:dyDescent="0.25">
      <c r="A114" s="195">
        <f>'Données projet'!A128</f>
        <v>0</v>
      </c>
      <c r="B114" s="196">
        <f>'Données projet'!D128</f>
        <v>0</v>
      </c>
      <c r="C114" s="208"/>
      <c r="D114" s="194">
        <f t="shared" si="10"/>
        <v>0</v>
      </c>
      <c r="E114" s="210"/>
      <c r="F114" s="221"/>
      <c r="G114" s="232"/>
      <c r="H114" s="25"/>
      <c r="I114" s="5"/>
      <c r="J114" s="5"/>
      <c r="K114" s="5"/>
      <c r="L114" s="5"/>
      <c r="M114" s="5"/>
      <c r="N114" s="186"/>
      <c r="O114" s="5"/>
      <c r="P114" s="5"/>
      <c r="Q114" s="5"/>
      <c r="R114" s="211"/>
      <c r="S114" s="201">
        <f t="shared" si="9"/>
        <v>0</v>
      </c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x14ac:dyDescent="0.25">
      <c r="A115" s="195">
        <f>'Données projet'!A129</f>
        <v>0</v>
      </c>
      <c r="B115" s="196">
        <f>'Données projet'!D129</f>
        <v>0</v>
      </c>
      <c r="C115" s="208"/>
      <c r="D115" s="194">
        <f t="shared" si="10"/>
        <v>0</v>
      </c>
      <c r="E115" s="210"/>
      <c r="F115" s="221"/>
      <c r="G115" s="232"/>
      <c r="H115" s="25"/>
      <c r="I115" s="5"/>
      <c r="J115" s="5"/>
      <c r="K115" s="5"/>
      <c r="L115" s="5"/>
      <c r="M115" s="5"/>
      <c r="N115" s="186"/>
      <c r="O115" s="5"/>
      <c r="P115" s="5"/>
      <c r="Q115" s="5"/>
      <c r="R115" s="211"/>
      <c r="S115" s="201">
        <f t="shared" si="9"/>
        <v>0</v>
      </c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</row>
    <row r="116" spans="1:60" x14ac:dyDescent="0.25">
      <c r="A116" s="195">
        <f>'Données projet'!A130</f>
        <v>0</v>
      </c>
      <c r="B116" s="196">
        <f>'Données projet'!D130</f>
        <v>0</v>
      </c>
      <c r="C116" s="208"/>
      <c r="D116" s="194">
        <f t="shared" si="10"/>
        <v>0</v>
      </c>
      <c r="E116" s="210"/>
      <c r="F116" s="221"/>
      <c r="G116" s="232"/>
      <c r="H116" s="25"/>
      <c r="I116" s="5"/>
      <c r="J116" s="5"/>
      <c r="K116" s="5"/>
      <c r="L116" s="5"/>
      <c r="M116" s="5"/>
      <c r="N116" s="186"/>
      <c r="O116" s="5"/>
      <c r="P116" s="5"/>
      <c r="Q116" s="5"/>
      <c r="R116" s="211"/>
      <c r="S116" s="201">
        <f t="shared" si="9"/>
        <v>0</v>
      </c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</row>
    <row r="117" spans="1:60" x14ac:dyDescent="0.25">
      <c r="A117" s="195">
        <f>'Données projet'!A131</f>
        <v>0</v>
      </c>
      <c r="B117" s="196">
        <f>'Données projet'!D131</f>
        <v>0</v>
      </c>
      <c r="C117" s="208"/>
      <c r="D117" s="194">
        <f t="shared" si="10"/>
        <v>0</v>
      </c>
      <c r="E117" s="210"/>
      <c r="F117" s="221"/>
      <c r="G117" s="232"/>
      <c r="H117" s="25"/>
      <c r="I117" s="5"/>
      <c r="J117" s="5"/>
      <c r="K117" s="5"/>
      <c r="L117" s="5"/>
      <c r="M117" s="5"/>
      <c r="N117" s="186"/>
      <c r="O117" s="5"/>
      <c r="P117" s="5"/>
      <c r="Q117" s="5"/>
      <c r="R117" s="211"/>
      <c r="S117" s="201">
        <f t="shared" si="9"/>
        <v>0</v>
      </c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</row>
    <row r="118" spans="1:60" x14ac:dyDescent="0.25">
      <c r="A118" s="195">
        <f>'Données projet'!A132</f>
        <v>0</v>
      </c>
      <c r="B118" s="196">
        <f>'Données projet'!D132</f>
        <v>0</v>
      </c>
      <c r="C118" s="208"/>
      <c r="D118" s="194">
        <f t="shared" si="10"/>
        <v>0</v>
      </c>
      <c r="E118" s="210"/>
      <c r="F118" s="221"/>
      <c r="G118" s="232"/>
      <c r="H118" s="25"/>
      <c r="I118" s="5"/>
      <c r="J118" s="5"/>
      <c r="K118" s="5"/>
      <c r="L118" s="5"/>
      <c r="M118" s="5"/>
      <c r="N118" s="186"/>
      <c r="O118" s="5"/>
      <c r="P118" s="5"/>
      <c r="Q118" s="5"/>
      <c r="R118" s="211"/>
      <c r="S118" s="201">
        <f t="shared" si="9"/>
        <v>0</v>
      </c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</row>
    <row r="119" spans="1:60" x14ac:dyDescent="0.25">
      <c r="A119" s="195">
        <f>'Données projet'!A133</f>
        <v>0</v>
      </c>
      <c r="B119" s="196">
        <f>'Données projet'!D133</f>
        <v>0</v>
      </c>
      <c r="C119" s="208"/>
      <c r="D119" s="194">
        <f t="shared" si="10"/>
        <v>0</v>
      </c>
      <c r="E119" s="210"/>
      <c r="F119" s="221"/>
      <c r="G119" s="232"/>
      <c r="H119" s="25"/>
      <c r="I119" s="5"/>
      <c r="J119" s="5"/>
      <c r="K119" s="5"/>
      <c r="L119" s="5"/>
      <c r="M119" s="5"/>
      <c r="N119" s="186"/>
      <c r="O119" s="5"/>
      <c r="P119" s="5"/>
      <c r="Q119" s="5"/>
      <c r="R119" s="211"/>
      <c r="S119" s="201">
        <f t="shared" si="9"/>
        <v>0</v>
      </c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</row>
    <row r="120" spans="1:60" x14ac:dyDescent="0.25">
      <c r="A120" s="5"/>
      <c r="B120" s="5"/>
      <c r="C120" s="5"/>
      <c r="D120" s="5"/>
      <c r="E120" s="5"/>
      <c r="F120" s="218"/>
      <c r="G120" s="230"/>
      <c r="H120" s="25"/>
      <c r="I120" s="5"/>
      <c r="J120" s="5"/>
      <c r="K120" s="5"/>
      <c r="L120" s="5"/>
      <c r="M120" s="5"/>
      <c r="N120" s="186"/>
      <c r="O120" s="5"/>
      <c r="P120" s="5"/>
      <c r="Q120" s="5"/>
      <c r="R120" s="211"/>
      <c r="S120" s="201">
        <f t="shared" si="9"/>
        <v>0</v>
      </c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25">
      <c r="A121" s="5"/>
      <c r="B121" s="5"/>
      <c r="C121" s="5"/>
      <c r="D121" s="5"/>
      <c r="E121" s="5"/>
      <c r="F121" s="218"/>
      <c r="G121" s="230"/>
      <c r="H121" s="25"/>
      <c r="I121" s="5"/>
      <c r="J121" s="5"/>
      <c r="K121" s="5"/>
      <c r="L121" s="5"/>
      <c r="M121" s="5"/>
      <c r="N121" s="186"/>
      <c r="O121" s="5"/>
      <c r="P121" s="5"/>
      <c r="Q121" s="5"/>
      <c r="R121" s="211"/>
      <c r="S121" s="201">
        <f t="shared" si="9"/>
        <v>0</v>
      </c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25">
      <c r="A122" s="49" t="s">
        <v>169</v>
      </c>
      <c r="B122" s="189" t="str">
        <f>IF('Données projet'!B13="","",'Données projet'!B13)</f>
        <v>Douglas</v>
      </c>
      <c r="C122" s="5"/>
      <c r="D122" s="5"/>
      <c r="E122" s="5"/>
      <c r="F122" s="218"/>
      <c r="G122" s="230"/>
      <c r="H122" s="25"/>
      <c r="I122" s="5"/>
      <c r="J122" s="5"/>
      <c r="K122" s="5"/>
      <c r="L122" s="5"/>
      <c r="M122" s="5"/>
      <c r="N122" s="186"/>
      <c r="O122" s="5"/>
      <c r="P122" s="5"/>
      <c r="Q122" s="5"/>
      <c r="R122" s="211"/>
      <c r="S122" s="201">
        <f t="shared" si="9"/>
        <v>0</v>
      </c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x14ac:dyDescent="0.25">
      <c r="A123" s="5"/>
      <c r="B123" s="5"/>
      <c r="C123" s="5"/>
      <c r="D123" s="5"/>
      <c r="E123" s="5"/>
      <c r="F123" s="218"/>
      <c r="G123" s="230"/>
      <c r="H123" s="25"/>
      <c r="I123" s="5"/>
      <c r="J123" s="5"/>
      <c r="K123" s="5"/>
      <c r="L123" s="5"/>
      <c r="M123" s="5"/>
      <c r="N123" s="186"/>
      <c r="O123" s="5"/>
      <c r="P123" s="5"/>
      <c r="Q123" s="5"/>
      <c r="R123" s="211"/>
      <c r="S123" s="201">
        <f t="shared" si="9"/>
        <v>0</v>
      </c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</row>
    <row r="124" spans="1:60" ht="15.75" customHeight="1" x14ac:dyDescent="0.25">
      <c r="A124" s="188" t="s">
        <v>180</v>
      </c>
      <c r="B124" s="51" t="s">
        <v>256</v>
      </c>
      <c r="C124" s="51" t="s">
        <v>255</v>
      </c>
      <c r="D124" s="188" t="s">
        <v>252</v>
      </c>
      <c r="E124" s="188" t="s">
        <v>288</v>
      </c>
      <c r="F124" s="220"/>
      <c r="G124" s="231"/>
      <c r="H124" s="25"/>
      <c r="I124" s="5"/>
      <c r="J124" s="5"/>
      <c r="K124" s="5"/>
      <c r="L124" s="5"/>
      <c r="M124" s="5"/>
      <c r="N124" s="186"/>
      <c r="O124" s="5"/>
      <c r="P124" s="5"/>
      <c r="Q124" s="5"/>
      <c r="R124" s="211"/>
      <c r="S124" s="201">
        <f t="shared" si="9"/>
        <v>0</v>
      </c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</row>
    <row r="125" spans="1:60" ht="15.75" customHeight="1" x14ac:dyDescent="0.25">
      <c r="A125" s="214">
        <v>0</v>
      </c>
      <c r="B125" s="217" t="s">
        <v>132</v>
      </c>
      <c r="C125" s="216" t="s">
        <v>132</v>
      </c>
      <c r="D125" s="215" t="s">
        <v>132</v>
      </c>
      <c r="E125" s="210"/>
      <c r="F125" s="220"/>
      <c r="G125" s="231"/>
      <c r="H125" s="25"/>
      <c r="I125" s="5"/>
      <c r="J125" s="5"/>
      <c r="K125" s="5"/>
      <c r="L125" s="5"/>
      <c r="M125" s="5"/>
      <c r="N125" s="186"/>
      <c r="O125" s="5"/>
      <c r="P125" s="5"/>
      <c r="Q125" s="5"/>
      <c r="R125" s="211"/>
      <c r="S125" s="201">
        <f t="shared" si="9"/>
        <v>0</v>
      </c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</row>
    <row r="126" spans="1:60" x14ac:dyDescent="0.25">
      <c r="A126" s="45">
        <f>'Données projet'!A140</f>
        <v>21</v>
      </c>
      <c r="B126" s="190">
        <f>'Données projet'!D140</f>
        <v>63</v>
      </c>
      <c r="C126" s="210">
        <v>15</v>
      </c>
      <c r="D126" s="197">
        <f>B126*C126</f>
        <v>945</v>
      </c>
      <c r="E126" s="210"/>
      <c r="F126" s="219"/>
      <c r="G126" s="227"/>
      <c r="H126" s="25"/>
      <c r="I126" s="5"/>
      <c r="J126" s="5"/>
      <c r="K126" s="5"/>
      <c r="L126" s="5"/>
      <c r="M126" s="5"/>
      <c r="N126" s="186"/>
      <c r="O126" s="5"/>
      <c r="P126" s="5"/>
      <c r="Q126" s="5"/>
      <c r="R126" s="211"/>
      <c r="S126" s="201">
        <f t="shared" si="9"/>
        <v>0</v>
      </c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25">
      <c r="A127" s="45">
        <f>'Données projet'!A141</f>
        <v>28</v>
      </c>
      <c r="B127" s="190">
        <f>'Données projet'!D141</f>
        <v>64</v>
      </c>
      <c r="C127" s="210">
        <v>20</v>
      </c>
      <c r="D127" s="197">
        <f t="shared" ref="D127:D145" si="11">B127*C127</f>
        <v>1280</v>
      </c>
      <c r="E127" s="210"/>
      <c r="F127" s="219"/>
      <c r="G127" s="227"/>
      <c r="H127" s="25"/>
      <c r="I127" s="5"/>
      <c r="J127" s="5"/>
      <c r="K127" s="5"/>
      <c r="L127" s="5"/>
      <c r="M127" s="5"/>
      <c r="N127" s="186"/>
      <c r="O127" s="5"/>
      <c r="P127" s="5"/>
      <c r="Q127" s="5"/>
      <c r="R127" s="211"/>
      <c r="S127" s="201">
        <f t="shared" si="9"/>
        <v>0</v>
      </c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x14ac:dyDescent="0.25">
      <c r="A128" s="45">
        <f>'Données projet'!A142</f>
        <v>35</v>
      </c>
      <c r="B128" s="190">
        <f>'Données projet'!D142</f>
        <v>73</v>
      </c>
      <c r="C128" s="210">
        <v>25</v>
      </c>
      <c r="D128" s="197">
        <f t="shared" si="11"/>
        <v>1825</v>
      </c>
      <c r="E128" s="210"/>
      <c r="F128" s="219"/>
      <c r="G128" s="227"/>
      <c r="H128" s="25"/>
      <c r="I128" s="5"/>
      <c r="J128" s="5"/>
      <c r="K128" s="5"/>
      <c r="L128" s="5"/>
      <c r="M128" s="5"/>
      <c r="N128" s="186"/>
      <c r="O128" s="5"/>
      <c r="P128" s="5"/>
      <c r="Q128" s="5"/>
      <c r="R128" s="211"/>
      <c r="S128" s="201">
        <f t="shared" si="9"/>
        <v>0</v>
      </c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</row>
    <row r="129" spans="1:68" x14ac:dyDescent="0.25">
      <c r="A129" s="45">
        <f>'Données projet'!A143</f>
        <v>42</v>
      </c>
      <c r="B129" s="190">
        <f>'Données projet'!D143</f>
        <v>77</v>
      </c>
      <c r="C129" s="210">
        <v>35</v>
      </c>
      <c r="D129" s="197">
        <f t="shared" si="11"/>
        <v>2695</v>
      </c>
      <c r="E129" s="210"/>
      <c r="F129" s="219"/>
      <c r="G129" s="227"/>
      <c r="H129" s="25"/>
      <c r="I129" s="5"/>
      <c r="J129" s="5"/>
      <c r="K129" s="5"/>
      <c r="L129" s="5"/>
      <c r="M129" s="5"/>
      <c r="N129" s="186"/>
      <c r="O129" s="5"/>
      <c r="P129" s="5"/>
      <c r="Q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</row>
    <row r="130" spans="1:68" x14ac:dyDescent="0.25">
      <c r="A130" s="45">
        <f>'Données projet'!A144</f>
        <v>49</v>
      </c>
      <c r="B130" s="190">
        <f>'Données projet'!D144</f>
        <v>80</v>
      </c>
      <c r="C130" s="210">
        <v>40</v>
      </c>
      <c r="D130" s="197">
        <f t="shared" si="11"/>
        <v>3200</v>
      </c>
      <c r="E130" s="210"/>
      <c r="F130" s="219"/>
      <c r="G130" s="227"/>
      <c r="H130" s="25"/>
      <c r="I130" s="5"/>
      <c r="J130" s="5"/>
      <c r="K130" s="5"/>
      <c r="L130" s="5"/>
      <c r="M130" s="5"/>
      <c r="N130" s="186"/>
      <c r="O130" s="5"/>
      <c r="P130" s="5"/>
      <c r="Q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</row>
    <row r="131" spans="1:68" x14ac:dyDescent="0.25">
      <c r="A131" s="45">
        <f>'Données projet'!A145</f>
        <v>56</v>
      </c>
      <c r="B131" s="190">
        <f>'Données projet'!D145</f>
        <v>85</v>
      </c>
      <c r="C131" s="210">
        <v>50</v>
      </c>
      <c r="D131" s="197">
        <f t="shared" si="11"/>
        <v>4250</v>
      </c>
      <c r="E131" s="210"/>
      <c r="F131" s="219"/>
      <c r="G131" s="227"/>
      <c r="H131" s="25"/>
      <c r="I131" s="5"/>
      <c r="J131" s="5"/>
      <c r="K131" s="5"/>
      <c r="L131" s="5"/>
      <c r="M131" s="5"/>
      <c r="N131" s="186"/>
      <c r="O131" s="5"/>
      <c r="P131" s="5"/>
      <c r="Q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</row>
    <row r="132" spans="1:68" x14ac:dyDescent="0.25">
      <c r="A132" s="45">
        <f>'Données projet'!A146</f>
        <v>63</v>
      </c>
      <c r="B132" s="190">
        <f>'Données projet'!D146</f>
        <v>84</v>
      </c>
      <c r="C132" s="210">
        <v>50</v>
      </c>
      <c r="D132" s="197">
        <f t="shared" si="11"/>
        <v>4200</v>
      </c>
      <c r="E132" s="210"/>
      <c r="F132" s="219"/>
      <c r="G132" s="227"/>
      <c r="H132" s="25"/>
      <c r="I132" s="5"/>
      <c r="J132" s="5"/>
      <c r="K132" s="5"/>
      <c r="L132" s="5"/>
      <c r="M132" s="5"/>
      <c r="N132" s="186"/>
      <c r="O132" s="5"/>
      <c r="P132" s="5"/>
      <c r="Q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</row>
    <row r="133" spans="1:68" x14ac:dyDescent="0.25">
      <c r="A133" s="45">
        <f>'Données projet'!A147</f>
        <v>70</v>
      </c>
      <c r="B133" s="190">
        <f>'Données projet'!D147</f>
        <v>551</v>
      </c>
      <c r="C133" s="208">
        <v>90</v>
      </c>
      <c r="D133" s="197">
        <f t="shared" si="11"/>
        <v>49590</v>
      </c>
      <c r="E133" s="210"/>
      <c r="F133" s="219"/>
      <c r="G133" s="227"/>
      <c r="H133" s="25"/>
      <c r="I133" s="5"/>
      <c r="J133" s="5"/>
      <c r="K133" s="5"/>
      <c r="L133" s="5"/>
      <c r="M133" s="5"/>
      <c r="N133" s="186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</row>
    <row r="134" spans="1:68" x14ac:dyDescent="0.25">
      <c r="A134" s="45">
        <f>'Données projet'!A148</f>
        <v>0</v>
      </c>
      <c r="B134" s="190">
        <f>'Données projet'!D148</f>
        <v>0</v>
      </c>
      <c r="C134" s="208"/>
      <c r="D134" s="197">
        <f t="shared" si="11"/>
        <v>0</v>
      </c>
      <c r="E134" s="210"/>
      <c r="F134" s="219"/>
      <c r="G134" s="227"/>
      <c r="H134" s="25"/>
      <c r="I134" s="5"/>
      <c r="J134" s="5"/>
      <c r="K134" s="5"/>
      <c r="L134" s="5"/>
      <c r="M134" s="5"/>
      <c r="N134" s="186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</row>
    <row r="135" spans="1:68" x14ac:dyDescent="0.25">
      <c r="A135" s="45">
        <f>'Données projet'!A149</f>
        <v>0</v>
      </c>
      <c r="B135" s="190">
        <f>'Données projet'!D149</f>
        <v>0</v>
      </c>
      <c r="C135" s="208"/>
      <c r="D135" s="197">
        <f t="shared" si="11"/>
        <v>0</v>
      </c>
      <c r="E135" s="210"/>
      <c r="F135" s="219"/>
      <c r="G135" s="227"/>
      <c r="H135" s="25"/>
      <c r="I135" s="5"/>
      <c r="J135" s="5"/>
      <c r="K135" s="5"/>
      <c r="L135" s="5"/>
      <c r="M135" s="5"/>
      <c r="N135" s="186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</row>
    <row r="136" spans="1:68" x14ac:dyDescent="0.25">
      <c r="A136" s="45">
        <f>'Données projet'!A150</f>
        <v>0</v>
      </c>
      <c r="B136" s="190">
        <f>'Données projet'!D150</f>
        <v>0</v>
      </c>
      <c r="C136" s="208"/>
      <c r="D136" s="197">
        <f t="shared" si="11"/>
        <v>0</v>
      </c>
      <c r="E136" s="210"/>
      <c r="F136" s="219"/>
      <c r="G136" s="227"/>
      <c r="H136" s="25"/>
      <c r="I136" s="5"/>
      <c r="J136" s="5"/>
      <c r="K136" s="5"/>
      <c r="L136" s="5"/>
      <c r="M136" s="5"/>
      <c r="N136" s="186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</row>
    <row r="137" spans="1:68" x14ac:dyDescent="0.25">
      <c r="A137" s="45">
        <f>'Données projet'!A151</f>
        <v>0</v>
      </c>
      <c r="B137" s="190">
        <f>'Données projet'!D151</f>
        <v>0</v>
      </c>
      <c r="C137" s="208"/>
      <c r="D137" s="197">
        <f t="shared" si="11"/>
        <v>0</v>
      </c>
      <c r="E137" s="210"/>
      <c r="F137" s="219"/>
      <c r="G137" s="227"/>
      <c r="H137" s="25"/>
      <c r="I137" s="5"/>
      <c r="J137" s="5"/>
      <c r="K137" s="5"/>
      <c r="L137" s="5"/>
      <c r="M137" s="5"/>
      <c r="N137" s="186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</row>
    <row r="138" spans="1:68" x14ac:dyDescent="0.25">
      <c r="A138" s="45">
        <f>'Données projet'!A152</f>
        <v>0</v>
      </c>
      <c r="B138" s="190">
        <f>'Données projet'!D152</f>
        <v>0</v>
      </c>
      <c r="C138" s="208"/>
      <c r="D138" s="197">
        <f t="shared" si="11"/>
        <v>0</v>
      </c>
      <c r="E138" s="210"/>
      <c r="F138" s="219"/>
      <c r="G138" s="227"/>
      <c r="H138" s="25"/>
      <c r="I138" s="5"/>
      <c r="J138" s="5"/>
      <c r="K138" s="5"/>
      <c r="L138" s="5"/>
      <c r="M138" s="5"/>
      <c r="N138" s="186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</row>
    <row r="139" spans="1:68" x14ac:dyDescent="0.25">
      <c r="A139" s="45">
        <f>'Données projet'!A153</f>
        <v>0</v>
      </c>
      <c r="B139" s="190">
        <f>'Données projet'!D153</f>
        <v>0</v>
      </c>
      <c r="C139" s="208"/>
      <c r="D139" s="197">
        <f t="shared" si="11"/>
        <v>0</v>
      </c>
      <c r="E139" s="210"/>
      <c r="F139" s="219"/>
      <c r="G139" s="227"/>
      <c r="H139" s="25"/>
      <c r="I139" s="5"/>
      <c r="J139" s="5"/>
      <c r="K139" s="5"/>
      <c r="L139" s="5"/>
      <c r="M139" s="5"/>
      <c r="N139" s="186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</row>
    <row r="140" spans="1:68" x14ac:dyDescent="0.25">
      <c r="A140" s="45">
        <f>'Données projet'!A154</f>
        <v>0</v>
      </c>
      <c r="B140" s="190">
        <f>'Données projet'!D154</f>
        <v>0</v>
      </c>
      <c r="C140" s="208"/>
      <c r="D140" s="197">
        <f t="shared" si="11"/>
        <v>0</v>
      </c>
      <c r="E140" s="210"/>
      <c r="F140" s="219"/>
      <c r="G140" s="227"/>
      <c r="H140" s="25"/>
      <c r="I140" s="5"/>
      <c r="J140" s="5"/>
      <c r="K140" s="5"/>
      <c r="L140" s="5"/>
      <c r="M140" s="5"/>
      <c r="N140" s="186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</row>
    <row r="141" spans="1:68" x14ac:dyDescent="0.25">
      <c r="A141" s="45">
        <f>'Données projet'!A155</f>
        <v>0</v>
      </c>
      <c r="B141" s="190">
        <f>'Données projet'!D155</f>
        <v>0</v>
      </c>
      <c r="C141" s="208"/>
      <c r="D141" s="197">
        <f t="shared" si="11"/>
        <v>0</v>
      </c>
      <c r="E141" s="210"/>
      <c r="F141" s="219"/>
      <c r="G141" s="227"/>
      <c r="H141" s="25"/>
      <c r="I141" s="5"/>
      <c r="J141" s="5"/>
      <c r="K141" s="5"/>
      <c r="L141" s="5"/>
      <c r="M141" s="5"/>
      <c r="N141" s="186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</row>
    <row r="142" spans="1:68" x14ac:dyDescent="0.25">
      <c r="A142" s="45">
        <f>'Données projet'!A156</f>
        <v>0</v>
      </c>
      <c r="B142" s="190">
        <f>'Données projet'!D156</f>
        <v>0</v>
      </c>
      <c r="C142" s="208"/>
      <c r="D142" s="197">
        <f t="shared" si="11"/>
        <v>0</v>
      </c>
      <c r="E142" s="210"/>
      <c r="F142" s="219"/>
      <c r="G142" s="227"/>
      <c r="H142" s="25"/>
      <c r="I142" s="5"/>
      <c r="J142" s="5"/>
      <c r="K142" s="5"/>
      <c r="L142" s="5"/>
      <c r="M142" s="5"/>
      <c r="N142" s="186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</row>
    <row r="143" spans="1:68" x14ac:dyDescent="0.25">
      <c r="A143" s="45">
        <f>'Données projet'!A157</f>
        <v>0</v>
      </c>
      <c r="B143" s="190">
        <f>'Données projet'!D157</f>
        <v>0</v>
      </c>
      <c r="C143" s="208"/>
      <c r="D143" s="197">
        <f t="shared" si="11"/>
        <v>0</v>
      </c>
      <c r="E143" s="210"/>
      <c r="F143" s="219"/>
      <c r="G143" s="227"/>
      <c r="H143" s="25"/>
      <c r="I143" s="5"/>
      <c r="J143" s="5"/>
      <c r="K143" s="5"/>
      <c r="L143" s="5"/>
      <c r="M143" s="5"/>
      <c r="N143" s="186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</row>
    <row r="144" spans="1:68" x14ac:dyDescent="0.25">
      <c r="A144" s="45">
        <f>'Données projet'!A158</f>
        <v>0</v>
      </c>
      <c r="B144" s="190">
        <f>'Données projet'!D158</f>
        <v>0</v>
      </c>
      <c r="C144" s="208"/>
      <c r="D144" s="197">
        <f t="shared" si="11"/>
        <v>0</v>
      </c>
      <c r="E144" s="210"/>
      <c r="F144" s="219"/>
      <c r="G144" s="227"/>
      <c r="H144" s="25"/>
      <c r="I144" s="5"/>
      <c r="J144" s="5"/>
      <c r="K144" s="5"/>
      <c r="L144" s="5"/>
      <c r="M144" s="5"/>
      <c r="N144" s="186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</row>
    <row r="145" spans="1:68" x14ac:dyDescent="0.25">
      <c r="A145" s="45">
        <f>'Données projet'!A159</f>
        <v>0</v>
      </c>
      <c r="B145" s="190">
        <f>'Données projet'!D159</f>
        <v>0</v>
      </c>
      <c r="C145" s="208"/>
      <c r="D145" s="197">
        <f t="shared" si="11"/>
        <v>0</v>
      </c>
      <c r="E145" s="210"/>
      <c r="F145" s="219"/>
      <c r="G145" s="227"/>
      <c r="H145" s="25"/>
      <c r="I145" s="5"/>
      <c r="J145" s="5"/>
      <c r="K145" s="5"/>
      <c r="L145" s="5"/>
      <c r="M145" s="5"/>
      <c r="N145" s="186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</row>
    <row r="146" spans="1:68" x14ac:dyDescent="0.25">
      <c r="A146" s="5"/>
      <c r="B146" s="5"/>
      <c r="C146" s="5"/>
      <c r="D146" s="5"/>
      <c r="E146" s="5"/>
      <c r="F146" s="218"/>
      <c r="G146" s="230"/>
      <c r="H146" s="25"/>
      <c r="I146" s="5"/>
      <c r="J146" s="5"/>
      <c r="K146" s="5"/>
      <c r="L146" s="5"/>
      <c r="M146" s="5"/>
      <c r="N146" s="186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</row>
    <row r="147" spans="1:68" x14ac:dyDescent="0.25">
      <c r="A147" s="5"/>
      <c r="B147" s="5"/>
      <c r="C147" s="5"/>
      <c r="D147" s="5"/>
      <c r="E147" s="5"/>
      <c r="F147" s="218"/>
      <c r="G147" s="230"/>
      <c r="H147" s="25"/>
      <c r="I147" s="5"/>
      <c r="J147" s="5"/>
      <c r="K147" s="5"/>
      <c r="L147" s="5"/>
      <c r="M147" s="5"/>
      <c r="N147" s="186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</row>
    <row r="148" spans="1:68" x14ac:dyDescent="0.25">
      <c r="A148" s="49" t="s">
        <v>170</v>
      </c>
      <c r="B148" s="189" t="str">
        <f>IF('Données projet'!B14="","",'Données projet'!B14)</f>
        <v/>
      </c>
      <c r="C148" s="5"/>
      <c r="D148" s="5"/>
      <c r="E148" s="5"/>
      <c r="F148" s="218"/>
      <c r="G148" s="230"/>
      <c r="H148" s="25"/>
      <c r="I148" s="5"/>
      <c r="J148" s="5"/>
      <c r="K148" s="5"/>
      <c r="L148" s="5"/>
      <c r="M148" s="5"/>
      <c r="N148" s="186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</row>
    <row r="149" spans="1:68" x14ac:dyDescent="0.25">
      <c r="A149" s="5"/>
      <c r="B149" s="5"/>
      <c r="C149" s="5"/>
      <c r="D149" s="5"/>
      <c r="E149" s="5"/>
      <c r="F149" s="218"/>
      <c r="G149" s="230"/>
      <c r="H149" s="25"/>
      <c r="I149" s="5"/>
      <c r="J149" s="5"/>
      <c r="K149" s="5"/>
      <c r="L149" s="5"/>
      <c r="M149" s="5"/>
      <c r="N149" s="186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</row>
    <row r="150" spans="1:68" x14ac:dyDescent="0.25">
      <c r="A150" s="188" t="s">
        <v>180</v>
      </c>
      <c r="B150" s="51" t="s">
        <v>256</v>
      </c>
      <c r="C150" s="51" t="s">
        <v>255</v>
      </c>
      <c r="D150" s="188" t="s">
        <v>252</v>
      </c>
      <c r="E150" s="188" t="s">
        <v>288</v>
      </c>
      <c r="F150" s="220"/>
      <c r="G150" s="231"/>
      <c r="H150" s="25"/>
      <c r="I150" s="5"/>
      <c r="J150" s="5"/>
      <c r="K150" s="5"/>
      <c r="L150" s="5"/>
      <c r="M150" s="5"/>
      <c r="N150" s="186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</row>
    <row r="151" spans="1:68" x14ac:dyDescent="0.25">
      <c r="A151" s="214">
        <v>0</v>
      </c>
      <c r="B151" s="217" t="s">
        <v>132</v>
      </c>
      <c r="C151" s="216" t="s">
        <v>132</v>
      </c>
      <c r="D151" s="215" t="s">
        <v>132</v>
      </c>
      <c r="E151" s="210"/>
      <c r="F151" s="220"/>
      <c r="G151" s="231"/>
      <c r="H151" s="25"/>
      <c r="I151" s="5"/>
      <c r="J151" s="5"/>
      <c r="K151" s="5"/>
      <c r="L151" s="5"/>
      <c r="M151" s="5"/>
      <c r="N151" s="186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</row>
    <row r="152" spans="1:68" x14ac:dyDescent="0.25">
      <c r="A152" s="195">
        <f>'Données projet'!A166</f>
        <v>0</v>
      </c>
      <c r="B152" s="196">
        <f>'Données projet'!D166</f>
        <v>0</v>
      </c>
      <c r="C152" s="210"/>
      <c r="D152" s="194">
        <f>B152*C152</f>
        <v>0</v>
      </c>
      <c r="E152" s="210"/>
      <c r="F152" s="221"/>
      <c r="G152" s="232"/>
      <c r="H152" s="25"/>
      <c r="I152" s="5"/>
      <c r="J152" s="5"/>
      <c r="K152" s="5"/>
      <c r="L152" s="5"/>
      <c r="M152" s="5"/>
      <c r="N152" s="186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</row>
    <row r="153" spans="1:68" x14ac:dyDescent="0.25">
      <c r="A153" s="195">
        <f>'Données projet'!A167</f>
        <v>0</v>
      </c>
      <c r="B153" s="196">
        <f>'Données projet'!D167</f>
        <v>0</v>
      </c>
      <c r="C153" s="210"/>
      <c r="D153" s="194">
        <f t="shared" ref="D153:D171" si="12">B153*C153</f>
        <v>0</v>
      </c>
      <c r="E153" s="210"/>
      <c r="F153" s="221"/>
      <c r="G153" s="232"/>
      <c r="H153" s="25"/>
      <c r="I153" s="5"/>
      <c r="J153" s="5"/>
      <c r="K153" s="5"/>
      <c r="L153" s="5"/>
      <c r="M153" s="5"/>
      <c r="N153" s="186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</row>
    <row r="154" spans="1:68" x14ac:dyDescent="0.25">
      <c r="A154" s="195">
        <f>'Données projet'!A168</f>
        <v>0</v>
      </c>
      <c r="B154" s="196">
        <f>'Données projet'!D168</f>
        <v>0</v>
      </c>
      <c r="C154" s="210"/>
      <c r="D154" s="194">
        <f t="shared" si="12"/>
        <v>0</v>
      </c>
      <c r="E154" s="210"/>
      <c r="F154" s="221"/>
      <c r="G154" s="232"/>
      <c r="H154" s="25"/>
      <c r="I154" s="5"/>
      <c r="J154" s="5"/>
      <c r="K154" s="5"/>
      <c r="L154" s="5"/>
      <c r="M154" s="5"/>
      <c r="N154" s="186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</row>
    <row r="155" spans="1:68" x14ac:dyDescent="0.25">
      <c r="A155" s="195">
        <f>'Données projet'!A169</f>
        <v>0</v>
      </c>
      <c r="B155" s="196">
        <f>'Données projet'!D169</f>
        <v>0</v>
      </c>
      <c r="C155" s="210"/>
      <c r="D155" s="194">
        <f t="shared" si="12"/>
        <v>0</v>
      </c>
      <c r="E155" s="210"/>
      <c r="F155" s="221"/>
      <c r="G155" s="232"/>
      <c r="H155" s="25"/>
      <c r="I155" s="5"/>
      <c r="J155" s="5"/>
      <c r="K155" s="5"/>
      <c r="L155" s="5"/>
      <c r="M155" s="5"/>
      <c r="N155" s="186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</row>
    <row r="156" spans="1:68" x14ac:dyDescent="0.25">
      <c r="A156" s="195">
        <f>'Données projet'!A170</f>
        <v>0</v>
      </c>
      <c r="B156" s="196">
        <f>'Données projet'!D170</f>
        <v>0</v>
      </c>
      <c r="C156" s="210"/>
      <c r="D156" s="194">
        <f t="shared" si="12"/>
        <v>0</v>
      </c>
      <c r="E156" s="210"/>
      <c r="F156" s="221"/>
      <c r="G156" s="232"/>
      <c r="H156" s="25"/>
      <c r="I156" s="5"/>
      <c r="J156" s="5"/>
      <c r="K156" s="5"/>
      <c r="L156" s="5"/>
      <c r="M156" s="5"/>
      <c r="N156" s="186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</row>
    <row r="157" spans="1:68" x14ac:dyDescent="0.25">
      <c r="A157" s="195">
        <f>'Données projet'!A171</f>
        <v>0</v>
      </c>
      <c r="B157" s="196">
        <f>'Données projet'!D171</f>
        <v>0</v>
      </c>
      <c r="C157" s="210"/>
      <c r="D157" s="194">
        <f t="shared" si="12"/>
        <v>0</v>
      </c>
      <c r="E157" s="210"/>
      <c r="F157" s="221"/>
      <c r="G157" s="232"/>
      <c r="H157" s="25"/>
      <c r="I157" s="5"/>
      <c r="J157" s="5"/>
      <c r="K157" s="5"/>
      <c r="L157" s="5"/>
      <c r="M157" s="5"/>
      <c r="N157" s="186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</row>
    <row r="158" spans="1:68" x14ac:dyDescent="0.25">
      <c r="A158" s="195">
        <f>'Données projet'!A172</f>
        <v>0</v>
      </c>
      <c r="B158" s="196">
        <f>'Données projet'!D172</f>
        <v>0</v>
      </c>
      <c r="C158" s="210"/>
      <c r="D158" s="194">
        <f t="shared" si="12"/>
        <v>0</v>
      </c>
      <c r="E158" s="210"/>
      <c r="F158" s="221"/>
      <c r="G158" s="232"/>
      <c r="H158" s="25"/>
      <c r="I158" s="5"/>
      <c r="J158" s="5"/>
      <c r="K158" s="5"/>
      <c r="L158" s="5"/>
      <c r="M158" s="5"/>
      <c r="N158" s="186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</row>
    <row r="159" spans="1:68" x14ac:dyDescent="0.25">
      <c r="A159" s="195">
        <f>'Données projet'!A173</f>
        <v>0</v>
      </c>
      <c r="B159" s="196">
        <f>'Données projet'!D173</f>
        <v>0</v>
      </c>
      <c r="C159" s="210"/>
      <c r="D159" s="194">
        <f t="shared" si="12"/>
        <v>0</v>
      </c>
      <c r="E159" s="210"/>
      <c r="F159" s="221"/>
      <c r="G159" s="232"/>
      <c r="H159" s="25"/>
      <c r="I159" s="5"/>
      <c r="J159" s="5"/>
      <c r="K159" s="5"/>
      <c r="L159" s="5"/>
      <c r="M159" s="5"/>
      <c r="N159" s="186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</row>
    <row r="160" spans="1:68" x14ac:dyDescent="0.25">
      <c r="A160" s="195">
        <f>'Données projet'!A174</f>
        <v>0</v>
      </c>
      <c r="B160" s="196">
        <f>'Données projet'!D174</f>
        <v>0</v>
      </c>
      <c r="C160" s="210"/>
      <c r="D160" s="194">
        <f t="shared" si="12"/>
        <v>0</v>
      </c>
      <c r="E160" s="210"/>
      <c r="F160" s="221"/>
      <c r="G160" s="232"/>
      <c r="H160" s="25"/>
      <c r="I160" s="5"/>
      <c r="J160" s="5"/>
      <c r="K160" s="5"/>
      <c r="L160" s="5"/>
      <c r="M160" s="5"/>
      <c r="N160" s="186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</row>
    <row r="161" spans="1:68" x14ac:dyDescent="0.25">
      <c r="A161" s="195">
        <f>'Données projet'!A175</f>
        <v>0</v>
      </c>
      <c r="B161" s="196">
        <f>'Données projet'!D175</f>
        <v>0</v>
      </c>
      <c r="C161" s="210"/>
      <c r="D161" s="194">
        <f t="shared" si="12"/>
        <v>0</v>
      </c>
      <c r="E161" s="210"/>
      <c r="F161" s="221"/>
      <c r="G161" s="232"/>
      <c r="H161" s="25"/>
      <c r="I161" s="5"/>
      <c r="J161" s="5"/>
      <c r="K161" s="5"/>
      <c r="L161" s="5"/>
      <c r="M161" s="5"/>
      <c r="N161" s="186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</row>
    <row r="162" spans="1:68" x14ac:dyDescent="0.25">
      <c r="A162" s="195">
        <f>'Données projet'!A176</f>
        <v>0</v>
      </c>
      <c r="B162" s="196">
        <f>'Données projet'!D176</f>
        <v>0</v>
      </c>
      <c r="C162" s="210"/>
      <c r="D162" s="194">
        <f t="shared" si="12"/>
        <v>0</v>
      </c>
      <c r="E162" s="210"/>
      <c r="F162" s="221"/>
      <c r="G162" s="232"/>
      <c r="H162" s="25"/>
      <c r="I162" s="5"/>
      <c r="J162" s="5"/>
      <c r="K162" s="5"/>
      <c r="L162" s="5"/>
      <c r="M162" s="5"/>
      <c r="N162" s="186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</row>
    <row r="163" spans="1:68" x14ac:dyDescent="0.25">
      <c r="A163" s="195">
        <f>'Données projet'!A177</f>
        <v>0</v>
      </c>
      <c r="B163" s="196">
        <f>'Données projet'!D177</f>
        <v>0</v>
      </c>
      <c r="C163" s="210"/>
      <c r="D163" s="194">
        <f t="shared" si="12"/>
        <v>0</v>
      </c>
      <c r="E163" s="210"/>
      <c r="F163" s="221"/>
      <c r="G163" s="232"/>
      <c r="H163" s="25"/>
      <c r="I163" s="5"/>
      <c r="J163" s="5"/>
      <c r="K163" s="5"/>
      <c r="L163" s="5"/>
      <c r="M163" s="5"/>
      <c r="N163" s="186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</row>
    <row r="164" spans="1:68" x14ac:dyDescent="0.25">
      <c r="A164" s="195">
        <f>'Données projet'!A178</f>
        <v>0</v>
      </c>
      <c r="B164" s="196">
        <f>'Données projet'!D178</f>
        <v>0</v>
      </c>
      <c r="C164" s="210"/>
      <c r="D164" s="194">
        <f t="shared" si="12"/>
        <v>0</v>
      </c>
      <c r="E164" s="210"/>
      <c r="F164" s="221"/>
      <c r="G164" s="232"/>
      <c r="H164" s="25"/>
      <c r="I164" s="5"/>
      <c r="J164" s="5"/>
      <c r="K164" s="5"/>
      <c r="L164" s="5"/>
      <c r="M164" s="5"/>
      <c r="N164" s="186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</row>
    <row r="165" spans="1:68" x14ac:dyDescent="0.25">
      <c r="A165" s="195">
        <f>'Données projet'!A179</f>
        <v>0</v>
      </c>
      <c r="B165" s="196">
        <f>'Données projet'!D179</f>
        <v>0</v>
      </c>
      <c r="C165" s="210"/>
      <c r="D165" s="194">
        <f t="shared" si="12"/>
        <v>0</v>
      </c>
      <c r="E165" s="210"/>
      <c r="F165" s="221"/>
      <c r="G165" s="232"/>
      <c r="H165" s="25"/>
      <c r="I165" s="5"/>
      <c r="J165" s="5"/>
      <c r="K165" s="5"/>
      <c r="L165" s="5"/>
      <c r="M165" s="5"/>
      <c r="N165" s="186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</row>
    <row r="166" spans="1:68" x14ac:dyDescent="0.25">
      <c r="A166" s="195">
        <f>'Données projet'!A180</f>
        <v>0</v>
      </c>
      <c r="B166" s="196">
        <f>'Données projet'!D180</f>
        <v>0</v>
      </c>
      <c r="C166" s="210"/>
      <c r="D166" s="194">
        <f t="shared" si="12"/>
        <v>0</v>
      </c>
      <c r="E166" s="210"/>
      <c r="F166" s="221"/>
      <c r="G166" s="232"/>
      <c r="H166" s="25"/>
      <c r="I166" s="5"/>
      <c r="J166" s="5"/>
      <c r="K166" s="5"/>
      <c r="L166" s="5"/>
      <c r="M166" s="5"/>
      <c r="N166" s="186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</row>
    <row r="167" spans="1:68" x14ac:dyDescent="0.25">
      <c r="A167" s="195">
        <f>'Données projet'!A181</f>
        <v>0</v>
      </c>
      <c r="B167" s="196">
        <f>'Données projet'!D181</f>
        <v>0</v>
      </c>
      <c r="C167" s="210"/>
      <c r="D167" s="194">
        <f t="shared" si="12"/>
        <v>0</v>
      </c>
      <c r="E167" s="210"/>
      <c r="F167" s="221"/>
      <c r="G167" s="232"/>
      <c r="H167" s="25"/>
      <c r="I167" s="5"/>
      <c r="J167" s="5"/>
      <c r="K167" s="5"/>
      <c r="L167" s="5"/>
      <c r="M167" s="5"/>
      <c r="N167" s="186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</row>
    <row r="168" spans="1:68" x14ac:dyDescent="0.25">
      <c r="A168" s="195">
        <f>'Données projet'!A182</f>
        <v>0</v>
      </c>
      <c r="B168" s="196">
        <f>'Données projet'!D182</f>
        <v>0</v>
      </c>
      <c r="C168" s="210"/>
      <c r="D168" s="194">
        <f t="shared" si="12"/>
        <v>0</v>
      </c>
      <c r="E168" s="210"/>
      <c r="F168" s="221"/>
      <c r="G168" s="232"/>
      <c r="H168" s="25"/>
      <c r="I168" s="5"/>
      <c r="J168" s="5"/>
      <c r="K168" s="5"/>
      <c r="L168" s="5"/>
      <c r="M168" s="5"/>
      <c r="N168" s="186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</row>
    <row r="169" spans="1:68" x14ac:dyDescent="0.25">
      <c r="A169" s="195">
        <f>'Données projet'!A183</f>
        <v>0</v>
      </c>
      <c r="B169" s="196">
        <f>'Données projet'!D183</f>
        <v>0</v>
      </c>
      <c r="C169" s="210"/>
      <c r="D169" s="194">
        <f t="shared" si="12"/>
        <v>0</v>
      </c>
      <c r="E169" s="210"/>
      <c r="F169" s="221"/>
      <c r="G169" s="232"/>
      <c r="H169" s="25"/>
      <c r="I169" s="5"/>
      <c r="J169" s="5"/>
      <c r="K169" s="5"/>
      <c r="L169" s="5"/>
      <c r="M169" s="5"/>
      <c r="N169" s="186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</row>
    <row r="170" spans="1:68" x14ac:dyDescent="0.25">
      <c r="A170" s="195">
        <f>'Données projet'!A184</f>
        <v>0</v>
      </c>
      <c r="B170" s="196">
        <f>'Données projet'!D184</f>
        <v>0</v>
      </c>
      <c r="C170" s="210"/>
      <c r="D170" s="194">
        <f t="shared" si="12"/>
        <v>0</v>
      </c>
      <c r="E170" s="210"/>
      <c r="F170" s="221"/>
      <c r="G170" s="232"/>
      <c r="H170" s="25"/>
      <c r="I170" s="5"/>
      <c r="J170" s="5"/>
      <c r="K170" s="5"/>
      <c r="L170" s="5"/>
      <c r="M170" s="5"/>
      <c r="N170" s="186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</row>
    <row r="171" spans="1:68" x14ac:dyDescent="0.25">
      <c r="A171" s="195">
        <f>'Données projet'!A185</f>
        <v>0</v>
      </c>
      <c r="B171" s="196">
        <f>'Données projet'!D185</f>
        <v>0</v>
      </c>
      <c r="C171" s="210"/>
      <c r="D171" s="194">
        <f t="shared" si="12"/>
        <v>0</v>
      </c>
      <c r="E171" s="210"/>
      <c r="F171" s="221"/>
      <c r="G171" s="232"/>
      <c r="H171" s="25"/>
      <c r="I171" s="5"/>
      <c r="J171" s="5"/>
      <c r="K171" s="5"/>
      <c r="L171" s="5"/>
      <c r="M171" s="5"/>
      <c r="N171" s="186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</row>
    <row r="172" spans="1:68" x14ac:dyDescent="0.25">
      <c r="A172" s="5"/>
      <c r="B172" s="5"/>
      <c r="C172" s="5"/>
      <c r="D172" s="5"/>
      <c r="E172" s="5"/>
      <c r="F172" s="218"/>
      <c r="G172" s="230"/>
      <c r="H172" s="25"/>
      <c r="I172" s="5"/>
      <c r="J172" s="5"/>
      <c r="K172" s="5"/>
      <c r="L172" s="5"/>
      <c r="M172" s="5"/>
      <c r="N172" s="186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</row>
    <row r="173" spans="1:68" x14ac:dyDescent="0.25">
      <c r="A173" s="5"/>
      <c r="B173" s="5"/>
      <c r="C173" s="5"/>
      <c r="D173" s="5"/>
      <c r="E173" s="5"/>
      <c r="F173" s="218"/>
      <c r="G173" s="230"/>
      <c r="H173" s="25"/>
      <c r="I173" s="5"/>
      <c r="J173" s="5"/>
      <c r="K173" s="5"/>
      <c r="L173" s="5"/>
      <c r="M173" s="5"/>
      <c r="N173" s="186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</row>
    <row r="174" spans="1:68" x14ac:dyDescent="0.25">
      <c r="A174" s="49" t="s">
        <v>171</v>
      </c>
      <c r="B174" s="189" t="str">
        <f>IF('Données projet'!$B$15="","",'Données projet'!$B$15)</f>
        <v/>
      </c>
      <c r="C174" s="5"/>
      <c r="D174" s="5"/>
      <c r="E174" s="5"/>
      <c r="F174" s="218"/>
      <c r="G174" s="230"/>
      <c r="H174" s="25"/>
      <c r="I174" s="5"/>
      <c r="J174" s="5"/>
      <c r="K174" s="5"/>
      <c r="L174" s="5"/>
      <c r="M174" s="5"/>
      <c r="N174" s="186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</row>
    <row r="175" spans="1:68" x14ac:dyDescent="0.25">
      <c r="A175" s="49"/>
      <c r="B175" s="5"/>
      <c r="C175" s="5"/>
      <c r="D175" s="5"/>
      <c r="E175" s="5"/>
      <c r="F175" s="218"/>
      <c r="G175" s="230"/>
      <c r="H175" s="25"/>
      <c r="I175" s="5"/>
      <c r="J175" s="5"/>
      <c r="K175" s="5"/>
      <c r="L175" s="5"/>
      <c r="M175" s="5"/>
      <c r="N175" s="186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</row>
    <row r="176" spans="1:68" x14ac:dyDescent="0.25">
      <c r="A176" s="188" t="s">
        <v>180</v>
      </c>
      <c r="B176" s="51" t="s">
        <v>256</v>
      </c>
      <c r="C176" s="51" t="s">
        <v>255</v>
      </c>
      <c r="D176" s="188" t="s">
        <v>252</v>
      </c>
      <c r="E176" s="188" t="s">
        <v>288</v>
      </c>
      <c r="F176" s="220"/>
      <c r="G176" s="231"/>
      <c r="H176" s="25"/>
      <c r="I176" s="5"/>
      <c r="J176" s="5"/>
      <c r="K176" s="5"/>
      <c r="L176" s="5"/>
      <c r="M176" s="5"/>
      <c r="N176" s="186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</row>
    <row r="177" spans="1:68" x14ac:dyDescent="0.25">
      <c r="A177" s="214">
        <v>0</v>
      </c>
      <c r="B177" s="217" t="s">
        <v>132</v>
      </c>
      <c r="C177" s="216" t="s">
        <v>132</v>
      </c>
      <c r="D177" s="215" t="s">
        <v>132</v>
      </c>
      <c r="E177" s="210"/>
      <c r="F177" s="220"/>
      <c r="G177" s="231"/>
      <c r="H177" s="25"/>
      <c r="I177" s="5"/>
      <c r="J177" s="5"/>
      <c r="K177" s="5"/>
      <c r="L177" s="5"/>
      <c r="M177" s="5"/>
      <c r="N177" s="186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</row>
    <row r="178" spans="1:68" x14ac:dyDescent="0.25">
      <c r="A178" s="195">
        <f>'Données projet'!A192</f>
        <v>0</v>
      </c>
      <c r="B178" s="196">
        <f>'Données projet'!D192</f>
        <v>0</v>
      </c>
      <c r="C178" s="210"/>
      <c r="D178" s="194">
        <f>B178*C178</f>
        <v>0</v>
      </c>
      <c r="E178" s="210"/>
      <c r="F178" s="221"/>
      <c r="G178" s="232"/>
      <c r="H178" s="25"/>
      <c r="I178" s="5"/>
      <c r="J178" s="5"/>
      <c r="K178" s="5"/>
      <c r="L178" s="5"/>
      <c r="M178" s="5"/>
      <c r="N178" s="186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</row>
    <row r="179" spans="1:68" x14ac:dyDescent="0.25">
      <c r="A179" s="195">
        <f>'Données projet'!A193</f>
        <v>0</v>
      </c>
      <c r="B179" s="196">
        <f>'Données projet'!D193</f>
        <v>0</v>
      </c>
      <c r="C179" s="210"/>
      <c r="D179" s="194">
        <f t="shared" ref="D179:D197" si="13">B179*C179</f>
        <v>0</v>
      </c>
      <c r="E179" s="210"/>
      <c r="F179" s="221"/>
      <c r="G179" s="232"/>
      <c r="H179" s="25"/>
      <c r="I179" s="5"/>
      <c r="J179" s="5"/>
      <c r="K179" s="5"/>
      <c r="L179" s="5"/>
      <c r="M179" s="5"/>
      <c r="N179" s="186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</row>
    <row r="180" spans="1:68" x14ac:dyDescent="0.25">
      <c r="A180" s="195">
        <f>'Données projet'!A194</f>
        <v>0</v>
      </c>
      <c r="B180" s="196">
        <f>'Données projet'!D194</f>
        <v>0</v>
      </c>
      <c r="C180" s="210"/>
      <c r="D180" s="194">
        <f t="shared" si="13"/>
        <v>0</v>
      </c>
      <c r="E180" s="210"/>
      <c r="F180" s="221"/>
      <c r="G180" s="232"/>
      <c r="H180" s="25"/>
      <c r="I180" s="5"/>
      <c r="J180" s="5"/>
      <c r="K180" s="5"/>
      <c r="L180" s="5"/>
      <c r="M180" s="5"/>
      <c r="N180" s="186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</row>
    <row r="181" spans="1:68" x14ac:dyDescent="0.25">
      <c r="A181" s="195">
        <f>'Données projet'!A195</f>
        <v>0</v>
      </c>
      <c r="B181" s="196">
        <f>'Données projet'!D195</f>
        <v>0</v>
      </c>
      <c r="C181" s="210"/>
      <c r="D181" s="194">
        <f t="shared" si="13"/>
        <v>0</v>
      </c>
      <c r="E181" s="210"/>
      <c r="F181" s="221"/>
      <c r="G181" s="232"/>
      <c r="H181" s="25"/>
      <c r="I181" s="5"/>
      <c r="J181" s="5"/>
      <c r="K181" s="5"/>
      <c r="L181" s="5"/>
      <c r="M181" s="5"/>
      <c r="N181" s="186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</row>
    <row r="182" spans="1:68" x14ac:dyDescent="0.25">
      <c r="A182" s="195">
        <f>'Données projet'!A196</f>
        <v>0</v>
      </c>
      <c r="B182" s="196">
        <f>'Données projet'!D196</f>
        <v>0</v>
      </c>
      <c r="C182" s="210"/>
      <c r="D182" s="194">
        <f t="shared" si="13"/>
        <v>0</v>
      </c>
      <c r="E182" s="210"/>
      <c r="F182" s="221"/>
      <c r="G182" s="232"/>
      <c r="H182" s="25"/>
      <c r="I182" s="5"/>
      <c r="J182" s="5"/>
      <c r="K182" s="5"/>
      <c r="L182" s="5"/>
      <c r="M182" s="5"/>
      <c r="N182" s="186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</row>
    <row r="183" spans="1:68" x14ac:dyDescent="0.25">
      <c r="A183" s="195">
        <f>'Données projet'!A197</f>
        <v>0</v>
      </c>
      <c r="B183" s="196">
        <f>'Données projet'!D197</f>
        <v>0</v>
      </c>
      <c r="C183" s="210"/>
      <c r="D183" s="194">
        <f t="shared" si="13"/>
        <v>0</v>
      </c>
      <c r="E183" s="210"/>
      <c r="F183" s="221"/>
      <c r="G183" s="232"/>
      <c r="H183" s="25"/>
      <c r="I183" s="5"/>
      <c r="J183" s="5"/>
      <c r="K183" s="5"/>
      <c r="L183" s="5"/>
      <c r="M183" s="5"/>
      <c r="N183" s="186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</row>
    <row r="184" spans="1:68" x14ac:dyDescent="0.25">
      <c r="A184" s="195">
        <f>'Données projet'!A198</f>
        <v>0</v>
      </c>
      <c r="B184" s="196">
        <f>'Données projet'!D198</f>
        <v>0</v>
      </c>
      <c r="C184" s="210"/>
      <c r="D184" s="194">
        <f t="shared" si="13"/>
        <v>0</v>
      </c>
      <c r="E184" s="210"/>
      <c r="F184" s="221"/>
      <c r="G184" s="232"/>
      <c r="H184" s="25"/>
      <c r="I184" s="5"/>
      <c r="J184" s="5"/>
      <c r="K184" s="5"/>
      <c r="L184" s="5"/>
      <c r="M184" s="5"/>
      <c r="N184" s="186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</row>
    <row r="185" spans="1:68" x14ac:dyDescent="0.25">
      <c r="A185" s="195">
        <f>'Données projet'!A199</f>
        <v>0</v>
      </c>
      <c r="B185" s="196">
        <f>'Données projet'!D199</f>
        <v>0</v>
      </c>
      <c r="C185" s="210"/>
      <c r="D185" s="194">
        <f t="shared" si="13"/>
        <v>0</v>
      </c>
      <c r="E185" s="210"/>
      <c r="F185" s="221"/>
      <c r="G185" s="232"/>
      <c r="H185" s="25"/>
      <c r="I185" s="5"/>
      <c r="J185" s="5"/>
      <c r="K185" s="5"/>
      <c r="L185" s="5"/>
      <c r="M185" s="5"/>
      <c r="N185" s="186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</row>
    <row r="186" spans="1:68" x14ac:dyDescent="0.25">
      <c r="A186" s="195">
        <f>'Données projet'!A200</f>
        <v>0</v>
      </c>
      <c r="B186" s="196">
        <f>'Données projet'!D200</f>
        <v>0</v>
      </c>
      <c r="C186" s="210"/>
      <c r="D186" s="194">
        <f t="shared" si="13"/>
        <v>0</v>
      </c>
      <c r="E186" s="210"/>
      <c r="F186" s="221"/>
      <c r="G186" s="232"/>
      <c r="H186" s="25"/>
      <c r="I186" s="5"/>
      <c r="J186" s="5"/>
      <c r="K186" s="5"/>
      <c r="L186" s="5"/>
      <c r="M186" s="5"/>
      <c r="N186" s="186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</row>
    <row r="187" spans="1:68" x14ac:dyDescent="0.25">
      <c r="A187" s="195">
        <f>'Données projet'!A201</f>
        <v>0</v>
      </c>
      <c r="B187" s="196">
        <f>'Données projet'!D201</f>
        <v>0</v>
      </c>
      <c r="C187" s="210"/>
      <c r="D187" s="194">
        <f t="shared" si="13"/>
        <v>0</v>
      </c>
      <c r="E187" s="210"/>
      <c r="F187" s="221"/>
      <c r="G187" s="232"/>
      <c r="H187" s="25"/>
      <c r="I187" s="5"/>
      <c r="J187" s="5"/>
      <c r="K187" s="5"/>
      <c r="L187" s="5"/>
      <c r="M187" s="5"/>
      <c r="N187" s="186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</row>
    <row r="188" spans="1:68" x14ac:dyDescent="0.25">
      <c r="A188" s="195">
        <f>'Données projet'!A202</f>
        <v>0</v>
      </c>
      <c r="B188" s="196">
        <f>'Données projet'!D202</f>
        <v>0</v>
      </c>
      <c r="C188" s="210"/>
      <c r="D188" s="194">
        <f t="shared" si="13"/>
        <v>0</v>
      </c>
      <c r="E188" s="210"/>
      <c r="F188" s="221"/>
      <c r="G188" s="232"/>
      <c r="H188" s="25"/>
      <c r="I188" s="5"/>
      <c r="J188" s="5"/>
      <c r="K188" s="5"/>
      <c r="L188" s="5"/>
      <c r="M188" s="5"/>
      <c r="N188" s="186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</row>
    <row r="189" spans="1:68" x14ac:dyDescent="0.25">
      <c r="A189" s="195">
        <f>'Données projet'!A203</f>
        <v>0</v>
      </c>
      <c r="B189" s="196">
        <f>'Données projet'!D203</f>
        <v>0</v>
      </c>
      <c r="C189" s="210"/>
      <c r="D189" s="194">
        <f t="shared" si="13"/>
        <v>0</v>
      </c>
      <c r="E189" s="210"/>
      <c r="F189" s="221"/>
      <c r="G189" s="232"/>
      <c r="H189" s="25"/>
      <c r="I189" s="5"/>
      <c r="J189" s="5"/>
      <c r="K189" s="5"/>
      <c r="L189" s="5"/>
      <c r="M189" s="5"/>
      <c r="N189" s="186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</row>
    <row r="190" spans="1:68" x14ac:dyDescent="0.25">
      <c r="A190" s="195">
        <f>'Données projet'!A204</f>
        <v>0</v>
      </c>
      <c r="B190" s="196">
        <f>'Données projet'!D204</f>
        <v>0</v>
      </c>
      <c r="C190" s="210"/>
      <c r="D190" s="194">
        <f t="shared" si="13"/>
        <v>0</v>
      </c>
      <c r="E190" s="210"/>
      <c r="F190" s="221"/>
      <c r="G190" s="232"/>
      <c r="H190" s="25"/>
      <c r="I190" s="5"/>
      <c r="J190" s="5"/>
      <c r="K190" s="5"/>
      <c r="L190" s="5"/>
      <c r="M190" s="5"/>
      <c r="N190" s="186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</row>
    <row r="191" spans="1:68" x14ac:dyDescent="0.25">
      <c r="A191" s="195">
        <f>'Données projet'!A205</f>
        <v>0</v>
      </c>
      <c r="B191" s="196">
        <f>'Données projet'!D205</f>
        <v>0</v>
      </c>
      <c r="C191" s="210"/>
      <c r="D191" s="194">
        <f t="shared" si="13"/>
        <v>0</v>
      </c>
      <c r="E191" s="210"/>
      <c r="F191" s="221"/>
      <c r="G191" s="232"/>
      <c r="H191" s="25"/>
      <c r="I191" s="5"/>
      <c r="J191" s="5"/>
      <c r="K191" s="5"/>
      <c r="L191" s="5"/>
      <c r="M191" s="5"/>
      <c r="N191" s="186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</row>
    <row r="192" spans="1:68" x14ac:dyDescent="0.25">
      <c r="A192" s="195">
        <f>'Données projet'!A206</f>
        <v>0</v>
      </c>
      <c r="B192" s="196">
        <f>'Données projet'!D206</f>
        <v>0</v>
      </c>
      <c r="C192" s="210"/>
      <c r="D192" s="194">
        <f t="shared" si="13"/>
        <v>0</v>
      </c>
      <c r="E192" s="210"/>
      <c r="F192" s="221"/>
      <c r="G192" s="232"/>
      <c r="H192" s="25"/>
      <c r="I192" s="5"/>
      <c r="J192" s="5"/>
      <c r="K192" s="5"/>
      <c r="L192" s="5"/>
      <c r="M192" s="5"/>
      <c r="N192" s="186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</row>
    <row r="193" spans="1:68" x14ac:dyDescent="0.25">
      <c r="A193" s="195">
        <f>'Données projet'!A207</f>
        <v>0</v>
      </c>
      <c r="B193" s="196">
        <f>'Données projet'!D207</f>
        <v>0</v>
      </c>
      <c r="C193" s="210"/>
      <c r="D193" s="194">
        <f t="shared" si="13"/>
        <v>0</v>
      </c>
      <c r="E193" s="210"/>
      <c r="F193" s="221"/>
      <c r="G193" s="232"/>
      <c r="H193" s="25"/>
      <c r="I193" s="5"/>
      <c r="J193" s="5"/>
      <c r="K193" s="5"/>
      <c r="L193" s="5"/>
      <c r="M193" s="5"/>
      <c r="N193" s="186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</row>
    <row r="194" spans="1:68" x14ac:dyDescent="0.25">
      <c r="A194" s="195">
        <f>'Données projet'!A208</f>
        <v>0</v>
      </c>
      <c r="B194" s="196">
        <f>'Données projet'!D208</f>
        <v>0</v>
      </c>
      <c r="C194" s="210"/>
      <c r="D194" s="194">
        <f t="shared" si="13"/>
        <v>0</v>
      </c>
      <c r="E194" s="210"/>
      <c r="F194" s="221"/>
      <c r="G194" s="232"/>
      <c r="H194" s="25"/>
      <c r="I194" s="5"/>
      <c r="J194" s="5"/>
      <c r="K194" s="5"/>
      <c r="L194" s="5"/>
      <c r="M194" s="5"/>
      <c r="N194" s="186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</row>
    <row r="195" spans="1:68" x14ac:dyDescent="0.25">
      <c r="A195" s="195">
        <f>'Données projet'!A209</f>
        <v>0</v>
      </c>
      <c r="B195" s="196">
        <f>'Données projet'!D209</f>
        <v>0</v>
      </c>
      <c r="C195" s="210"/>
      <c r="D195" s="194">
        <f t="shared" si="13"/>
        <v>0</v>
      </c>
      <c r="E195" s="210"/>
      <c r="F195" s="221"/>
      <c r="G195" s="232"/>
      <c r="H195" s="25"/>
      <c r="I195" s="5"/>
      <c r="J195" s="5"/>
      <c r="K195" s="5"/>
      <c r="L195" s="5"/>
      <c r="M195" s="5"/>
      <c r="N195" s="186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</row>
    <row r="196" spans="1:68" x14ac:dyDescent="0.25">
      <c r="A196" s="195">
        <f>'Données projet'!A210</f>
        <v>0</v>
      </c>
      <c r="B196" s="196">
        <f>'Données projet'!D210</f>
        <v>0</v>
      </c>
      <c r="C196" s="210"/>
      <c r="D196" s="194">
        <f t="shared" si="13"/>
        <v>0</v>
      </c>
      <c r="E196" s="210"/>
      <c r="F196" s="221"/>
      <c r="G196" s="232"/>
      <c r="H196" s="25"/>
      <c r="I196" s="5"/>
      <c r="J196" s="5"/>
      <c r="K196" s="5"/>
      <c r="L196" s="5"/>
      <c r="M196" s="5"/>
      <c r="N196" s="186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</row>
    <row r="197" spans="1:68" x14ac:dyDescent="0.25">
      <c r="A197" s="195">
        <f>'Données projet'!A211</f>
        <v>0</v>
      </c>
      <c r="B197" s="196">
        <f>'Données projet'!D211</f>
        <v>0</v>
      </c>
      <c r="C197" s="210"/>
      <c r="D197" s="194">
        <f t="shared" si="13"/>
        <v>0</v>
      </c>
      <c r="E197" s="210"/>
      <c r="F197" s="221"/>
      <c r="G197" s="232"/>
      <c r="H197" s="25"/>
      <c r="I197" s="5"/>
      <c r="J197" s="5"/>
      <c r="K197" s="5"/>
      <c r="L197" s="5"/>
      <c r="M197" s="5"/>
      <c r="N197" s="186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</row>
    <row r="198" spans="1:68" x14ac:dyDescent="0.25">
      <c r="A198" s="5"/>
      <c r="B198" s="5"/>
      <c r="C198" s="5"/>
      <c r="D198" s="5"/>
      <c r="E198" s="5"/>
      <c r="F198" s="218"/>
      <c r="G198" s="230"/>
      <c r="H198" s="25"/>
      <c r="I198" s="5"/>
      <c r="J198" s="5"/>
      <c r="K198" s="5"/>
      <c r="L198" s="5"/>
      <c r="M198" s="5"/>
      <c r="N198" s="186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</row>
    <row r="199" spans="1:68" x14ac:dyDescent="0.25">
      <c r="A199" s="5"/>
      <c r="B199" s="5"/>
      <c r="C199" s="5"/>
      <c r="D199" s="5"/>
      <c r="E199" s="5"/>
      <c r="F199" s="218"/>
      <c r="G199" s="230"/>
      <c r="H199" s="25"/>
      <c r="I199" s="5"/>
      <c r="J199" s="5"/>
      <c r="K199" s="5"/>
      <c r="L199" s="5"/>
      <c r="M199" s="5"/>
      <c r="N199" s="186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</row>
    <row r="200" spans="1:68" x14ac:dyDescent="0.25">
      <c r="A200" s="49" t="s">
        <v>172</v>
      </c>
      <c r="B200" s="189" t="str">
        <f>IF('Données projet'!$B$16="","",'Données projet'!$B$16)</f>
        <v/>
      </c>
      <c r="C200" s="5"/>
      <c r="D200" s="5"/>
      <c r="E200" s="5"/>
      <c r="F200" s="218"/>
      <c r="G200" s="230"/>
      <c r="H200" s="25"/>
      <c r="I200" s="5"/>
      <c r="J200" s="5"/>
      <c r="K200" s="5"/>
      <c r="L200" s="5"/>
      <c r="M200" s="5"/>
      <c r="N200" s="186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</row>
    <row r="201" spans="1:68" x14ac:dyDescent="0.25">
      <c r="A201" s="49"/>
      <c r="B201" s="5"/>
      <c r="C201" s="5"/>
      <c r="D201" s="5"/>
      <c r="E201" s="5"/>
      <c r="F201" s="218"/>
      <c r="G201" s="230"/>
      <c r="H201" s="25"/>
      <c r="I201" s="5"/>
      <c r="J201" s="5"/>
      <c r="K201" s="5"/>
      <c r="L201" s="5"/>
      <c r="M201" s="5"/>
      <c r="N201" s="186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</row>
    <row r="202" spans="1:68" x14ac:dyDescent="0.25">
      <c r="A202" s="188" t="s">
        <v>180</v>
      </c>
      <c r="B202" s="51" t="s">
        <v>256</v>
      </c>
      <c r="C202" s="51" t="s">
        <v>255</v>
      </c>
      <c r="D202" s="188" t="s">
        <v>252</v>
      </c>
      <c r="E202" s="188" t="s">
        <v>288</v>
      </c>
      <c r="F202" s="220"/>
      <c r="G202" s="231"/>
      <c r="H202" s="25"/>
      <c r="I202" s="5"/>
      <c r="J202" s="5"/>
      <c r="K202" s="5"/>
      <c r="L202" s="5"/>
      <c r="M202" s="5"/>
      <c r="N202" s="186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</row>
    <row r="203" spans="1:68" x14ac:dyDescent="0.25">
      <c r="A203" s="214">
        <v>0</v>
      </c>
      <c r="B203" s="217" t="s">
        <v>132</v>
      </c>
      <c r="C203" s="216" t="s">
        <v>132</v>
      </c>
      <c r="D203" s="215" t="s">
        <v>132</v>
      </c>
      <c r="E203" s="210"/>
      <c r="F203" s="220"/>
      <c r="G203" s="231"/>
      <c r="H203" s="25"/>
      <c r="I203" s="5"/>
      <c r="J203" s="5"/>
      <c r="K203" s="5"/>
      <c r="L203" s="5"/>
      <c r="M203" s="5"/>
      <c r="N203" s="186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</row>
    <row r="204" spans="1:68" x14ac:dyDescent="0.25">
      <c r="A204" s="195">
        <f>'Données projet'!A218</f>
        <v>0</v>
      </c>
      <c r="B204" s="196">
        <f>'Données projet'!D218</f>
        <v>0</v>
      </c>
      <c r="C204" s="210"/>
      <c r="D204" s="194">
        <f>B204*C204</f>
        <v>0</v>
      </c>
      <c r="E204" s="210"/>
      <c r="F204" s="221"/>
      <c r="G204" s="232"/>
      <c r="H204" s="25"/>
      <c r="I204" s="5"/>
      <c r="J204" s="5"/>
      <c r="K204" s="5"/>
      <c r="L204" s="5"/>
      <c r="M204" s="5"/>
      <c r="N204" s="186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</row>
    <row r="205" spans="1:68" x14ac:dyDescent="0.25">
      <c r="A205" s="195">
        <f>'Données projet'!A219</f>
        <v>0</v>
      </c>
      <c r="B205" s="196">
        <f>'Données projet'!D219</f>
        <v>0</v>
      </c>
      <c r="C205" s="210"/>
      <c r="D205" s="194">
        <f t="shared" ref="D205:D223" si="14">B205*C205</f>
        <v>0</v>
      </c>
      <c r="E205" s="210"/>
      <c r="F205" s="221"/>
      <c r="G205" s="232"/>
      <c r="H205" s="25"/>
      <c r="I205" s="5"/>
      <c r="J205" s="5"/>
      <c r="K205" s="5"/>
      <c r="L205" s="5"/>
      <c r="M205" s="5"/>
      <c r="N205" s="186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</row>
    <row r="206" spans="1:68" x14ac:dyDescent="0.25">
      <c r="A206" s="195">
        <f>'Données projet'!A220</f>
        <v>0</v>
      </c>
      <c r="B206" s="196">
        <f>'Données projet'!D220</f>
        <v>0</v>
      </c>
      <c r="C206" s="210"/>
      <c r="D206" s="194">
        <f t="shared" si="14"/>
        <v>0</v>
      </c>
      <c r="E206" s="210"/>
      <c r="F206" s="221"/>
      <c r="G206" s="232"/>
      <c r="H206" s="25"/>
      <c r="I206" s="5"/>
      <c r="J206" s="5"/>
      <c r="K206" s="5"/>
      <c r="L206" s="5"/>
      <c r="M206" s="5"/>
      <c r="N206" s="186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</row>
    <row r="207" spans="1:68" x14ac:dyDescent="0.25">
      <c r="A207" s="195">
        <f>'Données projet'!A221</f>
        <v>0</v>
      </c>
      <c r="B207" s="196">
        <f>'Données projet'!D221</f>
        <v>0</v>
      </c>
      <c r="C207" s="210"/>
      <c r="D207" s="194">
        <f t="shared" si="14"/>
        <v>0</v>
      </c>
      <c r="E207" s="210"/>
      <c r="F207" s="221"/>
      <c r="G207" s="232"/>
      <c r="H207" s="25"/>
      <c r="I207" s="5"/>
      <c r="J207" s="5"/>
      <c r="K207" s="5"/>
      <c r="L207" s="5"/>
      <c r="M207" s="5"/>
      <c r="N207" s="186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</row>
    <row r="208" spans="1:68" x14ac:dyDescent="0.25">
      <c r="A208" s="195">
        <f>'Données projet'!A222</f>
        <v>0</v>
      </c>
      <c r="B208" s="196">
        <f>'Données projet'!D222</f>
        <v>0</v>
      </c>
      <c r="C208" s="210"/>
      <c r="D208" s="194">
        <f t="shared" si="14"/>
        <v>0</v>
      </c>
      <c r="E208" s="210"/>
      <c r="F208" s="221"/>
      <c r="G208" s="232"/>
      <c r="H208" s="25"/>
      <c r="I208" s="5"/>
      <c r="J208" s="5"/>
      <c r="K208" s="5"/>
      <c r="L208" s="5"/>
      <c r="M208" s="5"/>
      <c r="N208" s="186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</row>
    <row r="209" spans="1:68" x14ac:dyDescent="0.25">
      <c r="A209" s="195">
        <f>'Données projet'!A223</f>
        <v>0</v>
      </c>
      <c r="B209" s="196">
        <f>'Données projet'!D223</f>
        <v>0</v>
      </c>
      <c r="C209" s="210"/>
      <c r="D209" s="194">
        <f t="shared" si="14"/>
        <v>0</v>
      </c>
      <c r="E209" s="210"/>
      <c r="F209" s="221"/>
      <c r="G209" s="232"/>
      <c r="H209" s="25"/>
      <c r="I209" s="5"/>
      <c r="J209" s="5"/>
      <c r="K209" s="5"/>
      <c r="L209" s="5"/>
      <c r="M209" s="5"/>
      <c r="N209" s="186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</row>
    <row r="210" spans="1:68" x14ac:dyDescent="0.25">
      <c r="A210" s="195">
        <f>'Données projet'!A224</f>
        <v>0</v>
      </c>
      <c r="B210" s="196">
        <f>'Données projet'!D224</f>
        <v>0</v>
      </c>
      <c r="C210" s="210"/>
      <c r="D210" s="194">
        <f t="shared" si="14"/>
        <v>0</v>
      </c>
      <c r="E210" s="210"/>
      <c r="F210" s="221"/>
      <c r="G210" s="232"/>
      <c r="H210" s="25"/>
      <c r="I210" s="5"/>
      <c r="J210" s="5"/>
      <c r="K210" s="5"/>
      <c r="L210" s="5"/>
      <c r="M210" s="5"/>
      <c r="N210" s="186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</row>
    <row r="211" spans="1:68" x14ac:dyDescent="0.25">
      <c r="A211" s="195">
        <f>'Données projet'!A225</f>
        <v>0</v>
      </c>
      <c r="B211" s="196">
        <f>'Données projet'!D225</f>
        <v>0</v>
      </c>
      <c r="C211" s="210"/>
      <c r="D211" s="194">
        <f t="shared" si="14"/>
        <v>0</v>
      </c>
      <c r="E211" s="210"/>
      <c r="F211" s="221"/>
      <c r="G211" s="232"/>
      <c r="H211" s="25"/>
      <c r="I211" s="5"/>
      <c r="J211" s="5"/>
      <c r="K211" s="5"/>
      <c r="L211" s="5"/>
      <c r="M211" s="5"/>
      <c r="N211" s="186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</row>
    <row r="212" spans="1:68" x14ac:dyDescent="0.25">
      <c r="A212" s="195">
        <f>'Données projet'!A226</f>
        <v>0</v>
      </c>
      <c r="B212" s="196">
        <f>'Données projet'!D226</f>
        <v>0</v>
      </c>
      <c r="C212" s="210"/>
      <c r="D212" s="194">
        <f t="shared" si="14"/>
        <v>0</v>
      </c>
      <c r="E212" s="210"/>
      <c r="F212" s="221"/>
      <c r="G212" s="232"/>
      <c r="H212" s="25"/>
      <c r="I212" s="5"/>
      <c r="J212" s="5"/>
      <c r="K212" s="5"/>
      <c r="L212" s="5"/>
      <c r="M212" s="5"/>
      <c r="N212" s="186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</row>
    <row r="213" spans="1:68" x14ac:dyDescent="0.25">
      <c r="A213" s="195">
        <f>'Données projet'!A227</f>
        <v>0</v>
      </c>
      <c r="B213" s="196">
        <f>'Données projet'!D227</f>
        <v>0</v>
      </c>
      <c r="C213" s="210"/>
      <c r="D213" s="194">
        <f t="shared" si="14"/>
        <v>0</v>
      </c>
      <c r="E213" s="210"/>
      <c r="F213" s="221"/>
      <c r="G213" s="232"/>
      <c r="H213" s="25"/>
      <c r="I213" s="5"/>
      <c r="J213" s="5"/>
      <c r="K213" s="5"/>
      <c r="L213" s="5"/>
      <c r="M213" s="5"/>
      <c r="N213" s="186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</row>
    <row r="214" spans="1:68" x14ac:dyDescent="0.25">
      <c r="A214" s="195">
        <f>'Données projet'!A228</f>
        <v>0</v>
      </c>
      <c r="B214" s="196">
        <f>'Données projet'!D228</f>
        <v>0</v>
      </c>
      <c r="C214" s="210"/>
      <c r="D214" s="194">
        <f t="shared" si="14"/>
        <v>0</v>
      </c>
      <c r="E214" s="210"/>
      <c r="F214" s="221"/>
      <c r="G214" s="232"/>
      <c r="H214" s="25"/>
      <c r="I214" s="5"/>
      <c r="J214" s="5"/>
      <c r="K214" s="5"/>
      <c r="L214" s="5"/>
      <c r="M214" s="5"/>
      <c r="N214" s="186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</row>
    <row r="215" spans="1:68" x14ac:dyDescent="0.25">
      <c r="A215" s="195">
        <f>'Données projet'!A229</f>
        <v>0</v>
      </c>
      <c r="B215" s="196">
        <f>'Données projet'!D229</f>
        <v>0</v>
      </c>
      <c r="C215" s="210"/>
      <c r="D215" s="194">
        <f t="shared" si="14"/>
        <v>0</v>
      </c>
      <c r="E215" s="210"/>
      <c r="F215" s="221"/>
      <c r="G215" s="232"/>
      <c r="H215" s="25"/>
      <c r="I215" s="5"/>
      <c r="J215" s="5"/>
      <c r="K215" s="5"/>
      <c r="L215" s="5"/>
      <c r="M215" s="5"/>
      <c r="N215" s="186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</row>
    <row r="216" spans="1:68" x14ac:dyDescent="0.25">
      <c r="A216" s="195">
        <f>'Données projet'!A230</f>
        <v>0</v>
      </c>
      <c r="B216" s="196">
        <f>'Données projet'!D230</f>
        <v>0</v>
      </c>
      <c r="C216" s="210"/>
      <c r="D216" s="194">
        <f t="shared" si="14"/>
        <v>0</v>
      </c>
      <c r="E216" s="210"/>
      <c r="F216" s="221"/>
      <c r="G216" s="232"/>
      <c r="H216" s="25"/>
      <c r="I216" s="5"/>
      <c r="J216" s="5"/>
      <c r="K216" s="5"/>
      <c r="L216" s="5"/>
      <c r="M216" s="5"/>
      <c r="N216" s="186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</row>
    <row r="217" spans="1:68" x14ac:dyDescent="0.25">
      <c r="A217" s="195">
        <f>'Données projet'!A231</f>
        <v>0</v>
      </c>
      <c r="B217" s="196">
        <f>'Données projet'!D231</f>
        <v>0</v>
      </c>
      <c r="C217" s="210"/>
      <c r="D217" s="194">
        <f t="shared" si="14"/>
        <v>0</v>
      </c>
      <c r="E217" s="210"/>
      <c r="F217" s="221"/>
      <c r="G217" s="232"/>
      <c r="H217" s="25"/>
      <c r="I217" s="5"/>
      <c r="J217" s="5"/>
      <c r="K217" s="5"/>
      <c r="L217" s="5"/>
      <c r="M217" s="5"/>
      <c r="N217" s="186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</row>
    <row r="218" spans="1:68" x14ac:dyDescent="0.25">
      <c r="A218" s="195">
        <f>'Données projet'!A232</f>
        <v>0</v>
      </c>
      <c r="B218" s="196">
        <f>'Données projet'!D232</f>
        <v>0</v>
      </c>
      <c r="C218" s="210"/>
      <c r="D218" s="194">
        <f t="shared" si="14"/>
        <v>0</v>
      </c>
      <c r="E218" s="210"/>
      <c r="F218" s="221"/>
      <c r="G218" s="232"/>
      <c r="H218" s="25"/>
      <c r="I218" s="5"/>
      <c r="J218" s="5"/>
      <c r="K218" s="5"/>
      <c r="L218" s="5"/>
      <c r="M218" s="5"/>
      <c r="N218" s="186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</row>
    <row r="219" spans="1:68" x14ac:dyDescent="0.25">
      <c r="A219" s="195">
        <f>'Données projet'!A233</f>
        <v>0</v>
      </c>
      <c r="B219" s="196">
        <f>'Données projet'!D233</f>
        <v>0</v>
      </c>
      <c r="C219" s="210"/>
      <c r="D219" s="194">
        <f t="shared" si="14"/>
        <v>0</v>
      </c>
      <c r="E219" s="210"/>
      <c r="F219" s="221"/>
      <c r="G219" s="232"/>
      <c r="H219" s="25"/>
      <c r="I219" s="5"/>
      <c r="J219" s="5"/>
      <c r="K219" s="5"/>
      <c r="L219" s="5"/>
      <c r="M219" s="5"/>
      <c r="N219" s="186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</row>
    <row r="220" spans="1:68" x14ac:dyDescent="0.25">
      <c r="A220" s="195">
        <f>'Données projet'!A234</f>
        <v>0</v>
      </c>
      <c r="B220" s="196">
        <f>'Données projet'!D234</f>
        <v>0</v>
      </c>
      <c r="C220" s="210"/>
      <c r="D220" s="194">
        <f t="shared" si="14"/>
        <v>0</v>
      </c>
      <c r="E220" s="210"/>
      <c r="F220" s="221"/>
      <c r="G220" s="232"/>
      <c r="H220" s="25"/>
      <c r="I220" s="5"/>
      <c r="J220" s="5"/>
      <c r="K220" s="5"/>
      <c r="L220" s="5"/>
      <c r="M220" s="5"/>
      <c r="N220" s="186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</row>
    <row r="221" spans="1:68" x14ac:dyDescent="0.25">
      <c r="A221" s="195">
        <f>'Données projet'!A235</f>
        <v>0</v>
      </c>
      <c r="B221" s="196">
        <f>'Données projet'!D235</f>
        <v>0</v>
      </c>
      <c r="C221" s="210"/>
      <c r="D221" s="194">
        <f t="shared" si="14"/>
        <v>0</v>
      </c>
      <c r="E221" s="210"/>
      <c r="F221" s="221"/>
      <c r="G221" s="232"/>
      <c r="H221" s="25"/>
      <c r="I221" s="5"/>
      <c r="J221" s="5"/>
      <c r="K221" s="5"/>
      <c r="L221" s="5"/>
      <c r="M221" s="5"/>
      <c r="N221" s="186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</row>
    <row r="222" spans="1:68" x14ac:dyDescent="0.25">
      <c r="A222" s="195">
        <f>'Données projet'!A236</f>
        <v>0</v>
      </c>
      <c r="B222" s="196">
        <f>'Données projet'!D236</f>
        <v>0</v>
      </c>
      <c r="C222" s="210"/>
      <c r="D222" s="194">
        <f t="shared" si="14"/>
        <v>0</v>
      </c>
      <c r="E222" s="210"/>
      <c r="F222" s="221"/>
      <c r="G222" s="232"/>
      <c r="H222" s="25"/>
      <c r="I222" s="5"/>
      <c r="J222" s="5"/>
      <c r="K222" s="5"/>
      <c r="L222" s="5"/>
      <c r="M222" s="5"/>
      <c r="N222" s="186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</row>
    <row r="223" spans="1:68" x14ac:dyDescent="0.25">
      <c r="A223" s="195">
        <f>'Données projet'!A237</f>
        <v>0</v>
      </c>
      <c r="B223" s="196">
        <f>'Données projet'!D237</f>
        <v>0</v>
      </c>
      <c r="C223" s="210"/>
      <c r="D223" s="194">
        <f t="shared" si="14"/>
        <v>0</v>
      </c>
      <c r="E223" s="210"/>
      <c r="F223" s="221"/>
      <c r="G223" s="232"/>
      <c r="H223" s="25"/>
      <c r="I223" s="5"/>
      <c r="J223" s="5"/>
      <c r="K223" s="5"/>
      <c r="L223" s="5"/>
      <c r="M223" s="5"/>
      <c r="N223" s="186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</row>
    <row r="224" spans="1:68" x14ac:dyDescent="0.25">
      <c r="A224" s="5"/>
      <c r="B224" s="5"/>
      <c r="C224" s="5"/>
      <c r="D224" s="5"/>
      <c r="E224" s="5"/>
      <c r="F224" s="218"/>
      <c r="G224" s="230"/>
      <c r="H224" s="25"/>
      <c r="I224" s="5"/>
      <c r="J224" s="5"/>
      <c r="K224" s="5"/>
      <c r="L224" s="5"/>
      <c r="M224" s="5"/>
      <c r="N224" s="186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</row>
    <row r="225" spans="1:68" x14ac:dyDescent="0.25">
      <c r="A225" s="5"/>
      <c r="B225" s="5"/>
      <c r="C225" s="5"/>
      <c r="D225" s="5"/>
      <c r="E225" s="5"/>
      <c r="F225" s="218"/>
      <c r="G225" s="230"/>
      <c r="H225" s="25"/>
      <c r="I225" s="5"/>
      <c r="J225" s="5"/>
      <c r="K225" s="5"/>
      <c r="L225" s="5"/>
      <c r="M225" s="5"/>
      <c r="N225" s="186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</row>
    <row r="226" spans="1:68" x14ac:dyDescent="0.25">
      <c r="A226" s="49" t="s">
        <v>173</v>
      </c>
      <c r="B226" s="189" t="str">
        <f>IF('Données projet'!$B$17="","",'Données projet'!$B$17)</f>
        <v/>
      </c>
      <c r="C226" s="5"/>
      <c r="D226" s="5"/>
      <c r="E226" s="5"/>
      <c r="F226" s="218"/>
      <c r="G226" s="230"/>
      <c r="H226" s="25"/>
      <c r="I226" s="5"/>
      <c r="J226" s="5"/>
      <c r="K226" s="5"/>
      <c r="L226" s="5"/>
      <c r="M226" s="5"/>
      <c r="N226" s="186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</row>
    <row r="227" spans="1:68" x14ac:dyDescent="0.25">
      <c r="A227" s="49"/>
      <c r="B227" s="5"/>
      <c r="C227" s="5"/>
      <c r="D227" s="5"/>
      <c r="E227" s="5"/>
      <c r="F227" s="218"/>
      <c r="G227" s="230"/>
      <c r="H227" s="25"/>
      <c r="I227" s="5"/>
      <c r="J227" s="5"/>
      <c r="K227" s="5"/>
      <c r="L227" s="5"/>
      <c r="M227" s="5"/>
      <c r="N227" s="186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</row>
    <row r="228" spans="1:68" x14ac:dyDescent="0.25">
      <c r="A228" s="188" t="s">
        <v>180</v>
      </c>
      <c r="B228" s="51" t="s">
        <v>256</v>
      </c>
      <c r="C228" s="51" t="s">
        <v>255</v>
      </c>
      <c r="D228" s="188" t="s">
        <v>252</v>
      </c>
      <c r="E228" s="188" t="s">
        <v>288</v>
      </c>
      <c r="F228" s="220"/>
      <c r="G228" s="231"/>
      <c r="H228" s="25"/>
      <c r="I228" s="5"/>
      <c r="J228" s="5"/>
      <c r="K228" s="5"/>
      <c r="L228" s="5"/>
      <c r="M228" s="5"/>
      <c r="N228" s="186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</row>
    <row r="229" spans="1:68" x14ac:dyDescent="0.25">
      <c r="A229" s="214">
        <v>0</v>
      </c>
      <c r="B229" s="217" t="s">
        <v>132</v>
      </c>
      <c r="C229" s="216" t="s">
        <v>132</v>
      </c>
      <c r="D229" s="215" t="s">
        <v>132</v>
      </c>
      <c r="E229" s="210"/>
      <c r="F229" s="220"/>
      <c r="G229" s="231"/>
      <c r="H229" s="25"/>
      <c r="I229" s="5"/>
      <c r="J229" s="5"/>
      <c r="K229" s="5"/>
      <c r="L229" s="5"/>
      <c r="M229" s="5"/>
      <c r="N229" s="186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</row>
    <row r="230" spans="1:68" x14ac:dyDescent="0.25">
      <c r="A230" s="195">
        <f>'Données projet'!A244</f>
        <v>0</v>
      </c>
      <c r="B230" s="196">
        <f>'Données projet'!D244</f>
        <v>0</v>
      </c>
      <c r="C230" s="210"/>
      <c r="D230" s="194">
        <f>B230*C230</f>
        <v>0</v>
      </c>
      <c r="E230" s="210"/>
      <c r="F230" s="221"/>
      <c r="G230" s="232"/>
      <c r="H230" s="25"/>
      <c r="I230" s="5"/>
      <c r="J230" s="5"/>
      <c r="K230" s="5"/>
      <c r="L230" s="5"/>
      <c r="M230" s="5"/>
      <c r="N230" s="186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</row>
    <row r="231" spans="1:68" x14ac:dyDescent="0.25">
      <c r="A231" s="195">
        <f>'Données projet'!A245</f>
        <v>0</v>
      </c>
      <c r="B231" s="196">
        <f>'Données projet'!D245</f>
        <v>0</v>
      </c>
      <c r="C231" s="210"/>
      <c r="D231" s="194">
        <f t="shared" ref="D231:D249" si="15">B231*C231</f>
        <v>0</v>
      </c>
      <c r="E231" s="210"/>
      <c r="F231" s="221"/>
      <c r="G231" s="232"/>
      <c r="H231" s="25"/>
      <c r="I231" s="5"/>
      <c r="J231" s="5"/>
      <c r="K231" s="5"/>
      <c r="L231" s="5"/>
      <c r="M231" s="5"/>
      <c r="N231" s="186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</row>
    <row r="232" spans="1:68" x14ac:dyDescent="0.25">
      <c r="A232" s="195">
        <f>'Données projet'!A246</f>
        <v>0</v>
      </c>
      <c r="B232" s="196">
        <f>'Données projet'!D246</f>
        <v>0</v>
      </c>
      <c r="C232" s="210"/>
      <c r="D232" s="194">
        <f t="shared" si="15"/>
        <v>0</v>
      </c>
      <c r="E232" s="210"/>
      <c r="F232" s="221"/>
      <c r="G232" s="232"/>
      <c r="H232" s="25"/>
      <c r="I232" s="5"/>
      <c r="J232" s="5"/>
      <c r="K232" s="5"/>
      <c r="L232" s="5"/>
      <c r="M232" s="5"/>
      <c r="N232" s="186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</row>
    <row r="233" spans="1:68" x14ac:dyDescent="0.25">
      <c r="A233" s="195">
        <f>'Données projet'!A247</f>
        <v>0</v>
      </c>
      <c r="B233" s="196">
        <f>'Données projet'!D247</f>
        <v>0</v>
      </c>
      <c r="C233" s="210"/>
      <c r="D233" s="194">
        <f t="shared" si="15"/>
        <v>0</v>
      </c>
      <c r="E233" s="210"/>
      <c r="F233" s="221"/>
      <c r="G233" s="232"/>
      <c r="H233" s="25"/>
      <c r="I233" s="5"/>
      <c r="J233" s="5"/>
      <c r="K233" s="5"/>
      <c r="L233" s="5"/>
      <c r="M233" s="5"/>
      <c r="N233" s="186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</row>
    <row r="234" spans="1:68" x14ac:dyDescent="0.25">
      <c r="A234" s="195">
        <f>'Données projet'!A248</f>
        <v>0</v>
      </c>
      <c r="B234" s="196">
        <f>'Données projet'!D248</f>
        <v>0</v>
      </c>
      <c r="C234" s="210"/>
      <c r="D234" s="194">
        <f t="shared" si="15"/>
        <v>0</v>
      </c>
      <c r="E234" s="210"/>
      <c r="F234" s="221"/>
      <c r="G234" s="232"/>
      <c r="H234" s="25"/>
      <c r="I234" s="5"/>
      <c r="J234" s="5"/>
      <c r="K234" s="5"/>
      <c r="L234" s="5"/>
      <c r="M234" s="5"/>
      <c r="N234" s="186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</row>
    <row r="235" spans="1:68" x14ac:dyDescent="0.25">
      <c r="A235" s="195">
        <f>'Données projet'!A249</f>
        <v>0</v>
      </c>
      <c r="B235" s="196">
        <f>'Données projet'!D249</f>
        <v>0</v>
      </c>
      <c r="C235" s="210"/>
      <c r="D235" s="194">
        <f t="shared" si="15"/>
        <v>0</v>
      </c>
      <c r="E235" s="210"/>
      <c r="F235" s="221"/>
      <c r="G235" s="232"/>
      <c r="H235" s="25"/>
      <c r="I235" s="5"/>
      <c r="J235" s="5"/>
      <c r="K235" s="5"/>
      <c r="L235" s="5"/>
      <c r="M235" s="5"/>
      <c r="N235" s="186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</row>
    <row r="236" spans="1:68" x14ac:dyDescent="0.25">
      <c r="A236" s="195">
        <f>'Données projet'!A250</f>
        <v>0</v>
      </c>
      <c r="B236" s="196">
        <f>'Données projet'!D250</f>
        <v>0</v>
      </c>
      <c r="C236" s="210"/>
      <c r="D236" s="194">
        <f t="shared" si="15"/>
        <v>0</v>
      </c>
      <c r="E236" s="210"/>
      <c r="F236" s="221"/>
      <c r="G236" s="232"/>
      <c r="H236" s="25"/>
      <c r="I236" s="5"/>
      <c r="J236" s="5"/>
      <c r="K236" s="5"/>
      <c r="L236" s="5"/>
      <c r="M236" s="5"/>
      <c r="N236" s="186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</row>
    <row r="237" spans="1:68" x14ac:dyDescent="0.25">
      <c r="A237" s="195">
        <f>'Données projet'!A251</f>
        <v>0</v>
      </c>
      <c r="B237" s="196">
        <f>'Données projet'!D251</f>
        <v>0</v>
      </c>
      <c r="C237" s="210"/>
      <c r="D237" s="194">
        <f t="shared" si="15"/>
        <v>0</v>
      </c>
      <c r="E237" s="210"/>
      <c r="F237" s="221"/>
      <c r="G237" s="232"/>
      <c r="H237" s="25"/>
      <c r="I237" s="5"/>
      <c r="J237" s="5"/>
      <c r="K237" s="5"/>
      <c r="L237" s="5"/>
      <c r="M237" s="5"/>
      <c r="N237" s="186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</row>
    <row r="238" spans="1:68" x14ac:dyDescent="0.25">
      <c r="A238" s="195">
        <f>'Données projet'!A252</f>
        <v>0</v>
      </c>
      <c r="B238" s="196">
        <f>'Données projet'!D252</f>
        <v>0</v>
      </c>
      <c r="C238" s="210"/>
      <c r="D238" s="194">
        <f t="shared" si="15"/>
        <v>0</v>
      </c>
      <c r="E238" s="210"/>
      <c r="F238" s="221"/>
      <c r="G238" s="232"/>
      <c r="H238" s="25"/>
      <c r="I238" s="5"/>
      <c r="J238" s="5"/>
      <c r="K238" s="5"/>
      <c r="L238" s="5"/>
      <c r="M238" s="5"/>
      <c r="N238" s="186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</row>
    <row r="239" spans="1:68" x14ac:dyDescent="0.25">
      <c r="A239" s="195">
        <f>'Données projet'!A253</f>
        <v>0</v>
      </c>
      <c r="B239" s="196">
        <f>'Données projet'!D253</f>
        <v>0</v>
      </c>
      <c r="C239" s="210"/>
      <c r="D239" s="194">
        <f t="shared" si="15"/>
        <v>0</v>
      </c>
      <c r="E239" s="210"/>
      <c r="F239" s="221"/>
      <c r="G239" s="232"/>
      <c r="H239" s="25"/>
      <c r="I239" s="5"/>
      <c r="J239" s="5"/>
      <c r="K239" s="5"/>
      <c r="L239" s="5"/>
      <c r="M239" s="5"/>
      <c r="N239" s="186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</row>
    <row r="240" spans="1:68" x14ac:dyDescent="0.25">
      <c r="A240" s="195">
        <f>'Données projet'!A254</f>
        <v>0</v>
      </c>
      <c r="B240" s="196">
        <f>'Données projet'!D254</f>
        <v>0</v>
      </c>
      <c r="C240" s="210"/>
      <c r="D240" s="194">
        <f t="shared" si="15"/>
        <v>0</v>
      </c>
      <c r="E240" s="210"/>
      <c r="F240" s="221"/>
      <c r="G240" s="232"/>
      <c r="H240" s="25"/>
      <c r="I240" s="5"/>
      <c r="J240" s="5"/>
      <c r="K240" s="5"/>
      <c r="L240" s="5"/>
      <c r="M240" s="5"/>
      <c r="N240" s="186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</row>
    <row r="241" spans="1:68" x14ac:dyDescent="0.25">
      <c r="A241" s="195">
        <f>'Données projet'!A255</f>
        <v>0</v>
      </c>
      <c r="B241" s="196">
        <f>'Données projet'!D255</f>
        <v>0</v>
      </c>
      <c r="C241" s="210"/>
      <c r="D241" s="194">
        <f t="shared" si="15"/>
        <v>0</v>
      </c>
      <c r="E241" s="210"/>
      <c r="F241" s="221"/>
      <c r="G241" s="232"/>
      <c r="H241" s="25"/>
      <c r="I241" s="5"/>
      <c r="J241" s="5"/>
      <c r="K241" s="5"/>
      <c r="L241" s="5"/>
      <c r="M241" s="5"/>
      <c r="N241" s="186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</row>
    <row r="242" spans="1:68" x14ac:dyDescent="0.25">
      <c r="A242" s="195">
        <f>'Données projet'!A256</f>
        <v>0</v>
      </c>
      <c r="B242" s="196">
        <f>'Données projet'!D256</f>
        <v>0</v>
      </c>
      <c r="C242" s="210"/>
      <c r="D242" s="194">
        <f t="shared" si="15"/>
        <v>0</v>
      </c>
      <c r="E242" s="210"/>
      <c r="F242" s="221"/>
      <c r="G242" s="232"/>
      <c r="H242" s="25"/>
      <c r="I242" s="5"/>
      <c r="J242" s="5"/>
      <c r="K242" s="5"/>
      <c r="L242" s="5"/>
      <c r="M242" s="5"/>
      <c r="N242" s="186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</row>
    <row r="243" spans="1:68" x14ac:dyDescent="0.25">
      <c r="A243" s="195">
        <f>'Données projet'!A257</f>
        <v>0</v>
      </c>
      <c r="B243" s="196">
        <f>'Données projet'!D257</f>
        <v>0</v>
      </c>
      <c r="C243" s="210"/>
      <c r="D243" s="194">
        <f t="shared" si="15"/>
        <v>0</v>
      </c>
      <c r="E243" s="210"/>
      <c r="F243" s="221"/>
      <c r="G243" s="232"/>
      <c r="H243" s="25"/>
      <c r="I243" s="5"/>
      <c r="J243" s="5"/>
      <c r="K243" s="5"/>
      <c r="L243" s="5"/>
      <c r="M243" s="5"/>
      <c r="N243" s="186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</row>
    <row r="244" spans="1:68" x14ac:dyDescent="0.25">
      <c r="A244" s="195">
        <f>'Données projet'!A258</f>
        <v>0</v>
      </c>
      <c r="B244" s="196">
        <f>'Données projet'!D258</f>
        <v>0</v>
      </c>
      <c r="C244" s="210"/>
      <c r="D244" s="194">
        <f t="shared" si="15"/>
        <v>0</v>
      </c>
      <c r="E244" s="210"/>
      <c r="F244" s="221"/>
      <c r="G244" s="232"/>
      <c r="H244" s="25"/>
      <c r="I244" s="5"/>
      <c r="J244" s="5"/>
      <c r="K244" s="5"/>
      <c r="L244" s="5"/>
      <c r="M244" s="5"/>
      <c r="N244" s="186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</row>
    <row r="245" spans="1:68" x14ac:dyDescent="0.25">
      <c r="A245" s="195">
        <f>'Données projet'!A259</f>
        <v>0</v>
      </c>
      <c r="B245" s="196">
        <f>'Données projet'!D259</f>
        <v>0</v>
      </c>
      <c r="C245" s="210"/>
      <c r="D245" s="194">
        <f t="shared" si="15"/>
        <v>0</v>
      </c>
      <c r="E245" s="210"/>
      <c r="F245" s="221"/>
      <c r="G245" s="232"/>
      <c r="H245" s="25"/>
      <c r="I245" s="5"/>
      <c r="J245" s="5"/>
      <c r="K245" s="5"/>
      <c r="L245" s="5"/>
      <c r="M245" s="5"/>
      <c r="N245" s="186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</row>
    <row r="246" spans="1:68" x14ac:dyDescent="0.25">
      <c r="A246" s="195">
        <f>'Données projet'!A260</f>
        <v>0</v>
      </c>
      <c r="B246" s="196">
        <f>'Données projet'!D260</f>
        <v>0</v>
      </c>
      <c r="C246" s="210"/>
      <c r="D246" s="194">
        <f t="shared" si="15"/>
        <v>0</v>
      </c>
      <c r="E246" s="210"/>
      <c r="F246" s="221"/>
      <c r="G246" s="232"/>
      <c r="H246" s="25"/>
      <c r="I246" s="5"/>
      <c r="J246" s="5"/>
      <c r="K246" s="5"/>
      <c r="L246" s="5"/>
      <c r="M246" s="5"/>
      <c r="N246" s="186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</row>
    <row r="247" spans="1:68" x14ac:dyDescent="0.25">
      <c r="A247" s="195">
        <f>'Données projet'!A261</f>
        <v>0</v>
      </c>
      <c r="B247" s="196">
        <f>'Données projet'!D261</f>
        <v>0</v>
      </c>
      <c r="C247" s="210"/>
      <c r="D247" s="194">
        <f t="shared" si="15"/>
        <v>0</v>
      </c>
      <c r="E247" s="210"/>
      <c r="F247" s="221"/>
      <c r="G247" s="232"/>
      <c r="H247" s="25"/>
      <c r="I247" s="5"/>
      <c r="J247" s="5"/>
      <c r="K247" s="5"/>
      <c r="L247" s="5"/>
      <c r="M247" s="5"/>
      <c r="N247" s="186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</row>
    <row r="248" spans="1:68" x14ac:dyDescent="0.25">
      <c r="A248" s="195">
        <f>'Données projet'!A262</f>
        <v>0</v>
      </c>
      <c r="B248" s="196">
        <f>'Données projet'!D262</f>
        <v>0</v>
      </c>
      <c r="C248" s="210"/>
      <c r="D248" s="194">
        <f t="shared" si="15"/>
        <v>0</v>
      </c>
      <c r="E248" s="210"/>
      <c r="F248" s="221"/>
      <c r="G248" s="232"/>
      <c r="H248" s="25"/>
      <c r="I248" s="5"/>
      <c r="J248" s="5"/>
      <c r="K248" s="5"/>
      <c r="L248" s="5"/>
      <c r="M248" s="5"/>
      <c r="N248" s="186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</row>
    <row r="249" spans="1:68" x14ac:dyDescent="0.25">
      <c r="A249" s="195">
        <f>'Données projet'!A263</f>
        <v>0</v>
      </c>
      <c r="B249" s="196">
        <f>'Données projet'!D263</f>
        <v>0</v>
      </c>
      <c r="C249" s="210"/>
      <c r="D249" s="194">
        <f t="shared" si="15"/>
        <v>0</v>
      </c>
      <c r="E249" s="210"/>
      <c r="F249" s="221"/>
      <c r="G249" s="232"/>
      <c r="H249" s="25"/>
      <c r="I249" s="5"/>
      <c r="J249" s="5"/>
      <c r="K249" s="5"/>
      <c r="L249" s="5"/>
      <c r="M249" s="5"/>
      <c r="N249" s="186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</row>
    <row r="250" spans="1:68" x14ac:dyDescent="0.25">
      <c r="A250" s="5"/>
      <c r="B250" s="5"/>
      <c r="C250" s="5"/>
      <c r="D250" s="5"/>
      <c r="E250" s="5"/>
      <c r="F250" s="218"/>
      <c r="G250" s="230"/>
      <c r="H250" s="25"/>
      <c r="I250" s="5"/>
      <c r="J250" s="5"/>
      <c r="K250" s="5"/>
      <c r="L250" s="5"/>
      <c r="M250" s="5"/>
      <c r="N250" s="186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</row>
    <row r="251" spans="1:68" x14ac:dyDescent="0.25">
      <c r="A251" s="5"/>
      <c r="B251" s="5"/>
      <c r="C251" s="5"/>
      <c r="D251" s="5"/>
      <c r="E251" s="5"/>
      <c r="F251" s="218"/>
      <c r="G251" s="230"/>
      <c r="H251" s="25"/>
      <c r="I251" s="5"/>
      <c r="J251" s="5"/>
      <c r="K251" s="5"/>
      <c r="L251" s="5"/>
      <c r="M251" s="5"/>
      <c r="N251" s="186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</row>
    <row r="252" spans="1:68" x14ac:dyDescent="0.25">
      <c r="A252" s="49" t="s">
        <v>174</v>
      </c>
      <c r="B252" s="189" t="str">
        <f>IF('Données projet'!$B$18="","",'Données projet'!$B$18)</f>
        <v/>
      </c>
      <c r="C252" s="5"/>
      <c r="D252" s="5"/>
      <c r="E252" s="5"/>
      <c r="F252" s="218"/>
      <c r="G252" s="230"/>
      <c r="H252" s="25"/>
      <c r="I252" s="5"/>
      <c r="J252" s="5"/>
      <c r="K252" s="5"/>
      <c r="L252" s="5"/>
      <c r="M252" s="5"/>
      <c r="N252" s="186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</row>
    <row r="253" spans="1:68" x14ac:dyDescent="0.25">
      <c r="A253" s="49"/>
      <c r="B253" s="5"/>
      <c r="C253" s="5"/>
      <c r="D253" s="5"/>
      <c r="E253" s="5"/>
      <c r="F253" s="218"/>
      <c r="G253" s="230"/>
      <c r="H253" s="25"/>
      <c r="I253" s="5"/>
      <c r="J253" s="5"/>
      <c r="K253" s="5"/>
      <c r="L253" s="5"/>
      <c r="M253" s="5"/>
      <c r="N253" s="186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</row>
    <row r="254" spans="1:68" x14ac:dyDescent="0.25">
      <c r="A254" s="188" t="s">
        <v>180</v>
      </c>
      <c r="B254" s="51" t="s">
        <v>256</v>
      </c>
      <c r="C254" s="51" t="s">
        <v>255</v>
      </c>
      <c r="D254" s="188" t="s">
        <v>252</v>
      </c>
      <c r="E254" s="188" t="s">
        <v>288</v>
      </c>
      <c r="F254" s="220"/>
      <c r="G254" s="231"/>
      <c r="H254" s="25"/>
      <c r="I254" s="5"/>
      <c r="J254" s="5"/>
      <c r="K254" s="5"/>
      <c r="L254" s="5"/>
      <c r="M254" s="5"/>
      <c r="N254" s="186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</row>
    <row r="255" spans="1:68" x14ac:dyDescent="0.25">
      <c r="A255" s="214">
        <v>0</v>
      </c>
      <c r="B255" s="217" t="s">
        <v>132</v>
      </c>
      <c r="C255" s="216" t="s">
        <v>132</v>
      </c>
      <c r="D255" s="215" t="s">
        <v>132</v>
      </c>
      <c r="E255" s="210"/>
      <c r="F255" s="220"/>
      <c r="G255" s="231"/>
      <c r="H255" s="25"/>
      <c r="I255" s="5"/>
      <c r="J255" s="5"/>
      <c r="K255" s="5"/>
      <c r="L255" s="5"/>
      <c r="M255" s="5"/>
      <c r="N255" s="186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</row>
    <row r="256" spans="1:68" x14ac:dyDescent="0.25">
      <c r="A256" s="195">
        <f>'Données projet'!A270</f>
        <v>0</v>
      </c>
      <c r="B256" s="196">
        <f>'Données projet'!D270</f>
        <v>0</v>
      </c>
      <c r="C256" s="208"/>
      <c r="D256" s="197">
        <f>B256*C256</f>
        <v>0</v>
      </c>
      <c r="E256" s="210"/>
      <c r="F256" s="219"/>
      <c r="G256" s="227"/>
      <c r="H256" s="25"/>
      <c r="I256" s="5"/>
      <c r="J256" s="5"/>
      <c r="K256" s="5"/>
      <c r="L256" s="5"/>
      <c r="M256" s="5"/>
      <c r="N256" s="186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</row>
    <row r="257" spans="1:68" x14ac:dyDescent="0.25">
      <c r="A257" s="195">
        <f>'Données projet'!A271</f>
        <v>0</v>
      </c>
      <c r="B257" s="196">
        <f>'Données projet'!D271</f>
        <v>0</v>
      </c>
      <c r="C257" s="208"/>
      <c r="D257" s="197">
        <f t="shared" ref="D257:D275" si="16">B257*C257</f>
        <v>0</v>
      </c>
      <c r="E257" s="210"/>
      <c r="F257" s="219"/>
      <c r="G257" s="227"/>
      <c r="H257" s="25"/>
      <c r="I257" s="5"/>
      <c r="J257" s="5"/>
      <c r="K257" s="5"/>
      <c r="L257" s="5"/>
      <c r="M257" s="5"/>
      <c r="N257" s="186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</row>
    <row r="258" spans="1:68" x14ac:dyDescent="0.25">
      <c r="A258" s="195">
        <f>'Données projet'!A272</f>
        <v>0</v>
      </c>
      <c r="B258" s="196">
        <f>'Données projet'!D272</f>
        <v>0</v>
      </c>
      <c r="C258" s="208"/>
      <c r="D258" s="197">
        <f t="shared" si="16"/>
        <v>0</v>
      </c>
      <c r="E258" s="210"/>
      <c r="F258" s="219"/>
      <c r="G258" s="227"/>
      <c r="H258" s="25"/>
      <c r="I258" s="5"/>
      <c r="J258" s="5"/>
      <c r="K258" s="5"/>
      <c r="L258" s="5"/>
      <c r="M258" s="5"/>
      <c r="N258" s="186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</row>
    <row r="259" spans="1:68" x14ac:dyDescent="0.25">
      <c r="A259" s="195">
        <f>'Données projet'!A273</f>
        <v>0</v>
      </c>
      <c r="B259" s="196">
        <f>'Données projet'!D273</f>
        <v>0</v>
      </c>
      <c r="C259" s="208"/>
      <c r="D259" s="197">
        <f t="shared" si="16"/>
        <v>0</v>
      </c>
      <c r="E259" s="210"/>
      <c r="F259" s="219"/>
      <c r="G259" s="227"/>
      <c r="H259" s="25"/>
      <c r="I259" s="5"/>
      <c r="J259" s="5"/>
      <c r="K259" s="5"/>
      <c r="L259" s="5"/>
      <c r="M259" s="5"/>
      <c r="N259" s="186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</row>
    <row r="260" spans="1:68" x14ac:dyDescent="0.25">
      <c r="A260" s="195">
        <f>'Données projet'!A274</f>
        <v>0</v>
      </c>
      <c r="B260" s="196">
        <f>'Données projet'!D274</f>
        <v>0</v>
      </c>
      <c r="C260" s="208"/>
      <c r="D260" s="197">
        <f t="shared" si="16"/>
        <v>0</v>
      </c>
      <c r="E260" s="210"/>
      <c r="F260" s="219"/>
      <c r="G260" s="227"/>
      <c r="H260" s="25"/>
      <c r="I260" s="5"/>
      <c r="J260" s="5"/>
      <c r="K260" s="5"/>
      <c r="L260" s="5"/>
      <c r="M260" s="5"/>
      <c r="N260" s="186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</row>
    <row r="261" spans="1:68" x14ac:dyDescent="0.25">
      <c r="A261" s="195">
        <f>'Données projet'!A275</f>
        <v>0</v>
      </c>
      <c r="B261" s="196">
        <f>'Données projet'!D275</f>
        <v>0</v>
      </c>
      <c r="C261" s="208"/>
      <c r="D261" s="197">
        <f t="shared" si="16"/>
        <v>0</v>
      </c>
      <c r="E261" s="210"/>
      <c r="F261" s="219"/>
      <c r="G261" s="227"/>
      <c r="H261" s="25"/>
      <c r="I261" s="5"/>
      <c r="J261" s="5"/>
      <c r="K261" s="5"/>
      <c r="L261" s="5"/>
      <c r="M261" s="5"/>
      <c r="N261" s="186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</row>
    <row r="262" spans="1:68" x14ac:dyDescent="0.25">
      <c r="A262" s="195">
        <f>'Données projet'!A276</f>
        <v>0</v>
      </c>
      <c r="B262" s="196">
        <f>'Données projet'!D276</f>
        <v>0</v>
      </c>
      <c r="C262" s="208"/>
      <c r="D262" s="197">
        <f t="shared" si="16"/>
        <v>0</v>
      </c>
      <c r="E262" s="210"/>
      <c r="F262" s="219"/>
      <c r="G262" s="227"/>
      <c r="H262" s="25"/>
      <c r="I262" s="5"/>
      <c r="J262" s="5"/>
      <c r="K262" s="5"/>
      <c r="L262" s="5"/>
      <c r="M262" s="5"/>
      <c r="N262" s="186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</row>
    <row r="263" spans="1:68" x14ac:dyDescent="0.25">
      <c r="A263" s="195">
        <f>'Données projet'!A277</f>
        <v>0</v>
      </c>
      <c r="B263" s="196">
        <f>'Données projet'!D277</f>
        <v>0</v>
      </c>
      <c r="C263" s="208"/>
      <c r="D263" s="197">
        <f t="shared" si="16"/>
        <v>0</v>
      </c>
      <c r="E263" s="210"/>
      <c r="F263" s="219"/>
      <c r="G263" s="227"/>
      <c r="H263" s="25"/>
      <c r="I263" s="5"/>
      <c r="J263" s="5"/>
      <c r="K263" s="5"/>
      <c r="L263" s="5"/>
      <c r="M263" s="5"/>
      <c r="N263" s="186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</row>
    <row r="264" spans="1:68" x14ac:dyDescent="0.25">
      <c r="A264" s="195">
        <f>'Données projet'!A278</f>
        <v>0</v>
      </c>
      <c r="B264" s="196">
        <f>'Données projet'!D278</f>
        <v>0</v>
      </c>
      <c r="C264" s="208"/>
      <c r="D264" s="197">
        <f t="shared" si="16"/>
        <v>0</v>
      </c>
      <c r="E264" s="210"/>
      <c r="F264" s="219"/>
      <c r="G264" s="227"/>
      <c r="H264" s="25"/>
      <c r="I264" s="5"/>
      <c r="J264" s="5"/>
      <c r="K264" s="5"/>
      <c r="L264" s="5"/>
      <c r="M264" s="5"/>
      <c r="N264" s="186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</row>
    <row r="265" spans="1:68" x14ac:dyDescent="0.25">
      <c r="A265" s="195">
        <f>'Données projet'!A279</f>
        <v>0</v>
      </c>
      <c r="B265" s="196">
        <f>'Données projet'!D279</f>
        <v>0</v>
      </c>
      <c r="C265" s="208"/>
      <c r="D265" s="197">
        <f t="shared" si="16"/>
        <v>0</v>
      </c>
      <c r="E265" s="210"/>
      <c r="F265" s="219"/>
      <c r="G265" s="227"/>
      <c r="H265" s="25"/>
      <c r="I265" s="5"/>
      <c r="J265" s="5"/>
      <c r="K265" s="5"/>
      <c r="L265" s="5"/>
      <c r="M265" s="5"/>
      <c r="N265" s="186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</row>
    <row r="266" spans="1:68" x14ac:dyDescent="0.25">
      <c r="A266" s="195">
        <f>'Données projet'!A280</f>
        <v>0</v>
      </c>
      <c r="B266" s="196">
        <f>'Données projet'!D280</f>
        <v>0</v>
      </c>
      <c r="C266" s="208"/>
      <c r="D266" s="197">
        <f t="shared" si="16"/>
        <v>0</v>
      </c>
      <c r="E266" s="210"/>
      <c r="F266" s="219"/>
      <c r="G266" s="227"/>
      <c r="H266" s="25"/>
      <c r="I266" s="5"/>
      <c r="J266" s="5"/>
      <c r="K266" s="5"/>
      <c r="L266" s="5"/>
      <c r="M266" s="5"/>
      <c r="N266" s="186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</row>
    <row r="267" spans="1:68" x14ac:dyDescent="0.25">
      <c r="A267" s="195">
        <f>'Données projet'!A281</f>
        <v>0</v>
      </c>
      <c r="B267" s="196">
        <f>'Données projet'!D281</f>
        <v>0</v>
      </c>
      <c r="C267" s="208"/>
      <c r="D267" s="197">
        <f t="shared" si="16"/>
        <v>0</v>
      </c>
      <c r="E267" s="210"/>
      <c r="F267" s="219"/>
      <c r="G267" s="227"/>
      <c r="H267" s="25"/>
      <c r="I267" s="5"/>
      <c r="J267" s="5"/>
      <c r="K267" s="5"/>
      <c r="L267" s="5"/>
      <c r="M267" s="5"/>
      <c r="N267" s="186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</row>
    <row r="268" spans="1:68" x14ac:dyDescent="0.25">
      <c r="A268" s="195">
        <f>'Données projet'!A282</f>
        <v>0</v>
      </c>
      <c r="B268" s="196">
        <f>'Données projet'!D282</f>
        <v>0</v>
      </c>
      <c r="C268" s="208"/>
      <c r="D268" s="197">
        <f t="shared" si="16"/>
        <v>0</v>
      </c>
      <c r="E268" s="210"/>
      <c r="F268" s="219"/>
      <c r="G268" s="227"/>
      <c r="H268" s="25"/>
      <c r="I268" s="5"/>
      <c r="J268" s="5"/>
      <c r="K268" s="5"/>
      <c r="L268" s="5"/>
      <c r="M268" s="5"/>
      <c r="N268" s="186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</row>
    <row r="269" spans="1:68" x14ac:dyDescent="0.25">
      <c r="A269" s="195">
        <f>'Données projet'!A283</f>
        <v>0</v>
      </c>
      <c r="B269" s="196">
        <f>'Données projet'!D283</f>
        <v>0</v>
      </c>
      <c r="C269" s="208"/>
      <c r="D269" s="197">
        <f t="shared" si="16"/>
        <v>0</v>
      </c>
      <c r="E269" s="210"/>
      <c r="F269" s="219"/>
      <c r="G269" s="227"/>
      <c r="H269" s="25"/>
      <c r="I269" s="5"/>
      <c r="J269" s="5"/>
      <c r="K269" s="5"/>
      <c r="L269" s="5"/>
      <c r="M269" s="5"/>
      <c r="N269" s="186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</row>
    <row r="270" spans="1:68" x14ac:dyDescent="0.25">
      <c r="A270" s="195">
        <f>'Données projet'!A284</f>
        <v>0</v>
      </c>
      <c r="B270" s="196">
        <f>'Données projet'!D284</f>
        <v>0</v>
      </c>
      <c r="C270" s="208"/>
      <c r="D270" s="197">
        <f t="shared" si="16"/>
        <v>0</v>
      </c>
      <c r="E270" s="210"/>
      <c r="F270" s="219"/>
      <c r="G270" s="227"/>
      <c r="H270" s="25"/>
      <c r="I270" s="5"/>
      <c r="J270" s="5"/>
      <c r="K270" s="5"/>
      <c r="L270" s="5"/>
      <c r="M270" s="5"/>
      <c r="N270" s="186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</row>
    <row r="271" spans="1:68" x14ac:dyDescent="0.25">
      <c r="A271" s="195">
        <f>'Données projet'!A285</f>
        <v>0</v>
      </c>
      <c r="B271" s="196">
        <f>'Données projet'!D285</f>
        <v>0</v>
      </c>
      <c r="C271" s="208"/>
      <c r="D271" s="197">
        <f t="shared" si="16"/>
        <v>0</v>
      </c>
      <c r="E271" s="210"/>
      <c r="F271" s="219"/>
      <c r="G271" s="227"/>
      <c r="H271" s="25"/>
      <c r="I271" s="5"/>
      <c r="J271" s="5"/>
      <c r="K271" s="5"/>
      <c r="L271" s="5"/>
      <c r="M271" s="5"/>
      <c r="N271" s="186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</row>
    <row r="272" spans="1:68" x14ac:dyDescent="0.25">
      <c r="A272" s="195">
        <f>'Données projet'!A286</f>
        <v>0</v>
      </c>
      <c r="B272" s="196">
        <f>'Données projet'!D286</f>
        <v>0</v>
      </c>
      <c r="C272" s="208"/>
      <c r="D272" s="197">
        <f t="shared" si="16"/>
        <v>0</v>
      </c>
      <c r="E272" s="210"/>
      <c r="F272" s="219"/>
      <c r="G272" s="227"/>
      <c r="H272" s="25"/>
      <c r="I272" s="5"/>
      <c r="J272" s="5"/>
      <c r="K272" s="5"/>
      <c r="L272" s="5"/>
      <c r="M272" s="5"/>
      <c r="N272" s="186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</row>
    <row r="273" spans="1:60" x14ac:dyDescent="0.25">
      <c r="A273" s="195">
        <f>'Données projet'!A287</f>
        <v>0</v>
      </c>
      <c r="B273" s="196">
        <f>'Données projet'!D287</f>
        <v>0</v>
      </c>
      <c r="C273" s="208"/>
      <c r="D273" s="197">
        <f t="shared" si="16"/>
        <v>0</v>
      </c>
      <c r="E273" s="210"/>
      <c r="F273" s="219"/>
      <c r="G273" s="227"/>
      <c r="H273" s="25"/>
      <c r="I273" s="5"/>
      <c r="J273" s="5"/>
      <c r="K273" s="5"/>
      <c r="L273" s="5"/>
      <c r="M273" s="5"/>
      <c r="N273" s="186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</row>
    <row r="274" spans="1:60" x14ac:dyDescent="0.25">
      <c r="A274" s="195">
        <f>'Données projet'!A288</f>
        <v>0</v>
      </c>
      <c r="B274" s="196">
        <f>'Données projet'!D288</f>
        <v>0</v>
      </c>
      <c r="C274" s="208"/>
      <c r="D274" s="197">
        <f t="shared" si="16"/>
        <v>0</v>
      </c>
      <c r="E274" s="210"/>
      <c r="F274" s="219"/>
      <c r="G274" s="227"/>
      <c r="H274" s="25"/>
      <c r="I274" s="5"/>
      <c r="J274" s="5"/>
      <c r="K274" s="5"/>
      <c r="L274" s="5"/>
      <c r="M274" s="5"/>
      <c r="N274" s="186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</row>
    <row r="275" spans="1:60" x14ac:dyDescent="0.25">
      <c r="A275" s="195">
        <f>'Données projet'!A289</f>
        <v>0</v>
      </c>
      <c r="B275" s="196">
        <f>'Données projet'!D289</f>
        <v>0</v>
      </c>
      <c r="C275" s="213"/>
      <c r="D275" s="197">
        <f t="shared" si="16"/>
        <v>0</v>
      </c>
      <c r="E275" s="210"/>
      <c r="F275" s="219"/>
      <c r="G275" s="227"/>
      <c r="H275" s="25"/>
      <c r="I275" s="5"/>
      <c r="J275" s="5"/>
      <c r="K275" s="5"/>
      <c r="L275" s="5"/>
      <c r="M275" s="5"/>
      <c r="N275" s="186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</row>
    <row r="276" spans="1:60" x14ac:dyDescent="0.25">
      <c r="A276" s="5"/>
      <c r="B276" s="5"/>
      <c r="C276" s="5"/>
      <c r="D276" s="5"/>
      <c r="E276" s="5"/>
      <c r="F276" s="244"/>
      <c r="G276" s="244"/>
      <c r="H276" s="2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</row>
    <row r="277" spans="1:60" x14ac:dyDescent="0.25">
      <c r="A277" s="5"/>
      <c r="B277" s="5"/>
      <c r="C277" s="5"/>
      <c r="D277" s="5"/>
      <c r="E277" s="5"/>
      <c r="F277" s="244"/>
      <c r="G277" s="244"/>
      <c r="H277" s="2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</row>
    <row r="278" spans="1:60" x14ac:dyDescent="0.25">
      <c r="A278" s="5"/>
      <c r="B278" s="5"/>
      <c r="C278" s="5"/>
      <c r="D278" s="5"/>
      <c r="E278" s="5"/>
      <c r="F278" s="244"/>
      <c r="G278" s="244"/>
      <c r="H278" s="2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</row>
    <row r="279" spans="1:60" x14ac:dyDescent="0.25">
      <c r="A279" s="5"/>
      <c r="B279" s="5"/>
      <c r="C279" s="5"/>
      <c r="D279" s="5"/>
      <c r="E279" s="5"/>
      <c r="F279" s="244"/>
      <c r="G279" s="244"/>
      <c r="H279" s="2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</row>
    <row r="280" spans="1:60" x14ac:dyDescent="0.25">
      <c r="A280" s="5"/>
      <c r="B280" s="5"/>
      <c r="C280" s="5"/>
      <c r="D280" s="5"/>
      <c r="E280" s="5"/>
      <c r="F280" s="244"/>
      <c r="G280" s="244"/>
      <c r="H280" s="2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</row>
    <row r="281" spans="1:60" x14ac:dyDescent="0.25">
      <c r="A281" s="5"/>
      <c r="B281" s="5"/>
      <c r="C281" s="5"/>
      <c r="D281" s="5"/>
      <c r="E281" s="5"/>
      <c r="F281" s="244"/>
      <c r="G281" s="244"/>
      <c r="H281" s="2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</row>
    <row r="282" spans="1:60" x14ac:dyDescent="0.25">
      <c r="A282" s="5"/>
      <c r="B282" s="5"/>
      <c r="C282" s="5"/>
      <c r="D282" s="5"/>
      <c r="E282" s="5"/>
      <c r="F282" s="244"/>
      <c r="G282" s="244"/>
      <c r="H282" s="2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</row>
    <row r="283" spans="1:60" x14ac:dyDescent="0.25">
      <c r="A283" s="5"/>
      <c r="B283" s="5"/>
      <c r="C283" s="5"/>
      <c r="D283" s="5"/>
      <c r="E283" s="5"/>
      <c r="F283" s="244"/>
      <c r="G283" s="244"/>
      <c r="H283" s="2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</row>
    <row r="284" spans="1:60" x14ac:dyDescent="0.25">
      <c r="A284" s="5"/>
      <c r="B284" s="5"/>
      <c r="C284" s="5"/>
      <c r="D284" s="5"/>
      <c r="E284" s="5"/>
      <c r="F284" s="244"/>
      <c r="G284" s="244"/>
      <c r="H284" s="2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</row>
    <row r="285" spans="1:60" x14ac:dyDescent="0.25">
      <c r="A285" s="5"/>
      <c r="B285" s="5"/>
      <c r="C285" s="5"/>
      <c r="D285" s="5"/>
      <c r="E285" s="5"/>
      <c r="F285" s="244"/>
      <c r="G285" s="244"/>
      <c r="H285" s="2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</row>
    <row r="286" spans="1:60" x14ac:dyDescent="0.25">
      <c r="A286" s="5"/>
      <c r="B286" s="5"/>
      <c r="C286" s="5"/>
      <c r="D286" s="5"/>
      <c r="E286" s="5"/>
      <c r="F286" s="244"/>
      <c r="G286" s="244"/>
      <c r="H286" s="2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</row>
    <row r="287" spans="1:60" x14ac:dyDescent="0.25">
      <c r="A287" s="5"/>
      <c r="B287" s="5"/>
      <c r="C287" s="5"/>
      <c r="D287" s="5"/>
      <c r="E287" s="5"/>
      <c r="F287" s="244"/>
      <c r="G287" s="244"/>
      <c r="H287" s="2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</row>
    <row r="288" spans="1:60" x14ac:dyDescent="0.25">
      <c r="A288" s="5"/>
      <c r="B288" s="5"/>
      <c r="C288" s="5"/>
      <c r="D288" s="5"/>
      <c r="E288" s="5"/>
      <c r="F288" s="244"/>
      <c r="G288" s="244"/>
      <c r="H288" s="2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</row>
    <row r="289" spans="1:60" x14ac:dyDescent="0.25">
      <c r="A289" s="5"/>
      <c r="B289" s="5"/>
      <c r="C289" s="5"/>
      <c r="D289" s="5"/>
      <c r="E289" s="5"/>
      <c r="F289" s="244"/>
      <c r="G289" s="244"/>
      <c r="H289" s="2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</row>
    <row r="290" spans="1:60" x14ac:dyDescent="0.25">
      <c r="A290" s="5"/>
      <c r="B290" s="5"/>
      <c r="C290" s="5"/>
      <c r="D290" s="5"/>
      <c r="E290" s="5"/>
      <c r="F290" s="244"/>
      <c r="G290" s="244"/>
      <c r="H290" s="2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</row>
    <row r="291" spans="1:60" x14ac:dyDescent="0.25">
      <c r="A291" s="5"/>
      <c r="B291" s="5"/>
      <c r="C291" s="5"/>
      <c r="D291" s="5"/>
      <c r="E291" s="5"/>
      <c r="F291" s="244"/>
      <c r="G291" s="244"/>
      <c r="H291" s="2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</row>
    <row r="292" spans="1:60" x14ac:dyDescent="0.25">
      <c r="A292" s="5"/>
      <c r="B292" s="5"/>
      <c r="C292" s="5"/>
      <c r="D292" s="5"/>
      <c r="E292" s="5"/>
      <c r="F292" s="244"/>
      <c r="G292" s="244"/>
      <c r="H292" s="2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</row>
    <row r="293" spans="1:60" x14ac:dyDescent="0.25">
      <c r="A293" s="5"/>
      <c r="B293" s="5"/>
      <c r="C293" s="5"/>
      <c r="D293" s="5"/>
      <c r="E293" s="5"/>
      <c r="F293" s="244"/>
      <c r="G293" s="244"/>
      <c r="H293" s="2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</row>
    <row r="294" spans="1:60" x14ac:dyDescent="0.25">
      <c r="A294" s="5"/>
      <c r="B294" s="5"/>
      <c r="C294" s="5"/>
      <c r="D294" s="5"/>
      <c r="E294" s="5"/>
      <c r="F294" s="244"/>
      <c r="G294" s="244"/>
      <c r="H294" s="2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</row>
    <row r="295" spans="1:60" x14ac:dyDescent="0.25">
      <c r="A295" s="5"/>
      <c r="B295" s="5"/>
      <c r="C295" s="5"/>
      <c r="D295" s="5"/>
      <c r="E295" s="5"/>
      <c r="F295" s="244"/>
      <c r="G295" s="244"/>
      <c r="H295" s="2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</row>
    <row r="296" spans="1:60" x14ac:dyDescent="0.25">
      <c r="A296" s="5"/>
      <c r="B296" s="5"/>
      <c r="C296" s="5"/>
      <c r="D296" s="5"/>
      <c r="E296" s="5"/>
      <c r="F296" s="244"/>
      <c r="G296" s="244"/>
      <c r="H296" s="2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</row>
    <row r="297" spans="1:60" x14ac:dyDescent="0.25">
      <c r="A297" s="5"/>
      <c r="B297" s="5"/>
      <c r="C297" s="5"/>
      <c r="D297" s="5"/>
      <c r="E297" s="5"/>
      <c r="F297" s="244"/>
      <c r="G297" s="244"/>
      <c r="H297" s="2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</row>
    <row r="298" spans="1:60" x14ac:dyDescent="0.25">
      <c r="A298" s="5"/>
      <c r="B298" s="5"/>
      <c r="C298" s="5"/>
      <c r="D298" s="5"/>
      <c r="E298" s="5"/>
      <c r="F298" s="244"/>
      <c r="G298" s="244"/>
      <c r="H298" s="2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</row>
    <row r="299" spans="1:60" x14ac:dyDescent="0.25">
      <c r="A299" s="5"/>
      <c r="B299" s="5"/>
      <c r="C299" s="5"/>
      <c r="D299" s="5"/>
      <c r="E299" s="5"/>
      <c r="F299" s="244"/>
      <c r="G299" s="244"/>
      <c r="H299" s="2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</row>
    <row r="300" spans="1:60" x14ac:dyDescent="0.25">
      <c r="A300" s="5"/>
      <c r="B300" s="5"/>
      <c r="C300" s="5"/>
      <c r="D300" s="5"/>
      <c r="E300" s="5"/>
      <c r="F300" s="244"/>
      <c r="G300" s="244"/>
      <c r="H300" s="2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</row>
    <row r="301" spans="1:60" x14ac:dyDescent="0.25">
      <c r="A301" s="5"/>
      <c r="B301" s="5"/>
      <c r="C301" s="5"/>
      <c r="D301" s="5"/>
      <c r="E301" s="5"/>
      <c r="F301" s="244"/>
      <c r="G301" s="244"/>
      <c r="H301" s="2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</row>
    <row r="302" spans="1:60" x14ac:dyDescent="0.25">
      <c r="A302" s="5"/>
      <c r="B302" s="5"/>
      <c r="C302" s="5"/>
      <c r="D302" s="5"/>
      <c r="E302" s="5"/>
      <c r="F302" s="244"/>
      <c r="G302" s="244"/>
      <c r="H302" s="2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</row>
    <row r="303" spans="1:60" x14ac:dyDescent="0.25">
      <c r="A303" s="5"/>
      <c r="B303" s="5"/>
      <c r="C303" s="5"/>
      <c r="D303" s="5"/>
      <c r="E303" s="5"/>
      <c r="F303" s="244"/>
      <c r="G303" s="244"/>
      <c r="H303" s="2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</row>
    <row r="304" spans="1:60" x14ac:dyDescent="0.25">
      <c r="A304" s="5"/>
      <c r="B304" s="5"/>
      <c r="C304" s="5"/>
      <c r="D304" s="5"/>
      <c r="E304" s="5"/>
      <c r="F304" s="244"/>
      <c r="G304" s="244"/>
      <c r="H304" s="2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</row>
    <row r="305" spans="1:60" x14ac:dyDescent="0.25">
      <c r="A305" s="5"/>
      <c r="B305" s="5"/>
      <c r="C305" s="5"/>
      <c r="D305" s="5"/>
      <c r="E305" s="5"/>
      <c r="F305" s="244"/>
      <c r="G305" s="244"/>
      <c r="H305" s="2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</row>
    <row r="306" spans="1:60" x14ac:dyDescent="0.25">
      <c r="A306" s="5"/>
      <c r="B306" s="5"/>
      <c r="C306" s="5"/>
      <c r="D306" s="5"/>
      <c r="E306" s="5"/>
      <c r="F306" s="244"/>
      <c r="G306" s="244"/>
      <c r="H306" s="2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</row>
    <row r="307" spans="1:60" x14ac:dyDescent="0.25">
      <c r="A307" s="5"/>
      <c r="B307" s="5"/>
      <c r="C307" s="5"/>
      <c r="D307" s="5"/>
      <c r="E307" s="5"/>
      <c r="F307" s="244"/>
      <c r="G307" s="244"/>
      <c r="H307" s="2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</row>
    <row r="308" spans="1:60" x14ac:dyDescent="0.25">
      <c r="A308" s="5"/>
      <c r="B308" s="5"/>
      <c r="C308" s="5"/>
      <c r="D308" s="5"/>
      <c r="E308" s="5"/>
      <c r="F308" s="244"/>
      <c r="G308" s="244"/>
      <c r="H308" s="2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</row>
    <row r="309" spans="1:60" x14ac:dyDescent="0.25">
      <c r="A309" s="5"/>
      <c r="B309" s="5"/>
      <c r="C309" s="5"/>
      <c r="D309" s="5"/>
      <c r="E309" s="5"/>
      <c r="F309" s="244"/>
      <c r="G309" s="244"/>
      <c r="H309" s="2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</row>
    <row r="310" spans="1:60" x14ac:dyDescent="0.25">
      <c r="A310" s="5"/>
      <c r="B310" s="5"/>
      <c r="C310" s="5"/>
      <c r="D310" s="5"/>
      <c r="E310" s="5"/>
      <c r="F310" s="244"/>
      <c r="G310" s="244"/>
      <c r="H310" s="2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</row>
    <row r="311" spans="1:60" x14ac:dyDescent="0.25">
      <c r="A311" s="5"/>
      <c r="B311" s="5"/>
      <c r="C311" s="5"/>
      <c r="D311" s="5"/>
      <c r="E311" s="5"/>
      <c r="F311" s="244"/>
      <c r="G311" s="244"/>
      <c r="H311" s="2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</row>
    <row r="312" spans="1:60" x14ac:dyDescent="0.25">
      <c r="A312" s="5"/>
      <c r="B312" s="5"/>
      <c r="C312" s="5"/>
      <c r="D312" s="5"/>
      <c r="E312" s="5"/>
      <c r="F312" s="244"/>
      <c r="G312" s="244"/>
      <c r="H312" s="2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</row>
    <row r="313" spans="1:60" x14ac:dyDescent="0.25">
      <c r="A313" s="5"/>
      <c r="B313" s="5"/>
      <c r="C313" s="5"/>
      <c r="D313" s="5"/>
      <c r="E313" s="5"/>
      <c r="F313" s="244"/>
      <c r="G313" s="244"/>
      <c r="H313" s="2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</row>
    <row r="314" spans="1:60" x14ac:dyDescent="0.25">
      <c r="A314" s="5"/>
      <c r="B314" s="5"/>
      <c r="C314" s="5"/>
      <c r="D314" s="5"/>
      <c r="E314" s="5"/>
      <c r="F314" s="244"/>
      <c r="G314" s="244"/>
      <c r="H314" s="2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</row>
    <row r="315" spans="1:60" x14ac:dyDescent="0.25">
      <c r="A315" s="5"/>
      <c r="B315" s="5"/>
      <c r="C315" s="5"/>
      <c r="D315" s="5"/>
      <c r="E315" s="5"/>
      <c r="F315" s="244"/>
      <c r="G315" s="244"/>
      <c r="H315" s="2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</row>
    <row r="316" spans="1:60" x14ac:dyDescent="0.25">
      <c r="A316" s="5"/>
      <c r="B316" s="5"/>
      <c r="C316" s="5"/>
      <c r="D316" s="5"/>
      <c r="E316" s="5"/>
      <c r="F316" s="244"/>
      <c r="G316" s="244"/>
      <c r="H316" s="2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</row>
    <row r="317" spans="1:60" x14ac:dyDescent="0.25">
      <c r="A317" s="5"/>
      <c r="B317" s="5"/>
      <c r="C317" s="5"/>
      <c r="D317" s="5"/>
      <c r="E317" s="5"/>
      <c r="F317" s="244"/>
      <c r="G317" s="244"/>
      <c r="H317" s="2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</row>
    <row r="318" spans="1:60" x14ac:dyDescent="0.25">
      <c r="A318" s="5"/>
      <c r="B318" s="5"/>
      <c r="C318" s="5"/>
      <c r="D318" s="5"/>
      <c r="E318" s="5"/>
      <c r="F318" s="244"/>
      <c r="G318" s="7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</row>
    <row r="319" spans="1:60" x14ac:dyDescent="0.25">
      <c r="A319" s="5"/>
      <c r="B319" s="5"/>
      <c r="C319" s="5"/>
      <c r="D319" s="5"/>
      <c r="E319" s="5"/>
      <c r="F319" s="244"/>
      <c r="G319" s="7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</row>
    <row r="320" spans="1:60" x14ac:dyDescent="0.25">
      <c r="A320" s="5"/>
      <c r="B320" s="5"/>
      <c r="C320" s="5"/>
      <c r="D320" s="5"/>
      <c r="E320" s="5"/>
      <c r="F320" s="244"/>
      <c r="G320" s="7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</row>
    <row r="321" spans="1:60" x14ac:dyDescent="0.25">
      <c r="A321" s="5"/>
      <c r="B321" s="5"/>
      <c r="C321" s="5"/>
      <c r="D321" s="5"/>
      <c r="E321" s="5"/>
      <c r="F321" s="244"/>
      <c r="G321" s="7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</row>
    <row r="322" spans="1:60" x14ac:dyDescent="0.25">
      <c r="A322" s="5"/>
      <c r="B322" s="5"/>
      <c r="C322" s="5"/>
      <c r="D322" s="5"/>
      <c r="E322" s="5"/>
      <c r="F322" s="244"/>
      <c r="G322" s="7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</row>
    <row r="323" spans="1:60" x14ac:dyDescent="0.25">
      <c r="A323" s="5"/>
      <c r="B323" s="5"/>
      <c r="C323" s="5"/>
      <c r="D323" s="5"/>
      <c r="E323" s="5"/>
      <c r="F323" s="244"/>
      <c r="G323" s="7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</row>
    <row r="324" spans="1:60" x14ac:dyDescent="0.25">
      <c r="A324" s="5"/>
      <c r="B324" s="5"/>
      <c r="C324" s="5"/>
      <c r="D324" s="5"/>
      <c r="E324" s="5"/>
      <c r="F324" s="244"/>
      <c r="G324" s="7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</row>
    <row r="325" spans="1:60" x14ac:dyDescent="0.25">
      <c r="A325" s="5"/>
      <c r="B325" s="5"/>
      <c r="C325" s="5"/>
      <c r="D325" s="5"/>
      <c r="E325" s="5"/>
      <c r="F325" s="244"/>
      <c r="G325" s="7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</row>
    <row r="326" spans="1:60" x14ac:dyDescent="0.25">
      <c r="A326" s="5"/>
      <c r="B326" s="5"/>
      <c r="C326" s="5"/>
      <c r="D326" s="5"/>
      <c r="E326" s="5"/>
      <c r="F326" s="244"/>
      <c r="G326" s="7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</row>
    <row r="327" spans="1:60" x14ac:dyDescent="0.25">
      <c r="A327" s="5"/>
      <c r="B327" s="5"/>
      <c r="C327" s="5"/>
      <c r="D327" s="5"/>
      <c r="E327" s="5"/>
      <c r="F327" s="244"/>
      <c r="G327" s="7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</row>
    <row r="328" spans="1:60" x14ac:dyDescent="0.25">
      <c r="A328" s="5"/>
      <c r="B328" s="5"/>
      <c r="C328" s="5"/>
      <c r="D328" s="5"/>
      <c r="E328" s="5"/>
      <c r="F328" s="244"/>
      <c r="G328" s="7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</row>
    <row r="329" spans="1:60" x14ac:dyDescent="0.25">
      <c r="A329" s="5"/>
      <c r="B329" s="5"/>
      <c r="C329" s="5"/>
      <c r="D329" s="5"/>
      <c r="E329" s="5"/>
      <c r="F329" s="244"/>
      <c r="G329" s="7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</row>
    <row r="330" spans="1:60" x14ac:dyDescent="0.25">
      <c r="A330" s="5"/>
      <c r="B330" s="5"/>
      <c r="C330" s="5"/>
      <c r="D330" s="5"/>
      <c r="E330" s="5"/>
      <c r="F330" s="244"/>
      <c r="G330" s="7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</row>
    <row r="331" spans="1:60" x14ac:dyDescent="0.25">
      <c r="A331" s="5"/>
      <c r="B331" s="5"/>
      <c r="C331" s="5"/>
      <c r="D331" s="5"/>
      <c r="E331" s="5"/>
      <c r="F331" s="244"/>
      <c r="G331" s="7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</row>
    <row r="332" spans="1:60" x14ac:dyDescent="0.25">
      <c r="A332" s="5"/>
      <c r="B332" s="5"/>
      <c r="C332" s="5"/>
      <c r="D332" s="5"/>
      <c r="E332" s="5"/>
      <c r="F332" s="244"/>
      <c r="G332" s="7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</row>
    <row r="333" spans="1:60" x14ac:dyDescent="0.25">
      <c r="A333" s="5"/>
      <c r="B333" s="5"/>
      <c r="C333" s="5"/>
      <c r="D333" s="5"/>
      <c r="E333" s="5"/>
      <c r="F333" s="244"/>
      <c r="G333" s="7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</row>
    <row r="334" spans="1:60" x14ac:dyDescent="0.25">
      <c r="A334" s="5"/>
      <c r="B334" s="5"/>
      <c r="C334" s="5"/>
      <c r="D334" s="5"/>
      <c r="E334" s="5"/>
      <c r="F334" s="244"/>
      <c r="G334" s="7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</row>
    <row r="335" spans="1:60" x14ac:dyDescent="0.25">
      <c r="A335" s="5"/>
      <c r="B335" s="5"/>
      <c r="C335" s="5"/>
      <c r="D335" s="5"/>
      <c r="E335" s="5"/>
      <c r="F335" s="244"/>
      <c r="G335" s="7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</row>
    <row r="336" spans="1:60" x14ac:dyDescent="0.25">
      <c r="A336" s="5"/>
      <c r="B336" s="5"/>
      <c r="C336" s="5"/>
      <c r="D336" s="5"/>
      <c r="E336" s="5"/>
      <c r="F336" s="244"/>
      <c r="G336" s="7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</row>
    <row r="337" spans="1:60" x14ac:dyDescent="0.25">
      <c r="A337" s="5"/>
      <c r="B337" s="5"/>
      <c r="C337" s="5"/>
      <c r="D337" s="5"/>
      <c r="E337" s="5"/>
      <c r="F337" s="244"/>
      <c r="G337" s="7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</row>
    <row r="338" spans="1:60" x14ac:dyDescent="0.25">
      <c r="A338" s="5"/>
      <c r="B338" s="5"/>
      <c r="C338" s="5"/>
      <c r="D338" s="5"/>
      <c r="E338" s="5"/>
      <c r="F338" s="244"/>
      <c r="G338" s="7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</row>
    <row r="339" spans="1:60" x14ac:dyDescent="0.25">
      <c r="A339" s="5"/>
      <c r="B339" s="5"/>
      <c r="C339" s="5"/>
      <c r="D339" s="5"/>
      <c r="E339" s="5"/>
      <c r="F339" s="244"/>
      <c r="G339" s="7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</row>
    <row r="340" spans="1:60" x14ac:dyDescent="0.25">
      <c r="A340" s="5"/>
      <c r="B340" s="5"/>
      <c r="C340" s="5"/>
      <c r="D340" s="5"/>
      <c r="E340" s="5"/>
      <c r="F340" s="244"/>
      <c r="G340" s="7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</row>
    <row r="341" spans="1:60" x14ac:dyDescent="0.25">
      <c r="A341" s="5"/>
      <c r="B341" s="5"/>
      <c r="C341" s="5"/>
      <c r="D341" s="5"/>
      <c r="E341" s="5"/>
      <c r="F341" s="244"/>
      <c r="G341" s="7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</row>
    <row r="342" spans="1:60" x14ac:dyDescent="0.25">
      <c r="A342" s="5"/>
      <c r="B342" s="5"/>
      <c r="C342" s="5"/>
      <c r="D342" s="5"/>
      <c r="E342" s="5"/>
      <c r="F342" s="244"/>
      <c r="G342" s="7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</row>
    <row r="343" spans="1:60" x14ac:dyDescent="0.25">
      <c r="A343" s="5"/>
      <c r="B343" s="5"/>
      <c r="C343" s="5"/>
      <c r="D343" s="5"/>
      <c r="E343" s="5"/>
      <c r="F343" s="244"/>
      <c r="G343" s="7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</row>
    <row r="344" spans="1:60" x14ac:dyDescent="0.25">
      <c r="A344" s="5"/>
      <c r="B344" s="5"/>
      <c r="C344" s="5"/>
      <c r="D344" s="5"/>
      <c r="E344" s="5"/>
      <c r="F344" s="71"/>
      <c r="G344" s="7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</row>
    <row r="345" spans="1:60" x14ac:dyDescent="0.25">
      <c r="A345" s="5"/>
      <c r="B345" s="5"/>
      <c r="C345" s="5"/>
      <c r="D345" s="5"/>
      <c r="E345" s="5"/>
      <c r="F345" s="71"/>
      <c r="G345" s="7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</row>
    <row r="346" spans="1:60" x14ac:dyDescent="0.25">
      <c r="A346" s="5"/>
      <c r="B346" s="5"/>
      <c r="C346" s="5"/>
      <c r="D346" s="5"/>
      <c r="E346" s="5"/>
      <c r="F346" s="71"/>
      <c r="G346" s="7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</row>
    <row r="347" spans="1:60" x14ac:dyDescent="0.25">
      <c r="A347" s="5"/>
      <c r="B347" s="5"/>
      <c r="C347" s="5"/>
      <c r="D347" s="5"/>
      <c r="E347" s="5"/>
      <c r="F347" s="71"/>
      <c r="G347" s="7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</row>
    <row r="348" spans="1:60" x14ac:dyDescent="0.25">
      <c r="A348" s="5"/>
      <c r="B348" s="5"/>
      <c r="C348" s="5"/>
      <c r="D348" s="5"/>
      <c r="E348" s="5"/>
      <c r="F348" s="71"/>
      <c r="G348" s="7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</row>
    <row r="349" spans="1:60" x14ac:dyDescent="0.25">
      <c r="A349" s="5"/>
      <c r="B349" s="5"/>
      <c r="C349" s="5"/>
      <c r="D349" s="5"/>
      <c r="E349" s="5"/>
      <c r="F349" s="71"/>
      <c r="G349" s="7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</row>
    <row r="350" spans="1:60" x14ac:dyDescent="0.25">
      <c r="A350" s="5"/>
      <c r="B350" s="5"/>
      <c r="C350" s="5"/>
      <c r="D350" s="5"/>
      <c r="E350" s="5"/>
      <c r="F350" s="71"/>
      <c r="G350" s="7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</row>
    <row r="351" spans="1:60" x14ac:dyDescent="0.25">
      <c r="A351" s="5"/>
      <c r="B351" s="5"/>
      <c r="C351" s="5"/>
      <c r="D351" s="5"/>
      <c r="E351" s="5"/>
      <c r="F351" s="71"/>
      <c r="G351" s="7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</row>
    <row r="352" spans="1:60" x14ac:dyDescent="0.25">
      <c r="A352" s="5"/>
      <c r="B352" s="5"/>
      <c r="C352" s="5"/>
      <c r="D352" s="5"/>
      <c r="E352" s="5"/>
      <c r="F352" s="71"/>
      <c r="G352" s="7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</row>
    <row r="353" spans="1:60" x14ac:dyDescent="0.25">
      <c r="A353" s="5"/>
      <c r="B353" s="5"/>
      <c r="C353" s="5"/>
      <c r="D353" s="5"/>
      <c r="E353" s="5"/>
      <c r="F353" s="71"/>
      <c r="G353" s="7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</row>
    <row r="354" spans="1:60" x14ac:dyDescent="0.25">
      <c r="A354" s="5"/>
      <c r="B354" s="5"/>
      <c r="C354" s="5"/>
      <c r="D354" s="5"/>
      <c r="E354" s="5"/>
      <c r="F354" s="71"/>
      <c r="G354" s="7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</row>
    <row r="355" spans="1:60" x14ac:dyDescent="0.25">
      <c r="A355" s="5"/>
      <c r="B355" s="5"/>
      <c r="C355" s="5"/>
      <c r="D355" s="5"/>
      <c r="E355" s="5"/>
      <c r="F355" s="71"/>
      <c r="G355" s="7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</row>
    <row r="356" spans="1:60" x14ac:dyDescent="0.25">
      <c r="A356" s="5"/>
      <c r="B356" s="5"/>
      <c r="C356" s="5"/>
      <c r="D356" s="5"/>
      <c r="E356" s="5"/>
      <c r="F356" s="71"/>
      <c r="G356" s="7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</row>
    <row r="357" spans="1:60" x14ac:dyDescent="0.25">
      <c r="A357" s="5"/>
      <c r="B357" s="5"/>
      <c r="C357" s="5"/>
      <c r="D357" s="5"/>
      <c r="E357" s="5"/>
      <c r="F357" s="71"/>
      <c r="G357" s="7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</row>
    <row r="358" spans="1:60" x14ac:dyDescent="0.25">
      <c r="A358" s="5"/>
      <c r="B358" s="5"/>
      <c r="C358" s="5"/>
      <c r="D358" s="5"/>
      <c r="E358" s="5"/>
      <c r="F358" s="71"/>
      <c r="G358" s="7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</row>
    <row r="359" spans="1:60" x14ac:dyDescent="0.25">
      <c r="A359" s="5"/>
      <c r="B359" s="5"/>
      <c r="C359" s="5"/>
      <c r="D359" s="5"/>
      <c r="E359" s="5"/>
      <c r="F359" s="71"/>
      <c r="G359" s="7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</row>
    <row r="360" spans="1:60" x14ac:dyDescent="0.25">
      <c r="A360" s="5"/>
      <c r="B360" s="5"/>
      <c r="C360" s="5"/>
      <c r="D360" s="5"/>
      <c r="E360" s="5"/>
      <c r="F360" s="71"/>
      <c r="G360" s="7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</row>
    <row r="361" spans="1:60" x14ac:dyDescent="0.25">
      <c r="A361" s="5"/>
      <c r="B361" s="5"/>
      <c r="C361" s="5"/>
      <c r="D361" s="5"/>
      <c r="E361" s="5"/>
      <c r="F361" s="71"/>
      <c r="G361" s="7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</row>
    <row r="362" spans="1:60" x14ac:dyDescent="0.25">
      <c r="A362" s="5"/>
      <c r="B362" s="5"/>
      <c r="C362" s="5"/>
      <c r="D362" s="5"/>
      <c r="E362" s="5"/>
      <c r="F362" s="71"/>
      <c r="G362" s="7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</row>
    <row r="363" spans="1:60" x14ac:dyDescent="0.25">
      <c r="A363" s="5"/>
      <c r="B363" s="5"/>
      <c r="C363" s="5"/>
      <c r="D363" s="5"/>
      <c r="E363" s="5"/>
      <c r="F363" s="71"/>
      <c r="G363" s="7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</row>
    <row r="364" spans="1:60" x14ac:dyDescent="0.25">
      <c r="A364" s="5"/>
      <c r="B364" s="5"/>
      <c r="C364" s="5"/>
      <c r="D364" s="5"/>
      <c r="E364" s="5"/>
      <c r="F364" s="71"/>
      <c r="G364" s="7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</row>
    <row r="365" spans="1:60" x14ac:dyDescent="0.25">
      <c r="A365" s="5"/>
      <c r="B365" s="5"/>
      <c r="C365" s="5"/>
      <c r="D365" s="5"/>
      <c r="E365" s="5"/>
      <c r="F365" s="71"/>
      <c r="G365" s="7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</row>
    <row r="366" spans="1:60" x14ac:dyDescent="0.25">
      <c r="A366" s="5"/>
      <c r="B366" s="5"/>
      <c r="C366" s="5"/>
      <c r="D366" s="5"/>
      <c r="E366" s="5"/>
      <c r="F366" s="71"/>
      <c r="G366" s="7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</row>
    <row r="367" spans="1:60" x14ac:dyDescent="0.25">
      <c r="A367" s="5"/>
      <c r="B367" s="5"/>
      <c r="C367" s="5"/>
      <c r="D367" s="5"/>
      <c r="E367" s="5"/>
      <c r="F367" s="71"/>
      <c r="G367" s="7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</row>
    <row r="368" spans="1:60" x14ac:dyDescent="0.25">
      <c r="A368" s="5"/>
      <c r="B368" s="5"/>
      <c r="C368" s="5"/>
      <c r="D368" s="5"/>
      <c r="E368" s="5"/>
      <c r="F368" s="71"/>
      <c r="G368" s="7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</row>
    <row r="369" spans="1:60" x14ac:dyDescent="0.25">
      <c r="A369" s="5"/>
      <c r="B369" s="5"/>
      <c r="C369" s="5"/>
      <c r="D369" s="5"/>
      <c r="E369" s="5"/>
      <c r="F369" s="71"/>
      <c r="G369" s="7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</row>
    <row r="370" spans="1:60" x14ac:dyDescent="0.25">
      <c r="A370" s="5"/>
      <c r="B370" s="5"/>
      <c r="C370" s="5"/>
      <c r="D370" s="5"/>
      <c r="E370" s="5"/>
      <c r="F370" s="7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</row>
    <row r="371" spans="1:60" x14ac:dyDescent="0.25">
      <c r="A371" s="5"/>
      <c r="B371" s="5"/>
      <c r="C371" s="5"/>
      <c r="D371" s="5"/>
      <c r="E371" s="5"/>
      <c r="F371" s="7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</row>
    <row r="372" spans="1:60" x14ac:dyDescent="0.25">
      <c r="A372" s="5"/>
      <c r="B372" s="5"/>
      <c r="C372" s="5"/>
      <c r="D372" s="5"/>
      <c r="E372" s="5"/>
      <c r="F372" s="7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</row>
    <row r="373" spans="1:60" x14ac:dyDescent="0.25">
      <c r="A373" s="5"/>
      <c r="B373" s="5"/>
      <c r="C373" s="5"/>
      <c r="D373" s="5"/>
      <c r="E373" s="5"/>
      <c r="F373" s="7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</row>
    <row r="374" spans="1:60" x14ac:dyDescent="0.25">
      <c r="A374" s="5"/>
      <c r="B374" s="5"/>
      <c r="C374" s="5"/>
      <c r="D374" s="5"/>
      <c r="E374" s="5"/>
      <c r="F374" s="7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</row>
    <row r="375" spans="1:60" x14ac:dyDescent="0.25">
      <c r="A375" s="5"/>
      <c r="B375" s="5"/>
      <c r="C375" s="5"/>
      <c r="D375" s="5"/>
      <c r="E375" s="5"/>
      <c r="F375" s="7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</row>
    <row r="376" spans="1:60" x14ac:dyDescent="0.25">
      <c r="A376" s="5"/>
      <c r="B376" s="5"/>
      <c r="C376" s="5"/>
      <c r="D376" s="5"/>
      <c r="E376" s="5"/>
      <c r="F376" s="7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</row>
    <row r="377" spans="1:60" x14ac:dyDescent="0.25">
      <c r="A377" s="5"/>
      <c r="B377" s="5"/>
      <c r="C377" s="5"/>
      <c r="D377" s="5"/>
      <c r="E377" s="5"/>
      <c r="F377" s="7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</row>
    <row r="378" spans="1:60" x14ac:dyDescent="0.25">
      <c r="A378" s="5"/>
      <c r="B378" s="5"/>
      <c r="C378" s="5"/>
      <c r="D378" s="5"/>
      <c r="E378" s="5"/>
      <c r="F378" s="7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</row>
    <row r="379" spans="1:60" x14ac:dyDescent="0.25">
      <c r="A379" s="5"/>
      <c r="B379" s="5"/>
      <c r="C379" s="5"/>
      <c r="D379" s="5"/>
      <c r="E379" s="5"/>
      <c r="F379" s="7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</row>
    <row r="380" spans="1:60" x14ac:dyDescent="0.25">
      <c r="A380" s="5"/>
      <c r="B380" s="5"/>
      <c r="C380" s="5"/>
      <c r="D380" s="5"/>
      <c r="E380" s="5"/>
      <c r="F380" s="7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</row>
    <row r="381" spans="1:60" x14ac:dyDescent="0.25">
      <c r="A381" s="5"/>
      <c r="B381" s="5"/>
      <c r="C381" s="5"/>
      <c r="D381" s="5"/>
      <c r="E381" s="5"/>
      <c r="F381" s="7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</row>
    <row r="382" spans="1:60" x14ac:dyDescent="0.25">
      <c r="A382" s="5"/>
      <c r="B382" s="5"/>
      <c r="C382" s="5"/>
      <c r="D382" s="5"/>
      <c r="E382" s="5"/>
      <c r="F382" s="7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</row>
    <row r="383" spans="1:60" x14ac:dyDescent="0.25">
      <c r="A383" s="5"/>
      <c r="B383" s="5"/>
      <c r="C383" s="5"/>
      <c r="D383" s="5"/>
      <c r="E383" s="5"/>
      <c r="F383" s="7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</row>
    <row r="384" spans="1:60" x14ac:dyDescent="0.25">
      <c r="A384" s="5"/>
      <c r="B384" s="5"/>
      <c r="C384" s="5"/>
      <c r="D384" s="5"/>
      <c r="E384" s="5"/>
      <c r="F384" s="7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</row>
    <row r="385" spans="1:60" x14ac:dyDescent="0.25">
      <c r="A385" s="5"/>
      <c r="B385" s="5"/>
      <c r="C385" s="5"/>
      <c r="D385" s="5"/>
      <c r="E385" s="5"/>
      <c r="F385" s="7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</row>
    <row r="386" spans="1:60" x14ac:dyDescent="0.25">
      <c r="A386" s="5"/>
      <c r="B386" s="5"/>
      <c r="C386" s="5"/>
      <c r="D386" s="5"/>
      <c r="E386" s="5"/>
      <c r="F386" s="7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</row>
    <row r="387" spans="1:60" x14ac:dyDescent="0.25">
      <c r="A387" s="5"/>
      <c r="B387" s="5"/>
      <c r="C387" s="5"/>
      <c r="D387" s="5"/>
      <c r="E387" s="5"/>
      <c r="F387" s="7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</row>
    <row r="388" spans="1:60" x14ac:dyDescent="0.25">
      <c r="A388" s="5"/>
      <c r="B388" s="5"/>
      <c r="C388" s="5"/>
      <c r="D388" s="5"/>
      <c r="E388" s="5"/>
      <c r="F388" s="7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</row>
    <row r="389" spans="1:60" x14ac:dyDescent="0.25">
      <c r="A389" s="5"/>
      <c r="B389" s="5"/>
      <c r="C389" s="5"/>
      <c r="D389" s="5"/>
      <c r="E389" s="5"/>
      <c r="F389" s="7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</row>
    <row r="390" spans="1:60" x14ac:dyDescent="0.25"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</row>
    <row r="391" spans="1:60" x14ac:dyDescent="0.25"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</row>
    <row r="392" spans="1:60" x14ac:dyDescent="0.25"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</row>
    <row r="393" spans="1:60" x14ac:dyDescent="0.25"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</row>
    <row r="394" spans="1:60" x14ac:dyDescent="0.25"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</row>
    <row r="395" spans="1:60" x14ac:dyDescent="0.25"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</row>
    <row r="396" spans="1:60" x14ac:dyDescent="0.25"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</row>
    <row r="397" spans="1:60" x14ac:dyDescent="0.25"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</row>
    <row r="398" spans="1:60" x14ac:dyDescent="0.25"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</row>
    <row r="399" spans="1:60" x14ac:dyDescent="0.25"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</row>
    <row r="400" spans="1:60" x14ac:dyDescent="0.25"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</row>
    <row r="401" spans="15:60" x14ac:dyDescent="0.25"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</row>
    <row r="402" spans="15:60" x14ac:dyDescent="0.25"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</row>
    <row r="403" spans="15:60" x14ac:dyDescent="0.25"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</row>
    <row r="404" spans="15:60" x14ac:dyDescent="0.25"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</row>
    <row r="405" spans="15:60" x14ac:dyDescent="0.25"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</row>
    <row r="406" spans="15:60" x14ac:dyDescent="0.25"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</row>
    <row r="407" spans="15:60" x14ac:dyDescent="0.25"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</row>
    <row r="408" spans="15:60" x14ac:dyDescent="0.25"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</row>
    <row r="409" spans="15:60" x14ac:dyDescent="0.25"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</row>
    <row r="410" spans="15:60" x14ac:dyDescent="0.25"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</row>
    <row r="411" spans="15:60" x14ac:dyDescent="0.25"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</row>
    <row r="412" spans="15:60" x14ac:dyDescent="0.25"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</row>
    <row r="413" spans="15:60" x14ac:dyDescent="0.25"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</row>
    <row r="414" spans="15:60" x14ac:dyDescent="0.25"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</row>
    <row r="415" spans="15:60" x14ac:dyDescent="0.25"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</row>
    <row r="416" spans="15:60" x14ac:dyDescent="0.25"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</row>
    <row r="417" spans="15:60" x14ac:dyDescent="0.25"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</row>
    <row r="418" spans="15:60" x14ac:dyDescent="0.25"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</row>
    <row r="419" spans="15:60" x14ac:dyDescent="0.25"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</row>
    <row r="420" spans="15:60" x14ac:dyDescent="0.25"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</row>
    <row r="421" spans="15:60" x14ac:dyDescent="0.25"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</row>
    <row r="422" spans="15:60" x14ac:dyDescent="0.25"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</row>
    <row r="423" spans="15:60" x14ac:dyDescent="0.25"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</row>
    <row r="424" spans="15:60" x14ac:dyDescent="0.25"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</row>
    <row r="425" spans="15:60" x14ac:dyDescent="0.25"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</row>
    <row r="426" spans="15:60" x14ac:dyDescent="0.25"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</row>
    <row r="427" spans="15:60" x14ac:dyDescent="0.25"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</row>
    <row r="428" spans="15:60" x14ac:dyDescent="0.25"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</row>
    <row r="429" spans="15:60" x14ac:dyDescent="0.25"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</row>
    <row r="430" spans="15:60" x14ac:dyDescent="0.25"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</row>
    <row r="431" spans="15:60" x14ac:dyDescent="0.25"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</row>
    <row r="432" spans="15:60" x14ac:dyDescent="0.25"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</row>
    <row r="433" spans="15:60" x14ac:dyDescent="0.25"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</row>
    <row r="434" spans="15:60" x14ac:dyDescent="0.25"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</row>
    <row r="435" spans="15:60" x14ac:dyDescent="0.25"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</row>
    <row r="436" spans="15:60" x14ac:dyDescent="0.25"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</row>
    <row r="437" spans="15:60" x14ac:dyDescent="0.25"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</row>
    <row r="438" spans="15:60" x14ac:dyDescent="0.25"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</row>
    <row r="439" spans="15:60" x14ac:dyDescent="0.25"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</row>
    <row r="440" spans="15:60" x14ac:dyDescent="0.25"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</row>
    <row r="441" spans="15:60" x14ac:dyDescent="0.25"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</row>
    <row r="442" spans="15:60" x14ac:dyDescent="0.25"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</row>
    <row r="443" spans="15:60" x14ac:dyDescent="0.25"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</row>
    <row r="444" spans="15:60" x14ac:dyDescent="0.25"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</row>
    <row r="445" spans="15:60" x14ac:dyDescent="0.25"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</row>
    <row r="446" spans="15:60" x14ac:dyDescent="0.25"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</row>
    <row r="447" spans="15:60" x14ac:dyDescent="0.25"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</row>
    <row r="448" spans="15:60" x14ac:dyDescent="0.25"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</row>
    <row r="449" spans="15:60" x14ac:dyDescent="0.25"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</row>
    <row r="450" spans="15:60" x14ac:dyDescent="0.25"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</row>
    <row r="451" spans="15:60" x14ac:dyDescent="0.25"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</row>
    <row r="452" spans="15:60" x14ac:dyDescent="0.25"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</row>
    <row r="453" spans="15:60" x14ac:dyDescent="0.25"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</row>
    <row r="454" spans="15:60" x14ac:dyDescent="0.25"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</row>
    <row r="455" spans="15:60" x14ac:dyDescent="0.25"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</row>
    <row r="456" spans="15:60" x14ac:dyDescent="0.25"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</row>
    <row r="457" spans="15:60" x14ac:dyDescent="0.25"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</row>
    <row r="458" spans="15:60" x14ac:dyDescent="0.25"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</row>
    <row r="459" spans="15:60" x14ac:dyDescent="0.25"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</row>
    <row r="460" spans="15:60" x14ac:dyDescent="0.25"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</row>
    <row r="461" spans="15:60" x14ac:dyDescent="0.25"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</row>
    <row r="462" spans="15:60" x14ac:dyDescent="0.25"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</row>
    <row r="463" spans="15:60" x14ac:dyDescent="0.25"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</row>
    <row r="464" spans="15:60" x14ac:dyDescent="0.25"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</row>
    <row r="465" spans="15:60" x14ac:dyDescent="0.25"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</row>
    <row r="466" spans="15:60" x14ac:dyDescent="0.25"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</row>
    <row r="467" spans="15:60" x14ac:dyDescent="0.25"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</row>
    <row r="468" spans="15:60" x14ac:dyDescent="0.25"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</row>
    <row r="469" spans="15:60" x14ac:dyDescent="0.25"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</row>
    <row r="470" spans="15:60" x14ac:dyDescent="0.25"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</row>
    <row r="471" spans="15:60" x14ac:dyDescent="0.25"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</row>
    <row r="472" spans="15:60" x14ac:dyDescent="0.25"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</row>
    <row r="473" spans="15:60" x14ac:dyDescent="0.25"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</row>
    <row r="474" spans="15:60" x14ac:dyDescent="0.25"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</row>
    <row r="475" spans="15:60" x14ac:dyDescent="0.25"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</row>
    <row r="476" spans="15:60" x14ac:dyDescent="0.25"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</row>
    <row r="477" spans="15:60" x14ac:dyDescent="0.25"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</row>
    <row r="478" spans="15:60" x14ac:dyDescent="0.25"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</row>
    <row r="479" spans="15:60" x14ac:dyDescent="0.25"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</row>
    <row r="480" spans="15:60" x14ac:dyDescent="0.25"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</row>
    <row r="481" spans="15:60" x14ac:dyDescent="0.25"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</row>
    <row r="482" spans="15:60" x14ac:dyDescent="0.25"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</row>
    <row r="483" spans="15:60" x14ac:dyDescent="0.25"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</row>
    <row r="484" spans="15:60" x14ac:dyDescent="0.25"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</row>
    <row r="485" spans="15:60" x14ac:dyDescent="0.25"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</row>
    <row r="486" spans="15:60" x14ac:dyDescent="0.25"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</row>
    <row r="487" spans="15:60" x14ac:dyDescent="0.25"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</row>
    <row r="488" spans="15:60" x14ac:dyDescent="0.25"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</row>
    <row r="489" spans="15:60" x14ac:dyDescent="0.25"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</row>
    <row r="490" spans="15:60" x14ac:dyDescent="0.25"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</row>
    <row r="491" spans="15:60" x14ac:dyDescent="0.25"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</row>
    <row r="492" spans="15:60" x14ac:dyDescent="0.25"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</row>
    <row r="493" spans="15:60" x14ac:dyDescent="0.25"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</row>
    <row r="494" spans="15:60" x14ac:dyDescent="0.25"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</row>
    <row r="495" spans="15:60" x14ac:dyDescent="0.25"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</row>
    <row r="496" spans="15:60" x14ac:dyDescent="0.25"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</row>
    <row r="497" spans="15:60" x14ac:dyDescent="0.25"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</row>
    <row r="498" spans="15:60" x14ac:dyDescent="0.25"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</row>
    <row r="499" spans="15:60" x14ac:dyDescent="0.25"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</row>
    <row r="500" spans="15:60" x14ac:dyDescent="0.25"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</row>
  </sheetData>
  <sheetProtection algorithmName="SHA-512" hashValue="Skt2x5ArRO+DUfHz+yUhuKwjJj4NfSPPhP1vnoJKHVAOSRwauegOKb64oM555xzG4/B5BlQpk6VfNBN8XiUnzQ==" saltValue="hrh7tFj0jNEq+y73+Tro4g==" spinCount="100000" sheet="1" objects="1" scenarios="1"/>
  <mergeCells count="20">
    <mergeCell ref="O31:Q31"/>
    <mergeCell ref="O18:P18"/>
    <mergeCell ref="B2:S2"/>
    <mergeCell ref="I4:L4"/>
    <mergeCell ref="B6:C6"/>
    <mergeCell ref="O6:R6"/>
    <mergeCell ref="O17:P17"/>
    <mergeCell ref="I17:L17"/>
    <mergeCell ref="O19:P19"/>
    <mergeCell ref="O20:P20"/>
    <mergeCell ref="O30:Q30"/>
    <mergeCell ref="O24:S24"/>
    <mergeCell ref="O25:T26"/>
    <mergeCell ref="O23:Q23"/>
    <mergeCell ref="E42:F42"/>
    <mergeCell ref="J36:L36"/>
    <mergeCell ref="J33:L33"/>
    <mergeCell ref="J34:L34"/>
    <mergeCell ref="J35:L35"/>
    <mergeCell ref="I37:L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2021-09-30T16:43:34Z</dcterms:modified>
</cp:coreProperties>
</file>